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 Page" sheetId="1" r:id="rId5"/>
    <sheet state="visible" name="Car Names" sheetId="2" r:id="rId6"/>
    <sheet state="visible" name="Car Metadata" sheetId="3" r:id="rId7"/>
    <sheet state="visible" name="Car Internal Data" sheetId="4" r:id="rId8"/>
    <sheet state="visible" name="Car Prize Data" sheetId="5" r:id="rId9"/>
    <sheet state="visible" name="Car Power Curve Data" sheetId="6" r:id="rId10"/>
    <sheet state="visible" name="Car Power Curve Viewer" sheetId="7" r:id="rId11"/>
    <sheet state="visible" name="Brand Names" sheetId="8" r:id="rId12"/>
    <sheet state="visible" name="Map Data" sheetId="9" r:id="rId13"/>
    <sheet state="visible" name="Ranking Points" sheetId="10" r:id="rId14"/>
  </sheets>
  <definedNames>
    <definedName hidden="1" localSheetId="1" name="_xlnm._FilterDatabase">'Car Names'!$A$1:$E$212</definedName>
    <definedName hidden="1" localSheetId="2" name="_xlnm._FilterDatabase">'Car Metadata'!$A$1:$BC$212</definedName>
    <definedName hidden="1" localSheetId="3" name="_xlnm._FilterDatabase">'Car Internal Data'!$A$1:$CI$212</definedName>
    <definedName hidden="1" localSheetId="4" name="_xlnm._FilterDatabase">'Car Prize Data'!$A$1:$H$212</definedName>
    <definedName hidden="1" localSheetId="7" name="_xlnm._FilterDatabase">'Brand Names'!$A$1:$C$47</definedName>
    <definedName hidden="1" localSheetId="8" name="_xlnm._FilterDatabase">'Map Data'!$A$1:$H$84</definedName>
    <definedName hidden="1" localSheetId="9" name="_xlnm._FilterDatabase">'Ranking Points'!$A$1:$B$1001</definedName>
  </definedNames>
  <calcPr/>
</workbook>
</file>

<file path=xl/sharedStrings.xml><?xml version="1.0" encoding="utf-8"?>
<sst xmlns="http://schemas.openxmlformats.org/spreadsheetml/2006/main" count="20146" uniqueCount="4201">
  <si>
    <t>Enthusia Professional Racing - Internal Data</t>
  </si>
  <si>
    <t>Welcome to this spreadsheet. It contains every and all internal data that could be found from code digging and data mining from the game. Only contains the NTSC-U data, but should be universal.</t>
  </si>
  <si>
    <t>This game has a lot of data that it just never shows you, including gear ratios for individual cars and power curves.</t>
  </si>
  <si>
    <t>This spreadsheet was made so this information could be freely accessed by people who like to play this game and want to see how it works internally.</t>
  </si>
  <si>
    <t>To access any of the data, just open one of the sheets from the bottom row of this databook. All sheets should have a filter.</t>
  </si>
  <si>
    <t>Table Of Contents</t>
  </si>
  <si>
    <t>Index</t>
  </si>
  <si>
    <t>Sheet Name</t>
  </si>
  <si>
    <t>Notes</t>
  </si>
  <si>
    <t>Car Names</t>
  </si>
  <si>
    <t>Has data on Car names, both in Japanese and English</t>
  </si>
  <si>
    <t>Car Metadata</t>
  </si>
  <si>
    <t>Has stat data on Cars, this data is visible ingame</t>
  </si>
  <si>
    <t>Car Internal Data</t>
  </si>
  <si>
    <t>Internal Car Data, contains gear ratios, power figures, etc.</t>
  </si>
  <si>
    <t>Car Prize Data</t>
  </si>
  <si>
    <t>Car Prize Weights in lottery</t>
  </si>
  <si>
    <t>Car Power Curve Data</t>
  </si>
  <si>
    <t>Has data from Car Internal Data, is just Power Curve data</t>
  </si>
  <si>
    <t>Car Power Curve Viewer</t>
  </si>
  <si>
    <t>An interactive graph viewer for power curve (works only on local copy</t>
  </si>
  <si>
    <t>Google Data Studio - Enthusia Power Curve</t>
  </si>
  <si>
    <t>Brand Names</t>
  </si>
  <si>
    <t>Has name of all car brands ingame</t>
  </si>
  <si>
    <t>Map Data</t>
  </si>
  <si>
    <t>Has data on Map and Map IDs</t>
  </si>
  <si>
    <t>Ranking Points</t>
  </si>
  <si>
    <t>Has data on Ranking Points vs Rank</t>
  </si>
  <si>
    <t>Please note that if you want to use the Power Curve Viewer, make a local copy of the sheet, as Google Sheets does not support dropdown editing my users, truly a stupid program.</t>
  </si>
  <si>
    <t>Contributors</t>
  </si>
  <si>
    <t>This project could not be possible without the help of these people. Thank you! &lt;3</t>
  </si>
  <si>
    <t>Name</t>
  </si>
  <si>
    <t>Link</t>
  </si>
  <si>
    <t>real-xp</t>
  </si>
  <si>
    <t>real-xp - GitHub</t>
  </si>
  <si>
    <t>Azullia</t>
  </si>
  <si>
    <t>MF42-DZH (Azullia) - GitHub</t>
  </si>
  <si>
    <t>ImaSiphy</t>
  </si>
  <si>
    <t>ImaSilly - YouTube</t>
  </si>
  <si>
    <t>Nale</t>
  </si>
  <si>
    <t>Nale - YouTube</t>
  </si>
  <si>
    <t>RezaMaulana98</t>
  </si>
  <si>
    <t>RezaMaulana98 - YouTube</t>
  </si>
  <si>
    <t>Bogi76</t>
  </si>
  <si>
    <t>Bogi76 - YouTube</t>
  </si>
  <si>
    <t>mrxbas</t>
  </si>
  <si>
    <t>mrxbas - YouTube</t>
  </si>
  <si>
    <t>ID</t>
  </si>
  <si>
    <t>File Name</t>
  </si>
  <si>
    <t>Name (EN)</t>
  </si>
  <si>
    <t>Name (JP)</t>
  </si>
  <si>
    <t>00000003.car</t>
  </si>
  <si>
    <t>EUNOS ROADSTER S-SPECIAL type U (NA8C)</t>
  </si>
  <si>
    <t>ユーノスロードスター S-SPECIAL type U (NA8C)</t>
  </si>
  <si>
    <t>00000005.car</t>
  </si>
  <si>
    <t>MARCH</t>
  </si>
  <si>
    <t>マーチ</t>
  </si>
  <si>
    <t>00000006.car</t>
  </si>
  <si>
    <t>Roadster RS- U (NB8C)</t>
  </si>
  <si>
    <t>ロードスター RS- U (NB8C)</t>
  </si>
  <si>
    <t>00000007.car</t>
  </si>
  <si>
    <t>NSX TypeR (NA2)</t>
  </si>
  <si>
    <t>ＮＳＸ タイプＲ (NA2)</t>
  </si>
  <si>
    <t>00000008.car</t>
  </si>
  <si>
    <t>bB</t>
  </si>
  <si>
    <t>ｂＢ</t>
  </si>
  <si>
    <t>00000010.car</t>
  </si>
  <si>
    <t>2000GT</t>
  </si>
  <si>
    <t>２０００ＧＴ</t>
  </si>
  <si>
    <t>00000011.car</t>
  </si>
  <si>
    <t>Supra RZ (JZA80)</t>
  </si>
  <si>
    <t>スープラ RZ (JZA80)</t>
  </si>
  <si>
    <t>00000013.car</t>
  </si>
  <si>
    <t>SPORTS 800</t>
  </si>
  <si>
    <t>スポーツ８００</t>
  </si>
  <si>
    <t>00000014.car</t>
  </si>
  <si>
    <t>TOYOTA GT-one (Race Car)</t>
  </si>
  <si>
    <t>TOYOTA ＧＴ-ｏｎｅ (Race Car)</t>
  </si>
  <si>
    <t>00000015.car</t>
  </si>
  <si>
    <t>Fairlady 240ZG (S30)</t>
  </si>
  <si>
    <t>フェアレディ 240ZG (S30)</t>
  </si>
  <si>
    <t>00000016.car</t>
  </si>
  <si>
    <t>BlueBird 1600 SSS COUPE (510)</t>
  </si>
  <si>
    <t>ブルーバード 1600 SSS COUPE (510)</t>
  </si>
  <si>
    <t>00000017.car</t>
  </si>
  <si>
    <t>CIVIC RS</t>
  </si>
  <si>
    <t>シビック RS</t>
  </si>
  <si>
    <t>00000018.car</t>
  </si>
  <si>
    <t>S800</t>
  </si>
  <si>
    <t>Ｓ８００</t>
  </si>
  <si>
    <t>00000019.car</t>
  </si>
  <si>
    <t>MAZDA 787B (Race Car)</t>
  </si>
  <si>
    <t>MAZDA ７８７Ｂ (Race Car)</t>
  </si>
  <si>
    <t>00000020.car</t>
  </si>
  <si>
    <t>COSMO SPORT</t>
  </si>
  <si>
    <t>コスモ スポーツ</t>
  </si>
  <si>
    <t>00000021.car</t>
  </si>
  <si>
    <t>Galant GTO MR</t>
  </si>
  <si>
    <t>ギャラン ＧＴＯ MR</t>
  </si>
  <si>
    <t>00000025.car</t>
  </si>
  <si>
    <t>eK-WAGON</t>
  </si>
  <si>
    <t>ｅＫワゴン</t>
  </si>
  <si>
    <t>00000026.car</t>
  </si>
  <si>
    <t>SUBARU YOUNG SS</t>
  </si>
  <si>
    <t>スバル ヤング SS</t>
  </si>
  <si>
    <t>00000027.car</t>
  </si>
  <si>
    <t>1963 CORVETTE STING RAY Sport Coupe (C2)</t>
  </si>
  <si>
    <t>1963 コルベット スティング レイ Sport Coupe (C2)</t>
  </si>
  <si>
    <t>00000028.car</t>
  </si>
  <si>
    <t>1966 MUSTANG GT</t>
  </si>
  <si>
    <t>1966 マスタング GT</t>
  </si>
  <si>
    <t>00000029.car</t>
  </si>
  <si>
    <t>SPRITE MK T</t>
  </si>
  <si>
    <t>スプライト MK T</t>
  </si>
  <si>
    <t>00000031.car</t>
  </si>
  <si>
    <t>STRATOS</t>
  </si>
  <si>
    <t>ストラトス</t>
  </si>
  <si>
    <t>00000032.car</t>
  </si>
  <si>
    <t>5 Turbo 2</t>
  </si>
  <si>
    <t>５ Turbo 2</t>
  </si>
  <si>
    <t>00000035.car</t>
  </si>
  <si>
    <t>SOARER 2.5GT-TWINTURBO</t>
  </si>
  <si>
    <t>ソアラ 2.5GT ツインターボ</t>
  </si>
  <si>
    <t>00000036.car</t>
  </si>
  <si>
    <t>ARISTO V300 VERTEX EDITION</t>
  </si>
  <si>
    <t>アリスト Ｖ３００ VERTEX EDITION</t>
  </si>
  <si>
    <t>00000037.car</t>
  </si>
  <si>
    <t>PRIUS</t>
  </si>
  <si>
    <t>プリウス</t>
  </si>
  <si>
    <t>00000038.car</t>
  </si>
  <si>
    <t>CELSIOR</t>
  </si>
  <si>
    <t>セルシオ</t>
  </si>
  <si>
    <t>00000039.car</t>
  </si>
  <si>
    <t>ALTEZZA RS200</t>
  </si>
  <si>
    <t>アルテッツァ RS200</t>
  </si>
  <si>
    <t>00000040.car</t>
  </si>
  <si>
    <t>ESTIMA HYBRID</t>
  </si>
  <si>
    <t>エスティマ ハイブリッド</t>
  </si>
  <si>
    <t>00000042.car</t>
  </si>
  <si>
    <t>COROLLA 1.8 Luxel</t>
  </si>
  <si>
    <t>カローラ 1.8 Luxel</t>
  </si>
  <si>
    <t>00000045.car</t>
  </si>
  <si>
    <t>ist</t>
  </si>
  <si>
    <t>ｉｓｔ</t>
  </si>
  <si>
    <t>00000046.car</t>
  </si>
  <si>
    <t>SKYLINE 350GT-8 (V35)</t>
  </si>
  <si>
    <t>スカイライン 350GT-8 (V35)</t>
  </si>
  <si>
    <t>00000047.car</t>
  </si>
  <si>
    <t>STAGEA</t>
  </si>
  <si>
    <t>ステージア</t>
  </si>
  <si>
    <t>00000048.car</t>
  </si>
  <si>
    <t>CIMA 450XV</t>
  </si>
  <si>
    <t>シーマ 450XV</t>
  </si>
  <si>
    <t>00000049.car</t>
  </si>
  <si>
    <t>insight</t>
  </si>
  <si>
    <t>インサイト</t>
  </si>
  <si>
    <t>00000050.car</t>
  </si>
  <si>
    <t>INTEGRA TYPE R (DC5)</t>
  </si>
  <si>
    <t>インテグラ TYPE R (DC5)</t>
  </si>
  <si>
    <t>00000051.car</t>
  </si>
  <si>
    <t>CIVIC TYPE R (EP3)</t>
  </si>
  <si>
    <t>シビック タイプＲ (EP3)</t>
  </si>
  <si>
    <t>00000052.car</t>
  </si>
  <si>
    <t>INTEGRA TYPE R (DC2)</t>
  </si>
  <si>
    <t>インテグラ タイプＲ (DC2)</t>
  </si>
  <si>
    <t>00000054.car</t>
  </si>
  <si>
    <t>S2000</t>
  </si>
  <si>
    <t>Ｓ２０００</t>
  </si>
  <si>
    <t>00000056.car</t>
  </si>
  <si>
    <t>ODYSSEY Absolute</t>
  </si>
  <si>
    <t>オデッセイ アブソルート</t>
  </si>
  <si>
    <t>00000057.car</t>
  </si>
  <si>
    <t>RX-7 SPIRIT R (FD3S)</t>
  </si>
  <si>
    <t>ＲＸ-７ SPIRIT R (FD3S)</t>
  </si>
  <si>
    <t>00000058.car</t>
  </si>
  <si>
    <t>LEGACY TOURING WAGON GT-B E-tune U (BH5)</t>
  </si>
  <si>
    <t>レガシィ ツーリングワゴン GT-B E-tune U (BH5)</t>
  </si>
  <si>
    <t>00000060.car</t>
  </si>
  <si>
    <t>LEGACY B4 RSK (BE5)</t>
  </si>
  <si>
    <t>レガシィ Ｂ４ RSK (BE5)</t>
  </si>
  <si>
    <t>00000061.car</t>
  </si>
  <si>
    <t>FORESTER</t>
  </si>
  <si>
    <t>フォレスター</t>
  </si>
  <si>
    <t>00000063.car</t>
  </si>
  <si>
    <t>IMPREZA WRX STi Limited (GDB type T)</t>
  </si>
  <si>
    <t>インプレッサ ＷＲＸ STi Limited (GDB type T)</t>
  </si>
  <si>
    <t>00000064.car</t>
  </si>
  <si>
    <t>storia X4</t>
  </si>
  <si>
    <t>ストーリア Ｘ４</t>
  </si>
  <si>
    <t>00000066.car</t>
  </si>
  <si>
    <t>G500L</t>
  </si>
  <si>
    <t>Ｇ５００Ｌ</t>
  </si>
  <si>
    <t>00000067.car</t>
  </si>
  <si>
    <t>C32 AMG</t>
  </si>
  <si>
    <t>Ｃ３２ ＡＭＧ</t>
  </si>
  <si>
    <t>00000069.car</t>
  </si>
  <si>
    <t>S600L</t>
  </si>
  <si>
    <t>Ｓ６００Ｌ</t>
  </si>
  <si>
    <t>00000079.car</t>
  </si>
  <si>
    <t>CL55 AMG</t>
  </si>
  <si>
    <t>ＣＬ５５ ＡＭＧ</t>
  </si>
  <si>
    <t>00000082.car</t>
  </si>
  <si>
    <t>SL500</t>
  </si>
  <si>
    <t>ＳＬ５００</t>
  </si>
  <si>
    <t>00000083.car</t>
  </si>
  <si>
    <t>Polo</t>
  </si>
  <si>
    <t>ポロ</t>
  </si>
  <si>
    <t>00000084.car</t>
  </si>
  <si>
    <t>allroad quattro 2.7T</t>
  </si>
  <si>
    <t>オールロード クワトロ 2.7T</t>
  </si>
  <si>
    <t>00000085.car</t>
  </si>
  <si>
    <t>TT Roadster 1.8T quattro</t>
  </si>
  <si>
    <t>ＴＴ Roadster 1.8T quattro</t>
  </si>
  <si>
    <t>00000086.car</t>
  </si>
  <si>
    <t>A4 3.0 quattro Sport</t>
  </si>
  <si>
    <t>Ａ４ 3.0 quattro Sport</t>
  </si>
  <si>
    <t>00000087.car</t>
  </si>
  <si>
    <t>VITA GSi</t>
  </si>
  <si>
    <t>ヴィータ GSi</t>
  </si>
  <si>
    <t>00000088.car</t>
  </si>
  <si>
    <t>MINI COOPER S</t>
  </si>
  <si>
    <t>ミニ クーパーＳ</t>
  </si>
  <si>
    <t>00000089.car</t>
  </si>
  <si>
    <t>2002 CAMARO Z28</t>
  </si>
  <si>
    <t>2002 カマロ Z28</t>
  </si>
  <si>
    <t>00000090.car</t>
  </si>
  <si>
    <t>X-TYPE 2.5 V6 SPORT</t>
  </si>
  <si>
    <t>Ｘタイプ 2.5 V6 SPORT</t>
  </si>
  <si>
    <t>00000091.car</t>
  </si>
  <si>
    <t>S-TYPE R</t>
  </si>
  <si>
    <t>Ｓタイプ Ｒ</t>
  </si>
  <si>
    <t>00000092.car</t>
  </si>
  <si>
    <t>XJR 4.0 Supercharged V8</t>
  </si>
  <si>
    <t>ＸＪＲ 4.0 Supercharged V8</t>
  </si>
  <si>
    <t>00000095.car</t>
  </si>
  <si>
    <t>SZ</t>
  </si>
  <si>
    <t>ＳＺ</t>
  </si>
  <si>
    <t>00000097.car</t>
  </si>
  <si>
    <t>Alfa Spider Quadrifoglio Verde</t>
  </si>
  <si>
    <t>アルファ スパイダー Quadrifoglio Verde</t>
  </si>
  <si>
    <t>00000098.car</t>
  </si>
  <si>
    <t>Alfa 156 GTA</t>
  </si>
  <si>
    <t>アルファ １５６ GTA</t>
  </si>
  <si>
    <t>00000100.car</t>
  </si>
  <si>
    <t>Alfa GTV 3.2 V6 24V</t>
  </si>
  <si>
    <t>アルファ ＧＴＶ 3.2 V6 24V</t>
  </si>
  <si>
    <t>00000103.car</t>
  </si>
  <si>
    <t>106 S16</t>
  </si>
  <si>
    <t>１０６ S16</t>
  </si>
  <si>
    <t>00000105.car</t>
  </si>
  <si>
    <t>206CC S16</t>
  </si>
  <si>
    <t>２０６ＣＣ S16</t>
  </si>
  <si>
    <t>00000106.car</t>
  </si>
  <si>
    <t>smart fortwo cabrio</t>
  </si>
  <si>
    <t>スマート フォーツー カブリオ</t>
  </si>
  <si>
    <t>00000108.car</t>
  </si>
  <si>
    <t>PRIMERA 20V</t>
  </si>
  <si>
    <t>プリメーラ 20V</t>
  </si>
  <si>
    <t>00000109.car</t>
  </si>
  <si>
    <t>Accord Euro-R (CL1)</t>
  </si>
  <si>
    <t>アコード ユーロＲ (CL1)</t>
  </si>
  <si>
    <t>00000111.car</t>
  </si>
  <si>
    <t>Atenza SEDAN 23E</t>
  </si>
  <si>
    <t>アテンザ セダン SEDAN 23E</t>
  </si>
  <si>
    <t>00000112.car</t>
  </si>
  <si>
    <t>MOBILIO</t>
  </si>
  <si>
    <t>モビリオ</t>
  </si>
  <si>
    <t>00000113.car</t>
  </si>
  <si>
    <t>XKR 100</t>
  </si>
  <si>
    <t>ＸＫＲ 100</t>
  </si>
  <si>
    <t>00000114.car</t>
  </si>
  <si>
    <t>RANGE ROVER</t>
  </si>
  <si>
    <t>レンジローバー</t>
  </si>
  <si>
    <t>00000117.car</t>
  </si>
  <si>
    <t>Atenza Sport 23Z</t>
  </si>
  <si>
    <t>アテンザ Sport 23Z</t>
  </si>
  <si>
    <t>00000119.car</t>
  </si>
  <si>
    <t>V70 R</t>
  </si>
  <si>
    <t>Ｖ７０ Ｒ</t>
  </si>
  <si>
    <t>00000120.car</t>
  </si>
  <si>
    <t>PAJERO SHORT</t>
  </si>
  <si>
    <t>パジェロ ショート</t>
  </si>
  <si>
    <t>00000121.car</t>
  </si>
  <si>
    <t>MR-S V EDITION</t>
  </si>
  <si>
    <t>ＭＲ-Ｓ V EDITION</t>
  </si>
  <si>
    <t>00000122.car</t>
  </si>
  <si>
    <t>FunCargo</t>
  </si>
  <si>
    <t>ファンカーゴ</t>
  </si>
  <si>
    <t>00000123.car</t>
  </si>
  <si>
    <t>9-5 Aero 2.3TS</t>
  </si>
  <si>
    <t>９-５ エアロ 2.3TS</t>
  </si>
  <si>
    <t>00000124.car</t>
  </si>
  <si>
    <t>SEVILLE STS</t>
  </si>
  <si>
    <t>セビル STS</t>
  </si>
  <si>
    <t>00000126.car</t>
  </si>
  <si>
    <t>VOLTZ</t>
  </si>
  <si>
    <t>ヴォルツ</t>
  </si>
  <si>
    <t>00000127.car</t>
  </si>
  <si>
    <t>ASTRO</t>
  </si>
  <si>
    <t>アストロ</t>
  </si>
  <si>
    <t>00000129.car</t>
  </si>
  <si>
    <t>PT Cruiser</t>
  </si>
  <si>
    <t>ＰＴクルーザー</t>
  </si>
  <si>
    <t>00000130.car</t>
  </si>
  <si>
    <t>Viper GTS</t>
  </si>
  <si>
    <t>バイパー GTS</t>
  </si>
  <si>
    <t>00000132.car</t>
  </si>
  <si>
    <t>BEAT</t>
  </si>
  <si>
    <t>ビート</t>
  </si>
  <si>
    <t>00000133.car</t>
  </si>
  <si>
    <t>Copen</t>
  </si>
  <si>
    <t>コペン</t>
  </si>
  <si>
    <t>00000137.car</t>
  </si>
  <si>
    <t>Clio RENAULT sport2.0</t>
  </si>
  <si>
    <t>ルーテシア ルノー-スポール2.0 RENAULT F1Team LIMITED Edition</t>
  </si>
  <si>
    <t>00000144.car</t>
  </si>
  <si>
    <t>2002 CORVETTE Z51 (C5)</t>
  </si>
  <si>
    <t>2002 コルベット Z51 (C5)</t>
  </si>
  <si>
    <t>00000146.car</t>
  </si>
  <si>
    <t>LEGACY Lancaster6</t>
  </si>
  <si>
    <t>レガシィ ランカスター６</t>
  </si>
  <si>
    <t>00000148.car</t>
  </si>
  <si>
    <t>406 Coupe</t>
  </si>
  <si>
    <t>４０６クーペ</t>
  </si>
  <si>
    <t>00000151.car</t>
  </si>
  <si>
    <t>S60 R</t>
  </si>
  <si>
    <t>Ｓ６０ Ｒ</t>
  </si>
  <si>
    <t>00000152.car</t>
  </si>
  <si>
    <t>HYUNDAI Coupe / TIBURON</t>
  </si>
  <si>
    <t>ヒュンダイ・クーペ</t>
  </si>
  <si>
    <t>00000153.car</t>
  </si>
  <si>
    <t>Tamora</t>
  </si>
  <si>
    <t>タモーラ</t>
  </si>
  <si>
    <t>00000154.car</t>
  </si>
  <si>
    <t>MOCO</t>
  </si>
  <si>
    <t>モコ</t>
  </si>
  <si>
    <t>00000155.car</t>
  </si>
  <si>
    <t>CELICA SS- U (ZZT231)</t>
  </si>
  <si>
    <t>セリカ SS- U (ZZT231)</t>
  </si>
  <si>
    <t>00000156.car</t>
  </si>
  <si>
    <t>Cerbera 4.5</t>
  </si>
  <si>
    <t>サーブラウ 4.5</t>
  </si>
  <si>
    <t>00000157.car</t>
  </si>
  <si>
    <t>ZZ S coupe</t>
  </si>
  <si>
    <t>ＺＺ S coupe</t>
  </si>
  <si>
    <t>00000158.car</t>
  </si>
  <si>
    <t>LAND CRUISER 100</t>
  </si>
  <si>
    <t>ランドクルーザー１００</t>
  </si>
  <si>
    <t>00000159.car</t>
  </si>
  <si>
    <t>ELGRAND</t>
  </si>
  <si>
    <t>エルグランド</t>
  </si>
  <si>
    <t>00000160.car</t>
  </si>
  <si>
    <t>NISMO R34 SKYLINE GT-R S-tune</t>
  </si>
  <si>
    <t>NISMO Ｒ３４ スカイライン ＧＴ-Ｒ S-tune</t>
  </si>
  <si>
    <t>00000161.car</t>
  </si>
  <si>
    <t>NISMO S15 SILVIA R-tune</t>
  </si>
  <si>
    <t>NISMO Ｓ１５ シルビア R-tune</t>
  </si>
  <si>
    <t>00000163.car</t>
  </si>
  <si>
    <t>WINGROAD</t>
  </si>
  <si>
    <t>ウイングロード</t>
  </si>
  <si>
    <t>00000166.car</t>
  </si>
  <si>
    <t>Saxo VTS</t>
  </si>
  <si>
    <t>サクソ VTS</t>
  </si>
  <si>
    <t>00000167.car</t>
  </si>
  <si>
    <t>FAIRLADY Z Version S (Z33)</t>
  </si>
  <si>
    <t>フェアレディＺ Version S (Z33)</t>
  </si>
  <si>
    <t>00000168.car</t>
  </si>
  <si>
    <t>2002 turbo</t>
  </si>
  <si>
    <t>２００２ turbo</t>
  </si>
  <si>
    <t>00000170.car</t>
  </si>
  <si>
    <t>ALPINE A110 1600SC</t>
  </si>
  <si>
    <t>アルピーヌ Ａ１１０ 1600SC</t>
  </si>
  <si>
    <t>00000172.car</t>
  </si>
  <si>
    <t>2CV6 Charleston</t>
  </si>
  <si>
    <t>２ＣＶ６ Charleston</t>
  </si>
  <si>
    <t>00000173.car</t>
  </si>
  <si>
    <t>Ford FOCUS Rally Car</t>
  </si>
  <si>
    <t>Ford フォーカス Rally Car</t>
  </si>
  <si>
    <t>00000174.car</t>
  </si>
  <si>
    <t>MR2 GT-S (SW20)</t>
  </si>
  <si>
    <t>ＭＲ２ GT-S (SW20)</t>
  </si>
  <si>
    <t>00000175.car</t>
  </si>
  <si>
    <t>TOYOTA EXXON Superflo Supra (Race Car)</t>
  </si>
  <si>
    <t>TOYOTA エッソウルトラフロー スープラ (Race Car)</t>
  </si>
  <si>
    <t>00000176.car</t>
  </si>
  <si>
    <t>SPRINTER TRUENO 3door GT APEX (AE86)</t>
  </si>
  <si>
    <t>スプリンター トレノ 3door GT APEX (AE86)</t>
  </si>
  <si>
    <t>00000177.car</t>
  </si>
  <si>
    <t>CELICA GT-FOUR WRC (ST205)</t>
  </si>
  <si>
    <t>セリカ GT-FOUR WRC (ST205)</t>
  </si>
  <si>
    <t>00000179.car</t>
  </si>
  <si>
    <t>180SX TYPE X (RPS13)</t>
  </si>
  <si>
    <t>１８０ＳＸ TYPE X (RPS13)</t>
  </si>
  <si>
    <t>00000180.car</t>
  </si>
  <si>
    <t>SILVIA K's (S13)</t>
  </si>
  <si>
    <t>シルビア K's (S13)</t>
  </si>
  <si>
    <t>00000181.car</t>
  </si>
  <si>
    <t>SKYLINE GT-R V-spec U (R32)</t>
  </si>
  <si>
    <t>スカイライン ＧＴ-Ｒ V-spec U (R32)</t>
  </si>
  <si>
    <t>00000183.car</t>
  </si>
  <si>
    <t>SKYLINE GT-R V-spec U Nur (R34)</t>
  </si>
  <si>
    <t>スカイライン ＧＴ-Ｒ V-spec U Nur (R34)</t>
  </si>
  <si>
    <t>00000184.car</t>
  </si>
  <si>
    <t>XANAVI NISMO GT-R (Race Car)</t>
  </si>
  <si>
    <t>ザナヴィ ニスモ ＧＴ-Ｒ (Race Car)</t>
  </si>
  <si>
    <t>00000186.car</t>
  </si>
  <si>
    <t>SUBARU IMPREZA (Rally Car)</t>
  </si>
  <si>
    <t>SUBARU インプレッサ (Rally Car)</t>
  </si>
  <si>
    <t>00000187.car</t>
  </si>
  <si>
    <t>NSX type S-Zero</t>
  </si>
  <si>
    <t>ＮＳＸ type S-Zero</t>
  </si>
  <si>
    <t>00000188.car</t>
  </si>
  <si>
    <t>HONDA G'ZOX-NSX (Race Car)</t>
  </si>
  <si>
    <t>HONDA Ｇ'ＺＯＸ−ＮＳＸ (Race Car)</t>
  </si>
  <si>
    <t>00000189.car</t>
  </si>
  <si>
    <t>CIVIC TYPE R (EK9)</t>
  </si>
  <si>
    <t>シビック タイプＲ (EK9)</t>
  </si>
  <si>
    <t>00000190.car</t>
  </si>
  <si>
    <t>SAVANNA RX-7 ∞ (FC3S)</t>
  </si>
  <si>
    <t>SAVANNA ＲＸ-７ ∞ (FC3S)</t>
  </si>
  <si>
    <t>00000193.car</t>
  </si>
  <si>
    <t>MITSUBISHI LANCER EVOLUTION  Z (Rally Car)</t>
  </si>
  <si>
    <t>MITSUBISHI ランサー エボリューション  Z (Rally Car)</t>
  </si>
  <si>
    <t>00000194.car</t>
  </si>
  <si>
    <t>PEUGEOT 206 Rally Car 2000</t>
  </si>
  <si>
    <t>PEUGEOT ２０６ Rally Car 2000</t>
  </si>
  <si>
    <t>00000197.car</t>
  </si>
  <si>
    <t>COBRA 427 S/C</t>
  </si>
  <si>
    <t>コブラ 427 S/C</t>
  </si>
  <si>
    <t>00000198.car</t>
  </si>
  <si>
    <t>SUPER 7 SUPERLIGHT R500</t>
  </si>
  <si>
    <t>スーパーセブン SUPERLIGHT R500</t>
  </si>
  <si>
    <t>00000199.car</t>
  </si>
  <si>
    <t>EUROPA SPECIAL</t>
  </si>
  <si>
    <t>ヨーロッパ スペシャル</t>
  </si>
  <si>
    <t>00000200.car</t>
  </si>
  <si>
    <t>MINI COOPER 1275S Mk T</t>
  </si>
  <si>
    <t>ミニ クーパー 1275S Mk T</t>
  </si>
  <si>
    <t>00000201.car</t>
  </si>
  <si>
    <t>500 F</t>
  </si>
  <si>
    <t>５００ F</t>
  </si>
  <si>
    <t>00000203.car</t>
  </si>
  <si>
    <t>RALLY 037</t>
  </si>
  <si>
    <t>ラリー ０３７</t>
  </si>
  <si>
    <t>00000206.car</t>
  </si>
  <si>
    <t>SKYLINE 2000GT-R (KPGC10)</t>
  </si>
  <si>
    <t>スカイライン 2000ＧＴ-Ｒ (KPGC10)</t>
  </si>
  <si>
    <t>00000208.car</t>
  </si>
  <si>
    <t>IMPREZA WRX STi (GDB type U)</t>
  </si>
  <si>
    <t>インプレッサ ＷＲＸ STi (GDB type U)</t>
  </si>
  <si>
    <t>00000209.car</t>
  </si>
  <si>
    <t>DB5 Vantage</t>
  </si>
  <si>
    <t>ＤＢ５ Vantage</t>
  </si>
  <si>
    <t>00000211.car</t>
  </si>
  <si>
    <t>DE LOREAN</t>
  </si>
  <si>
    <t>デロリアン</t>
  </si>
  <si>
    <t>00000212.car</t>
  </si>
  <si>
    <t>esprit S2</t>
  </si>
  <si>
    <t>エスプリ S2</t>
  </si>
  <si>
    <t>00000215.car</t>
  </si>
  <si>
    <t>ELISE 111S</t>
  </si>
  <si>
    <t>エリーゼ 111S</t>
  </si>
  <si>
    <t>00000216.car</t>
  </si>
  <si>
    <t>PANTERA GTS</t>
  </si>
  <si>
    <t>パンテーラ GTS</t>
  </si>
  <si>
    <t>00000218.car</t>
  </si>
  <si>
    <t>Z4 3.0i</t>
  </si>
  <si>
    <t>Ｚ４ 3.0i</t>
  </si>
  <si>
    <t>00000222.car</t>
  </si>
  <si>
    <t>1956 Beetle Type1</t>
  </si>
  <si>
    <t>1956 ビートル タイプ１</t>
  </si>
  <si>
    <t>00000225.car</t>
  </si>
  <si>
    <t>Cappuccino</t>
  </si>
  <si>
    <t>カプチーノ</t>
  </si>
  <si>
    <t>00000229.car</t>
  </si>
  <si>
    <t>SKYLINE GT-R V-spec (R33)</t>
  </si>
  <si>
    <t>スカイライン ＧＴ-Ｒ V-spec (R33)</t>
  </si>
  <si>
    <t>00000230.car</t>
  </si>
  <si>
    <t>RX-8 Type S</t>
  </si>
  <si>
    <t>ＲＸ-８ Type S</t>
  </si>
  <si>
    <t>00000231.car</t>
  </si>
  <si>
    <t>DS 23 Pallas</t>
  </si>
  <si>
    <t>ＤＳ ２３ Pallas</t>
  </si>
  <si>
    <t>00000232.car</t>
  </si>
  <si>
    <t>DELTA integrale EVOLUZIONE U</t>
  </si>
  <si>
    <t>デルタ integrale EVOLUZIONE U</t>
  </si>
  <si>
    <t>00000233.car</t>
  </si>
  <si>
    <t>ELAN S.3 SE</t>
  </si>
  <si>
    <t>エラン S.3 SE</t>
  </si>
  <si>
    <t>00000236.car</t>
  </si>
  <si>
    <t>1973 Firebird TRANS AM SD-455</t>
  </si>
  <si>
    <t>1973 ファイヤーバード トランザム SD-455</t>
  </si>
  <si>
    <t>00000237.car</t>
  </si>
  <si>
    <t>cube</t>
  </si>
  <si>
    <t>キューブ</t>
  </si>
  <si>
    <t>00000239.car</t>
  </si>
  <si>
    <t>ACCORD Euro-R (CL7)</t>
  </si>
  <si>
    <t>アコード ユーロＲ (CL7)</t>
  </si>
  <si>
    <t>00000240.car</t>
  </si>
  <si>
    <t>LANCER GSR Evolution V</t>
  </si>
  <si>
    <t>ランサー GSR Evolution V</t>
  </si>
  <si>
    <t>00000241.car</t>
  </si>
  <si>
    <t>LANCER Evolution [ GSR ]</t>
  </si>
  <si>
    <t>ランサー エボリューション [ GSR ]</t>
  </si>
  <si>
    <t>00000242.car</t>
  </si>
  <si>
    <t>SKYLINE 2000GT-R (KPGC110)</t>
  </si>
  <si>
    <t>スカイライン 2000ＧＴ-Ｒ (KPGC110)</t>
  </si>
  <si>
    <t>00000244.car</t>
  </si>
  <si>
    <t>CITY TURBO U</t>
  </si>
  <si>
    <t>シティ TURBO U</t>
  </si>
  <si>
    <t>00000245.car</t>
  </si>
  <si>
    <t>1971 CORVETTE Stingray Coupe (C3)</t>
  </si>
  <si>
    <t>1971 コルベット スティングレイ Coupe (C3)</t>
  </si>
  <si>
    <t>00000254.car</t>
  </si>
  <si>
    <t>Fit 1.5T</t>
  </si>
  <si>
    <t>フィット 1.5T</t>
  </si>
  <si>
    <t>00000255.car</t>
  </si>
  <si>
    <t>Alfa 147 GTA</t>
  </si>
  <si>
    <t>アルファ １４７ GTA</t>
  </si>
  <si>
    <t>00000256.car</t>
  </si>
  <si>
    <t>MGB Mk- T</t>
  </si>
  <si>
    <t>ＭＧＢ Mk- T</t>
  </si>
  <si>
    <t>00000258.car</t>
  </si>
  <si>
    <t>E TYPE 4-2</t>
  </si>
  <si>
    <t>Ｅタイプ 4-2</t>
  </si>
  <si>
    <t>00000261.car</t>
  </si>
  <si>
    <t>TT Coupe 3.2 quattro Sline</t>
  </si>
  <si>
    <t>ＴＴ Coupe 3.2 quattro Sline</t>
  </si>
  <si>
    <t>00000263.car</t>
  </si>
  <si>
    <t>300SL</t>
  </si>
  <si>
    <t>３００ＳＬ</t>
  </si>
  <si>
    <t>00000264.car</t>
  </si>
  <si>
    <t>Impreza 22B STi Version</t>
  </si>
  <si>
    <t>インプレッサ ２２Ｂ STi Version</t>
  </si>
  <si>
    <t>00000265.car</t>
  </si>
  <si>
    <t>SAVANNA AP GT</t>
  </si>
  <si>
    <t>サバンナ ＡＰ GT</t>
  </si>
  <si>
    <t>00000266.car</t>
  </si>
  <si>
    <t>SAVANNA RX-7 GT-X (SA22C)</t>
  </si>
  <si>
    <t>サバンナ ＲＸ-７ GT-X (SA22C)</t>
  </si>
  <si>
    <t>00000270.car</t>
  </si>
  <si>
    <t>Demio</t>
  </si>
  <si>
    <t>デミオ</t>
  </si>
  <si>
    <t>00000277.car</t>
  </si>
  <si>
    <t>Garaiya</t>
  </si>
  <si>
    <t>ガライヤ</t>
  </si>
  <si>
    <t>00000279.car</t>
  </si>
  <si>
    <t>NISSAN R390 GT1 (Race Car)</t>
  </si>
  <si>
    <t>NISSAN Ｒ３９０ GT1 (Race Car)</t>
  </si>
  <si>
    <t>00000280.car</t>
  </si>
  <si>
    <t>Golf R32 ( W)</t>
  </si>
  <si>
    <t>ゴルフ Ｒ３２ ( W)</t>
  </si>
  <si>
    <t>00000281.car</t>
  </si>
  <si>
    <t>Vitz RS TURBO</t>
  </si>
  <si>
    <t>ヴィッツ RSターボ</t>
  </si>
  <si>
    <t>00000283.car</t>
  </si>
  <si>
    <t>SKYLINE COUPE 350GT PREMIUM (V35)</t>
  </si>
  <si>
    <t>スカイラインクーペ 350GT プレミアム (V35)</t>
  </si>
  <si>
    <t>00000285.car</t>
  </si>
  <si>
    <t>ABARTH 131 rally</t>
  </si>
  <si>
    <t>アバルト １３１ラリー</t>
  </si>
  <si>
    <t>00000286.car</t>
  </si>
  <si>
    <t>New Beetle</t>
  </si>
  <si>
    <t>ニュービートル</t>
  </si>
  <si>
    <t>00000290.car</t>
  </si>
  <si>
    <t>Silvia spec.R (S15)</t>
  </si>
  <si>
    <t>シルビア spec.R (S15)</t>
  </si>
  <si>
    <t>00000291.car</t>
  </si>
  <si>
    <t>LANCER EVOLUTION  Z GSR</t>
  </si>
  <si>
    <t>ランサー エボリューション  Z GSR</t>
  </si>
  <si>
    <t>00000292.car</t>
  </si>
  <si>
    <t>EB110</t>
  </si>
  <si>
    <t>ＥＢ１１０</t>
  </si>
  <si>
    <t>00000293.car</t>
  </si>
  <si>
    <t>AUDI R8 TEAM GOH 2003 (Race Car)</t>
  </si>
  <si>
    <t>AUDI Ｒ８ TEAM GOH 2003 (Race Car)</t>
  </si>
  <si>
    <t>00000295.car</t>
  </si>
  <si>
    <t>A8 4.2 quattro</t>
  </si>
  <si>
    <t>Ａ８ 4.2 quattro</t>
  </si>
  <si>
    <t>00000296.car</t>
  </si>
  <si>
    <t>RS6</t>
  </si>
  <si>
    <t>ＲＳ６</t>
  </si>
  <si>
    <t>00000297.car</t>
  </si>
  <si>
    <t>V12 VANQUISH</t>
  </si>
  <si>
    <t>V12 ヴァンキッシュ</t>
  </si>
  <si>
    <t>00000298.car</t>
  </si>
  <si>
    <t>OPEL Astra V8 Coupe 24h (Race Car)</t>
  </si>
  <si>
    <t>OPEL アストラ V8 Coupe 24h (Race Car)</t>
  </si>
  <si>
    <t>00000299.car</t>
  </si>
  <si>
    <t>C3</t>
  </si>
  <si>
    <t>Ｃ３</t>
  </si>
  <si>
    <t>00000300.car</t>
  </si>
  <si>
    <t>CITROEN Xsara</t>
  </si>
  <si>
    <t>CITROEN クサラ</t>
  </si>
  <si>
    <t>00000301.car</t>
  </si>
  <si>
    <t>ALPHARD V</t>
  </si>
  <si>
    <t>アルファード Ｖ</t>
  </si>
  <si>
    <t>00000302.car</t>
  </si>
  <si>
    <t>2003 Thunderbird</t>
  </si>
  <si>
    <t>2003 サンダーバード</t>
  </si>
  <si>
    <t>00000304.car</t>
  </si>
  <si>
    <t>2003 MUSTANG mach 1</t>
  </si>
  <si>
    <t>2003 マスタング mach 1</t>
  </si>
  <si>
    <t>00000305.car</t>
  </si>
  <si>
    <t>Touareg V8</t>
  </si>
  <si>
    <t>トゥアレグ V8</t>
  </si>
  <si>
    <t>00000306.car</t>
  </si>
  <si>
    <t>Mercedes-Benz CLK-DTM (Race Car)</t>
  </si>
  <si>
    <t>00000307.car</t>
  </si>
  <si>
    <t>COLT</t>
  </si>
  <si>
    <t>コルト</t>
  </si>
  <si>
    <t>00000308.car</t>
  </si>
  <si>
    <t>LANCER Evolution Y T.M. EDITION</t>
  </si>
  <si>
    <t>ランサー エボリューション Y T.M. EDITION</t>
  </si>
  <si>
    <t>00000309.car</t>
  </si>
  <si>
    <t>CTR</t>
  </si>
  <si>
    <t>ＣＴＲ</t>
  </si>
  <si>
    <t>00000310.car</t>
  </si>
  <si>
    <t>RGT</t>
  </si>
  <si>
    <t>ＲＧＴ</t>
  </si>
  <si>
    <t>00000311.car</t>
  </si>
  <si>
    <t>turbo R</t>
  </si>
  <si>
    <t>ｔｕｒｂｏ Ｒ</t>
  </si>
  <si>
    <t>00000315.car</t>
  </si>
  <si>
    <t>AVANTIME</t>
  </si>
  <si>
    <t>アヴァンタイム</t>
  </si>
  <si>
    <t>00000316.car</t>
  </si>
  <si>
    <t>Silvia K's AERO (S14)</t>
  </si>
  <si>
    <t>シルビア K's エアロ (S14)</t>
  </si>
  <si>
    <t>00000319.car</t>
  </si>
  <si>
    <t>Impreza WRX STi Version Y (GC8)</t>
  </si>
  <si>
    <t>インプレッサ ＷＲＸ STi Version Y (GC8)</t>
  </si>
  <si>
    <t>00000320.car</t>
  </si>
  <si>
    <t>MR2 G-Limited SuperCharger (AW11)</t>
  </si>
  <si>
    <t>ＭＲ２ G-Limited SuperCharger (AW11)</t>
  </si>
  <si>
    <t>00000321.car</t>
  </si>
  <si>
    <t>Giulia Sprint GTA</t>
  </si>
  <si>
    <t>ジュリア スプリント GTA</t>
  </si>
  <si>
    <t>00000323.car</t>
  </si>
  <si>
    <t>Alfa GT 3.2 V6 24V</t>
  </si>
  <si>
    <t>アルファ ＧＴ 3.2 V6 24V</t>
  </si>
  <si>
    <t>00000327.car</t>
  </si>
  <si>
    <t>LEGACY B4 2.0GT spec.B (BL5)</t>
  </si>
  <si>
    <t>レガシィ Ｂ４ 2.0GT spec.B (BL5)</t>
  </si>
  <si>
    <t>00000330.car</t>
  </si>
  <si>
    <t>2005 FORD GT</t>
  </si>
  <si>
    <t>2005 ＦＯＲＤ ＧＴ</t>
  </si>
  <si>
    <t>00000331.car</t>
  </si>
  <si>
    <t>ABARTH 1000TCR</t>
  </si>
  <si>
    <t>アバルト １０００ＴＣＲ</t>
  </si>
  <si>
    <t>00000332.car</t>
  </si>
  <si>
    <t>MITSUBISHI PAJERO EVOLUTION (Rally Car)</t>
  </si>
  <si>
    <t>MITSUBISHI パジェロ エボリューション (Rally Car)</t>
  </si>
  <si>
    <t>00000333.car</t>
  </si>
  <si>
    <t>NISSAN PICK UP (Rally Car)</t>
  </si>
  <si>
    <t>NISSAN ピックアップ (Rally Car)</t>
  </si>
  <si>
    <t>00000334.car</t>
  </si>
  <si>
    <t>SLR</t>
  </si>
  <si>
    <t>ＳＬＲ</t>
  </si>
  <si>
    <t>00000335.car</t>
  </si>
  <si>
    <t>Golf GTI ( X)</t>
  </si>
  <si>
    <t>ゴルフ ＧＴＩ ( X)</t>
  </si>
  <si>
    <t>00000336.car</t>
  </si>
  <si>
    <t>McLaren F1 GTR (Race Car)</t>
  </si>
  <si>
    <t>マクラーレンＦ１ GTR (Race Car)</t>
  </si>
  <si>
    <t>00000337.car</t>
  </si>
  <si>
    <t>M3 GTR road version (E46)</t>
  </si>
  <si>
    <t>Ｍ３ GTR road version (E46)</t>
  </si>
  <si>
    <t>00000338.car</t>
  </si>
  <si>
    <t>BMW 3.0 CSL (Race Car)</t>
  </si>
  <si>
    <t>BMW ３.０ ＣＳＬ (Race Car)</t>
  </si>
  <si>
    <t>00000353.car</t>
  </si>
  <si>
    <t>BMW M1 procar (Race Car)</t>
  </si>
  <si>
    <t>BMW Ｍ１ procar (Race Car)</t>
  </si>
  <si>
    <t>00000354.car</t>
  </si>
  <si>
    <t>M3 SPORT EVOLUTION (E30)</t>
  </si>
  <si>
    <t>Ｍ３ SPORT EVOLUTION (E30)</t>
  </si>
  <si>
    <t>19999990.car</t>
  </si>
  <si>
    <t>2005 MUSTANG GT</t>
  </si>
  <si>
    <t>2005 マスタング GT</t>
  </si>
  <si>
    <t>19999991.car</t>
  </si>
  <si>
    <t>AUDI R8 TEAM GOH 2004 (Race Car)</t>
  </si>
  <si>
    <t>AUDI Ｒ８ TEAM GOH 2004 (Race Car)</t>
  </si>
  <si>
    <t>Peak Torque (KGFM)</t>
  </si>
  <si>
    <t>Front Tire Width (in)</t>
  </si>
  <si>
    <t>Rear Tire Width (in)</t>
  </si>
  <si>
    <t>Manufacturer</t>
  </si>
  <si>
    <t>Engine Year</t>
  </si>
  <si>
    <t>Car Experience Tier</t>
  </si>
  <si>
    <t>Car Length (mm)</t>
  </si>
  <si>
    <t>Car Width (mm)</t>
  </si>
  <si>
    <t>Car Height (mm)</t>
  </si>
  <si>
    <t>Wheelbase (mm)</t>
  </si>
  <si>
    <t>Front Tread (mm)</t>
  </si>
  <si>
    <t>Rear Tread (mm)</t>
  </si>
  <si>
    <t>Curb Weight (kg)</t>
  </si>
  <si>
    <t>Displacement (cc)</t>
  </si>
  <si>
    <t>Peak Power (ps)</t>
  </si>
  <si>
    <t>Peak Power (kw)</t>
  </si>
  <si>
    <t>Peak Power (hp)</t>
  </si>
  <si>
    <t>Peak Power (bhp)</t>
  </si>
  <si>
    <t>Peak Power (cv)</t>
  </si>
  <si>
    <t>Peak Power RPM</t>
  </si>
  <si>
    <t>Peak Torque (Nm)</t>
  </si>
  <si>
    <t>Peak Torque (Lbft)</t>
  </si>
  <si>
    <t>Peak Torque RPM</t>
  </si>
  <si>
    <t>Front Width (mm)</t>
  </si>
  <si>
    <t>Front Height (mm)</t>
  </si>
  <si>
    <t>Rear Width (mm)</t>
  </si>
  <si>
    <t>Rear Height (mm)</t>
  </si>
  <si>
    <t>Nationality</t>
  </si>
  <si>
    <t>Convertible</t>
  </si>
  <si>
    <t>Retractable Headlights</t>
  </si>
  <si>
    <t>Unknown</t>
  </si>
  <si>
    <t>Class</t>
  </si>
  <si>
    <t>Chassis Type</t>
  </si>
  <si>
    <t>TCS</t>
  </si>
  <si>
    <t>ESC</t>
  </si>
  <si>
    <t>CVT</t>
  </si>
  <si>
    <t>Car Prize Weight</t>
  </si>
  <si>
    <t>Unknown2</t>
  </si>
  <si>
    <t>Unknown3</t>
  </si>
  <si>
    <t>Unknown4</t>
  </si>
  <si>
    <t>Cylinder Placement</t>
  </si>
  <si>
    <t>Cylinder Count</t>
  </si>
  <si>
    <t>Aspiration</t>
  </si>
  <si>
    <t>Drivetrain</t>
  </si>
  <si>
    <t>Gear Count</t>
  </si>
  <si>
    <t>Front Aspect</t>
  </si>
  <si>
    <t>Front Rim Diameter (in)</t>
  </si>
  <si>
    <t>Rear Aspect</t>
  </si>
  <si>
    <t>Rear Rim Diameter (in)</t>
  </si>
  <si>
    <t>Engine Code</t>
  </si>
  <si>
    <t>Mazda</t>
  </si>
  <si>
    <t>JAPANESE</t>
  </si>
  <si>
    <t>D</t>
  </si>
  <si>
    <t>Realsports</t>
  </si>
  <si>
    <t>INLINE</t>
  </si>
  <si>
    <t>NATURALLY_ASPIRATED</t>
  </si>
  <si>
    <t>FR</t>
  </si>
  <si>
    <t>BP-ZE [RS]</t>
  </si>
  <si>
    <t>Nissan</t>
  </si>
  <si>
    <t>E</t>
  </si>
  <si>
    <t>Compact</t>
  </si>
  <si>
    <t>FF</t>
  </si>
  <si>
    <t>CR14DE</t>
  </si>
  <si>
    <t>BP-VE [RS]</t>
  </si>
  <si>
    <t>Honda</t>
  </si>
  <si>
    <t>A</t>
  </si>
  <si>
    <t>V</t>
  </si>
  <si>
    <t>MR</t>
  </si>
  <si>
    <t>C32B</t>
  </si>
  <si>
    <t>Toyota</t>
  </si>
  <si>
    <t>1NZ-FE</t>
  </si>
  <si>
    <t>Sporty</t>
  </si>
  <si>
    <t>3M</t>
  </si>
  <si>
    <t>B</t>
  </si>
  <si>
    <t>TURBOCHARGED</t>
  </si>
  <si>
    <t>2JZ-GTE</t>
  </si>
  <si>
    <t>BOXER</t>
  </si>
  <si>
    <t>2U</t>
  </si>
  <si>
    <t>R</t>
  </si>
  <si>
    <t>Competition</t>
  </si>
  <si>
    <t>-</t>
  </si>
  <si>
    <t>L24</t>
  </si>
  <si>
    <t>MediumSedanOrWagon</t>
  </si>
  <si>
    <t>L16</t>
  </si>
  <si>
    <t>EB-1</t>
  </si>
  <si>
    <t>AS800E</t>
  </si>
  <si>
    <t>ROTARY</t>
  </si>
  <si>
    <t>R26B</t>
  </si>
  <si>
    <t>Specialty</t>
  </si>
  <si>
    <t>10A</t>
  </si>
  <si>
    <t>Mitsubishi</t>
  </si>
  <si>
    <t>4G32</t>
  </si>
  <si>
    <t>3G83</t>
  </si>
  <si>
    <t>Subaru</t>
  </si>
  <si>
    <t>F</t>
  </si>
  <si>
    <t>RR</t>
  </si>
  <si>
    <t>EK32</t>
  </si>
  <si>
    <t>Chevrolet</t>
  </si>
  <si>
    <t>AMERICAN</t>
  </si>
  <si>
    <t>L84</t>
  </si>
  <si>
    <t>Ford</t>
  </si>
  <si>
    <t>cobra V8</t>
  </si>
  <si>
    <t>AustinHealey</t>
  </si>
  <si>
    <t>UK</t>
  </si>
  <si>
    <t>Lancia</t>
  </si>
  <si>
    <t>ITALY</t>
  </si>
  <si>
    <t>C</t>
  </si>
  <si>
    <t>829A.000</t>
  </si>
  <si>
    <t>Renault</t>
  </si>
  <si>
    <t>FRANCE</t>
  </si>
  <si>
    <t>1JZ-GTE</t>
  </si>
  <si>
    <t>PremiumSeganOrWagon</t>
  </si>
  <si>
    <t>HYBRID</t>
  </si>
  <si>
    <t>1NZ-FXE</t>
  </si>
  <si>
    <t>3UZ-FE</t>
  </si>
  <si>
    <t>3S-GE</t>
  </si>
  <si>
    <t>Multipurpose</t>
  </si>
  <si>
    <t>AWD</t>
  </si>
  <si>
    <t>2AZ-FXE</t>
  </si>
  <si>
    <t>1ZZ-FE</t>
  </si>
  <si>
    <t>VQ35DE NEO</t>
  </si>
  <si>
    <t>VQ25DET NEO</t>
  </si>
  <si>
    <t>NEO Di VK45DD</t>
  </si>
  <si>
    <t>ECA-MF2</t>
  </si>
  <si>
    <t>K20A</t>
  </si>
  <si>
    <t>B18C</t>
  </si>
  <si>
    <t>F20C</t>
  </si>
  <si>
    <t>J30A</t>
  </si>
  <si>
    <t>13B-REW</t>
  </si>
  <si>
    <t>EJ20</t>
  </si>
  <si>
    <t>Daihatsu</t>
  </si>
  <si>
    <t>JC-DET</t>
  </si>
  <si>
    <t>MercedesBenz</t>
  </si>
  <si>
    <t>GERMAN</t>
  </si>
  <si>
    <t>SUPERCHARGED</t>
  </si>
  <si>
    <t>Volkswagen</t>
  </si>
  <si>
    <t>BBY</t>
  </si>
  <si>
    <t>Audi</t>
  </si>
  <si>
    <t>ARE</t>
  </si>
  <si>
    <t>APX</t>
  </si>
  <si>
    <t>ASN</t>
  </si>
  <si>
    <t>Opel</t>
  </si>
  <si>
    <t>Z18</t>
  </si>
  <si>
    <t>Mini</t>
  </si>
  <si>
    <t>W11B16A</t>
  </si>
  <si>
    <t>5E</t>
  </si>
  <si>
    <t>Jaguar</t>
  </si>
  <si>
    <t>XB</t>
  </si>
  <si>
    <t>1B</t>
  </si>
  <si>
    <t>MB</t>
  </si>
  <si>
    <t>AlfaRomeo</t>
  </si>
  <si>
    <t>932A000</t>
  </si>
  <si>
    <t>Peugeot</t>
  </si>
  <si>
    <t>RFN</t>
  </si>
  <si>
    <t>smart</t>
  </si>
  <si>
    <t>SR20VE NEO VVL</t>
  </si>
  <si>
    <t>H22A</t>
  </si>
  <si>
    <t>L3-VE</t>
  </si>
  <si>
    <t>L15A</t>
  </si>
  <si>
    <t>PB</t>
  </si>
  <si>
    <t>LandRover</t>
  </si>
  <si>
    <t>Volvo</t>
  </si>
  <si>
    <t>SWEDEN</t>
  </si>
  <si>
    <t>B5254</t>
  </si>
  <si>
    <t>6G74 GDI</t>
  </si>
  <si>
    <t>Saab</t>
  </si>
  <si>
    <t>B235</t>
  </si>
  <si>
    <t>Cadillac</t>
  </si>
  <si>
    <t>4K</t>
  </si>
  <si>
    <t>2ZZ-GE</t>
  </si>
  <si>
    <t>4G</t>
  </si>
  <si>
    <t>Chrysler</t>
  </si>
  <si>
    <t>T</t>
  </si>
  <si>
    <t>Dodge</t>
  </si>
  <si>
    <t>E07A</t>
  </si>
  <si>
    <t>JB-DET</t>
  </si>
  <si>
    <t>F4</t>
  </si>
  <si>
    <t>EZ30</t>
  </si>
  <si>
    <t>ES9J4S</t>
  </si>
  <si>
    <t>Hyundai</t>
  </si>
  <si>
    <t>KOREA</t>
  </si>
  <si>
    <t>G6BA</t>
  </si>
  <si>
    <t>TVR</t>
  </si>
  <si>
    <t>K6A</t>
  </si>
  <si>
    <t>AJP8</t>
  </si>
  <si>
    <t>Tommykaira</t>
  </si>
  <si>
    <t>SR20DE</t>
  </si>
  <si>
    <t>1HD-FTE</t>
  </si>
  <si>
    <t>VQ35DE</t>
  </si>
  <si>
    <t>RB26DETT</t>
  </si>
  <si>
    <t>SR20DET</t>
  </si>
  <si>
    <t>QR20DE NEO</t>
  </si>
  <si>
    <t>Citroen</t>
  </si>
  <si>
    <t>NF</t>
  </si>
  <si>
    <t>BMW</t>
  </si>
  <si>
    <t>M10</t>
  </si>
  <si>
    <t>R12G</t>
  </si>
  <si>
    <t>A6</t>
  </si>
  <si>
    <t>Duratec R</t>
  </si>
  <si>
    <t>3S-GTE</t>
  </si>
  <si>
    <t>4A-GEU</t>
  </si>
  <si>
    <t>VQ30DETT</t>
  </si>
  <si>
    <t>B16B</t>
  </si>
  <si>
    <t>13B</t>
  </si>
  <si>
    <t>4G63</t>
  </si>
  <si>
    <t>XU9J4</t>
  </si>
  <si>
    <t>Shelby</t>
  </si>
  <si>
    <t>Caterham</t>
  </si>
  <si>
    <t>K</t>
  </si>
  <si>
    <t>Lotus</t>
  </si>
  <si>
    <t>Morris</t>
  </si>
  <si>
    <t>Fiat</t>
  </si>
  <si>
    <t>232AR4</t>
  </si>
  <si>
    <t>S20</t>
  </si>
  <si>
    <t>AstonMartin</t>
  </si>
  <si>
    <t>DMC</t>
  </si>
  <si>
    <t>Lotus 907</t>
  </si>
  <si>
    <t>ROVER 18K</t>
  </si>
  <si>
    <t>DeTomaso</t>
  </si>
  <si>
    <t>351CDI</t>
  </si>
  <si>
    <t>30 6S</t>
  </si>
  <si>
    <t>Suzuki</t>
  </si>
  <si>
    <t>F6A</t>
  </si>
  <si>
    <t>13B-MSP</t>
  </si>
  <si>
    <t>831F5.000</t>
  </si>
  <si>
    <t>Pontiac</t>
  </si>
  <si>
    <t>ER</t>
  </si>
  <si>
    <t>LS6</t>
  </si>
  <si>
    <t>MG</t>
  </si>
  <si>
    <t>XK</t>
  </si>
  <si>
    <t>BHE</t>
  </si>
  <si>
    <t>M198</t>
  </si>
  <si>
    <t>EJ22</t>
  </si>
  <si>
    <t>12A</t>
  </si>
  <si>
    <t>ZY-VE</t>
  </si>
  <si>
    <t>ASL</t>
  </si>
  <si>
    <t>SR20VE</t>
  </si>
  <si>
    <t>VRH35L</t>
  </si>
  <si>
    <t>BFH</t>
  </si>
  <si>
    <t>AZJ</t>
  </si>
  <si>
    <t>Dauer</t>
  </si>
  <si>
    <t>BCY</t>
  </si>
  <si>
    <t>NFU</t>
  </si>
  <si>
    <t>XU7JP4</t>
  </si>
  <si>
    <t>1MZ-FE</t>
  </si>
  <si>
    <t>AXQ</t>
  </si>
  <si>
    <t>4G15 MIVEC</t>
  </si>
  <si>
    <t>Ruf</t>
  </si>
  <si>
    <t>L7X</t>
  </si>
  <si>
    <t>4A-GZE</t>
  </si>
  <si>
    <t>005021A</t>
  </si>
  <si>
    <t>936A</t>
  </si>
  <si>
    <t>S70/3 GTR</t>
  </si>
  <si>
    <t>M88-1</t>
  </si>
  <si>
    <t>S14</t>
  </si>
  <si>
    <t>Mass (kg)</t>
  </si>
  <si>
    <t>Length(m)</t>
  </si>
  <si>
    <t>Width(m)</t>
  </si>
  <si>
    <t>Height(m)</t>
  </si>
  <si>
    <t>Wheelbase(m)</t>
  </si>
  <si>
    <t>Front Track(m)</t>
  </si>
  <si>
    <t>Rear Track(m)</t>
  </si>
  <si>
    <t>Ground Clearance(m)</t>
  </si>
  <si>
    <t>Brake Strength</t>
  </si>
  <si>
    <t>Presumed Grip Multiplier</t>
  </si>
  <si>
    <t>Unknown5</t>
  </si>
  <si>
    <t>Front Tire Width(m)</t>
  </si>
  <si>
    <t>Front Tire Aspect Ratio</t>
  </si>
  <si>
    <t>Front Tire Rim Size(in)</t>
  </si>
  <si>
    <t>Rear Tire Width(m)</t>
  </si>
  <si>
    <t>Rear Tire Aspect Ratio</t>
  </si>
  <si>
    <t>Rear Tire Rim Size(in)</t>
  </si>
  <si>
    <t>Front Tire Toe</t>
  </si>
  <si>
    <t>Front Tire Mesh Correction Presumed</t>
  </si>
  <si>
    <t>Front Tire Camber</t>
  </si>
  <si>
    <t>Front Tire Max Steer Lock Angle</t>
  </si>
  <si>
    <t>Front Tire Suspension Length</t>
  </si>
  <si>
    <t>Front Tire Suspension Hardness</t>
  </si>
  <si>
    <t>Rear Tire Toe</t>
  </si>
  <si>
    <t>Rear Tire Mesh Correction Presumed</t>
  </si>
  <si>
    <t>Rear Tire Suspension Length</t>
  </si>
  <si>
    <t>Rear Tire Suspension Hardness</t>
  </si>
  <si>
    <t>Displacement</t>
  </si>
  <si>
    <t>Induction Flag</t>
  </si>
  <si>
    <t>Redline RPM</t>
  </si>
  <si>
    <t>Limiter RPM</t>
  </si>
  <si>
    <t>Idle RPM</t>
  </si>
  <si>
    <t>Some Grip Flag</t>
  </si>
  <si>
    <t>RPM -&gt; Torque (kgfm) 1</t>
  </si>
  <si>
    <t>RPM -&gt; Torque (kgfm) 2</t>
  </si>
  <si>
    <t>RPM -&gt; Torque (kgfm) 3</t>
  </si>
  <si>
    <t>RPM -&gt; Torque (kgfm) 4</t>
  </si>
  <si>
    <t>RPM -&gt; Torque (kgfm) 5</t>
  </si>
  <si>
    <t>RPM -&gt; Torque (kgfm) 6</t>
  </si>
  <si>
    <t>RPM -&gt; Torque (kgfm) 7</t>
  </si>
  <si>
    <t>RPM -&gt; Torque (kgfm) 8</t>
  </si>
  <si>
    <t>RPM -&gt; Torque (kgfm) 9</t>
  </si>
  <si>
    <t>RPM -&gt; Torque (kgfm) 10</t>
  </si>
  <si>
    <t>RPM -&gt; Torque (kgfm) 11</t>
  </si>
  <si>
    <t>RPM -&gt; Torque (kgfm) 12</t>
  </si>
  <si>
    <t>RPM -&gt; Torque (kgfm) 13</t>
  </si>
  <si>
    <t>RPM -&gt; Torque (kgfm) 14</t>
  </si>
  <si>
    <t>RPM -&gt; Torque (kgfm) 15</t>
  </si>
  <si>
    <t>RPM -&gt; Torque (kgfm) 16</t>
  </si>
  <si>
    <t>RPM -&gt; Torque (kgfm) 17</t>
  </si>
  <si>
    <t>RPM -&gt; Torque (kgfm) 18</t>
  </si>
  <si>
    <t>RPM -&gt; Torque (kgfm) 19</t>
  </si>
  <si>
    <t>RPM -&gt; Torque (kgfm) 20</t>
  </si>
  <si>
    <t>RPM -&gt; Torque (kgfm) 21</t>
  </si>
  <si>
    <t>RPM -&gt; Torque (kgfm) 22</t>
  </si>
  <si>
    <t>RPM -&gt; Torque (kgfm) 23</t>
  </si>
  <si>
    <t>RPM -&gt; Torque (kgfm) 24</t>
  </si>
  <si>
    <t>Gearbox Type</t>
  </si>
  <si>
    <t>Gear 1</t>
  </si>
  <si>
    <t>Gear 2</t>
  </si>
  <si>
    <t>Gear 3</t>
  </si>
  <si>
    <t>Gear 4</t>
  </si>
  <si>
    <t>Gear 5</t>
  </si>
  <si>
    <t>Gear 6</t>
  </si>
  <si>
    <t>Gear 7</t>
  </si>
  <si>
    <t>Gear 8</t>
  </si>
  <si>
    <t>Reverse Gear Ratio</t>
  </si>
  <si>
    <t>Final Drive</t>
  </si>
  <si>
    <t>Unknown Flag 1</t>
  </si>
  <si>
    <t>Unknown Flag 2</t>
  </si>
  <si>
    <t>Unknown Flag 3</t>
  </si>
  <si>
    <t>Tachometer Scale</t>
  </si>
  <si>
    <t>Redline Scale</t>
  </si>
  <si>
    <t>Unknown Flag 4</t>
  </si>
  <si>
    <t>Unknown Flag 5</t>
  </si>
  <si>
    <t>Unknown Flag 6</t>
  </si>
  <si>
    <t>500.0   ---&gt;   11.0</t>
  </si>
  <si>
    <t>1000.0   ---&gt;   12.0</t>
  </si>
  <si>
    <t>1500.0   ---&gt;   12.8</t>
  </si>
  <si>
    <t>2000.0   ---&gt;   13.5</t>
  </si>
  <si>
    <t>2500.0   ---&gt;   14.0</t>
  </si>
  <si>
    <t>3000.0   ---&gt;   14.0</t>
  </si>
  <si>
    <t>3500.0   ---&gt;   15.0</t>
  </si>
  <si>
    <t>4000.0   ---&gt;   15.8</t>
  </si>
  <si>
    <t>4500.0   ---&gt;   16.0</t>
  </si>
  <si>
    <t>5000.0   ---&gt;   15.9</t>
  </si>
  <si>
    <t>5500.0   ---&gt;   15.6</t>
  </si>
  <si>
    <t>6000.0   ---&gt;   15.2</t>
  </si>
  <si>
    <t>6500.0   ---&gt;   14.6</t>
  </si>
  <si>
    <t>7000.0   ---&gt;   13.3</t>
  </si>
  <si>
    <t>7500.0   ---&gt;   12.0</t>
  </si>
  <si>
    <t>8000.0   ---&gt;   0.0</t>
  </si>
  <si>
    <t>8500.0   ---&gt;   0.0</t>
  </si>
  <si>
    <t>9000.0   ---&gt;   0.0</t>
  </si>
  <si>
    <t>9500.0   ---&gt;   0.0</t>
  </si>
  <si>
    <t>10000.0   ---&gt;   0.0</t>
  </si>
  <si>
    <t>10500.0   ---&gt;   0.0</t>
  </si>
  <si>
    <t>11000.0   ---&gt;   0.0</t>
  </si>
  <si>
    <t>11500.0   ---&gt;   0.0</t>
  </si>
  <si>
    <t>12000.0   ---&gt;   0.0</t>
  </si>
  <si>
    <t>500.0   ---&gt;   9.03</t>
  </si>
  <si>
    <t>1000.0   ---&gt;   10.52</t>
  </si>
  <si>
    <t>1500.0   ---&gt;   11.35</t>
  </si>
  <si>
    <t>2000.0   ---&gt;   12.06</t>
  </si>
  <si>
    <t>2500.0   ---&gt;   12.47</t>
  </si>
  <si>
    <t>3000.0   ---&gt;   13.97</t>
  </si>
  <si>
    <t>3500.0   ---&gt;   13.97</t>
  </si>
  <si>
    <t>4000.0   ---&gt;   13.72</t>
  </si>
  <si>
    <t>4500.0   ---&gt;   13.2</t>
  </si>
  <si>
    <t>5000.0   ---&gt;   12.79</t>
  </si>
  <si>
    <t>5600.0   ---&gt;   12.54</t>
  </si>
  <si>
    <t>6000.0   ---&gt;   12.13</t>
  </si>
  <si>
    <t>6500.0   ---&gt;   11.0</t>
  </si>
  <si>
    <t>7000.0   ---&gt;   9.55</t>
  </si>
  <si>
    <t>7500.0   ---&gt;   0.0</t>
  </si>
  <si>
    <t>500.0   ---&gt;   9.87</t>
  </si>
  <si>
    <t>1000.0   ---&gt;   12.24</t>
  </si>
  <si>
    <t>1500.0   ---&gt;   13.77</t>
  </si>
  <si>
    <t>2000.0   ---&gt;   15.3</t>
  </si>
  <si>
    <t>2500.0   ---&gt;   15.81</t>
  </si>
  <si>
    <t>3000.0   ---&gt;   16.32</t>
  </si>
  <si>
    <t>3500.0   ---&gt;   16.72</t>
  </si>
  <si>
    <t>4000.0   ---&gt;   17.13</t>
  </si>
  <si>
    <t>4500.0   ---&gt;   17.2</t>
  </si>
  <si>
    <t>5000.0   ---&gt;   17.27</t>
  </si>
  <si>
    <t>5500.0   ---&gt;   17.34</t>
  </si>
  <si>
    <t>6000.0   ---&gt;   17.0</t>
  </si>
  <si>
    <t>6500.0   ---&gt;   16.51</t>
  </si>
  <si>
    <t>7000.0   ---&gt;   15.32</t>
  </si>
  <si>
    <t>7500.0   ---&gt;   13.49</t>
  </si>
  <si>
    <t>8000.0   ---&gt;   10.0</t>
  </si>
  <si>
    <t>500.0   ---&gt;   22.99</t>
  </si>
  <si>
    <t>1000.0   ---&gt;   25.25</t>
  </si>
  <si>
    <t>1500.0   ---&gt;   25.89</t>
  </si>
  <si>
    <t>2000.0   ---&gt;   26.51</t>
  </si>
  <si>
    <t>2500.0   ---&gt;   27.33</t>
  </si>
  <si>
    <t>3000.0   ---&gt;   27.94</t>
  </si>
  <si>
    <t>3500.0   ---&gt;   29.88</t>
  </si>
  <si>
    <t>4000.0   ---&gt;   30.39</t>
  </si>
  <si>
    <t>4500.0   ---&gt;   30.08</t>
  </si>
  <si>
    <t>5000.0   ---&gt;   30.69</t>
  </si>
  <si>
    <t>5500.0   ---&gt;   31.1</t>
  </si>
  <si>
    <t>6000.0   ---&gt;   30.49</t>
  </si>
  <si>
    <t>6500.0   ---&gt;   29.09</t>
  </si>
  <si>
    <t>7000.0   ---&gt;   28.16</t>
  </si>
  <si>
    <t>7500.0   ---&gt;   26.72</t>
  </si>
  <si>
    <t>8000.0   ---&gt;   24.76</t>
  </si>
  <si>
    <t>8500.0   ---&gt;   22.6</t>
  </si>
  <si>
    <t>9000.0   ---&gt;   20.2</t>
  </si>
  <si>
    <t>500.0   ---&gt;   11.01</t>
  </si>
  <si>
    <t>1000.0   ---&gt;   11.93</t>
  </si>
  <si>
    <t>1500.0   ---&gt;   12.54</t>
  </si>
  <si>
    <t>2000.0   ---&gt;   12.95</t>
  </si>
  <si>
    <t>2500.0   ---&gt;   13.15</t>
  </si>
  <si>
    <t>3000.0   ---&gt;   13.66</t>
  </si>
  <si>
    <t>3500.0   ---&gt;   14.38</t>
  </si>
  <si>
    <t>4000.0   ---&gt;   14.58</t>
  </si>
  <si>
    <t>4500.0   ---&gt;   14.48</t>
  </si>
  <si>
    <t>5000.0   ---&gt;   14.07</t>
  </si>
  <si>
    <t>5500.0   ---&gt;   13.66</t>
  </si>
  <si>
    <t>6000.0   ---&gt;   13.05</t>
  </si>
  <si>
    <t>6500.0   ---&gt;   12.13</t>
  </si>
  <si>
    <t>7000.0   ---&gt;   10.91</t>
  </si>
  <si>
    <t>500.0   ---&gt;   11.45</t>
  </si>
  <si>
    <t>1000.0   ---&gt;   12.4</t>
  </si>
  <si>
    <t>1500.0   ---&gt;   13.0</t>
  </si>
  <si>
    <t>2000.0   ---&gt;   13.8</t>
  </si>
  <si>
    <t>2500.0   ---&gt;   15.0</t>
  </si>
  <si>
    <t>3000.0   ---&gt;   16.0</t>
  </si>
  <si>
    <t>3500.0   ---&gt;   16.9</t>
  </si>
  <si>
    <t>4000.0   ---&gt;   17.8</t>
  </si>
  <si>
    <t>4500.0   ---&gt;   17.9</t>
  </si>
  <si>
    <t>5000.0   ---&gt;   18.0</t>
  </si>
  <si>
    <t>5500.0   ---&gt;   17.9</t>
  </si>
  <si>
    <t>6500.0   ---&gt;   16.5</t>
  </si>
  <si>
    <t>7000.0   ---&gt;   15.5</t>
  </si>
  <si>
    <t>7500.0   ---&gt;   14.2</t>
  </si>
  <si>
    <t>8000.0   ---&gt;   11.75</t>
  </si>
  <si>
    <t>500.0   ---&gt;   27.88</t>
  </si>
  <si>
    <t>1000.0   ---&gt;   31.25</t>
  </si>
  <si>
    <t>1500.0   ---&gt;   34.2</t>
  </si>
  <si>
    <t>2000.0   ---&gt;   41.67</t>
  </si>
  <si>
    <t>2500.0   ---&gt;   44.0</t>
  </si>
  <si>
    <t>3000.0   ---&gt;   44.54</t>
  </si>
  <si>
    <t>3600.0   ---&gt;   46.0</t>
  </si>
  <si>
    <t>4000.0   ---&gt;   45.0</t>
  </si>
  <si>
    <t>4500.0   ---&gt;   42.25</t>
  </si>
  <si>
    <t>5000.0   ---&gt;   39.5</t>
  </si>
  <si>
    <t>5600.0   ---&gt;   35.8</t>
  </si>
  <si>
    <t>6000.0   ---&gt;   33.25</t>
  </si>
  <si>
    <t>6500.0   ---&gt;   30.5</t>
  </si>
  <si>
    <t>7000.0   ---&gt;   27.38</t>
  </si>
  <si>
    <t>500.0   ---&gt;   4.8</t>
  </si>
  <si>
    <t>1000.0   ---&gt;   4.8</t>
  </si>
  <si>
    <t>1500.0   ---&gt;   4.9</t>
  </si>
  <si>
    <t>2000.0   ---&gt;   5.1</t>
  </si>
  <si>
    <t>2500.0   ---&gt;   6.0</t>
  </si>
  <si>
    <t>3000.0   ---&gt;   6.6</t>
  </si>
  <si>
    <t>3500.0   ---&gt;   6.7</t>
  </si>
  <si>
    <t>4000.0   ---&gt;   6.8</t>
  </si>
  <si>
    <t>4500.0   ---&gt;   6.63</t>
  </si>
  <si>
    <t>5000.0   ---&gt;   6.44</t>
  </si>
  <si>
    <t>5500.0   ---&gt;   5.82</t>
  </si>
  <si>
    <t>6000.0   ---&gt;   5.15</t>
  </si>
  <si>
    <t>6500.0   ---&gt;   3.85</t>
  </si>
  <si>
    <t>7000.0   ---&gt;   0.0</t>
  </si>
  <si>
    <t>500.0   ---&gt;   25.55</t>
  </si>
  <si>
    <t>1000.0   ---&gt;   28.35</t>
  </si>
  <si>
    <t>1500.0   ---&gt;   30.8</t>
  </si>
  <si>
    <t>2000.0   ---&gt;   35.17</t>
  </si>
  <si>
    <t>2500.0   ---&gt;   46.38</t>
  </si>
  <si>
    <t>3000.0   ---&gt;   56.35</t>
  </si>
  <si>
    <t>3500.0   ---&gt;   59.67</t>
  </si>
  <si>
    <t>4000.0   ---&gt;   61.25</t>
  </si>
  <si>
    <t>4500.0   ---&gt;   62.13</t>
  </si>
  <si>
    <t>5000.0   ---&gt;   62.65</t>
  </si>
  <si>
    <t>5500.0   ---&gt;   63.0</t>
  </si>
  <si>
    <t>6000.0   ---&gt;   63.2</t>
  </si>
  <si>
    <t>6500.0   ---&gt;   63.0</t>
  </si>
  <si>
    <t>7000.0   ---&gt;   60.9</t>
  </si>
  <si>
    <t>7500.0   ---&gt;   57.2</t>
  </si>
  <si>
    <t>8000.0   ---&gt;   51.8</t>
  </si>
  <si>
    <t>500.0   ---&gt;   14.13</t>
  </si>
  <si>
    <t>1000.0   ---&gt;   16.1</t>
  </si>
  <si>
    <t>1500.0   ---&gt;   17.4</t>
  </si>
  <si>
    <t>2000.0   ---&gt;   18.25</t>
  </si>
  <si>
    <t>2500.0   ---&gt;   18.58</t>
  </si>
  <si>
    <t>3000.0   ---&gt;   19.23</t>
  </si>
  <si>
    <t>3500.0   ---&gt;   19.83</t>
  </si>
  <si>
    <t>4000.0   ---&gt;   20.43</t>
  </si>
  <si>
    <t>4500.0   ---&gt;   20.9</t>
  </si>
  <si>
    <t>4800.0   ---&gt;   21.0</t>
  </si>
  <si>
    <t>5600.0   ---&gt;   19.2</t>
  </si>
  <si>
    <t>6000.0   ---&gt;   17.83</t>
  </si>
  <si>
    <t>6500.0   ---&gt;   15.92</t>
  </si>
  <si>
    <t>7000.0   ---&gt;   13.73</t>
  </si>
  <si>
    <t>7500.0   ---&gt;   11.02</t>
  </si>
  <si>
    <t>500.0   ---&gt;   8.97</t>
  </si>
  <si>
    <t>1000.0   ---&gt;   10.26</t>
  </si>
  <si>
    <t>1500.0   ---&gt;   11.44</t>
  </si>
  <si>
    <t>2000.0   ---&gt;   12.33</t>
  </si>
  <si>
    <t>2500.0   ---&gt;   12.88</t>
  </si>
  <si>
    <t>3000.0   ---&gt;   13.24</t>
  </si>
  <si>
    <t>3500.0   ---&gt;   13.45</t>
  </si>
  <si>
    <t>4000.0   ---&gt;   13.5</t>
  </si>
  <si>
    <t>4500.0   ---&gt;   13.39</t>
  </si>
  <si>
    <t>5000.0   ---&gt;   13.1</t>
  </si>
  <si>
    <t>5500.0   ---&gt;   12.6</t>
  </si>
  <si>
    <t>6000.0   ---&gt;   11.86</t>
  </si>
  <si>
    <t>6500.0   ---&gt;   10.8</t>
  </si>
  <si>
    <t>7500.0   ---&gt;   7.9</t>
  </si>
  <si>
    <t>500.0   ---&gt;   3.35</t>
  </si>
  <si>
    <t>1000.0   ---&gt;   5.77</t>
  </si>
  <si>
    <t>1500.0   ---&gt;   7.43</t>
  </si>
  <si>
    <t>2000.0   ---&gt;   9.1</t>
  </si>
  <si>
    <t>2500.0   ---&gt;   9.8</t>
  </si>
  <si>
    <t>3000.0   ---&gt;   10.1</t>
  </si>
  <si>
    <t>3500.0   ---&gt;   10.2</t>
  </si>
  <si>
    <t>4000.0   ---&gt;   10.3</t>
  </si>
  <si>
    <t>4500.0   ---&gt;   10.2</t>
  </si>
  <si>
    <t>5000.0   ---&gt;   10.05</t>
  </si>
  <si>
    <t>5500.0   ---&gt;   9.6</t>
  </si>
  <si>
    <t>6000.0   ---&gt;   9.1</t>
  </si>
  <si>
    <t>6500.0   ---&gt;   7.68</t>
  </si>
  <si>
    <t>7000.0   ---&gt;   6.0</t>
  </si>
  <si>
    <t>500.0   ---&gt;   4.46</t>
  </si>
  <si>
    <t>1000.0   ---&gt;   5.05</t>
  </si>
  <si>
    <t>1500.0   ---&gt;   5.54</t>
  </si>
  <si>
    <t>2000.0   ---&gt;   5.9</t>
  </si>
  <si>
    <t>2500.0   ---&gt;   6.2</t>
  </si>
  <si>
    <t>3000.0   ---&gt;   6.4</t>
  </si>
  <si>
    <t>3500.0   ---&gt;   6.6</t>
  </si>
  <si>
    <t>4000.0   ---&gt;   6.69</t>
  </si>
  <si>
    <t>4500.0   ---&gt;   6.72</t>
  </si>
  <si>
    <t>5000.0   ---&gt;   6.76</t>
  </si>
  <si>
    <t>5500.0   ---&gt;   6.8</t>
  </si>
  <si>
    <t>6000.0   ---&gt;   6.82</t>
  </si>
  <si>
    <t>6500.0   ---&gt;   6.78</t>
  </si>
  <si>
    <t>7000.0   ---&gt;   6.68</t>
  </si>
  <si>
    <t>7500.0   ---&gt;   6.52</t>
  </si>
  <si>
    <t>8000.0   ---&gt;   6.28</t>
  </si>
  <si>
    <t>8500.0   ---&gt;   5.8</t>
  </si>
  <si>
    <t>9000.0   ---&gt;   5.2</t>
  </si>
  <si>
    <t>500.0   ---&gt;   25.73</t>
  </si>
  <si>
    <t>1000.0   ---&gt;   37.8</t>
  </si>
  <si>
    <t>1500.0   ---&gt;   44.28</t>
  </si>
  <si>
    <t>2000.0   ---&gt;   49.35</t>
  </si>
  <si>
    <t>2500.0   ---&gt;   52.33</t>
  </si>
  <si>
    <t>3000.0   ---&gt;   54.08</t>
  </si>
  <si>
    <t>3500.0   ---&gt;   55.13</t>
  </si>
  <si>
    <t>4000.0   ---&gt;   56.35</t>
  </si>
  <si>
    <t>4500.0   ---&gt;   57.58</t>
  </si>
  <si>
    <t>5000.0   ---&gt;   59.5</t>
  </si>
  <si>
    <t>5500.0   ---&gt;   61.43</t>
  </si>
  <si>
    <t>6000.0   ---&gt;   61.95</t>
  </si>
  <si>
    <t>6500.0   ---&gt;   61.3</t>
  </si>
  <si>
    <t>7000.0   ---&gt;   60.38</t>
  </si>
  <si>
    <t>7500.0   ---&gt;   58.46</t>
  </si>
  <si>
    <t>8000.0   ---&gt;   56.71</t>
  </si>
  <si>
    <t>8500.0   ---&gt;   54.42</t>
  </si>
  <si>
    <t>9000.0   ---&gt;   51.75</t>
  </si>
  <si>
    <t>9500.0   ---&gt;   47.95</t>
  </si>
  <si>
    <t>10000.0   ---&gt;   43.23</t>
  </si>
  <si>
    <t>500.0   ---&gt;   6.03</t>
  </si>
  <si>
    <t>1000.0   ---&gt;   7.87</t>
  </si>
  <si>
    <t>1500.0   ---&gt;   9.2</t>
  </si>
  <si>
    <t>2000.0   ---&gt;   10.35</t>
  </si>
  <si>
    <t>2500.0   ---&gt;   11.22</t>
  </si>
  <si>
    <t>3000.0   ---&gt;   11.95</t>
  </si>
  <si>
    <t>3500.0   ---&gt;   12.57</t>
  </si>
  <si>
    <t>4000.0   ---&gt;   12.95</t>
  </si>
  <si>
    <t>4500.0   ---&gt;   13.28</t>
  </si>
  <si>
    <t>5000.0   ---&gt;   13.4</t>
  </si>
  <si>
    <t>5500.0   ---&gt;   13.38</t>
  </si>
  <si>
    <t>6000.0   ---&gt;   13.3</t>
  </si>
  <si>
    <t>6500.0   ---&gt;   13.05</t>
  </si>
  <si>
    <t>7000.0   ---&gt;   12.3</t>
  </si>
  <si>
    <t>7500.0   ---&gt;   11.1</t>
  </si>
  <si>
    <t>8000.0   ---&gt;   9.35</t>
  </si>
  <si>
    <t>500.0   ---&gt;   7.9</t>
  </si>
  <si>
    <t>1000.0   ---&gt;   9.3</t>
  </si>
  <si>
    <t>1500.0   ---&gt;   10.15</t>
  </si>
  <si>
    <t>2000.0   ---&gt;   11.0</t>
  </si>
  <si>
    <t>2500.0   ---&gt;   11.7</t>
  </si>
  <si>
    <t>3000.0   ---&gt;   12.25</t>
  </si>
  <si>
    <t>3500.0   ---&gt;   12.5</t>
  </si>
  <si>
    <t>4000.0   ---&gt;   12.65</t>
  </si>
  <si>
    <t>4500.0   ---&gt;   13.15</t>
  </si>
  <si>
    <t>5000.0   ---&gt;   13.5</t>
  </si>
  <si>
    <t>5500.0   ---&gt;   13.3</t>
  </si>
  <si>
    <t>6000.0   ---&gt;   12.85</t>
  </si>
  <si>
    <t>6500.0   ---&gt;   12.15</t>
  </si>
  <si>
    <t>6800.0   ---&gt;   11.1</t>
  </si>
  <si>
    <t>7500.0   ---&gt;   8.7</t>
  </si>
  <si>
    <t>500.0   ---&gt;   3.56</t>
  </si>
  <si>
    <t>1000.0   ---&gt;   4.31</t>
  </si>
  <si>
    <t>1500.0   ---&gt;   4.89</t>
  </si>
  <si>
    <t>2000.0   ---&gt;   5.2</t>
  </si>
  <si>
    <t>2500.0   ---&gt;   5.56</t>
  </si>
  <si>
    <t>3000.0   ---&gt;   5.81</t>
  </si>
  <si>
    <t>3500.0   ---&gt;   6.02</t>
  </si>
  <si>
    <t>4000.0   ---&gt;   6.32</t>
  </si>
  <si>
    <t>4500.0   ---&gt;   6.22</t>
  </si>
  <si>
    <t>5000.0   ---&gt;   6.12</t>
  </si>
  <si>
    <t>5500.0   ---&gt;   6.02</t>
  </si>
  <si>
    <t>6000.0   ---&gt;   5.86</t>
  </si>
  <si>
    <t>6500.0   ---&gt;   5.51</t>
  </si>
  <si>
    <t>7000.0   ---&gt;   5.1</t>
  </si>
  <si>
    <t>7500.0   ---&gt;   4.23</t>
  </si>
  <si>
    <t>500.0   ---&gt;   1.63</t>
  </si>
  <si>
    <t>1000.0   ---&gt;   1.93</t>
  </si>
  <si>
    <t>1500.0   ---&gt;   1.98</t>
  </si>
  <si>
    <t>2000.0   ---&gt;   2.03</t>
  </si>
  <si>
    <t>2500.0   ---&gt;   2.08</t>
  </si>
  <si>
    <t>3000.0   ---&gt;   2.13</t>
  </si>
  <si>
    <t>3500.0   ---&gt;   2.15</t>
  </si>
  <si>
    <t>4000.0   ---&gt;   2.18</t>
  </si>
  <si>
    <t>4500.0   ---&gt;   2.26</t>
  </si>
  <si>
    <t>5000.0   ---&gt;   2.38</t>
  </si>
  <si>
    <t>5500.0   ---&gt;   2.61</t>
  </si>
  <si>
    <t>6000.0   ---&gt;   2.79</t>
  </si>
  <si>
    <t>6400.0   ---&gt;   2.96</t>
  </si>
  <si>
    <t>7000.0   ---&gt;   2.83</t>
  </si>
  <si>
    <t>7500.0   ---&gt;   2.58</t>
  </si>
  <si>
    <t>8000.0   ---&gt;   2.01</t>
  </si>
  <si>
    <t>500.0   ---&gt;   17.25</t>
  </si>
  <si>
    <t>1000.0   ---&gt;   24.0</t>
  </si>
  <si>
    <t>1500.0   ---&gt;   29.63</t>
  </si>
  <si>
    <t>2000.0   ---&gt;   33.5</t>
  </si>
  <si>
    <t>2500.0   ---&gt;   36.88</t>
  </si>
  <si>
    <t>3000.0   ---&gt;   38.0</t>
  </si>
  <si>
    <t>3500.0   ---&gt;   38.5</t>
  </si>
  <si>
    <t>4000.0   ---&gt;   38.51</t>
  </si>
  <si>
    <t>4500.0   ---&gt;   38.5</t>
  </si>
  <si>
    <t>5000.0   ---&gt;   38.38</t>
  </si>
  <si>
    <t>5500.0   ---&gt;   38.5</t>
  </si>
  <si>
    <t>6000.0   ---&gt;   38.5</t>
  </si>
  <si>
    <t>6500.0   ---&gt;   35.25</t>
  </si>
  <si>
    <t>7000.0   ---&gt;   28.63</t>
  </si>
  <si>
    <t>500.0   ---&gt;   24.5</t>
  </si>
  <si>
    <t>1000.0   ---&gt;   29.13</t>
  </si>
  <si>
    <t>1500.0   ---&gt;   33.75</t>
  </si>
  <si>
    <t>2000.0   ---&gt;   37.63</t>
  </si>
  <si>
    <t>2500.0   ---&gt;   40.0</t>
  </si>
  <si>
    <t>3000.0   ---&gt;   41.5</t>
  </si>
  <si>
    <t>3400.0   ---&gt;   42.0</t>
  </si>
  <si>
    <t>4000.0   ---&gt;   40.25</t>
  </si>
  <si>
    <t>4500.0   ---&gt;   38.13</t>
  </si>
  <si>
    <t>5000.0   ---&gt;   35.88</t>
  </si>
  <si>
    <t>5500.0   ---&gt;   33.5</t>
  </si>
  <si>
    <t>6000.0   ---&gt;   31.0</t>
  </si>
  <si>
    <t>6500.0   ---&gt;   28.0</t>
  </si>
  <si>
    <t>7000.0   ---&gt;   24.25</t>
  </si>
  <si>
    <t>500.0   ---&gt;   5.18</t>
  </si>
  <si>
    <t>1000.0   ---&gt;   5.85</t>
  </si>
  <si>
    <t>1500.0   ---&gt;   6.4</t>
  </si>
  <si>
    <t>2000.0   ---&gt;   6.78</t>
  </si>
  <si>
    <t>2500.0   ---&gt;   7.0</t>
  </si>
  <si>
    <t>3000.0   ---&gt;   7.18</t>
  </si>
  <si>
    <t>3300.0   ---&gt;   7.2</t>
  </si>
  <si>
    <t>4500.0   ---&gt;   6.23</t>
  </si>
  <si>
    <t>5000.0   ---&gt;   5.5</t>
  </si>
  <si>
    <t>5500.0   ---&gt;   4.05</t>
  </si>
  <si>
    <t>6000.0   ---&gt;   0.0</t>
  </si>
  <si>
    <t>6500.0   ---&gt;   0.0</t>
  </si>
  <si>
    <t>500.0   ---&gt;   14.32</t>
  </si>
  <si>
    <t>1000.0   ---&gt;   16.35</t>
  </si>
  <si>
    <t>1500.0   ---&gt;   18.23</t>
  </si>
  <si>
    <t>2000.0   ---&gt;   19.73</t>
  </si>
  <si>
    <t>2500.0   ---&gt;   21.0</t>
  </si>
  <si>
    <t>3000.0   ---&gt;   22.05</t>
  </si>
  <si>
    <t>3500.0   ---&gt;   22.73</t>
  </si>
  <si>
    <t>4000.0   ---&gt;   23.0</t>
  </si>
  <si>
    <t>4500.0   ---&gt;   22.88</t>
  </si>
  <si>
    <t>5000.0   ---&gt;   22.58</t>
  </si>
  <si>
    <t>5500.0   ---&gt;   21.9</t>
  </si>
  <si>
    <t>6000.0   ---&gt;   21.23</t>
  </si>
  <si>
    <t>6500.0   ---&gt;   20.48</t>
  </si>
  <si>
    <t>7000.0   ---&gt;   19.4</t>
  </si>
  <si>
    <t>7500.0   ---&gt;   17.92</t>
  </si>
  <si>
    <t>8000.0   ---&gt;   16.05</t>
  </si>
  <si>
    <t>500.0   ---&gt;   10.05</t>
  </si>
  <si>
    <t>1000.0   ---&gt;   11.18</t>
  </si>
  <si>
    <t>1500.0   ---&gt;   11.63</t>
  </si>
  <si>
    <t>2000.0   ---&gt;   12.52</t>
  </si>
  <si>
    <t>2500.0   ---&gt;   15.6</t>
  </si>
  <si>
    <t>3250.0   ---&gt;   20.73</t>
  </si>
  <si>
    <t>3500.0   ---&gt;   21.3</t>
  </si>
  <si>
    <t>4000.0   ---&gt;   21.23</t>
  </si>
  <si>
    <t>4500.0   ---&gt;   21.15</t>
  </si>
  <si>
    <t>5000.0   ---&gt;   20.77</t>
  </si>
  <si>
    <t>5500.0   ---&gt;   20.02</t>
  </si>
  <si>
    <t>6000.0   ---&gt;   19.0</t>
  </si>
  <si>
    <t>6500.0   ---&gt;   17.17</t>
  </si>
  <si>
    <t>7000.0   ---&gt;   15.0</t>
  </si>
  <si>
    <t>500.0   ---&gt;   19.97</t>
  </si>
  <si>
    <t>1000.0   ---&gt;   23.53</t>
  </si>
  <si>
    <t>1500.0   ---&gt;   26.5</t>
  </si>
  <si>
    <t>2000.0   ---&gt;   29.2</t>
  </si>
  <si>
    <t>2500.0   ---&gt;   32.5</t>
  </si>
  <si>
    <t>3000.0   ---&gt;   35.0</t>
  </si>
  <si>
    <t>3500.0   ---&gt;   35.7</t>
  </si>
  <si>
    <t>4000.0   ---&gt;   36.3</t>
  </si>
  <si>
    <t>4400.0   ---&gt;   36.75</t>
  </si>
  <si>
    <t>4800.0   ---&gt;   37.0</t>
  </si>
  <si>
    <t>5200.0   ---&gt;   36.09</t>
  </si>
  <si>
    <t>5800.0   ---&gt;   34.11</t>
  </si>
  <si>
    <t>6200.0   ---&gt;   32.3</t>
  </si>
  <si>
    <t>6700.0   ---&gt;   29.5</t>
  </si>
  <si>
    <t>7000.0   ---&gt;   27.7</t>
  </si>
  <si>
    <t>7500.0   ---&gt;   23.5</t>
  </si>
  <si>
    <t>500.0   ---&gt;   32.46</t>
  </si>
  <si>
    <t>1000.0   ---&gt;   36.67</t>
  </si>
  <si>
    <t>1500.0   ---&gt;   39.5</t>
  </si>
  <si>
    <t>2000.0   ---&gt;   40.96</t>
  </si>
  <si>
    <t>2500.0   ---&gt;   42.21</t>
  </si>
  <si>
    <t>3000.0   ---&gt;   42.9</t>
  </si>
  <si>
    <t>3600.0   ---&gt;   43.49</t>
  </si>
  <si>
    <t>4000.0   ---&gt;   43.42</t>
  </si>
  <si>
    <t>4500.0   ---&gt;   42.14</t>
  </si>
  <si>
    <t>5000.0   ---&gt;   39.17</t>
  </si>
  <si>
    <t>5600.0   ---&gt;   35.58</t>
  </si>
  <si>
    <t>6000.0   ---&gt;   33.11</t>
  </si>
  <si>
    <t>6500.0   ---&gt;   29.63</t>
  </si>
  <si>
    <t>7000.0   ---&gt;   25.88</t>
  </si>
  <si>
    <t>500.0   ---&gt;   12.6</t>
  </si>
  <si>
    <t>1000.0   ---&gt;   14.05</t>
  </si>
  <si>
    <t>1500.0   ---&gt;   14.45</t>
  </si>
  <si>
    <t>2000.0   ---&gt;   14.07</t>
  </si>
  <si>
    <t>2500.0   ---&gt;   13.1</t>
  </si>
  <si>
    <t>3000.0   ---&gt;   12.55</t>
  </si>
  <si>
    <t>3500.0   ---&gt;   12.21</t>
  </si>
  <si>
    <t>4000.0   ---&gt;   11.75</t>
  </si>
  <si>
    <t>4500.0   ---&gt;   11.5</t>
  </si>
  <si>
    <t>5000.0   ---&gt;   11.3</t>
  </si>
  <si>
    <t>5500.0   ---&gt;   11.1</t>
  </si>
  <si>
    <t>6000.0   ---&gt;   9.9</t>
  </si>
  <si>
    <t>6500.0   ---&gt;   8.05</t>
  </si>
  <si>
    <t>500.0   ---&gt;   31.96</t>
  </si>
  <si>
    <t>1000.0   ---&gt;   34.67</t>
  </si>
  <si>
    <t>1500.0   ---&gt;   35.69</t>
  </si>
  <si>
    <t>2000.0   ---&gt;   37.08</t>
  </si>
  <si>
    <t>2500.0   ---&gt;   39.09</t>
  </si>
  <si>
    <t>3000.0   ---&gt;   41.84</t>
  </si>
  <si>
    <t>3400.0   ---&gt;   42.1</t>
  </si>
  <si>
    <t>4000.0   ---&gt;   41.48</t>
  </si>
  <si>
    <t>4500.0   ---&gt;   40.12</t>
  </si>
  <si>
    <t>5000.0   ---&gt;   37.37</t>
  </si>
  <si>
    <t>5600.0   ---&gt;   33.88</t>
  </si>
  <si>
    <t>6000.0   ---&gt;   31.15</t>
  </si>
  <si>
    <t>6500.0   ---&gt;   27.4</t>
  </si>
  <si>
    <t>500.0   ---&gt;   11.1</t>
  </si>
  <si>
    <t>1000.0   ---&gt;   13.5</t>
  </si>
  <si>
    <t>1500.0   ---&gt;   15.38</t>
  </si>
  <si>
    <t>2000.0   ---&gt;   16.8</t>
  </si>
  <si>
    <t>2500.0   ---&gt;   17.7</t>
  </si>
  <si>
    <t>3000.0   ---&gt;   18.4</t>
  </si>
  <si>
    <t>3500.0   ---&gt;   19.1</t>
  </si>
  <si>
    <t>4000.0   ---&gt;   19.8</t>
  </si>
  <si>
    <t>4500.0   ---&gt;   20.23</t>
  </si>
  <si>
    <t>5000.0   ---&gt;   20.52</t>
  </si>
  <si>
    <t>5500.0   ---&gt;   20.9</t>
  </si>
  <si>
    <t>6000.0   ---&gt;   20.8</t>
  </si>
  <si>
    <t>6400.0   ---&gt;   21.02</t>
  </si>
  <si>
    <t>7000.0   ---&gt;   20.4</t>
  </si>
  <si>
    <t>7600.0   ---&gt;   18.8</t>
  </si>
  <si>
    <t>8000.0   ---&gt;   17.4</t>
  </si>
  <si>
    <t>8500.0   ---&gt;   14.93</t>
  </si>
  <si>
    <t>500.0   ---&gt;   23.54</t>
  </si>
  <si>
    <t>1000.0   ---&gt;   25.7</t>
  </si>
  <si>
    <t>1500.0   ---&gt;   27.22</t>
  </si>
  <si>
    <t>2000.0   ---&gt;   28.0</t>
  </si>
  <si>
    <t>2500.0   ---&gt;   27.89</t>
  </si>
  <si>
    <t>3000.0   ---&gt;   27.1</t>
  </si>
  <si>
    <t>3500.0   ---&gt;   25.79</t>
  </si>
  <si>
    <t>4000.0   ---&gt;   24.7</t>
  </si>
  <si>
    <t>4500.0   ---&gt;   23.93</t>
  </si>
  <si>
    <t>5000.0   ---&gt;   23.47</t>
  </si>
  <si>
    <t>5600.0   ---&gt;   22.0</t>
  </si>
  <si>
    <t>6000.0   ---&gt;   19.63</t>
  </si>
  <si>
    <t>500.0   ---&gt;   13.08</t>
  </si>
  <si>
    <t>1000.0   ---&gt;   14.3</t>
  </si>
  <si>
    <t>1500.0   ---&gt;   15.08</t>
  </si>
  <si>
    <t>2000.0   ---&gt;   15.7</t>
  </si>
  <si>
    <t>2500.0   ---&gt;   15.91</t>
  </si>
  <si>
    <t>3000.0   ---&gt;   16.11</t>
  </si>
  <si>
    <t>3500.0   ---&gt;   16.77</t>
  </si>
  <si>
    <t>4000.0   ---&gt;   16.99</t>
  </si>
  <si>
    <t>4500.0   ---&gt;   16.75</t>
  </si>
  <si>
    <t>5000.0   ---&gt;   16.52</t>
  </si>
  <si>
    <t>5500.0   ---&gt;   16.02</t>
  </si>
  <si>
    <t>6000.0   ---&gt;   15.29</t>
  </si>
  <si>
    <t>6500.0   ---&gt;   14.34</t>
  </si>
  <si>
    <t>7000.0   ---&gt;   12.9</t>
  </si>
  <si>
    <t>7500.0   ---&gt;   10.6</t>
  </si>
  <si>
    <t>500.0   ---&gt;   10.96</t>
  </si>
  <si>
    <t>1000.0   ---&gt;   11.88</t>
  </si>
  <si>
    <t>1500.0   ---&gt;   12.59</t>
  </si>
  <si>
    <t>2000.0   ---&gt;   13.05</t>
  </si>
  <si>
    <t>3000.0   ---&gt;   13.26</t>
  </si>
  <si>
    <t>3500.0   ---&gt;   13.82</t>
  </si>
  <si>
    <t>4200.0   ---&gt;   14.38</t>
  </si>
  <si>
    <t>4700.0   ---&gt;   13.97</t>
  </si>
  <si>
    <t>5000.0   ---&gt;   13.56</t>
  </si>
  <si>
    <t>5500.0   ---&gt;   13.15</t>
  </si>
  <si>
    <t>6000.0   ---&gt;   13.0</t>
  </si>
  <si>
    <t>6500.0   ---&gt;   11.91</t>
  </si>
  <si>
    <t>7000.0   ---&gt;   10.55</t>
  </si>
  <si>
    <t>500.0   ---&gt;   24.14</t>
  </si>
  <si>
    <t>1000.0   ---&gt;   27.25</t>
  </si>
  <si>
    <t>1500.0   ---&gt;   29.57</t>
  </si>
  <si>
    <t>2000.0   ---&gt;   31.36</t>
  </si>
  <si>
    <t>2500.0   ---&gt;   33.14</t>
  </si>
  <si>
    <t>3000.0   ---&gt;   33.82</t>
  </si>
  <si>
    <t>3500.0   ---&gt;   34.22</t>
  </si>
  <si>
    <t>4000.0   ---&gt;   35.18</t>
  </si>
  <si>
    <t>4500.0   ---&gt;   35.69</t>
  </si>
  <si>
    <t>5000.0   ---&gt;   36.0</t>
  </si>
  <si>
    <t>5500.0   ---&gt;   34.62</t>
  </si>
  <si>
    <t>6000.0   ---&gt;   32.35</t>
  </si>
  <si>
    <t>6500.0   ---&gt;   29.57</t>
  </si>
  <si>
    <t>7000.0   ---&gt;   25.9</t>
  </si>
  <si>
    <t>7500.0   ---&gt;   21.5</t>
  </si>
  <si>
    <t>500.0   ---&gt;   21.66</t>
  </si>
  <si>
    <t>1000.0   ---&gt;   25.82</t>
  </si>
  <si>
    <t>1500.0   ---&gt;   29.76</t>
  </si>
  <si>
    <t>2000.0   ---&gt;   33.52</t>
  </si>
  <si>
    <t>2800.0   ---&gt;   38.85</t>
  </si>
  <si>
    <t>3200.0   ---&gt;   41.09</t>
  </si>
  <si>
    <t>3500.0   ---&gt;   41.5</t>
  </si>
  <si>
    <t>4000.0   ---&gt;   39.46</t>
  </si>
  <si>
    <t>4500.0   ---&gt;   37.93</t>
  </si>
  <si>
    <t>5000.0   ---&gt;   36.71</t>
  </si>
  <si>
    <t>5500.0   ---&gt;   35.53</t>
  </si>
  <si>
    <t>6000.0   ---&gt;   33.2</t>
  </si>
  <si>
    <t>6400.0   ---&gt;   31.26</t>
  </si>
  <si>
    <t>7000.0   ---&gt;   28.29</t>
  </si>
  <si>
    <t>7500.0   ---&gt;   25.44</t>
  </si>
  <si>
    <t>8000.0   ---&gt;   21.72</t>
  </si>
  <si>
    <t>500.0   ---&gt;   32.27</t>
  </si>
  <si>
    <t>1000.0   ---&gt;   35.6</t>
  </si>
  <si>
    <t>1500.0   ---&gt;   37.73</t>
  </si>
  <si>
    <t>2000.0   ---&gt;   39.79</t>
  </si>
  <si>
    <t>2500.0   ---&gt;   41.32</t>
  </si>
  <si>
    <t>3000.0   ---&gt;   42.67</t>
  </si>
  <si>
    <t>3600.0   ---&gt;   43.24</t>
  </si>
  <si>
    <t>4000.0   ---&gt;   43.26</t>
  </si>
  <si>
    <t>4500.0   ---&gt;   41.52</t>
  </si>
  <si>
    <t>5000.0   ---&gt;   38.35</t>
  </si>
  <si>
    <t>5500.0   ---&gt;   34.64</t>
  </si>
  <si>
    <t>6000.0   ---&gt;   31.22</t>
  </si>
  <si>
    <t>6500.0   ---&gt;   27.18</t>
  </si>
  <si>
    <t>7000.0   ---&gt;   22.5</t>
  </si>
  <si>
    <t>500.0   ---&gt;   9.84</t>
  </si>
  <si>
    <t>1000.0   ---&gt;   11.48</t>
  </si>
  <si>
    <t>1500.0   ---&gt;   12.36</t>
  </si>
  <si>
    <t>2000.0   ---&gt;   12.91</t>
  </si>
  <si>
    <t>2500.0   ---&gt;   12.67</t>
  </si>
  <si>
    <t>3000.0   ---&gt;   11.77</t>
  </si>
  <si>
    <t>3500.0   ---&gt;   11.0</t>
  </si>
  <si>
    <t>4000.0   ---&gt;   10.57</t>
  </si>
  <si>
    <t>4500.0   ---&gt;   10.33</t>
  </si>
  <si>
    <t>5000.0   ---&gt;   10.29</t>
  </si>
  <si>
    <t>5500.0   ---&gt;   10.2</t>
  </si>
  <si>
    <t>6000.0   ---&gt;   9.23</t>
  </si>
  <si>
    <t>6500.0   ---&gt;   6.35</t>
  </si>
  <si>
    <t>500.0   ---&gt;   13.9</t>
  </si>
  <si>
    <t>1000.0   ---&gt;   15.75</t>
  </si>
  <si>
    <t>1500.0   ---&gt;   17.05</t>
  </si>
  <si>
    <t>2000.0   ---&gt;   18.12</t>
  </si>
  <si>
    <t>2500.0   ---&gt;   19.17</t>
  </si>
  <si>
    <t>3000.0   ---&gt;   19.37</t>
  </si>
  <si>
    <t>3500.0   ---&gt;   18.97</t>
  </si>
  <si>
    <t>4000.0   ---&gt;   18.86</t>
  </si>
  <si>
    <t>4500.0   ---&gt;   18.97</t>
  </si>
  <si>
    <t>5000.0   ---&gt;   19.17</t>
  </si>
  <si>
    <t>5500.0   ---&gt;   19.58</t>
  </si>
  <si>
    <t>6000.0   ---&gt;   20.5</t>
  </si>
  <si>
    <t>6500.0   ---&gt;   20.9</t>
  </si>
  <si>
    <t>7000.0   ---&gt;   21.11</t>
  </si>
  <si>
    <t>7500.0   ---&gt;   20.6</t>
  </si>
  <si>
    <t>8000.0   ---&gt;   19.63</t>
  </si>
  <si>
    <t>8500.0   ---&gt;   18.15</t>
  </si>
  <si>
    <t>9000.0   ---&gt;   15.5</t>
  </si>
  <si>
    <t>500.0   ---&gt;   12.09</t>
  </si>
  <si>
    <t>1000.0   ---&gt;   14.28</t>
  </si>
  <si>
    <t>1500.0   ---&gt;   15.75</t>
  </si>
  <si>
    <t>2000.0   ---&gt;   17.23</t>
  </si>
  <si>
    <t>2500.0   ---&gt;   18.05</t>
  </si>
  <si>
    <t>3000.0   ---&gt;   18.86</t>
  </si>
  <si>
    <t>3500.0   ---&gt;   18.76</t>
  </si>
  <si>
    <t>4000.0   ---&gt;   18.66</t>
  </si>
  <si>
    <t>4500.0   ---&gt;   18.76</t>
  </si>
  <si>
    <t>5000.0   ---&gt;   18.86</t>
  </si>
  <si>
    <t>5500.0   ---&gt;   19.53</t>
  </si>
  <si>
    <t>6000.0   ---&gt;   20.19</t>
  </si>
  <si>
    <t>6500.0   ---&gt;   20.39</t>
  </si>
  <si>
    <t>7000.0   ---&gt;   20.6</t>
  </si>
  <si>
    <t>7500.0   ---&gt;   20.12</t>
  </si>
  <si>
    <t>8000.0   ---&gt;   19.24</t>
  </si>
  <si>
    <t>8500.0   ---&gt;   17.54</t>
  </si>
  <si>
    <t>500.0   ---&gt;   11.2</t>
  </si>
  <si>
    <t>1000.0   ---&gt;   13.0</t>
  </si>
  <si>
    <t>1500.0   ---&gt;   14.56</t>
  </si>
  <si>
    <t>2000.0   ---&gt;   15.97</t>
  </si>
  <si>
    <t>2500.0   ---&gt;   16.67</t>
  </si>
  <si>
    <t>3000.0   ---&gt;   17.3</t>
  </si>
  <si>
    <t>3500.0   ---&gt;   17.05</t>
  </si>
  <si>
    <t>4000.0   ---&gt;   16.63</t>
  </si>
  <si>
    <t>4500.0   ---&gt;   16.5</t>
  </si>
  <si>
    <t>5000.0   ---&gt;   16.7</t>
  </si>
  <si>
    <t>5500.0   ---&gt;   17.5</t>
  </si>
  <si>
    <t>6000.0   ---&gt;   18.8</t>
  </si>
  <si>
    <t>6200.0   ---&gt;   19.0</t>
  </si>
  <si>
    <t>6800.0   ---&gt;   19.21</t>
  </si>
  <si>
    <t>7300.0   ---&gt;   19.15</t>
  </si>
  <si>
    <t>8000.0   ---&gt;   18.8</t>
  </si>
  <si>
    <t>8500.0   ---&gt;   17.66</t>
  </si>
  <si>
    <t>9000.0   ---&gt;   16.25</t>
  </si>
  <si>
    <t>9500.0   ---&gt;   14.2</t>
  </si>
  <si>
    <t>10000.0   ---&gt;   11.5</t>
  </si>
  <si>
    <t>500.0   ---&gt;   14.2</t>
  </si>
  <si>
    <t>1000.0   ---&gt;   15.1</t>
  </si>
  <si>
    <t>1500.0   ---&gt;   16.05</t>
  </si>
  <si>
    <t>2000.0   ---&gt;   16.92</t>
  </si>
  <si>
    <t>2500.0   ---&gt;   17.61</t>
  </si>
  <si>
    <t>3000.0   ---&gt;   18.34</t>
  </si>
  <si>
    <t>3500.0   ---&gt;   18.68</t>
  </si>
  <si>
    <t>4000.0   ---&gt;   18.72</t>
  </si>
  <si>
    <t>4500.0   ---&gt;   18.65</t>
  </si>
  <si>
    <t>5000.0   ---&gt;   18.78</t>
  </si>
  <si>
    <t>5500.0   ---&gt;   19.69</t>
  </si>
  <si>
    <t>6000.0   ---&gt;   20.44</t>
  </si>
  <si>
    <t>6500.0   ---&gt;   20.79</t>
  </si>
  <si>
    <t>7000.0   ---&gt;   20.97</t>
  </si>
  <si>
    <t>7500.0   ---&gt;   20.73</t>
  </si>
  <si>
    <t>8000.0   ---&gt;   20.32</t>
  </si>
  <si>
    <t>8300.0   ---&gt;   19.77</t>
  </si>
  <si>
    <t>9000.0   ---&gt;   17.23</t>
  </si>
  <si>
    <t>9500.0   ---&gt;   14.32</t>
  </si>
  <si>
    <t>500.0   ---&gt;   16.87</t>
  </si>
  <si>
    <t>1000.0   ---&gt;   20.84</t>
  </si>
  <si>
    <t>1500.0   ---&gt;   23.26</t>
  </si>
  <si>
    <t>2000.0   ---&gt;   24.47</t>
  </si>
  <si>
    <t>2500.0   ---&gt;   24.98</t>
  </si>
  <si>
    <t>3000.0   ---&gt;   25.49</t>
  </si>
  <si>
    <t>3500.0   ---&gt;   26.0</t>
  </si>
  <si>
    <t>4000.0   ---&gt;   26.51</t>
  </si>
  <si>
    <t>4500.0   ---&gt;   27.02</t>
  </si>
  <si>
    <t>5000.0   ---&gt;   27.53</t>
  </si>
  <si>
    <t>5500.0   ---&gt;   26.37</t>
  </si>
  <si>
    <t>6000.0   ---&gt;   25.02</t>
  </si>
  <si>
    <t>6500.0   ---&gt;   22.67</t>
  </si>
  <si>
    <t>7000.0   ---&gt;   18.3</t>
  </si>
  <si>
    <t>500.0   ---&gt;   17.3</t>
  </si>
  <si>
    <t>1000.0   ---&gt;   21.2</t>
  </si>
  <si>
    <t>1500.0   ---&gt;   24.2</t>
  </si>
  <si>
    <t>2000.0   ---&gt;   26.3</t>
  </si>
  <si>
    <t>2500.0   ---&gt;   28.1</t>
  </si>
  <si>
    <t>3000.0   ---&gt;   29.0</t>
  </si>
  <si>
    <t>3500.0   ---&gt;   29.4</t>
  </si>
  <si>
    <t>4000.0   ---&gt;   29.9</t>
  </si>
  <si>
    <t>4500.0   ---&gt;   30.9</t>
  </si>
  <si>
    <t>5000.0   ---&gt;   32.0</t>
  </si>
  <si>
    <t>5500.0   ---&gt;   32.6</t>
  </si>
  <si>
    <t>6000.0   ---&gt;   32.2</t>
  </si>
  <si>
    <t>6500.0   ---&gt;   30.8</t>
  </si>
  <si>
    <t>7000.0   ---&gt;   28.8</t>
  </si>
  <si>
    <t>7500.0   ---&gt;   26.2</t>
  </si>
  <si>
    <t>8000.0   ---&gt;   22.7</t>
  </si>
  <si>
    <t>8500.0   ---&gt;   18.0</t>
  </si>
  <si>
    <t>500.0   ---&gt;   24.34</t>
  </si>
  <si>
    <t>1000.0   ---&gt;   26.38</t>
  </si>
  <si>
    <t>1500.0   ---&gt;   27.71</t>
  </si>
  <si>
    <t>2000.0   ---&gt;   28.55</t>
  </si>
  <si>
    <t>2500.0   ---&gt;   29.06</t>
  </si>
  <si>
    <t>3000.0   ---&gt;   29.97</t>
  </si>
  <si>
    <t>3500.0   ---&gt;   31.81</t>
  </si>
  <si>
    <t>4000.0   ---&gt;   33.45</t>
  </si>
  <si>
    <t>4500.0   ---&gt;   34.31</t>
  </si>
  <si>
    <t>5000.0   ---&gt;   34.98</t>
  </si>
  <si>
    <t>5500.0   ---&gt;   34.57</t>
  </si>
  <si>
    <t>6000.0   ---&gt;   33.21</t>
  </si>
  <si>
    <t>6500.0   ---&gt;   30.79</t>
  </si>
  <si>
    <t>7000.0   ---&gt;   28.04</t>
  </si>
  <si>
    <t>7500.0   ---&gt;   24.47</t>
  </si>
  <si>
    <t>500.0   ---&gt;   24.23</t>
  </si>
  <si>
    <t>1000.0   ---&gt;   26.64</t>
  </si>
  <si>
    <t>1500.0   ---&gt;   27.98</t>
  </si>
  <si>
    <t>2000.0   ---&gt;   29.14</t>
  </si>
  <si>
    <t>2500.0   ---&gt;   29.97</t>
  </si>
  <si>
    <t>3000.0   ---&gt;   30.7</t>
  </si>
  <si>
    <t>3500.0   ---&gt;   31.6</t>
  </si>
  <si>
    <t>4000.0   ---&gt;   33.69</t>
  </si>
  <si>
    <t>4500.0   ---&gt;   34.73</t>
  </si>
  <si>
    <t>5500.0   ---&gt;   34.26</t>
  </si>
  <si>
    <t>6000.0   ---&gt;   32.63</t>
  </si>
  <si>
    <t>7500.0   ---&gt;   25.49</t>
  </si>
  <si>
    <t>500.0   ---&gt;   16.09</t>
  </si>
  <si>
    <t>1000.0   ---&gt;   19.48</t>
  </si>
  <si>
    <t>1500.0   ---&gt;   22.56</t>
  </si>
  <si>
    <t>2000.0   ---&gt;   25.49</t>
  </si>
  <si>
    <t>2500.0   ---&gt;   27.3</t>
  </si>
  <si>
    <t>3000.0   ---&gt;   28.38</t>
  </si>
  <si>
    <t>3500.0   ---&gt;   28.91</t>
  </si>
  <si>
    <t>4000.0   ---&gt;   29.07</t>
  </si>
  <si>
    <t>4500.0   ---&gt;   28.89</t>
  </si>
  <si>
    <t>5000.0   ---&gt;   27.67</t>
  </si>
  <si>
    <t>5500.0   ---&gt;   25.35</t>
  </si>
  <si>
    <t>6000.0   ---&gt;   22.58</t>
  </si>
  <si>
    <t>6500.0   ---&gt;   19.65</t>
  </si>
  <si>
    <t>7000.0   ---&gt;   16.0</t>
  </si>
  <si>
    <t>500.0   ---&gt;   18.75</t>
  </si>
  <si>
    <t>1000.0   ---&gt;   21.9</t>
  </si>
  <si>
    <t>1500.0   ---&gt;   23.75</t>
  </si>
  <si>
    <t>2000.0   ---&gt;   26.39</t>
  </si>
  <si>
    <t>2500.0   ---&gt;   32.4</t>
  </si>
  <si>
    <t>3000.0   ---&gt;   35.7</t>
  </si>
  <si>
    <t>3500.0   ---&gt;   37.94</t>
  </si>
  <si>
    <t>4000.0   ---&gt;   38.8</t>
  </si>
  <si>
    <t>4400.0   ---&gt;   39.2</t>
  </si>
  <si>
    <t>5000.0   ---&gt;   38.75</t>
  </si>
  <si>
    <t>5500.0   ---&gt;   37.55</t>
  </si>
  <si>
    <t>6000.0   ---&gt;   35.64</t>
  </si>
  <si>
    <t>6400.0   ---&gt;   33.6</t>
  </si>
  <si>
    <t>7000.0   ---&gt;   30.54</t>
  </si>
  <si>
    <t>7500.0   ---&gt;   27.5</t>
  </si>
  <si>
    <t>8000.0   ---&gt;   23.7</t>
  </si>
  <si>
    <t>500.0   ---&gt;   4.55</t>
  </si>
  <si>
    <t>1000.0   ---&gt;   5.3</t>
  </si>
  <si>
    <t>1500.0   ---&gt;   5.7</t>
  </si>
  <si>
    <t>2000.0   ---&gt;   6.25</t>
  </si>
  <si>
    <t>2500.0   ---&gt;   6.7</t>
  </si>
  <si>
    <t>3000.0   ---&gt;   7.55</t>
  </si>
  <si>
    <t>3500.0   ---&gt;   9.8</t>
  </si>
  <si>
    <t>4000.0   ---&gt;   11.9</t>
  </si>
  <si>
    <t>4200.0   ---&gt;   12.65</t>
  </si>
  <si>
    <t>4800.0   ---&gt;   13.0</t>
  </si>
  <si>
    <t>5500.0   ---&gt;   12.85</t>
  </si>
  <si>
    <t>6000.0   ---&gt;   12.65</t>
  </si>
  <si>
    <t>6800.0   ---&gt;   12.3</t>
  </si>
  <si>
    <t>7200.0   ---&gt;   12.0</t>
  </si>
  <si>
    <t>7500.0   ---&gt;   11.4</t>
  </si>
  <si>
    <t>8000.0   ---&gt;   10.1</t>
  </si>
  <si>
    <t>8500.0   ---&gt;   8.55</t>
  </si>
  <si>
    <t>9000.0   ---&gt;   7.0</t>
  </si>
  <si>
    <t>500.0   ---&gt;   36.75</t>
  </si>
  <si>
    <t>1000.0   ---&gt;   41.38</t>
  </si>
  <si>
    <t>1500.0   ---&gt;   43.75</t>
  </si>
  <si>
    <t>2300.0   ---&gt;   45.75</t>
  </si>
  <si>
    <t>2800.0   ---&gt;   46.5</t>
  </si>
  <si>
    <t>3200.0   ---&gt;   46.13</t>
  </si>
  <si>
    <t>3500.0   ---&gt;   45.88</t>
  </si>
  <si>
    <t>4500.0   ---&gt;   43.75</t>
  </si>
  <si>
    <t>5000.0   ---&gt;   41.5</t>
  </si>
  <si>
    <t>5500.0   ---&gt;   38.3</t>
  </si>
  <si>
    <t>6000.0   ---&gt;   31.38</t>
  </si>
  <si>
    <t>500.0   ---&gt;   37.38</t>
  </si>
  <si>
    <t>1000.0   ---&gt;   41.5</t>
  </si>
  <si>
    <t>1500.0   ---&gt;   43.25</t>
  </si>
  <si>
    <t>2000.0   ---&gt;   43.88</t>
  </si>
  <si>
    <t>2500.0   ---&gt;   44.5</t>
  </si>
  <si>
    <t>3000.0   ---&gt;   45.0</t>
  </si>
  <si>
    <t>3500.0   ---&gt;   45.38</t>
  </si>
  <si>
    <t>4000.0   ---&gt;   45.75</t>
  </si>
  <si>
    <t>4400.0   ---&gt;   45.9</t>
  </si>
  <si>
    <t>5000.0   ---&gt;   45.38</t>
  </si>
  <si>
    <t>5500.0   ---&gt;   44.38</t>
  </si>
  <si>
    <t>6100.0   ---&gt;   41.3</t>
  </si>
  <si>
    <t>6500.0   ---&gt;   37.63</t>
  </si>
  <si>
    <t>7000.0   ---&gt;   32.5</t>
  </si>
  <si>
    <t>500.0   ---&gt;   57.6</t>
  </si>
  <si>
    <t>1000.0   ---&gt;   72.23</t>
  </si>
  <si>
    <t>1300.0   ---&gt;   75.65</t>
  </si>
  <si>
    <t>1800.0   ---&gt;   76.95</t>
  </si>
  <si>
    <t>2200.0   ---&gt;   76.95</t>
  </si>
  <si>
    <t>3000.0   ---&gt;   76.95</t>
  </si>
  <si>
    <t>3500.0   ---&gt;   76.55</t>
  </si>
  <si>
    <t>4000.0   ---&gt;   75.07</t>
  </si>
  <si>
    <t>4500.0   ---&gt;   72.87</t>
  </si>
  <si>
    <t>5000.0   ---&gt;   68.65</t>
  </si>
  <si>
    <t>5500.0   ---&gt;   61.08</t>
  </si>
  <si>
    <t>6000.0   ---&gt;   50.01</t>
  </si>
  <si>
    <t>500.0   ---&gt;   27.4</t>
  </si>
  <si>
    <t>1000.0   ---&gt;   35.8</t>
  </si>
  <si>
    <t>1500.0   ---&gt;   42.8</t>
  </si>
  <si>
    <t>2000.0   ---&gt;   48.2</t>
  </si>
  <si>
    <t>2500.0   ---&gt;   50.25</t>
  </si>
  <si>
    <t>2750.0   ---&gt;   50.55</t>
  </si>
  <si>
    <t>3150.0   ---&gt;   51.0</t>
  </si>
  <si>
    <t>4000.0   ---&gt;   50.25</t>
  </si>
  <si>
    <t>4500.0   ---&gt;   48.35</t>
  </si>
  <si>
    <t>5000.0   ---&gt;   45.25</t>
  </si>
  <si>
    <t>5500.0   ---&gt;   41.35</t>
  </si>
  <si>
    <t>6100.0   ---&gt;   35.75</t>
  </si>
  <si>
    <t>6500.0   ---&gt;   31.1</t>
  </si>
  <si>
    <t>7000.0   ---&gt;   24.65</t>
  </si>
  <si>
    <t>500.0   ---&gt;   35.25</t>
  </si>
  <si>
    <t>1000.0   ---&gt;   40.13</t>
  </si>
  <si>
    <t>1500.0   ---&gt;   43.5</t>
  </si>
  <si>
    <t>2000.0   ---&gt;   45.88</t>
  </si>
  <si>
    <t>2700.0   ---&gt;   46.9</t>
  </si>
  <si>
    <t>3000.0   ---&gt;   46.75</t>
  </si>
  <si>
    <t>3500.0   ---&gt;   46.5</t>
  </si>
  <si>
    <t>4000.0   ---&gt;   46.13</t>
  </si>
  <si>
    <t>4500.0   ---&gt;   45.0</t>
  </si>
  <si>
    <t>5000.0   ---&gt;   43.13</t>
  </si>
  <si>
    <t>5600.0   ---&gt;   39.0</t>
  </si>
  <si>
    <t>6000.0   ---&gt;   35.25</t>
  </si>
  <si>
    <t>6500.0   ---&gt;   29.5</t>
  </si>
  <si>
    <t>500.0   ---&gt;   9.05</t>
  </si>
  <si>
    <t>1000.0   ---&gt;   10.71</t>
  </si>
  <si>
    <t>1500.0   ---&gt;   11.22</t>
  </si>
  <si>
    <t>2000.0   ---&gt;   11.59</t>
  </si>
  <si>
    <t>2500.0   ---&gt;   12.24</t>
  </si>
  <si>
    <t>3000.0   ---&gt;   12.75</t>
  </si>
  <si>
    <t>3800.0   ---&gt;   12.8</t>
  </si>
  <si>
    <t>4000.0   ---&gt;   12.85</t>
  </si>
  <si>
    <t>4500.0   ---&gt;   11.83</t>
  </si>
  <si>
    <t>5000.0   ---&gt;   10.71</t>
  </si>
  <si>
    <t>5500.0   ---&gt;   9.53</t>
  </si>
  <si>
    <t>6000.0   ---&gt;   8.35</t>
  </si>
  <si>
    <t>6500.0   ---&gt;   7.25</t>
  </si>
  <si>
    <t>7000.0   ---&gt;   5.45</t>
  </si>
  <si>
    <t>500.0   ---&gt;   23.94</t>
  </si>
  <si>
    <t>1000.0   ---&gt;   31.87</t>
  </si>
  <si>
    <t>1500.0   ---&gt;   34.78</t>
  </si>
  <si>
    <t>2000.0   ---&gt;   35.69</t>
  </si>
  <si>
    <t>2500.0   ---&gt;   35.69</t>
  </si>
  <si>
    <t>3000.0   ---&gt;   35.69</t>
  </si>
  <si>
    <t>3500.0   ---&gt;   35.69</t>
  </si>
  <si>
    <t>4000.0   ---&gt;   35.69</t>
  </si>
  <si>
    <t>5000.0   ---&gt;   35.29</t>
  </si>
  <si>
    <t>5500.0   ---&gt;   32.43</t>
  </si>
  <si>
    <t>6000.0   ---&gt;   29.78</t>
  </si>
  <si>
    <t>6500.0   ---&gt;   26.41</t>
  </si>
  <si>
    <t>7000.0   ---&gt;   22.6</t>
  </si>
  <si>
    <t>7500.0   ---&gt;   18.1</t>
  </si>
  <si>
    <t>500.0   ---&gt;   16.7</t>
  </si>
  <si>
    <t>1000.0   ---&gt;   19.62</t>
  </si>
  <si>
    <t>1500.0   ---&gt;   22.8</t>
  </si>
  <si>
    <t>2200.0   ---&gt;   27.0</t>
  </si>
  <si>
    <t>2500.0   ---&gt;   27.0</t>
  </si>
  <si>
    <t>3000.0   ---&gt;   27.0</t>
  </si>
  <si>
    <t>3500.0   ---&gt;   27.0</t>
  </si>
  <si>
    <t>4000.0   ---&gt;   27.0</t>
  </si>
  <si>
    <t>4500.0   ---&gt;   27.0</t>
  </si>
  <si>
    <t>5000.0   ---&gt;   27.0</t>
  </si>
  <si>
    <t>5500.0   ---&gt;   27.0</t>
  </si>
  <si>
    <t>5900.0   ---&gt;   26.8</t>
  </si>
  <si>
    <t>6500.0   ---&gt;   23.74</t>
  </si>
  <si>
    <t>7000.0   ---&gt;   19.88</t>
  </si>
  <si>
    <t>500.0   ---&gt;   18.31</t>
  </si>
  <si>
    <t>1000.0   ---&gt;   21.41</t>
  </si>
  <si>
    <t>1500.0   ---&gt;   23.96</t>
  </si>
  <si>
    <t>2500.0   ---&gt;   28.55</t>
  </si>
  <si>
    <t>3200.0   ---&gt;   30.59</t>
  </si>
  <si>
    <t>3500.0   ---&gt;   30.27</t>
  </si>
  <si>
    <t>4000.0   ---&gt;   29.05</t>
  </si>
  <si>
    <t>4500.0   ---&gt;   28.3</t>
  </si>
  <si>
    <t>5000.0   ---&gt;   28.04</t>
  </si>
  <si>
    <t>5500.0   ---&gt;   27.47</t>
  </si>
  <si>
    <t>6000.0   ---&gt;   25.99</t>
  </si>
  <si>
    <t>6300.0   ---&gt;   24.97</t>
  </si>
  <si>
    <t>7000.0   ---&gt;   20.8</t>
  </si>
  <si>
    <t>500.0   ---&gt;   12.15</t>
  </si>
  <si>
    <t>1000.0   ---&gt;   12.9</t>
  </si>
  <si>
    <t>1500.0   ---&gt;   13.4</t>
  </si>
  <si>
    <t>2500.0   ---&gt;   14.25</t>
  </si>
  <si>
    <t>3000.0   ---&gt;   15.05</t>
  </si>
  <si>
    <t>3500.0   ---&gt;   16.05</t>
  </si>
  <si>
    <t>4000.0   ---&gt;   16.7</t>
  </si>
  <si>
    <t>4600.0   ---&gt;   16.8</t>
  </si>
  <si>
    <t>5000.0   ---&gt;   16.4</t>
  </si>
  <si>
    <t>5500.0   ---&gt;   15.9</t>
  </si>
  <si>
    <t>6000.0   ---&gt;   14.9</t>
  </si>
  <si>
    <t>6500.0   ---&gt;   13.4</t>
  </si>
  <si>
    <t>7000.0   ---&gt;   10.45</t>
  </si>
  <si>
    <t>500.0   ---&gt;   11.62</t>
  </si>
  <si>
    <t>1000.0   ---&gt;   13.97</t>
  </si>
  <si>
    <t>1500.0   ---&gt;   15.7</t>
  </si>
  <si>
    <t>2000.0   ---&gt;   17.44</t>
  </si>
  <si>
    <t>2500.0   ---&gt;   19.07</t>
  </si>
  <si>
    <t>3000.0   ---&gt;   20.5</t>
  </si>
  <si>
    <t>3500.0   ---&gt;   21.62</t>
  </si>
  <si>
    <t>4000.0   ---&gt;   22.33</t>
  </si>
  <si>
    <t>4500.0   ---&gt;   22.13</t>
  </si>
  <si>
    <t>5000.0   ---&gt;   21.31</t>
  </si>
  <si>
    <t>5500.0   ---&gt;   20.39</t>
  </si>
  <si>
    <t>6000.0   ---&gt;   19.48</t>
  </si>
  <si>
    <t>6500.0   ---&gt;   17.85</t>
  </si>
  <si>
    <t>7000.0   ---&gt;   16.21</t>
  </si>
  <si>
    <t>7500.0   ---&gt;   14.32</t>
  </si>
  <si>
    <t>500.0   ---&gt;   30.75</t>
  </si>
  <si>
    <t>1000.0   ---&gt;   34.0</t>
  </si>
  <si>
    <t>1500.0   ---&gt;   36.88</t>
  </si>
  <si>
    <t>2000.0   ---&gt;   38.75</t>
  </si>
  <si>
    <t>2500.0   ---&gt;   39.88</t>
  </si>
  <si>
    <t>3000.0   ---&gt;   40.88</t>
  </si>
  <si>
    <t>3500.0   ---&gt;   41.63</t>
  </si>
  <si>
    <t>4000.0   ---&gt;   41.97</t>
  </si>
  <si>
    <t>4500.0   ---&gt;   41.13</t>
  </si>
  <si>
    <t>5200.0   ---&gt;   38.6</t>
  </si>
  <si>
    <t>5600.0   ---&gt;   36.38</t>
  </si>
  <si>
    <t>6000.0   ---&gt;   32.38</t>
  </si>
  <si>
    <t>500.0   ---&gt;   15.81</t>
  </si>
  <si>
    <t>1000.0   ---&gt;   18.86</t>
  </si>
  <si>
    <t>1500.0   ---&gt;   20.39</t>
  </si>
  <si>
    <t>2000.0   ---&gt;   21.92</t>
  </si>
  <si>
    <t>2500.0   ---&gt;   22.94</t>
  </si>
  <si>
    <t>3000.0   ---&gt;   24.88</t>
  </si>
  <si>
    <t>3500.0   ---&gt;   24.75</t>
  </si>
  <si>
    <t>4000.0   ---&gt;   24.61</t>
  </si>
  <si>
    <t>4500.0   ---&gt;   24.47</t>
  </si>
  <si>
    <t>5000.0   ---&gt;   23.45</t>
  </si>
  <si>
    <t>5500.0   ---&gt;   22.33</t>
  </si>
  <si>
    <t>6000.0   ---&gt;   21.21</t>
  </si>
  <si>
    <t>6500.0   ---&gt;   20.6</t>
  </si>
  <si>
    <t>7500.0   ---&gt;   18.45</t>
  </si>
  <si>
    <t>8000.0   ---&gt;   16.35</t>
  </si>
  <si>
    <t>500.0   ---&gt;   32.81</t>
  </si>
  <si>
    <t>1000.0   ---&gt;   39.38</t>
  </si>
  <si>
    <t>1500.0   ---&gt;   44.3</t>
  </si>
  <si>
    <t>2000.0   ---&gt;   49.01</t>
  </si>
  <si>
    <t>2500.0   ---&gt;   51.91</t>
  </si>
  <si>
    <t>3000.0   ---&gt;   52.73</t>
  </si>
  <si>
    <t>3500.0   ---&gt;   53.24</t>
  </si>
  <si>
    <t>4000.0   ---&gt;   53.18</t>
  </si>
  <si>
    <t>4500.0   ---&gt;   52.21</t>
  </si>
  <si>
    <t>5000.0   ---&gt;   50.82</t>
  </si>
  <si>
    <t>5500.0   ---&gt;   48.68</t>
  </si>
  <si>
    <t>6000.0   ---&gt;   46.15</t>
  </si>
  <si>
    <t>6500.0   ---&gt;   41.4</t>
  </si>
  <si>
    <t>7000.0   ---&gt;   35.85</t>
  </si>
  <si>
    <t>500.0   ---&gt;   30.59</t>
  </si>
  <si>
    <t>1000.0   ---&gt;   35.63</t>
  </si>
  <si>
    <t>1500.0   ---&gt;   40.62</t>
  </si>
  <si>
    <t>2000.0   ---&gt;   45.26</t>
  </si>
  <si>
    <t>2500.0   ---&gt;   47.6</t>
  </si>
  <si>
    <t>3000.0   ---&gt;   48.8</t>
  </si>
  <si>
    <t>3500.0   ---&gt;   49.94</t>
  </si>
  <si>
    <t>4000.0   ---&gt;   49.53</t>
  </si>
  <si>
    <t>4500.0   ---&gt;   48.56</t>
  </si>
  <si>
    <t>5000.0   ---&gt;   46.94</t>
  </si>
  <si>
    <t>5500.0   ---&gt;   44.41</t>
  </si>
  <si>
    <t>6000.0   ---&gt;   40.72</t>
  </si>
  <si>
    <t>6500.0   ---&gt;   36.8</t>
  </si>
  <si>
    <t>7000.0   ---&gt;   31.78</t>
  </si>
  <si>
    <t>7500.0   ---&gt;   25.65</t>
  </si>
  <si>
    <t>500.0   ---&gt;   19.64</t>
  </si>
  <si>
    <t>1000.0   ---&gt;   20.56</t>
  </si>
  <si>
    <t>1500.0   ---&gt;   21.46</t>
  </si>
  <si>
    <t>2000.0   ---&gt;   22.39</t>
  </si>
  <si>
    <t>2500.0   ---&gt;   23.33</t>
  </si>
  <si>
    <t>3000.0   ---&gt;   24.0</t>
  </si>
  <si>
    <t>3500.0   ---&gt;   24.54</t>
  </si>
  <si>
    <t>4000.0   ---&gt;   24.83</t>
  </si>
  <si>
    <t>4500.0   ---&gt;   25.0</t>
  </si>
  <si>
    <t>5000.0   ---&gt;   24.92</t>
  </si>
  <si>
    <t>5500.0   ---&gt;   24.77</t>
  </si>
  <si>
    <t>6000.0   ---&gt;   24.43</t>
  </si>
  <si>
    <t>6500.0   ---&gt;   22.19</t>
  </si>
  <si>
    <t>7000.0   ---&gt;   19.06</t>
  </si>
  <si>
    <t>500.0   ---&gt;   10.6</t>
  </si>
  <si>
    <t>1000.0   ---&gt;   12.6</t>
  </si>
  <si>
    <t>1500.0   ---&gt;   13.55</t>
  </si>
  <si>
    <t>2000.0   ---&gt;   14.2</t>
  </si>
  <si>
    <t>2500.0   ---&gt;   15.05</t>
  </si>
  <si>
    <t>3000.0   ---&gt;   16.2</t>
  </si>
  <si>
    <t>3500.0   ---&gt;   17.55</t>
  </si>
  <si>
    <t>3900.0   ---&gt;   18.1</t>
  </si>
  <si>
    <t>4300.0   ---&gt;   18.2</t>
  </si>
  <si>
    <t>4900.0   ---&gt;   17.6</t>
  </si>
  <si>
    <t>5300.0   ---&gt;   16.55</t>
  </si>
  <si>
    <t>6000.0   ---&gt;   14.45</t>
  </si>
  <si>
    <t>6500.0   ---&gt;   12.3</t>
  </si>
  <si>
    <t>7000.0   ---&gt;   8.95</t>
  </si>
  <si>
    <t>500.0   ---&gt;   21.0</t>
  </si>
  <si>
    <t>1000.0   ---&gt;   23.4</t>
  </si>
  <si>
    <t>1500.0   ---&gt;   25.1</t>
  </si>
  <si>
    <t>2000.0   ---&gt;   25.9</t>
  </si>
  <si>
    <t>2600.0   ---&gt;   26.8</t>
  </si>
  <si>
    <t>3200.0   ---&gt;   27.9</t>
  </si>
  <si>
    <t>3800.0   ---&gt;   29.3</t>
  </si>
  <si>
    <t>4300.0   ---&gt;   30.1</t>
  </si>
  <si>
    <t>4800.0   ---&gt;   30.6</t>
  </si>
  <si>
    <t>5100.0   ---&gt;   30.5</t>
  </si>
  <si>
    <t>5400.0   ---&gt;   30.2</t>
  </si>
  <si>
    <t>6200.0   ---&gt;   28.8</t>
  </si>
  <si>
    <t>6500.0   ---&gt;   27.3</t>
  </si>
  <si>
    <t>7000.0   ---&gt;   24.0</t>
  </si>
  <si>
    <t>7500.0   ---&gt;   16.6</t>
  </si>
  <si>
    <t>500.0   ---&gt;   22.2</t>
  </si>
  <si>
    <t>1000.0   ---&gt;   24.15</t>
  </si>
  <si>
    <t>1500.0   ---&gt;   25.43</t>
  </si>
  <si>
    <t>2000.0   ---&gt;   26.25</t>
  </si>
  <si>
    <t>2500.0   ---&gt;   26.85</t>
  </si>
  <si>
    <t>3000.0   ---&gt;   27.23</t>
  </si>
  <si>
    <t>3500.0   ---&gt;   27.68</t>
  </si>
  <si>
    <t>4100.0   ---&gt;   28.8</t>
  </si>
  <si>
    <t>4800.0   ---&gt;   29.4</t>
  </si>
  <si>
    <t>5100.0   ---&gt;   29.33</t>
  </si>
  <si>
    <t>5600.0   ---&gt;   29.03</t>
  </si>
  <si>
    <t>6200.0   ---&gt;   27.7</t>
  </si>
  <si>
    <t>6600.0   ---&gt;   25.95</t>
  </si>
  <si>
    <t>7500.0   ---&gt;   21.08</t>
  </si>
  <si>
    <t>500.0   ---&gt;   8.84</t>
  </si>
  <si>
    <t>1000.0   ---&gt;   9.89</t>
  </si>
  <si>
    <t>1500.0   ---&gt;   10.55</t>
  </si>
  <si>
    <t>2000.0   ---&gt;   11.22</t>
  </si>
  <si>
    <t>2500.0   ---&gt;   11.78</t>
  </si>
  <si>
    <t>3000.0   ---&gt;   12.54</t>
  </si>
  <si>
    <t>3500.0   ---&gt;   13.05</t>
  </si>
  <si>
    <t>4000.0   ---&gt;   13.97</t>
  </si>
  <si>
    <t>4500.0   ---&gt;   14.12</t>
  </si>
  <si>
    <t>5200.0   ---&gt;   14.48</t>
  </si>
  <si>
    <t>5500.0   ---&gt;   14.38</t>
  </si>
  <si>
    <t>6000.0   ---&gt;   13.77</t>
  </si>
  <si>
    <t>6600.0   ---&gt;   12.91</t>
  </si>
  <si>
    <t>7000.0   ---&gt;   11.73</t>
  </si>
  <si>
    <t>7500.0   ---&gt;   10.2</t>
  </si>
  <si>
    <t>8000.0   ---&gt;   8.16</t>
  </si>
  <si>
    <t>500.0   ---&gt;   13.5</t>
  </si>
  <si>
    <t>1000.0   ---&gt;   15.2</t>
  </si>
  <si>
    <t>1500.0   ---&gt;   16.7</t>
  </si>
  <si>
    <t>2000.0   ---&gt;   17.85</t>
  </si>
  <si>
    <t>2500.0   ---&gt;   18.75</t>
  </si>
  <si>
    <t>3000.0   ---&gt;   19.3</t>
  </si>
  <si>
    <t>3500.0   ---&gt;   19.7</t>
  </si>
  <si>
    <t>4100.0   ---&gt;   19.8</t>
  </si>
  <si>
    <t>4500.0   ---&gt;   19.55</t>
  </si>
  <si>
    <t>5000.0   ---&gt;   19.0</t>
  </si>
  <si>
    <t>6000.0   ---&gt;   16.3</t>
  </si>
  <si>
    <t>6500.0   ---&gt;   14.45</t>
  </si>
  <si>
    <t>7000.0   ---&gt;   12.1</t>
  </si>
  <si>
    <t>500.0   ---&gt;   8.23</t>
  </si>
  <si>
    <t>1000.0   ---&gt;   9.32</t>
  </si>
  <si>
    <t>1500.0   ---&gt;   9.55</t>
  </si>
  <si>
    <t>2000.0   ---&gt;   9.7</t>
  </si>
  <si>
    <t>2500.0   ---&gt;   9.68</t>
  </si>
  <si>
    <t>3000.0   ---&gt;   9.63</t>
  </si>
  <si>
    <t>3500.0   ---&gt;   9.57</t>
  </si>
  <si>
    <t>4000.0   ---&gt;   9.45</t>
  </si>
  <si>
    <t>4500.0   ---&gt;   9.28</t>
  </si>
  <si>
    <t>5000.0   ---&gt;   8.63</t>
  </si>
  <si>
    <t>5250.0   ---&gt;   8.3</t>
  </si>
  <si>
    <t>5700.0   ---&gt;   7.57</t>
  </si>
  <si>
    <t>6000.0   ---&gt;   7.0</t>
  </si>
  <si>
    <t>6500.0   ---&gt;   6.13</t>
  </si>
  <si>
    <t>500.0   ---&gt;   14.98</t>
  </si>
  <si>
    <t>1000.0   ---&gt;   16.32</t>
  </si>
  <si>
    <t>1500.0   ---&gt;   17.23</t>
  </si>
  <si>
    <t>2000.0   ---&gt;   17.74</t>
  </si>
  <si>
    <t>2500.0   ---&gt;   18.51</t>
  </si>
  <si>
    <t>3000.0   ---&gt;   19.27</t>
  </si>
  <si>
    <t>3500.0   ---&gt;   19.02</t>
  </si>
  <si>
    <t>4000.0   ---&gt;   18.76</t>
  </si>
  <si>
    <t>4500.0   ---&gt;   20.19</t>
  </si>
  <si>
    <t>5000.0   ---&gt;   21.01</t>
  </si>
  <si>
    <t>5500.0   ---&gt;   20.96</t>
  </si>
  <si>
    <t>6000.0   ---&gt;   20.9</t>
  </si>
  <si>
    <t>6500.0   ---&gt;   20.85</t>
  </si>
  <si>
    <t>7500.0   ---&gt;   19.31</t>
  </si>
  <si>
    <t>8000.0   ---&gt;   17.33</t>
  </si>
  <si>
    <t>500.0   ---&gt;   15.28</t>
  </si>
  <si>
    <t>1500.0   ---&gt;   17.34</t>
  </si>
  <si>
    <t>2000.0   ---&gt;   18.35</t>
  </si>
  <si>
    <t>2500.0   ---&gt;   19.27</t>
  </si>
  <si>
    <t>3000.0   ---&gt;   20.19</t>
  </si>
  <si>
    <t>3500.0   ---&gt;   20.04</t>
  </si>
  <si>
    <t>4000.0   ---&gt;   19.88</t>
  </si>
  <si>
    <t>4500.0   ---&gt;   20.14</t>
  </si>
  <si>
    <t>5000.0   ---&gt;   20.39</t>
  </si>
  <si>
    <t>6000.0   ---&gt;   22.43</t>
  </si>
  <si>
    <t>6500.0   ---&gt;   22.48</t>
  </si>
  <si>
    <t>7000.0   ---&gt;   22.54</t>
  </si>
  <si>
    <t>7500.0   ---&gt;   20.9</t>
  </si>
  <si>
    <t>8000.0   ---&gt;   18.6</t>
  </si>
  <si>
    <t>500.0   ---&gt;   15.12</t>
  </si>
  <si>
    <t>1000.0   ---&gt;   17.64</t>
  </si>
  <si>
    <t>1500.0   ---&gt;   19.27</t>
  </si>
  <si>
    <t>2000.0   ---&gt;   20.39</t>
  </si>
  <si>
    <t>2500.0   ---&gt;   20.5</t>
  </si>
  <si>
    <t>3000.0   ---&gt;   20.6</t>
  </si>
  <si>
    <t>3500.0   ---&gt;   21.26</t>
  </si>
  <si>
    <t>4000.0   ---&gt;   21.92</t>
  </si>
  <si>
    <t>4500.0   ---&gt;   21.42</t>
  </si>
  <si>
    <t>5000.0   ---&gt;   20.69</t>
  </si>
  <si>
    <t>5500.0   ---&gt;   20.23</t>
  </si>
  <si>
    <t>6000.0   ---&gt;   19.5</t>
  </si>
  <si>
    <t>6500.0   ---&gt;   18.68</t>
  </si>
  <si>
    <t>7000.0   ---&gt;   17.06</t>
  </si>
  <si>
    <t>7500.0   ---&gt;   14.7</t>
  </si>
  <si>
    <t>8000.0   ---&gt;   12.45</t>
  </si>
  <si>
    <t>500.0   ---&gt;   9.35</t>
  </si>
  <si>
    <t>1000.0   ---&gt;   10.61</t>
  </si>
  <si>
    <t>1500.0   ---&gt;   11.57</t>
  </si>
  <si>
    <t>2000.0   ---&gt;   12.54</t>
  </si>
  <si>
    <t>2500.0   ---&gt;   12.95</t>
  </si>
  <si>
    <t>3000.0   ---&gt;   13.36</t>
  </si>
  <si>
    <t>3500.0   ---&gt;   13.21</t>
  </si>
  <si>
    <t>4000.0   ---&gt;   13.05</t>
  </si>
  <si>
    <t>4500.0   ---&gt;   12.91</t>
  </si>
  <si>
    <t>5000.0   ---&gt;   12.69</t>
  </si>
  <si>
    <t>5500.0   ---&gt;   11.74</t>
  </si>
  <si>
    <t>6000.0   ---&gt;   10.4</t>
  </si>
  <si>
    <t>500.0   ---&gt;   29.64</t>
  </si>
  <si>
    <t>1000.0   ---&gt;   35.83</t>
  </si>
  <si>
    <t>1500.0   ---&gt;   41.26</t>
  </si>
  <si>
    <t>2000.0   ---&gt;   46.28</t>
  </si>
  <si>
    <t>2500.0   ---&gt;   50.85</t>
  </si>
  <si>
    <t>3000.0   ---&gt;   52.33</t>
  </si>
  <si>
    <t>3500.0   ---&gt;   53.3</t>
  </si>
  <si>
    <t>4000.0   ---&gt;   53.1</t>
  </si>
  <si>
    <t>4500.0   ---&gt;   51.85</t>
  </si>
  <si>
    <t>5000.0   ---&gt;   49.82</t>
  </si>
  <si>
    <t>5500.0   ---&gt;   47.2</t>
  </si>
  <si>
    <t>6000.0   ---&gt;   44.77</t>
  </si>
  <si>
    <t>6500.0   ---&gt;   41.3</t>
  </si>
  <si>
    <t>7000.0   ---&gt;   36.84</t>
  </si>
  <si>
    <t>500.0   ---&gt;   35.63</t>
  </si>
  <si>
    <t>1000.0   ---&gt;   41.0</t>
  </si>
  <si>
    <t>1500.0   ---&gt;   43.0</t>
  </si>
  <si>
    <t>2000.0   ---&gt;   44.0</t>
  </si>
  <si>
    <t>3000.0   ---&gt;   44.75</t>
  </si>
  <si>
    <t>3600.0   ---&gt;   44.9</t>
  </si>
  <si>
    <t>4000.0   ---&gt;   44.25</t>
  </si>
  <si>
    <t>4500.0   ---&gt;   42.75</t>
  </si>
  <si>
    <t>5000.0   ---&gt;   40.13</t>
  </si>
  <si>
    <t>5400.0   ---&gt;   37.8</t>
  </si>
  <si>
    <t>500.0   ---&gt;   15.44</t>
  </si>
  <si>
    <t>1000.0   ---&gt;   17.54</t>
  </si>
  <si>
    <t>2000.0   ---&gt;   20.19</t>
  </si>
  <si>
    <t>3000.0   ---&gt;   20.83</t>
  </si>
  <si>
    <t>3500.0   ---&gt;   21.21</t>
  </si>
  <si>
    <t>4500.0   ---&gt;   21.85</t>
  </si>
  <si>
    <t>5000.0   ---&gt;   21.27</t>
  </si>
  <si>
    <t>5500.0   ---&gt;   20.99</t>
  </si>
  <si>
    <t>6500.0   ---&gt;   19.45</t>
  </si>
  <si>
    <t>7000.0   ---&gt;   17.75</t>
  </si>
  <si>
    <t>7500.0   ---&gt;   15.45</t>
  </si>
  <si>
    <t>8000.0   ---&gt;   12.23</t>
  </si>
  <si>
    <t>500.0   ---&gt;   17.99</t>
  </si>
  <si>
    <t>1000.0   ---&gt;   24.07</t>
  </si>
  <si>
    <t>1500.0   ---&gt;   29.06</t>
  </si>
  <si>
    <t>5000.0   ---&gt;   35.69</t>
  </si>
  <si>
    <t>5500.0   ---&gt;   35.69</t>
  </si>
  <si>
    <t>6000.0   ---&gt;   35.69</t>
  </si>
  <si>
    <t>6500.0   ---&gt;   32.63</t>
  </si>
  <si>
    <t>7500.0   ---&gt;   19.0</t>
  </si>
  <si>
    <t>500.0   ---&gt;   28.4</t>
  </si>
  <si>
    <t>1000.0   ---&gt;   31.0</t>
  </si>
  <si>
    <t>1500.0   ---&gt;   32.3</t>
  </si>
  <si>
    <t>2000.0   ---&gt;   33.2</t>
  </si>
  <si>
    <t>2500.0   ---&gt;   34.0</t>
  </si>
  <si>
    <t>3000.0   ---&gt;   34.6</t>
  </si>
  <si>
    <t>3750.0   ---&gt;   35.5</t>
  </si>
  <si>
    <t>4200.0   ---&gt;   34.5</t>
  </si>
  <si>
    <t>4600.0   ---&gt;   32.9</t>
  </si>
  <si>
    <t>5000.0   ---&gt;   31.2</t>
  </si>
  <si>
    <t>5500.0   ---&gt;   28.6</t>
  </si>
  <si>
    <t>6000.0   ---&gt;   25.3</t>
  </si>
  <si>
    <t>500.0   ---&gt;   13.19</t>
  </si>
  <si>
    <t>1000.0   ---&gt;   14.17</t>
  </si>
  <si>
    <t>1500.0   ---&gt;   14.99</t>
  </si>
  <si>
    <t>2000.0   ---&gt;   15.5</t>
  </si>
  <si>
    <t>2500.0   ---&gt;   16.06</t>
  </si>
  <si>
    <t>3500.0   ---&gt;   16.62</t>
  </si>
  <si>
    <t>4000.0   ---&gt;   16.93</t>
  </si>
  <si>
    <t>4400.0   ---&gt;   17.44</t>
  </si>
  <si>
    <t>5000.0   ---&gt;   17.13</t>
  </si>
  <si>
    <t>5500.0   ---&gt;   16.72</t>
  </si>
  <si>
    <t>6000.0   ---&gt;   16.32</t>
  </si>
  <si>
    <t>6500.0   ---&gt;   15.37</t>
  </si>
  <si>
    <t>7000.0   ---&gt;   14.05</t>
  </si>
  <si>
    <t>500.0   ---&gt;   10.2</t>
  </si>
  <si>
    <t>1000.0   ---&gt;   11.5</t>
  </si>
  <si>
    <t>1500.0   ---&gt;   12.0</t>
  </si>
  <si>
    <t>2000.0   ---&gt;   12.0</t>
  </si>
  <si>
    <t>2500.0   ---&gt;   12.1</t>
  </si>
  <si>
    <t>3000.0   ---&gt;   12.2</t>
  </si>
  <si>
    <t>3500.0   ---&gt;   13.3</t>
  </si>
  <si>
    <t>4000.0   ---&gt;   14.6</t>
  </si>
  <si>
    <t>4500.0   ---&gt;   14.7</t>
  </si>
  <si>
    <t>5000.0   ---&gt;   14.4</t>
  </si>
  <si>
    <t>5500.0   ---&gt;   13.6</t>
  </si>
  <si>
    <t>6000.0   ---&gt;   13.12</t>
  </si>
  <si>
    <t>6500.0   ---&gt;   11.83</t>
  </si>
  <si>
    <t>7000.0   ---&gt;   10.25</t>
  </si>
  <si>
    <t>500.0   ---&gt;   20.71</t>
  </si>
  <si>
    <t>1000.0   ---&gt;   30.33</t>
  </si>
  <si>
    <t>1500.0   ---&gt;   34.23</t>
  </si>
  <si>
    <t>5000.0   ---&gt;   34.67</t>
  </si>
  <si>
    <t>6000.0   ---&gt;   29.5</t>
  </si>
  <si>
    <t>6500.0   ---&gt;   26.3</t>
  </si>
  <si>
    <t>7000.0   ---&gt;   22.9</t>
  </si>
  <si>
    <t>500.0   ---&gt;   30.88</t>
  </si>
  <si>
    <t>1000.0   ---&gt;   33.38</t>
  </si>
  <si>
    <t>1500.0   ---&gt;   35.13</t>
  </si>
  <si>
    <t>2000.0   ---&gt;   36.38</t>
  </si>
  <si>
    <t>2500.0   ---&gt;   37.5</t>
  </si>
  <si>
    <t>3000.0   ---&gt;   38.63</t>
  </si>
  <si>
    <t>3500.0   ---&gt;   39.75</t>
  </si>
  <si>
    <t>4000.0   ---&gt;   40.38</t>
  </si>
  <si>
    <t>4400.0   ---&gt;   40.8</t>
  </si>
  <si>
    <t>5500.0   ---&gt;   38.0</t>
  </si>
  <si>
    <t>6000.0   ---&gt;   36.2</t>
  </si>
  <si>
    <t>6500.0   ---&gt;   33.13</t>
  </si>
  <si>
    <t>7000.0   ---&gt;   29.38</t>
  </si>
  <si>
    <t>500.0   ---&gt;   13.92</t>
  </si>
  <si>
    <t>1000.0   ---&gt;   15.29</t>
  </si>
  <si>
    <t>1500.0   ---&gt;   16.11</t>
  </si>
  <si>
    <t>2000.0   ---&gt;   16.42</t>
  </si>
  <si>
    <t>2500.0   ---&gt;   16.7</t>
  </si>
  <si>
    <t>3000.0   ---&gt;   16.8</t>
  </si>
  <si>
    <t>3500.0   ---&gt;   17.26</t>
  </si>
  <si>
    <t>4000.0   ---&gt;   17.54</t>
  </si>
  <si>
    <t>4500.0   ---&gt;   17.44</t>
  </si>
  <si>
    <t>5000.0   ---&gt;   17.34</t>
  </si>
  <si>
    <t>5500.0   ---&gt;   17.03</t>
  </si>
  <si>
    <t>6000.0   ---&gt;   17.47</t>
  </si>
  <si>
    <t>6500.0   ---&gt;   17.91</t>
  </si>
  <si>
    <t>7000.0   ---&gt;   18.35</t>
  </si>
  <si>
    <t>7500.0   ---&gt;   18.09</t>
  </si>
  <si>
    <t>8000.0   ---&gt;   16.65</t>
  </si>
  <si>
    <t>8500.0   ---&gt;   14.95</t>
  </si>
  <si>
    <t>9000.0   ---&gt;   13.0</t>
  </si>
  <si>
    <t>500.0   ---&gt;   28.1</t>
  </si>
  <si>
    <t>1500.0   ---&gt;   32.9</t>
  </si>
  <si>
    <t>2000.0   ---&gt;   34.1</t>
  </si>
  <si>
    <t>2500.0   ---&gt;   34.5</t>
  </si>
  <si>
    <t>2800.0   ---&gt;   34.6</t>
  </si>
  <si>
    <t>3300.0   ---&gt;   34.4</t>
  </si>
  <si>
    <t>4000.0   ---&gt;   33.4</t>
  </si>
  <si>
    <t>4400.0   ---&gt;   31.5</t>
  </si>
  <si>
    <t>5000.0   ---&gt;   27.7</t>
  </si>
  <si>
    <t>5500.0   ---&gt;   24.3</t>
  </si>
  <si>
    <t>6000.0   ---&gt;   20.1</t>
  </si>
  <si>
    <t>500.0   ---&gt;   14.65</t>
  </si>
  <si>
    <t>1000.0   ---&gt;   15.35</t>
  </si>
  <si>
    <t>1500.0   ---&gt;   15.85</t>
  </si>
  <si>
    <t>2000.0   ---&gt;   16.4</t>
  </si>
  <si>
    <t>2500.0   ---&gt;   17.2</t>
  </si>
  <si>
    <t>3000.0   ---&gt;   18.1</t>
  </si>
  <si>
    <t>3500.0   ---&gt;   18.85</t>
  </si>
  <si>
    <t>4150.0   ---&gt;   19.2</t>
  </si>
  <si>
    <t>4500.0   ---&gt;   19.15</t>
  </si>
  <si>
    <t>5100.0   ---&gt;   18.75</t>
  </si>
  <si>
    <t>5700.0   ---&gt;   17.8</t>
  </si>
  <si>
    <t>6000.0   ---&gt;   16.8</t>
  </si>
  <si>
    <t>6500.0   ---&gt;   14.75</t>
  </si>
  <si>
    <t>7000.0   ---&gt;   11.55</t>
  </si>
  <si>
    <t>500.0   ---&gt;   57.58</t>
  </si>
  <si>
    <t>1000.0   ---&gt;   61.6</t>
  </si>
  <si>
    <t>1500.0   ---&gt;   64.4</t>
  </si>
  <si>
    <t>2000.0   ---&gt;   66.33</t>
  </si>
  <si>
    <t>2500.0   ---&gt;   67.2</t>
  </si>
  <si>
    <t>3000.0   ---&gt;   67.38</t>
  </si>
  <si>
    <t>3700.0   ---&gt;   66.82</t>
  </si>
  <si>
    <t>4000.0   ---&gt;   66.33</t>
  </si>
  <si>
    <t>4700.0   ---&gt;   63.88</t>
  </si>
  <si>
    <t>5200.0   ---&gt;   59.17</t>
  </si>
  <si>
    <t>5600.0   ---&gt;   54.08</t>
  </si>
  <si>
    <t>6000.0   ---&gt;   47.26</t>
  </si>
  <si>
    <t>6500.0   ---&gt;   37.45</t>
  </si>
  <si>
    <t>500.0   ---&gt;   3.1</t>
  </si>
  <si>
    <t>1000.0   ---&gt;   3.72</t>
  </si>
  <si>
    <t>1500.0   ---&gt;   4.25</t>
  </si>
  <si>
    <t>2000.0   ---&gt;   4.73</t>
  </si>
  <si>
    <t>2500.0   ---&gt;   5.04</t>
  </si>
  <si>
    <t>3000.0   ---&gt;   5.13</t>
  </si>
  <si>
    <t>3500.0   ---&gt;   5.25</t>
  </si>
  <si>
    <t>4000.0   ---&gt;   5.33</t>
  </si>
  <si>
    <t>4500.0   ---&gt;   5.36</t>
  </si>
  <si>
    <t>5000.0   ---&gt;   5.46</t>
  </si>
  <si>
    <t>5500.0   ---&gt;   5.69</t>
  </si>
  <si>
    <t>6000.0   ---&gt;   6.0</t>
  </si>
  <si>
    <t>6500.0   ---&gt;   6.1</t>
  </si>
  <si>
    <t>7000.0   ---&gt;   6.1</t>
  </si>
  <si>
    <t>7500.0   ---&gt;   5.95</t>
  </si>
  <si>
    <t>8000.0   ---&gt;   5.72</t>
  </si>
  <si>
    <t>8500.0   ---&gt;   5.38</t>
  </si>
  <si>
    <t>9000.0   ---&gt;   4.78</t>
  </si>
  <si>
    <t>9500.0   ---&gt;   4.07</t>
  </si>
  <si>
    <t>10000.0   ---&gt;   3.15</t>
  </si>
  <si>
    <t>500.0   ---&gt;   5.41</t>
  </si>
  <si>
    <t>1000.0   ---&gt;   7.09</t>
  </si>
  <si>
    <t>1500.0   ---&gt;   8.66</t>
  </si>
  <si>
    <t>2000.0   ---&gt;   9.92</t>
  </si>
  <si>
    <t>2500.0   ---&gt;   10.91</t>
  </si>
  <si>
    <t>3000.0   ---&gt;   11.11</t>
  </si>
  <si>
    <t>3500.0   ---&gt;   10.91</t>
  </si>
  <si>
    <t>4500.0   ---&gt;   9.69</t>
  </si>
  <si>
    <t>5000.0   ---&gt;   8.97</t>
  </si>
  <si>
    <t>5500.0   ---&gt;   8.31</t>
  </si>
  <si>
    <t>6000.0   ---&gt;   7.65</t>
  </si>
  <si>
    <t>6500.0   ---&gt;   6.99</t>
  </si>
  <si>
    <t>7000.0   ---&gt;   6.32</t>
  </si>
  <si>
    <t>7500.0   ---&gt;   5.61</t>
  </si>
  <si>
    <t>8000.0   ---&gt;   4.8</t>
  </si>
  <si>
    <t>8500.0   ---&gt;   4.05</t>
  </si>
  <si>
    <t>9000.0   ---&gt;   3.35</t>
  </si>
  <si>
    <t>500.0   ---&gt;   13.73</t>
  </si>
  <si>
    <t>1000.0   ---&gt;   15.45</t>
  </si>
  <si>
    <t>1500.0   ---&gt;   16.73</t>
  </si>
  <si>
    <t>2000.0   ---&gt;   17.55</t>
  </si>
  <si>
    <t>3000.0   ---&gt;   17.63</t>
  </si>
  <si>
    <t>3500.0   ---&gt;   17.92</t>
  </si>
  <si>
    <t>4000.0   ---&gt;   18.98</t>
  </si>
  <si>
    <t>4500.0   ---&gt;   19.95</t>
  </si>
  <si>
    <t>5000.0   ---&gt;   20.33</t>
  </si>
  <si>
    <t>5400.0   ---&gt;   20.4</t>
  </si>
  <si>
    <t>6000.0   ---&gt;   19.8</t>
  </si>
  <si>
    <t>6250.0   ---&gt;   19.3</t>
  </si>
  <si>
    <t>7000.0   ---&gt;   17.02</t>
  </si>
  <si>
    <t>7500.0   ---&gt;   15.15</t>
  </si>
  <si>
    <t>500.0   ---&gt;   32.55</t>
  </si>
  <si>
    <t>1000.0   ---&gt;   39.15</t>
  </si>
  <si>
    <t>1500.0   ---&gt;   43.95</t>
  </si>
  <si>
    <t>2000.0   ---&gt;   47.25</t>
  </si>
  <si>
    <t>2500.0   ---&gt;   49.2</t>
  </si>
  <si>
    <t>3000.0   ---&gt;   50.7</t>
  </si>
  <si>
    <t>3500.0   ---&gt;   51.3</t>
  </si>
  <si>
    <t>4000.0   ---&gt;   51.8</t>
  </si>
  <si>
    <t>4500.0   ---&gt;   51.75</t>
  </si>
  <si>
    <t>4800.0   ---&gt;   51.3</t>
  </si>
  <si>
    <t>5200.0   ---&gt;   48.8</t>
  </si>
  <si>
    <t>6000.0   ---&gt;   41.7</t>
  </si>
  <si>
    <t>500.0   ---&gt;   20.84</t>
  </si>
  <si>
    <t>1000.0   ---&gt;   22.33</t>
  </si>
  <si>
    <t>1500.0   ---&gt;   23.4</t>
  </si>
  <si>
    <t>2500.0   ---&gt;   25.54</t>
  </si>
  <si>
    <t>3000.0   ---&gt;   26.61</t>
  </si>
  <si>
    <t>3500.0   ---&gt;   27.53</t>
  </si>
  <si>
    <t>4000.0   ---&gt;   28.45</t>
  </si>
  <si>
    <t>4500.0   ---&gt;   29.47</t>
  </si>
  <si>
    <t>5000.0   ---&gt;   28.45</t>
  </si>
  <si>
    <t>5500.0   ---&gt;   27.48</t>
  </si>
  <si>
    <t>6000.0   ---&gt;   26.26</t>
  </si>
  <si>
    <t>6500.0   ---&gt;   24.07</t>
  </si>
  <si>
    <t>7000.0   ---&gt;   21.15</t>
  </si>
  <si>
    <t>500.0   ---&gt;   19.5</t>
  </si>
  <si>
    <t>1000.0   ---&gt;   22.54</t>
  </si>
  <si>
    <t>1500.0   ---&gt;   25.39</t>
  </si>
  <si>
    <t>2000.0   ---&gt;   26.72</t>
  </si>
  <si>
    <t>2500.0   ---&gt;   27.63</t>
  </si>
  <si>
    <t>3000.0   ---&gt;   28.55</t>
  </si>
  <si>
    <t>3500.0   ---&gt;   28.86</t>
  </si>
  <si>
    <t>4000.0   ---&gt;   29.06</t>
  </si>
  <si>
    <t>4500.0   ---&gt;   28.6</t>
  </si>
  <si>
    <t>5000.0   ---&gt;   27.84</t>
  </si>
  <si>
    <t>5500.0   ---&gt;   26.43</t>
  </si>
  <si>
    <t>6000.0   ---&gt;   24.62</t>
  </si>
  <si>
    <t>6500.0   ---&gt;   22.33</t>
  </si>
  <si>
    <t>7000.0   ---&gt;   18.68</t>
  </si>
  <si>
    <t>500.0   ---&gt;   18.59</t>
  </si>
  <si>
    <t>1000.0   ---&gt;   26.27</t>
  </si>
  <si>
    <t>2000.0   ---&gt;   32.09</t>
  </si>
  <si>
    <t>2500.0   ---&gt;   32.09</t>
  </si>
  <si>
    <t>3000.0   ---&gt;   32.09</t>
  </si>
  <si>
    <t>3500.0   ---&gt;   32.09</t>
  </si>
  <si>
    <t>4000.0   ---&gt;   32.09</t>
  </si>
  <si>
    <t>4500.0   ---&gt;   32.09</t>
  </si>
  <si>
    <t>5000.0   ---&gt;   32.09</t>
  </si>
  <si>
    <t>5500.0   ---&gt;   32.09</t>
  </si>
  <si>
    <t>6000.0   ---&gt;   32.09</t>
  </si>
  <si>
    <t>6500.0   ---&gt;   30.63</t>
  </si>
  <si>
    <t>7000.0   ---&gt;   28.0</t>
  </si>
  <si>
    <t>7500.0   ---&gt;   24.4</t>
  </si>
  <si>
    <t>500.0   ---&gt;   17.28</t>
  </si>
  <si>
    <t>1000.0   ---&gt;   19.38</t>
  </si>
  <si>
    <t>1500.0   ---&gt;   21.0</t>
  </si>
  <si>
    <t>2000.0   ---&gt;   21.8</t>
  </si>
  <si>
    <t>2500.0   ---&gt;   22.5</t>
  </si>
  <si>
    <t>3000.0   ---&gt;   22.15</t>
  </si>
  <si>
    <t>3500.0   ---&gt;   22.68</t>
  </si>
  <si>
    <t>4000.0   ---&gt;   22.45</t>
  </si>
  <si>
    <t>4500.0   ---&gt;   22.63</t>
  </si>
  <si>
    <t>5000.0   ---&gt;   22.2</t>
  </si>
  <si>
    <t>5500.0   ---&gt;   21.26</t>
  </si>
  <si>
    <t>6000.0   ---&gt;   19.75</t>
  </si>
  <si>
    <t>6500.0   ---&gt;   17.89</t>
  </si>
  <si>
    <t>7000.0   ---&gt;   15.77</t>
  </si>
  <si>
    <t>500.0   ---&gt;   18.0</t>
  </si>
  <si>
    <t>1000.0   ---&gt;   20.13</t>
  </si>
  <si>
    <t>1500.0   ---&gt;   21.63</t>
  </si>
  <si>
    <t>2000.0   ---&gt;   23.0</t>
  </si>
  <si>
    <t>2500.0   ---&gt;   24.13</t>
  </si>
  <si>
    <t>3000.0   ---&gt;   25.63</t>
  </si>
  <si>
    <t>3500.0   ---&gt;   26.88</t>
  </si>
  <si>
    <t>4000.0   ---&gt;   29.0</t>
  </si>
  <si>
    <t>4500.0   ---&gt;   31.63</t>
  </si>
  <si>
    <t>5200.0   ---&gt;   34.75</t>
  </si>
  <si>
    <t>5750.0   ---&gt;   35.72</t>
  </si>
  <si>
    <t>6000.0   ---&gt;   35.63</t>
  </si>
  <si>
    <t>6500.0   ---&gt;   34.63</t>
  </si>
  <si>
    <t>7000.0   ---&gt;   32.63</t>
  </si>
  <si>
    <t>7500.0   ---&gt;   30.53</t>
  </si>
  <si>
    <t>8000.0   ---&gt;   25.0</t>
  </si>
  <si>
    <t>500.0   ---&gt;   4.05</t>
  </si>
  <si>
    <t>1500.0   ---&gt;   5.4</t>
  </si>
  <si>
    <t>2000.0   ---&gt;   5.83</t>
  </si>
  <si>
    <t>2500.0   ---&gt;   6.13</t>
  </si>
  <si>
    <t>3000.0   ---&gt;   6.33</t>
  </si>
  <si>
    <t>3500.0   ---&gt;   6.4</t>
  </si>
  <si>
    <t>4000.0   ---&gt;   6.4</t>
  </si>
  <si>
    <t>4500.0   ---&gt;   6.38</t>
  </si>
  <si>
    <t>5000.0   ---&gt;   6.33</t>
  </si>
  <si>
    <t>5500.0   ---&gt;   6.25</t>
  </si>
  <si>
    <t>6000.0   ---&gt;   6.13</t>
  </si>
  <si>
    <t>6500.0   ---&gt;   6.0</t>
  </si>
  <si>
    <t>7000.0   ---&gt;   5.5</t>
  </si>
  <si>
    <t>7500.0   ---&gt;   4.48</t>
  </si>
  <si>
    <t>500.0   ---&gt;   14.02</t>
  </si>
  <si>
    <t>1000.0   ---&gt;   15.07</t>
  </si>
  <si>
    <t>2000.0   ---&gt;   16.39</t>
  </si>
  <si>
    <t>2500.0   ---&gt;   16.27</t>
  </si>
  <si>
    <t>3000.0   ---&gt;   16.47</t>
  </si>
  <si>
    <t>3500.0   ---&gt;   16.88</t>
  </si>
  <si>
    <t>4000.0   ---&gt;   17.0</t>
  </si>
  <si>
    <t>4500.0   ---&gt;   17.06</t>
  </si>
  <si>
    <t>5000.0   ---&gt;   17.1</t>
  </si>
  <si>
    <t>5500.0   ---&gt;   17.0</t>
  </si>
  <si>
    <t>6500.0   ---&gt;   18.28</t>
  </si>
  <si>
    <t>6800.0   ---&gt;   18.42</t>
  </si>
  <si>
    <t>7500.0   ---&gt;   18.06</t>
  </si>
  <si>
    <t>8000.0   ---&gt;   16.6</t>
  </si>
  <si>
    <t>8500.0   ---&gt;   13.05</t>
  </si>
  <si>
    <t>500.0   ---&gt;   20.25</t>
  </si>
  <si>
    <t>1000.0   ---&gt;   24.38</t>
  </si>
  <si>
    <t>1500.0   ---&gt;   27.13</t>
  </si>
  <si>
    <t>2000.0   ---&gt;   29.5</t>
  </si>
  <si>
    <t>2500.0   ---&gt;   32.0</t>
  </si>
  <si>
    <t>3000.0   ---&gt;   34.25</t>
  </si>
  <si>
    <t>3500.0   ---&gt;   36.25</t>
  </si>
  <si>
    <t>4000.0   ---&gt;   37.75</t>
  </si>
  <si>
    <t>4500.0   ---&gt;   39.25</t>
  </si>
  <si>
    <t>5000.0   ---&gt;   40.88</t>
  </si>
  <si>
    <t>5500.0   ---&gt;   42.13</t>
  </si>
  <si>
    <t>6000.0   ---&gt;   42.13</t>
  </si>
  <si>
    <t>6500.0   ---&gt;   41.38</t>
  </si>
  <si>
    <t>6750.0   ---&gt;   40.3</t>
  </si>
  <si>
    <t>7000.0   ---&gt;   38.26</t>
  </si>
  <si>
    <t>7500.0   ---&gt;   32.5</t>
  </si>
  <si>
    <t>1000.0   ---&gt;   13.65</t>
  </si>
  <si>
    <t>1500.0   ---&gt;   14.78</t>
  </si>
  <si>
    <t>2000.0   ---&gt;   15.23</t>
  </si>
  <si>
    <t>2500.0   ---&gt;   15.53</t>
  </si>
  <si>
    <t>3000.0   ---&gt;   15.6</t>
  </si>
  <si>
    <t>3500.0   ---&gt;   15.75</t>
  </si>
  <si>
    <t>4000.0   ---&gt;   16.13</t>
  </si>
  <si>
    <t>4500.0   ---&gt;   16.73</t>
  </si>
  <si>
    <t>5000.0   ---&gt;   17.78</t>
  </si>
  <si>
    <t>5500.0   ---&gt;   19.28</t>
  </si>
  <si>
    <t>6000.0   ---&gt;   20.4</t>
  </si>
  <si>
    <t>6400.0   ---&gt;   20.6</t>
  </si>
  <si>
    <t>7000.0   ---&gt;   20.18</t>
  </si>
  <si>
    <t>7300.0   ---&gt;   19.58</t>
  </si>
  <si>
    <t>8000.0   ---&gt;   17.25</t>
  </si>
  <si>
    <t>500.0   ---&gt;   43.32</t>
  </si>
  <si>
    <t>1000.0   ---&gt;   43.64</t>
  </si>
  <si>
    <t>1500.0   ---&gt;   43.84</t>
  </si>
  <si>
    <t>2000.0   ---&gt;   43.82</t>
  </si>
  <si>
    <t>2500.0   ---&gt;   43.92</t>
  </si>
  <si>
    <t>3000.0   ---&gt;   44.03</t>
  </si>
  <si>
    <t>3500.0   ---&gt;   40.09</t>
  </si>
  <si>
    <t>4000.0   ---&gt;   34.99</t>
  </si>
  <si>
    <t>4500.0   ---&gt;   29.63</t>
  </si>
  <si>
    <t>5000.0   ---&gt;   0.0</t>
  </si>
  <si>
    <t>5500.0   ---&gt;   0.0</t>
  </si>
  <si>
    <t>500.0   ---&gt;   27.85</t>
  </si>
  <si>
    <t>1000.0   ---&gt;   30.99</t>
  </si>
  <si>
    <t>1500.0   ---&gt;   32.23</t>
  </si>
  <si>
    <t>2000.0   ---&gt;   31.71</t>
  </si>
  <si>
    <t>2500.0   ---&gt;   34.67</t>
  </si>
  <si>
    <t>3000.0   ---&gt;   36.0</t>
  </si>
  <si>
    <t>3500.0   ---&gt;   35.08</t>
  </si>
  <si>
    <t>4000.0   ---&gt;   34.16</t>
  </si>
  <si>
    <t>4500.0   ---&gt;   32.04</t>
  </si>
  <si>
    <t>5000.0   ---&gt;   31.1</t>
  </si>
  <si>
    <t>5500.0   ---&gt;   30.01</t>
  </si>
  <si>
    <t>6000.0   ---&gt;   28.6</t>
  </si>
  <si>
    <t>6500.0   ---&gt;   25.94</t>
  </si>
  <si>
    <t>7000.0   ---&gt;   22.7</t>
  </si>
  <si>
    <t>500.0   ---&gt;   21.25</t>
  </si>
  <si>
    <t>1000.0   ---&gt;   22.38</t>
  </si>
  <si>
    <t>1500.0   ---&gt;   23.67</t>
  </si>
  <si>
    <t>2500.0   ---&gt;   32.63</t>
  </si>
  <si>
    <t>3000.0   ---&gt;   37.25</t>
  </si>
  <si>
    <t>3500.0   ---&gt;   40.88</t>
  </si>
  <si>
    <t>4000.0   ---&gt;   42.92</t>
  </si>
  <si>
    <t>4500.0   ---&gt;   43.88</t>
  </si>
  <si>
    <t>5000.0   ---&gt;   44.65</t>
  </si>
  <si>
    <t>5600.0   ---&gt;   45.0</t>
  </si>
  <si>
    <t>6000.0   ---&gt;   44.71</t>
  </si>
  <si>
    <t>6500.0   ---&gt;   43.35</t>
  </si>
  <si>
    <t>6800.0   ---&gt;   42.0</t>
  </si>
  <si>
    <t>7500.0   ---&gt;   37.88</t>
  </si>
  <si>
    <t>8000.0   ---&gt;   35.01</t>
  </si>
  <si>
    <t>8500.0   ---&gt;   31.88</t>
  </si>
  <si>
    <t>9000.0   ---&gt;   26.75</t>
  </si>
  <si>
    <t>500.0   ---&gt;   16.91</t>
  </si>
  <si>
    <t>1000.0   ---&gt;   19.19</t>
  </si>
  <si>
    <t>1500.0   ---&gt;   20.42</t>
  </si>
  <si>
    <t>2000.0   ---&gt;   22.32</t>
  </si>
  <si>
    <t>2500.0   ---&gt;   25.5</t>
  </si>
  <si>
    <t>3000.0   ---&gt;   27.8</t>
  </si>
  <si>
    <t>3500.0   ---&gt;   28.85</t>
  </si>
  <si>
    <t>4000.0   ---&gt;   29.2</t>
  </si>
  <si>
    <t>4500.0   ---&gt;   29.55</t>
  </si>
  <si>
    <t>5000.0   ---&gt;   30.2</t>
  </si>
  <si>
    <t>5500.0   ---&gt;   30.53</t>
  </si>
  <si>
    <t>6000.0   ---&gt;   30.87</t>
  </si>
  <si>
    <t>6500.0   ---&gt;   31.0</t>
  </si>
  <si>
    <t>7000.0   ---&gt;   28.25</t>
  </si>
  <si>
    <t>7500.0   ---&gt;   25.1</t>
  </si>
  <si>
    <t>8000.0   ---&gt;   20.0</t>
  </si>
  <si>
    <t>500.0   ---&gt;   13.78</t>
  </si>
  <si>
    <t>1000.0   ---&gt;   15.81</t>
  </si>
  <si>
    <t>1500.0   ---&gt;   16.93</t>
  </si>
  <si>
    <t>2500.0   ---&gt;   18.0</t>
  </si>
  <si>
    <t>3500.0   ---&gt;   19.88</t>
  </si>
  <si>
    <t>4000.0   ---&gt;   20.39</t>
  </si>
  <si>
    <t>4500.0   ---&gt;   19.88</t>
  </si>
  <si>
    <t>5000.0   ---&gt;   19.37</t>
  </si>
  <si>
    <t>5500.0   ---&gt;   18.61</t>
  </si>
  <si>
    <t>6000.0   ---&gt;   17.77</t>
  </si>
  <si>
    <t>6500.0   ---&gt;   15.97</t>
  </si>
  <si>
    <t>7000.0   ---&gt;   13.13</t>
  </si>
  <si>
    <t>500.0   ---&gt;   8.0</t>
  </si>
  <si>
    <t>1000.0   ---&gt;   10.25</t>
  </si>
  <si>
    <t>1500.0   ---&gt;   11.7</t>
  </si>
  <si>
    <t>2000.0   ---&gt;   12.5</t>
  </si>
  <si>
    <t>2500.0   ---&gt;   12.9</t>
  </si>
  <si>
    <t>3000.0   ---&gt;   13.15</t>
  </si>
  <si>
    <t>3500.0   ---&gt;   13.5</t>
  </si>
  <si>
    <t>4000.0   ---&gt;   14.0</t>
  </si>
  <si>
    <t>4700.0   ---&gt;   14.65</t>
  </si>
  <si>
    <t>5200.0   ---&gt;   14.7</t>
  </si>
  <si>
    <t>5700.0   ---&gt;   14.35</t>
  </si>
  <si>
    <t>6200.0   ---&gt;   13.65</t>
  </si>
  <si>
    <t>6600.0   ---&gt;   13.0</t>
  </si>
  <si>
    <t>7500.0   ---&gt;   8.8</t>
  </si>
  <si>
    <t>500.0   ---&gt;   23.45</t>
  </si>
  <si>
    <t>1000.0   ---&gt;   27.53</t>
  </si>
  <si>
    <t>1500.0   ---&gt;   31.61</t>
  </si>
  <si>
    <t>2000.0   ---&gt;   33.45</t>
  </si>
  <si>
    <t>3000.0   ---&gt;   35.18</t>
  </si>
  <si>
    <t>3500.0   ---&gt;   35.48</t>
  </si>
  <si>
    <t>4000.0   ---&gt;   36.03</t>
  </si>
  <si>
    <t>4500.0   ---&gt;   36.41</t>
  </si>
  <si>
    <t>4800.0   ---&gt;   37.02</t>
  </si>
  <si>
    <t>5500.0   ---&gt;   35.38</t>
  </si>
  <si>
    <t>6000.0   ---&gt;   33.33</t>
  </si>
  <si>
    <t>6500.0   ---&gt;   29.9</t>
  </si>
  <si>
    <t>7000.0   ---&gt;   24.7</t>
  </si>
  <si>
    <t>1000.0   ---&gt;   13.7</t>
  </si>
  <si>
    <t>1500.0   ---&gt;   15.8</t>
  </si>
  <si>
    <t>2000.0   ---&gt;   17.93</t>
  </si>
  <si>
    <t>2500.0   ---&gt;   19.83</t>
  </si>
  <si>
    <t>3000.0   ---&gt;   21.45</t>
  </si>
  <si>
    <t>3500.0   ---&gt;   22.53</t>
  </si>
  <si>
    <t>4000.0   ---&gt;   23.08</t>
  </si>
  <si>
    <t>4500.0   ---&gt;   22.85</t>
  </si>
  <si>
    <t>5000.0   ---&gt;   21.8</t>
  </si>
  <si>
    <t>5500.0   ---&gt;   20.8</t>
  </si>
  <si>
    <t>6000.0   ---&gt;   18.75</t>
  </si>
  <si>
    <t>6500.0   ---&gt;   15.8</t>
  </si>
  <si>
    <t>1000.0   ---&gt;   10.45</t>
  </si>
  <si>
    <t>1500.0   ---&gt;   11.4</t>
  </si>
  <si>
    <t>2000.0   ---&gt;   12.05</t>
  </si>
  <si>
    <t>2500.0   ---&gt;   12.45</t>
  </si>
  <si>
    <t>3000.0   ---&gt;   12.85</t>
  </si>
  <si>
    <t>3500.0   ---&gt;   13.2</t>
  </si>
  <si>
    <t>4000.0   ---&gt;   13.75</t>
  </si>
  <si>
    <t>4500.0   ---&gt;   14.55</t>
  </si>
  <si>
    <t>5000.0   ---&gt;   14.75</t>
  </si>
  <si>
    <t>5500.0   ---&gt;   14.6</t>
  </si>
  <si>
    <t>6000.0   ---&gt;   14.1</t>
  </si>
  <si>
    <t>6500.0   ---&gt;   13.5</t>
  </si>
  <si>
    <t>7000.0   ---&gt;   12.15</t>
  </si>
  <si>
    <t>7500.0   ---&gt;   10.25</t>
  </si>
  <si>
    <t>8000.0   ---&gt;   7.9</t>
  </si>
  <si>
    <t>500.0   ---&gt;   3.4</t>
  </si>
  <si>
    <t>1000.0   ---&gt;   3.57</t>
  </si>
  <si>
    <t>1500.0   ---&gt;   3.69</t>
  </si>
  <si>
    <t>2000.0   ---&gt;   3.78</t>
  </si>
  <si>
    <t>2500.0   ---&gt;   3.85</t>
  </si>
  <si>
    <t>3000.0   ---&gt;   3.92</t>
  </si>
  <si>
    <t>3500.0   ---&gt;   4.0</t>
  </si>
  <si>
    <t>4000.0   ---&gt;   3.95</t>
  </si>
  <si>
    <t>4500.0   ---&gt;   3.9</t>
  </si>
  <si>
    <t>5000.0   ---&gt;   3.8</t>
  </si>
  <si>
    <t>5750.0   ---&gt;   3.6</t>
  </si>
  <si>
    <t>6000.0   ---&gt;   3.42</t>
  </si>
  <si>
    <t>6500.0   ---&gt;   3.1</t>
  </si>
  <si>
    <t>7000.0   ---&gt;   2.72</t>
  </si>
  <si>
    <t>500.0   ---&gt;   18.65</t>
  </si>
  <si>
    <t>1000.0   ---&gt;   22.8</t>
  </si>
  <si>
    <t>1500.0   ---&gt;   30.05</t>
  </si>
  <si>
    <t>2000.0   ---&gt;   40.5</t>
  </si>
  <si>
    <t>2500.0   ---&gt;   48.35</t>
  </si>
  <si>
    <t>3000.0   ---&gt;   54.2</t>
  </si>
  <si>
    <t>3500.0   ---&gt;   55.65</t>
  </si>
  <si>
    <t>4000.0   ---&gt;   56.0</t>
  </si>
  <si>
    <t>4500.0   ---&gt;   50.65</t>
  </si>
  <si>
    <t>5000.0   ---&gt;   45.75</t>
  </si>
  <si>
    <t>5500.0   ---&gt;   40.8</t>
  </si>
  <si>
    <t>6000.0   ---&gt;   36.8</t>
  </si>
  <si>
    <t>6500.0   ---&gt;   33.0</t>
  </si>
  <si>
    <t>7000.0   ---&gt;   28.2</t>
  </si>
  <si>
    <t>7500.0   ---&gt;   21.9</t>
  </si>
  <si>
    <t>500.0   ---&gt;   15.03</t>
  </si>
  <si>
    <t>1000.0   ---&gt;   16.87</t>
  </si>
  <si>
    <t>1500.0   ---&gt;   17.6</t>
  </si>
  <si>
    <t>2000.0   ---&gt;   19.6</t>
  </si>
  <si>
    <t>2500.0   ---&gt;   26.2</t>
  </si>
  <si>
    <t>3000.0   ---&gt;   30.1</t>
  </si>
  <si>
    <t>3500.0   ---&gt;   30.8</t>
  </si>
  <si>
    <t>4000.0   ---&gt;   31.0</t>
  </si>
  <si>
    <t>4500.0   ---&gt;   30.75</t>
  </si>
  <si>
    <t>5000.0   ---&gt;   30.5</t>
  </si>
  <si>
    <t>5500.0   ---&gt;   30.2</t>
  </si>
  <si>
    <t>6000.0   ---&gt;   29.2</t>
  </si>
  <si>
    <t>6500.0   ---&gt;   26.6</t>
  </si>
  <si>
    <t>7000.0   ---&gt;   23.5</t>
  </si>
  <si>
    <t>7500.0   ---&gt;   17.8</t>
  </si>
  <si>
    <t>500.0   ---&gt;   33.95</t>
  </si>
  <si>
    <t>1000.0   ---&gt;   39.72</t>
  </si>
  <si>
    <t>1500.0   ---&gt;   44.1</t>
  </si>
  <si>
    <t>2000.0   ---&gt;   48.13</t>
  </si>
  <si>
    <t>2500.0   ---&gt;   51.45</t>
  </si>
  <si>
    <t>3000.0   ---&gt;   53.9</t>
  </si>
  <si>
    <t>3500.0   ---&gt;   56.17</t>
  </si>
  <si>
    <t>4000.0   ---&gt;   58.28</t>
  </si>
  <si>
    <t>4500.0   ---&gt;   59.33</t>
  </si>
  <si>
    <t>5000.0   ---&gt;   59.85</t>
  </si>
  <si>
    <t>5200.0   ---&gt;   60.0</t>
  </si>
  <si>
    <t>5800.0   ---&gt;   58.1</t>
  </si>
  <si>
    <t>6500.0   ---&gt;   53.56</t>
  </si>
  <si>
    <t>7000.0   ---&gt;   50.05</t>
  </si>
  <si>
    <t>7200.0   ---&gt;   48.67</t>
  </si>
  <si>
    <t>7800.0   ---&gt;   43.74</t>
  </si>
  <si>
    <t>8500.0   ---&gt;   34.13</t>
  </si>
  <si>
    <t>500.0   ---&gt;   10.0</t>
  </si>
  <si>
    <t>1000.0   ---&gt;   11.0</t>
  </si>
  <si>
    <t>1500.0   ---&gt;   11.65</t>
  </si>
  <si>
    <t>2000.0   ---&gt;   12.3</t>
  </si>
  <si>
    <t>3000.0   ---&gt;   13.2</t>
  </si>
  <si>
    <t>3500.0   ---&gt;   13.85</t>
  </si>
  <si>
    <t>4000.0   ---&gt;   14.4</t>
  </si>
  <si>
    <t>4600.0   ---&gt;   14.75</t>
  </si>
  <si>
    <t>5200.0   ---&gt;   14.75</t>
  </si>
  <si>
    <t>5600.0   ---&gt;   14.62</t>
  </si>
  <si>
    <t>6000.0   ---&gt;   14.46</t>
  </si>
  <si>
    <t>6600.0   ---&gt;   13.95</t>
  </si>
  <si>
    <t>7000.0   ---&gt;   13.2</t>
  </si>
  <si>
    <t>7500.0   ---&gt;   11.75</t>
  </si>
  <si>
    <t>8000.0   ---&gt;   9.55</t>
  </si>
  <si>
    <t>500.0   ---&gt;   14.77</t>
  </si>
  <si>
    <t>1000.0   ---&gt;   17.43</t>
  </si>
  <si>
    <t>1500.0   ---&gt;   19.2</t>
  </si>
  <si>
    <t>2000.0   ---&gt;   20.47</t>
  </si>
  <si>
    <t>3000.0   ---&gt;   30.04</t>
  </si>
  <si>
    <t>3500.0   ---&gt;   30.51</t>
  </si>
  <si>
    <t>4500.0   ---&gt;   30.44</t>
  </si>
  <si>
    <t>5000.0   ---&gt;   30.31</t>
  </si>
  <si>
    <t>5500.0   ---&gt;   30.24</t>
  </si>
  <si>
    <t>6000.0   ---&gt;   30.37</t>
  </si>
  <si>
    <t>6500.0   ---&gt;   27.62</t>
  </si>
  <si>
    <t>7000.0   ---&gt;   23.1</t>
  </si>
  <si>
    <t>500.0   ---&gt;   14.27</t>
  </si>
  <si>
    <t>1000.0   ---&gt;   16.18</t>
  </si>
  <si>
    <t>1500.0   ---&gt;   18.18</t>
  </si>
  <si>
    <t>2000.0   ---&gt;   20.72</t>
  </si>
  <si>
    <t>2500.0   ---&gt;   24.3</t>
  </si>
  <si>
    <t>3000.0   ---&gt;   26.2</t>
  </si>
  <si>
    <t>3500.0   ---&gt;   27.09</t>
  </si>
  <si>
    <t>4000.0   ---&gt;   28.0</t>
  </si>
  <si>
    <t>4500.0   ---&gt;   27.1</t>
  </si>
  <si>
    <t>5000.0   ---&gt;   26.2</t>
  </si>
  <si>
    <t>5500.0   ---&gt;   25.4</t>
  </si>
  <si>
    <t>6000.0   ---&gt;   24.48</t>
  </si>
  <si>
    <t>6500.0   ---&gt;   22.47</t>
  </si>
  <si>
    <t>7000.0   ---&gt;   20.25</t>
  </si>
  <si>
    <t>7500.0   ---&gt;   17.69</t>
  </si>
  <si>
    <t>8000.0   ---&gt;   14.85</t>
  </si>
  <si>
    <t>500.0   ---&gt;   15.09</t>
  </si>
  <si>
    <t>1000.0   ---&gt;   17.24</t>
  </si>
  <si>
    <t>1500.0   ---&gt;   19.99</t>
  </si>
  <si>
    <t>2000.0   ---&gt;   23.49</t>
  </si>
  <si>
    <t>2500.0   ---&gt;   25.09</t>
  </si>
  <si>
    <t>3000.0   ---&gt;   26.08</t>
  </si>
  <si>
    <t>3500.0   ---&gt;   26.58</t>
  </si>
  <si>
    <t>4000.0   ---&gt;   26.57</t>
  </si>
  <si>
    <t>4500.0   ---&gt;   26.44</t>
  </si>
  <si>
    <t>5000.0   ---&gt;   26.11</t>
  </si>
  <si>
    <t>5500.0   ---&gt;   24.88</t>
  </si>
  <si>
    <t>6000.0   ---&gt;   23.28</t>
  </si>
  <si>
    <t>6500.0   ---&gt;   21.35</t>
  </si>
  <si>
    <t>7000.0   ---&gt;   18.77</t>
  </si>
  <si>
    <t>7500.0   ---&gt;   16.18</t>
  </si>
  <si>
    <t>8000.0   ---&gt;   12.75</t>
  </si>
  <si>
    <t>500.0   ---&gt;   20.77</t>
  </si>
  <si>
    <t>1000.0   ---&gt;   23.83</t>
  </si>
  <si>
    <t>1500.0   ---&gt;   25.2</t>
  </si>
  <si>
    <t>2000.0   ---&gt;   26.81</t>
  </si>
  <si>
    <t>2500.0   ---&gt;   27.73</t>
  </si>
  <si>
    <t>3000.0   ---&gt;   29.67</t>
  </si>
  <si>
    <t>3500.0   ---&gt;   32.48</t>
  </si>
  <si>
    <t>4000.0   ---&gt;   35.14</t>
  </si>
  <si>
    <t>4500.0   ---&gt;   36.0</t>
  </si>
  <si>
    <t>5000.0   ---&gt;   36.13</t>
  </si>
  <si>
    <t>5500.0   ---&gt;   35.83</t>
  </si>
  <si>
    <t>6000.0   ---&gt;   35.12</t>
  </si>
  <si>
    <t>6500.0   ---&gt;   32.99</t>
  </si>
  <si>
    <t>6800.0   ---&gt;   31.48</t>
  </si>
  <si>
    <t>7500.0   ---&gt;   28.2</t>
  </si>
  <si>
    <t>8000.0   ---&gt;   25.47</t>
  </si>
  <si>
    <t>1000.0   ---&gt;   20.65</t>
  </si>
  <si>
    <t>1500.0   ---&gt;   24.82</t>
  </si>
  <si>
    <t>2000.0   ---&gt;   28.26</t>
  </si>
  <si>
    <t>2500.0   ---&gt;   32.22</t>
  </si>
  <si>
    <t>3000.0   ---&gt;   37.16</t>
  </si>
  <si>
    <t>3500.0   ---&gt;   39.96</t>
  </si>
  <si>
    <t>4000.0   ---&gt;   42.1</t>
  </si>
  <si>
    <t>4500.0   ---&gt;   42.88</t>
  </si>
  <si>
    <t>5000.0   ---&gt;   42.63</t>
  </si>
  <si>
    <t>5500.0   ---&gt;   41.67</t>
  </si>
  <si>
    <t>6000.0   ---&gt;   39.01</t>
  </si>
  <si>
    <t>6500.0   ---&gt;   36.15</t>
  </si>
  <si>
    <t>6800.0   ---&gt;   34.68</t>
  </si>
  <si>
    <t>7300.0   ---&gt;   32.3</t>
  </si>
  <si>
    <t>8000.0   ---&gt;   29.25</t>
  </si>
  <si>
    <t>8500.0   ---&gt;   27.0</t>
  </si>
  <si>
    <t>9000.0   ---&gt;   22.38</t>
  </si>
  <si>
    <t>500.0   ---&gt;   15.6</t>
  </si>
  <si>
    <t>1000.0   ---&gt;   18.0</t>
  </si>
  <si>
    <t>1500.0   ---&gt;   23.0</t>
  </si>
  <si>
    <t>2000.0   ---&gt;   39.6</t>
  </si>
  <si>
    <t>2500.0   ---&gt;   61.2</t>
  </si>
  <si>
    <t>3000.0   ---&gt;   71.8</t>
  </si>
  <si>
    <t>3500.0   ---&gt;   75.0</t>
  </si>
  <si>
    <t>4000.0   ---&gt;   75.0</t>
  </si>
  <si>
    <t>4500.0   ---&gt;   74.6</t>
  </si>
  <si>
    <t>5000.0   ---&gt;   69.6</t>
  </si>
  <si>
    <t>5600.0   ---&gt;   62.6</t>
  </si>
  <si>
    <t>6000.0   ---&gt;   58.4</t>
  </si>
  <si>
    <t>6500.0   ---&gt;   53.6</t>
  </si>
  <si>
    <t>7000.0   ---&gt;   48.8</t>
  </si>
  <si>
    <t>7500.0   ---&gt;   43.2</t>
  </si>
  <si>
    <t>8000.0   ---&gt;   37.4</t>
  </si>
  <si>
    <t>500.0   ---&gt;   19.78</t>
  </si>
  <si>
    <t>1000.0   ---&gt;   25.38</t>
  </si>
  <si>
    <t>1500.0   ---&gt;   35.35</t>
  </si>
  <si>
    <t>2000.0   ---&gt;   48.31</t>
  </si>
  <si>
    <t>2500.0   ---&gt;   54.15</t>
  </si>
  <si>
    <t>3000.0   ---&gt;   54.98</t>
  </si>
  <si>
    <t>3500.0   ---&gt;   55.1</t>
  </si>
  <si>
    <t>4000.0   ---&gt;   53.7</t>
  </si>
  <si>
    <t>4500.0   ---&gt;   48.14</t>
  </si>
  <si>
    <t>5000.0   ---&gt;   42.88</t>
  </si>
  <si>
    <t>5500.0   ---&gt;   37.15</t>
  </si>
  <si>
    <t>6000.0   ---&gt;   30.45</t>
  </si>
  <si>
    <t>6500.0   ---&gt;   20.83</t>
  </si>
  <si>
    <t>500.0   ---&gt;   20.0</t>
  </si>
  <si>
    <t>1000.0   ---&gt;   23.3</t>
  </si>
  <si>
    <t>1500.0   ---&gt;   25.3</t>
  </si>
  <si>
    <t>2000.0   ---&gt;   26.4</t>
  </si>
  <si>
    <t>2500.0   ---&gt;   27.1</t>
  </si>
  <si>
    <t>3000.0   ---&gt;   28.0</t>
  </si>
  <si>
    <t>3500.0   ---&gt;   29.87</t>
  </si>
  <si>
    <t>4000.0   ---&gt;   29.97</t>
  </si>
  <si>
    <t>4500.0   ---&gt;   30.0</t>
  </si>
  <si>
    <t>5000.0   ---&gt;   30.82</t>
  </si>
  <si>
    <t>5500.0   ---&gt;   31.0</t>
  </si>
  <si>
    <t>6000.0   ---&gt;   30.4</t>
  </si>
  <si>
    <t>6500.0   ---&gt;   30.1</t>
  </si>
  <si>
    <t>7000.0   ---&gt;   28.6</t>
  </si>
  <si>
    <t>8000.0   ---&gt;   23.8</t>
  </si>
  <si>
    <t>8500.0   ---&gt;   21.1</t>
  </si>
  <si>
    <t>9000.0   ---&gt;   17.7</t>
  </si>
  <si>
    <t>500.0   ---&gt;   23.0</t>
  </si>
  <si>
    <t>1000.0   ---&gt;   25.75</t>
  </si>
  <si>
    <t>1500.0   ---&gt;   27.75</t>
  </si>
  <si>
    <t>2000.0   ---&gt;   29.38</t>
  </si>
  <si>
    <t>2500.0   ---&gt;   30.5</t>
  </si>
  <si>
    <t>3000.0   ---&gt;   31.25</t>
  </si>
  <si>
    <t>3500.0   ---&gt;   31.88</t>
  </si>
  <si>
    <t>4000.0   ---&gt;   32.38</t>
  </si>
  <si>
    <t>4500.0   ---&gt;   34.01</t>
  </si>
  <si>
    <t>5000.0   ---&gt;   36.01</t>
  </si>
  <si>
    <t>5500.0   ---&gt;   38.26</t>
  </si>
  <si>
    <t>6000.0   ---&gt;   39.13</t>
  </si>
  <si>
    <t>6500.0   ---&gt;   39.63</t>
  </si>
  <si>
    <t>7000.0   ---&gt;   40.01</t>
  </si>
  <si>
    <t>7500.0   ---&gt;   40.51</t>
  </si>
  <si>
    <t>8000.0   ---&gt;   40.5</t>
  </si>
  <si>
    <t>8500.0   ---&gt;   40.25</t>
  </si>
  <si>
    <t>9000.0   ---&gt;   39.51</t>
  </si>
  <si>
    <t>9500.0   ---&gt;   37.76</t>
  </si>
  <si>
    <t>10000.0   ---&gt;   35.38</t>
  </si>
  <si>
    <t>10500.0   ---&gt;   31.88</t>
  </si>
  <si>
    <t>500.0   ---&gt;   10.8</t>
  </si>
  <si>
    <t>1500.0   ---&gt;   12.6</t>
  </si>
  <si>
    <t>2000.0   ---&gt;   13.2</t>
  </si>
  <si>
    <t>2500.0   ---&gt;   13.65</t>
  </si>
  <si>
    <t>3000.0   ---&gt;   14.3</t>
  </si>
  <si>
    <t>3500.0   ---&gt;   14.0</t>
  </si>
  <si>
    <t>4500.0   ---&gt;   14.15</t>
  </si>
  <si>
    <t>5000.0   ---&gt;   14.3</t>
  </si>
  <si>
    <t>5500.0   ---&gt;   14.5</t>
  </si>
  <si>
    <t>6000.0   ---&gt;   15.0</t>
  </si>
  <si>
    <t>6500.0   ---&gt;   15.4</t>
  </si>
  <si>
    <t>7000.0   ---&gt;   15.8</t>
  </si>
  <si>
    <t>7500.0   ---&gt;   16.3</t>
  </si>
  <si>
    <t>8000.0   ---&gt;   16.52</t>
  </si>
  <si>
    <t>8200.0   ---&gt;   16.12</t>
  </si>
  <si>
    <t>9000.0   ---&gt;   14.4</t>
  </si>
  <si>
    <t>9500.0   ---&gt;   11.85</t>
  </si>
  <si>
    <t>500.0   ---&gt;   11.35</t>
  </si>
  <si>
    <t>1000.0   ---&gt;   13.69</t>
  </si>
  <si>
    <t>1500.0   ---&gt;   17.74</t>
  </si>
  <si>
    <t>2000.0   ---&gt;   22.97</t>
  </si>
  <si>
    <t>2500.0   ---&gt;   26.0</t>
  </si>
  <si>
    <t>3000.0   ---&gt;   27.28</t>
  </si>
  <si>
    <t>3500.0   ---&gt;   28.03</t>
  </si>
  <si>
    <t>4000.0   ---&gt;   28.06</t>
  </si>
  <si>
    <t>4500.0   ---&gt;   28.03</t>
  </si>
  <si>
    <t>5000.0   ---&gt;   27.83</t>
  </si>
  <si>
    <t>5500.0   ---&gt;   26.97</t>
  </si>
  <si>
    <t>6000.0   ---&gt;   25.6</t>
  </si>
  <si>
    <t>6500.0   ---&gt;   23.7</t>
  </si>
  <si>
    <t>7000.0   ---&gt;   21.8</t>
  </si>
  <si>
    <t>7500.0   ---&gt;   19.53</t>
  </si>
  <si>
    <t>500.0   ---&gt;   19.1</t>
  </si>
  <si>
    <t>1500.0   ---&gt;   34.55</t>
  </si>
  <si>
    <t>2000.0   ---&gt;   43.5</t>
  </si>
  <si>
    <t>2500.0   ---&gt;   51.2</t>
  </si>
  <si>
    <t>3000.0   ---&gt;   54.65</t>
  </si>
  <si>
    <t>3500.0   ---&gt;   55.0</t>
  </si>
  <si>
    <t>4000.0   ---&gt;   51.35</t>
  </si>
  <si>
    <t>4500.0   ---&gt;   47.65</t>
  </si>
  <si>
    <t>5000.0   ---&gt;   43.95</t>
  </si>
  <si>
    <t>5500.0   ---&gt;   40.0</t>
  </si>
  <si>
    <t>6000.0   ---&gt;   35.9</t>
  </si>
  <si>
    <t>6500.0   ---&gt;   31.55</t>
  </si>
  <si>
    <t>7000.0   ---&gt;   26.7</t>
  </si>
  <si>
    <t>500.0   ---&gt;   16.4</t>
  </si>
  <si>
    <t>1000.0   ---&gt;   17.7</t>
  </si>
  <si>
    <t>1500.0   ---&gt;   22.85</t>
  </si>
  <si>
    <t>2000.0   ---&gt;   36.9</t>
  </si>
  <si>
    <t>2500.0   ---&gt;   44.45</t>
  </si>
  <si>
    <t>3000.0   ---&gt;   50.3</t>
  </si>
  <si>
    <t>3500.0   ---&gt;   54.0</t>
  </si>
  <si>
    <t>4000.0   ---&gt;   51.05</t>
  </si>
  <si>
    <t>4500.0   ---&gt;   47.05</t>
  </si>
  <si>
    <t>5000.0   ---&gt;   42.9</t>
  </si>
  <si>
    <t>5250.0   ---&gt;   41.0</t>
  </si>
  <si>
    <t>6000.0   ---&gt;   34.25</t>
  </si>
  <si>
    <t>6500.0   ---&gt;   29.0</t>
  </si>
  <si>
    <t>7000.0   ---&gt;   23.25</t>
  </si>
  <si>
    <t>500.0   ---&gt;   29.92</t>
  </si>
  <si>
    <t>1000.0   ---&gt;   34.08</t>
  </si>
  <si>
    <t>1500.0   ---&gt;   37.82</t>
  </si>
  <si>
    <t>2000.0   ---&gt;   41.13</t>
  </si>
  <si>
    <t>2500.0   ---&gt;   44.85</t>
  </si>
  <si>
    <t>3000.0   ---&gt;   47.87</t>
  </si>
  <si>
    <t>3500.0   ---&gt;   49.53</t>
  </si>
  <si>
    <t>4000.0   ---&gt;   50.0</t>
  </si>
  <si>
    <t>4500.0   ---&gt;   50.15</t>
  </si>
  <si>
    <t>5000.0   ---&gt;   49.77</t>
  </si>
  <si>
    <t>5500.0   ---&gt;   48.62</t>
  </si>
  <si>
    <t>6000.0   ---&gt;   46.8</t>
  </si>
  <si>
    <t>6500.0   ---&gt;   44.0</t>
  </si>
  <si>
    <t>7000.0   ---&gt;   40.25</t>
  </si>
  <si>
    <t>7500.0   ---&gt;   35.25</t>
  </si>
  <si>
    <t>8000.0   ---&gt;   29.05</t>
  </si>
  <si>
    <t>500.0   ---&gt;   9.15</t>
  </si>
  <si>
    <t>1000.0   ---&gt;   9.9</t>
  </si>
  <si>
    <t>1500.0   ---&gt;   10.13</t>
  </si>
  <si>
    <t>2000.0   ---&gt;   10.22</t>
  </si>
  <si>
    <t>2500.0   ---&gt;   10.25</t>
  </si>
  <si>
    <t>3000.0   ---&gt;   10.68</t>
  </si>
  <si>
    <t>3500.0   ---&gt;   11.27</t>
  </si>
  <si>
    <t>4000.0   ---&gt;   12.55</t>
  </si>
  <si>
    <t>4500.0   ---&gt;   13.9</t>
  </si>
  <si>
    <t>5000.0   ---&gt;   15.17</t>
  </si>
  <si>
    <t>5500.0   ---&gt;   16.4</t>
  </si>
  <si>
    <t>6000.0   ---&gt;   18.05</t>
  </si>
  <si>
    <t>6500.0   ---&gt;   19.62</t>
  </si>
  <si>
    <t>7000.0   ---&gt;   20.05</t>
  </si>
  <si>
    <t>7200.0   ---&gt;   20.0</t>
  </si>
  <si>
    <t>8000.0   ---&gt;   19.73</t>
  </si>
  <si>
    <t>8600.0   ---&gt;   18.65</t>
  </si>
  <si>
    <t>9000.0   ---&gt;   17.65</t>
  </si>
  <si>
    <t>9500.0   ---&gt;   16.15</t>
  </si>
  <si>
    <t>10000.0   ---&gt;   14.08</t>
  </si>
  <si>
    <t>500.0   ---&gt;   7.05</t>
  </si>
  <si>
    <t>1000.0   ---&gt;   8.65</t>
  </si>
  <si>
    <t>1500.0   ---&gt;   10.05</t>
  </si>
  <si>
    <t>2000.0   ---&gt;   11.35</t>
  </si>
  <si>
    <t>3000.0   ---&gt;   13.4</t>
  </si>
  <si>
    <t>3500.0   ---&gt;   14.25</t>
  </si>
  <si>
    <t>4000.0   ---&gt;   14.85</t>
  </si>
  <si>
    <t>4500.0   ---&gt;   15.25</t>
  </si>
  <si>
    <t>5000.0   ---&gt;   15.55</t>
  </si>
  <si>
    <t>6000.0   ---&gt;   14.95</t>
  </si>
  <si>
    <t>6500.0   ---&gt;   14.0</t>
  </si>
  <si>
    <t>7000.0   ---&gt;   12.6</t>
  </si>
  <si>
    <t>7500.0   ---&gt;   11.0</t>
  </si>
  <si>
    <t>500.0   ---&gt;   8.3</t>
  </si>
  <si>
    <t>1500.0   ---&gt;   9.95</t>
  </si>
  <si>
    <t>2000.0   ---&gt;   10.3</t>
  </si>
  <si>
    <t>2500.0   ---&gt;   10.65</t>
  </si>
  <si>
    <t>3000.0   ---&gt;   10.9</t>
  </si>
  <si>
    <t>3500.0   ---&gt;   10.85</t>
  </si>
  <si>
    <t>4000.0   ---&gt;   10.7</t>
  </si>
  <si>
    <t>4500.0   ---&gt;   10.45</t>
  </si>
  <si>
    <t>5000.0   ---&gt;   10.1</t>
  </si>
  <si>
    <t>5500.0   ---&gt;   9.75</t>
  </si>
  <si>
    <t>6000.0   ---&gt;   9.2</t>
  </si>
  <si>
    <t>6500.0   ---&gt;   8.35</t>
  </si>
  <si>
    <t>7000.0   ---&gt;   6.9</t>
  </si>
  <si>
    <t>500.0   ---&gt;   2.3</t>
  </si>
  <si>
    <t>1000.0   ---&gt;   2.8</t>
  </si>
  <si>
    <t>1500.0   ---&gt;   2.91</t>
  </si>
  <si>
    <t>2000.0   ---&gt;   2.88</t>
  </si>
  <si>
    <t>2500.0   ---&gt;   2.78</t>
  </si>
  <si>
    <t>3000.0   ---&gt;   2.95</t>
  </si>
  <si>
    <t>3500.0   ---&gt;   3.1</t>
  </si>
  <si>
    <t>4000.0   ---&gt;   3.2</t>
  </si>
  <si>
    <t>4400.0   ---&gt;   3.0</t>
  </si>
  <si>
    <t>5000.0   ---&gt;   2.6</t>
  </si>
  <si>
    <t>5500.0   ---&gt;   2.22</t>
  </si>
  <si>
    <t>6000.0   ---&gt;   1.75</t>
  </si>
  <si>
    <t>500.0   ---&gt;   16.73</t>
  </si>
  <si>
    <t>1000.0   ---&gt;   18.9</t>
  </si>
  <si>
    <t>1500.0   ---&gt;   20.33</t>
  </si>
  <si>
    <t>2000.0   ---&gt;   21.3</t>
  </si>
  <si>
    <t>2500.0   ---&gt;   22.2</t>
  </si>
  <si>
    <t>3000.0   ---&gt;   22.5</t>
  </si>
  <si>
    <t>3500.0   ---&gt;   22.65</t>
  </si>
  <si>
    <t>4000.0   ---&gt;   22.8</t>
  </si>
  <si>
    <t>4500.0   ---&gt;   22.95</t>
  </si>
  <si>
    <t>5000.0   ---&gt;   23.0</t>
  </si>
  <si>
    <t>5500.0   ---&gt;   22.88</t>
  </si>
  <si>
    <t>6000.0   ---&gt;   22.5</t>
  </si>
  <si>
    <t>6500.0   ---&gt;   21.9</t>
  </si>
  <si>
    <t>7000.0   ---&gt;   21.0</t>
  </si>
  <si>
    <t>7500.0   ---&gt;   19.42</t>
  </si>
  <si>
    <t>8000.0   ---&gt;   16.8</t>
  </si>
  <si>
    <t>1000.0   ---&gt;   12.25</t>
  </si>
  <si>
    <t>1500.0   ---&gt;   13.2</t>
  </si>
  <si>
    <t>3000.0   ---&gt;   14.2</t>
  </si>
  <si>
    <t>3500.0   ---&gt;   14.9</t>
  </si>
  <si>
    <t>4000.0   ---&gt;   15.45</t>
  </si>
  <si>
    <t>4500.0   ---&gt;   16.3</t>
  </si>
  <si>
    <t>5000.0   ---&gt;   16.89</t>
  </si>
  <si>
    <t>5600.0   ---&gt;   16.85</t>
  </si>
  <si>
    <t>6000.0   ---&gt;   16.55</t>
  </si>
  <si>
    <t>6500.0   ---&gt;   15.85</t>
  </si>
  <si>
    <t>7000.0   ---&gt;   14.82</t>
  </si>
  <si>
    <t>7500.0   ---&gt;   13.6</t>
  </si>
  <si>
    <t>8000.0   ---&gt;   11.85</t>
  </si>
  <si>
    <t>500.0   ---&gt;   17.48</t>
  </si>
  <si>
    <t>1000.0   ---&gt;   18.46</t>
  </si>
  <si>
    <t>1500.0   ---&gt;   20.19</t>
  </si>
  <si>
    <t>2500.0   ---&gt;   33.65</t>
  </si>
  <si>
    <t>3000.0   ---&gt;   37.71</t>
  </si>
  <si>
    <t>4000.0   ---&gt;   40.09</t>
  </si>
  <si>
    <t>4500.0   ---&gt;   40.18</t>
  </si>
  <si>
    <t>5000.0   ---&gt;   39.71</t>
  </si>
  <si>
    <t>5500.0   ---&gt;   38.92</t>
  </si>
  <si>
    <t>6000.0   ---&gt;   36.97</t>
  </si>
  <si>
    <t>6500.0   ---&gt;   34.06</t>
  </si>
  <si>
    <t>7000.0   ---&gt;   30.75</t>
  </si>
  <si>
    <t>7500.0   ---&gt;   26.88</t>
  </si>
  <si>
    <t>8000.0   ---&gt;   21.38</t>
  </si>
  <si>
    <t>8500.0   ---&gt;   11.88</t>
  </si>
  <si>
    <t>500.0   ---&gt;   19.8</t>
  </si>
  <si>
    <t>1000.0   ---&gt;   21.0</t>
  </si>
  <si>
    <t>1500.0   ---&gt;   22.6</t>
  </si>
  <si>
    <t>2000.0   ---&gt;   25.5</t>
  </si>
  <si>
    <t>2500.0   ---&gt;   28.7</t>
  </si>
  <si>
    <t>3000.0   ---&gt;   31.4</t>
  </si>
  <si>
    <t>3500.0   ---&gt;   33.7</t>
  </si>
  <si>
    <t>4000.0   ---&gt;   35.3</t>
  </si>
  <si>
    <t>4500.0   ---&gt;   36.4</t>
  </si>
  <si>
    <t>5750.0   ---&gt;   32.3</t>
  </si>
  <si>
    <t>6000.0   ---&gt;   30.0</t>
  </si>
  <si>
    <t>6500.0   ---&gt;   25.6</t>
  </si>
  <si>
    <t>500.0   ---&gt;   15.38</t>
  </si>
  <si>
    <t>1000.0   ---&gt;   17.63</t>
  </si>
  <si>
    <t>1500.0   ---&gt;   19.42</t>
  </si>
  <si>
    <t>2000.0   ---&gt;   20.7</t>
  </si>
  <si>
    <t>2750.0   ---&gt;   21.1</t>
  </si>
  <si>
    <t>3000.0   ---&gt;   21.08</t>
  </si>
  <si>
    <t>3500.0   ---&gt;   20.77</t>
  </si>
  <si>
    <t>4000.0   ---&gt;   20.48</t>
  </si>
  <si>
    <t>4500.0   ---&gt;   19.2</t>
  </si>
  <si>
    <t>5000.0   ---&gt;   17.63</t>
  </si>
  <si>
    <t>5500.0   ---&gt;   16.0</t>
  </si>
  <si>
    <t>6000.0   ---&gt;   14.25</t>
  </si>
  <si>
    <t>6500.0   ---&gt;   12.45</t>
  </si>
  <si>
    <t>7000.0   ---&gt;   10.65</t>
  </si>
  <si>
    <t>500.0   ---&gt;   11.85</t>
  </si>
  <si>
    <t>1000.0   ---&gt;   13.25</t>
  </si>
  <si>
    <t>1500.0   ---&gt;   13.9</t>
  </si>
  <si>
    <t>2000.0   ---&gt;   14.7</t>
  </si>
  <si>
    <t>3000.0   ---&gt;   16.75</t>
  </si>
  <si>
    <t>3500.0   ---&gt;   18.1</t>
  </si>
  <si>
    <t>4000.0   ---&gt;   19.0</t>
  </si>
  <si>
    <t>4500.0   ---&gt;   19.3</t>
  </si>
  <si>
    <t>5000.0   ---&gt;   19.4</t>
  </si>
  <si>
    <t>5500.0   ---&gt;   19.25</t>
  </si>
  <si>
    <t>6000.0   ---&gt;   18.5</t>
  </si>
  <si>
    <t>6200.0   ---&gt;   18.0</t>
  </si>
  <si>
    <t>6800.0   ---&gt;   16.15</t>
  </si>
  <si>
    <t>7300.0   ---&gt;   14.15</t>
  </si>
  <si>
    <t>500.0   ---&gt;   12.9</t>
  </si>
  <si>
    <t>1500.0   ---&gt;   14.9</t>
  </si>
  <si>
    <t>2000.0   ---&gt;   15.1</t>
  </si>
  <si>
    <t>2500.0   ---&gt;   15.35</t>
  </si>
  <si>
    <t>3000.0   ---&gt;   15.8</t>
  </si>
  <si>
    <t>3500.0   ---&gt;   16.55</t>
  </si>
  <si>
    <t>4000.0   ---&gt;   17.35</t>
  </si>
  <si>
    <t>4500.0   ---&gt;   17.7</t>
  </si>
  <si>
    <t>5000.0   ---&gt;   17.7</t>
  </si>
  <si>
    <t>6000.0   ---&gt;   17.2</t>
  </si>
  <si>
    <t>6500.0   ---&gt;   16.7</t>
  </si>
  <si>
    <t>7500.0   ---&gt;   14.45</t>
  </si>
  <si>
    <t>8000.0   ---&gt;   10.35</t>
  </si>
  <si>
    <t>500.0   ---&gt;   28.5</t>
  </si>
  <si>
    <t>1000.0   ---&gt;   36.0</t>
  </si>
  <si>
    <t>1500.0   ---&gt;   40.05</t>
  </si>
  <si>
    <t>2000.0   ---&gt;   42.9</t>
  </si>
  <si>
    <t>2500.0   ---&gt;   45.0</t>
  </si>
  <si>
    <t>3000.0   ---&gt;   46.65</t>
  </si>
  <si>
    <t>3500.0   ---&gt;   48.0</t>
  </si>
  <si>
    <t>4000.0   ---&gt;   48.8</t>
  </si>
  <si>
    <t>4500.0   ---&gt;   47.4</t>
  </si>
  <si>
    <t>5500.0   ---&gt;   43.05</t>
  </si>
  <si>
    <t>6000.0   ---&gt;   40.0</t>
  </si>
  <si>
    <t>6500.0   ---&gt;   36.0</t>
  </si>
  <si>
    <t>7000.0   ---&gt;   30.45</t>
  </si>
  <si>
    <t>7500.0   ---&gt;   22.65</t>
  </si>
  <si>
    <t>500.0   ---&gt;   19.3</t>
  </si>
  <si>
    <t>1500.0   ---&gt;   25.8</t>
  </si>
  <si>
    <t>2000.0   ---&gt;   28.4</t>
  </si>
  <si>
    <t>2500.0   ---&gt;   29.9</t>
  </si>
  <si>
    <t>3000.0   ---&gt;   30.3</t>
  </si>
  <si>
    <t>3500.0   ---&gt;   30.6</t>
  </si>
  <si>
    <t>4000.0   ---&gt;   30.5</t>
  </si>
  <si>
    <t>4500.0   ---&gt;   30.3</t>
  </si>
  <si>
    <t>5000.0   ---&gt;   29.8</t>
  </si>
  <si>
    <t>5500.0   ---&gt;   28.9</t>
  </si>
  <si>
    <t>5900.0   ---&gt;   28.0</t>
  </si>
  <si>
    <t>6500.0   ---&gt;   25.0</t>
  </si>
  <si>
    <t>500.0   ---&gt;   6.35</t>
  </si>
  <si>
    <t>1000.0   ---&gt;   7.15</t>
  </si>
  <si>
    <t>1500.0   ---&gt;   7.6</t>
  </si>
  <si>
    <t>2000.0   ---&gt;   7.7</t>
  </si>
  <si>
    <t>2500.0   ---&gt;   7.45</t>
  </si>
  <si>
    <t>3000.0   ---&gt;   7.0</t>
  </si>
  <si>
    <t>3400.0   ---&gt;   6.4</t>
  </si>
  <si>
    <t>4000.0   ---&gt;   5.22</t>
  </si>
  <si>
    <t>4500.0   ---&gt;   3.78</t>
  </si>
  <si>
    <t>5000.0   ---&gt;   2.22</t>
  </si>
  <si>
    <t>500.0   ---&gt;   3.6</t>
  </si>
  <si>
    <t>1000.0   ---&gt;   4.76</t>
  </si>
  <si>
    <t>1500.0   ---&gt;   5.82</t>
  </si>
  <si>
    <t>2000.0   ---&gt;   6.75</t>
  </si>
  <si>
    <t>2500.0   ---&gt;   7.58</t>
  </si>
  <si>
    <t>3000.0   ---&gt;   8.2</t>
  </si>
  <si>
    <t>3500.0   ---&gt;   8.5</t>
  </si>
  <si>
    <t>4000.0   ---&gt;   8.7</t>
  </si>
  <si>
    <t>4500.0   ---&gt;   8.58</t>
  </si>
  <si>
    <t>5000.0   ---&gt;   8.38</t>
  </si>
  <si>
    <t>5500.0   ---&gt;   8.03</t>
  </si>
  <si>
    <t>6000.0   ---&gt;   7.6</t>
  </si>
  <si>
    <t>6500.0   ---&gt;   7.05</t>
  </si>
  <si>
    <t>7000.0   ---&gt;   6.4</t>
  </si>
  <si>
    <t>7500.0   ---&gt;   5.7</t>
  </si>
  <si>
    <t>8000.0   ---&gt;   4.93</t>
  </si>
  <si>
    <t>8500.0   ---&gt;   4.1</t>
  </si>
  <si>
    <t>9000.0   ---&gt;   3.3</t>
  </si>
  <si>
    <t>500.0   ---&gt;   17.6</t>
  </si>
  <si>
    <t>1000.0   ---&gt;   18.8</t>
  </si>
  <si>
    <t>2000.0   ---&gt;   23.5</t>
  </si>
  <si>
    <t>2500.0   ---&gt;   26.26</t>
  </si>
  <si>
    <t>3000.0   ---&gt;   28.92</t>
  </si>
  <si>
    <t>3500.0   ---&gt;   32.77</t>
  </si>
  <si>
    <t>4000.0   ---&gt;   36.5</t>
  </si>
  <si>
    <t>4500.0   ---&gt;   40.7</t>
  </si>
  <si>
    <t>5000.0   ---&gt;   40.4</t>
  </si>
  <si>
    <t>5500.0   ---&gt;   38.43</t>
  </si>
  <si>
    <t>6000.0   ---&gt;   35.7</t>
  </si>
  <si>
    <t>6500.0   ---&gt;   33.03</t>
  </si>
  <si>
    <t>7000.0   ---&gt;   30.68</t>
  </si>
  <si>
    <t>7500.0   ---&gt;   28.5</t>
  </si>
  <si>
    <t>8000.0   ---&gt;   26.1</t>
  </si>
  <si>
    <t>8500.0   ---&gt;   23.5</t>
  </si>
  <si>
    <t>1000.0   ---&gt;   14.02</t>
  </si>
  <si>
    <t>1500.0   ---&gt;   15.88</t>
  </si>
  <si>
    <t>2000.0   ---&gt;   17.37</t>
  </si>
  <si>
    <t>2500.0   ---&gt;   18.52</t>
  </si>
  <si>
    <t>3500.0   ---&gt;   19.63</t>
  </si>
  <si>
    <t>5000.0   ---&gt;   20.34</t>
  </si>
  <si>
    <t>6000.0   ---&gt;   20.22</t>
  </si>
  <si>
    <t>6500.0   ---&gt;   20.47</t>
  </si>
  <si>
    <t>7000.0   ---&gt;   20.59</t>
  </si>
  <si>
    <t>7500.0   ---&gt;   20.06</t>
  </si>
  <si>
    <t>8000.0   ---&gt;   19.91</t>
  </si>
  <si>
    <t>8500.0   ---&gt;   19.35</t>
  </si>
  <si>
    <t>9000.0   ---&gt;   17.8</t>
  </si>
  <si>
    <t>9500.0   ---&gt;   15.22</t>
  </si>
  <si>
    <t>500.0   ---&gt;   14.8</t>
  </si>
  <si>
    <t>1000.0   ---&gt;   16.7</t>
  </si>
  <si>
    <t>1500.0   ---&gt;   18.05</t>
  </si>
  <si>
    <t>2000.0   ---&gt;   18.9</t>
  </si>
  <si>
    <t>2500.0   ---&gt;   19.2</t>
  </si>
  <si>
    <t>3000.0   ---&gt;   18.95</t>
  </si>
  <si>
    <t>3500.0   ---&gt;   18.55</t>
  </si>
  <si>
    <t>4000.0   ---&gt;   18.15</t>
  </si>
  <si>
    <t>4500.0   ---&gt;   17.65</t>
  </si>
  <si>
    <t>5000.0   ---&gt;   17.15</t>
  </si>
  <si>
    <t>5250.0   ---&gt;   16.65</t>
  </si>
  <si>
    <t>6000.0   ---&gt;   14.4</t>
  </si>
  <si>
    <t>6500.0   ---&gt;   11.9</t>
  </si>
  <si>
    <t>7000.0   ---&gt;   9.0</t>
  </si>
  <si>
    <t>1000.0   ---&gt;   15.6</t>
  </si>
  <si>
    <t>1500.0   ---&gt;   16.8</t>
  </si>
  <si>
    <t>2000.0   ---&gt;   19.8</t>
  </si>
  <si>
    <t>2500.0   ---&gt;   26.5</t>
  </si>
  <si>
    <t>3000.0   ---&gt;   30.0</t>
  </si>
  <si>
    <t>3500.0   ---&gt;   31.58</t>
  </si>
  <si>
    <t>4000.0   ---&gt;   32.0</t>
  </si>
  <si>
    <t>4500.0   ---&gt;   30.84</t>
  </si>
  <si>
    <t>5000.0   ---&gt;   28.97</t>
  </si>
  <si>
    <t>5750.0   ---&gt;   25.8</t>
  </si>
  <si>
    <t>6200.0   ---&gt;   23.7</t>
  </si>
  <si>
    <t>6800.0   ---&gt;   20.3</t>
  </si>
  <si>
    <t>7500.0   ---&gt;   16.0</t>
  </si>
  <si>
    <t>1000.0   ---&gt;   9.7</t>
  </si>
  <si>
    <t>1500.0   ---&gt;   10.45</t>
  </si>
  <si>
    <t>2500.0   ---&gt;   12.2</t>
  </si>
  <si>
    <t>3000.0   ---&gt;   12.65</t>
  </si>
  <si>
    <t>3500.0   ---&gt;   12.9</t>
  </si>
  <si>
    <t>4000.0   ---&gt;   13.0</t>
  </si>
  <si>
    <t>4500.0   ---&gt;   12.95</t>
  </si>
  <si>
    <t>5000.0   ---&gt;   12.65</t>
  </si>
  <si>
    <t>5500.0   ---&gt;   12.05</t>
  </si>
  <si>
    <t>6000.0   ---&gt;   11.2</t>
  </si>
  <si>
    <t>6500.0   ---&gt;   10.15</t>
  </si>
  <si>
    <t>7000.0   ---&gt;   8.85</t>
  </si>
  <si>
    <t>500.0   ---&gt;   38.85</t>
  </si>
  <si>
    <t>1000.0   ---&gt;   44.1</t>
  </si>
  <si>
    <t>1500.0   ---&gt;   48.15</t>
  </si>
  <si>
    <t>2000.0   ---&gt;   51.3</t>
  </si>
  <si>
    <t>2500.0   ---&gt;   53.25</t>
  </si>
  <si>
    <t>3000.0   ---&gt;   54.6</t>
  </si>
  <si>
    <t>3600.0   ---&gt;   55.0</t>
  </si>
  <si>
    <t>4000.0   ---&gt;   54.55</t>
  </si>
  <si>
    <t>4500.0   ---&gt;   48.0</t>
  </si>
  <si>
    <t>5000.0   ---&gt;   41.1</t>
  </si>
  <si>
    <t>5500.0   ---&gt;   34.35</t>
  </si>
  <si>
    <t>6000.0   ---&gt;   26.25</t>
  </si>
  <si>
    <t>500.0   ---&gt;   7.43</t>
  </si>
  <si>
    <t>1000.0   ---&gt;   8.67</t>
  </si>
  <si>
    <t>1500.0   ---&gt;   10.25</t>
  </si>
  <si>
    <t>2000.0   ---&gt;   11.67</t>
  </si>
  <si>
    <t>2500.0   ---&gt;   13.08</t>
  </si>
  <si>
    <t>4000.0   ---&gt;   13.66</t>
  </si>
  <si>
    <t>4500.0   ---&gt;   13.46</t>
  </si>
  <si>
    <t>5000.0   ---&gt;   13.26</t>
  </si>
  <si>
    <t>5500.0   ---&gt;   12.44</t>
  </si>
  <si>
    <t>6000.0   ---&gt;   11.59</t>
  </si>
  <si>
    <t>6500.0   ---&gt;   10.55</t>
  </si>
  <si>
    <t>7000.0   ---&gt;   9.15</t>
  </si>
  <si>
    <t>500.0   ---&gt;   13.45</t>
  </si>
  <si>
    <t>1000.0   ---&gt;   15.19</t>
  </si>
  <si>
    <t>1500.0   ---&gt;   16.52</t>
  </si>
  <si>
    <t>2500.0   ---&gt;   18.61</t>
  </si>
  <si>
    <t>3500.0   ---&gt;   19.32</t>
  </si>
  <si>
    <t>4000.0   ---&gt;   19.37</t>
  </si>
  <si>
    <t>4500.0   ---&gt;   19.58</t>
  </si>
  <si>
    <t>5000.0   ---&gt;   19.88</t>
  </si>
  <si>
    <t>5500.0   ---&gt;   20.66</t>
  </si>
  <si>
    <t>6000.0   ---&gt;   21.01</t>
  </si>
  <si>
    <t>7000.0   ---&gt;   20.66</t>
  </si>
  <si>
    <t>7500.0   ---&gt;   20.39</t>
  </si>
  <si>
    <t>8000.0   ---&gt;   19.68</t>
  </si>
  <si>
    <t>8500.0   ---&gt;   18.38</t>
  </si>
  <si>
    <t>9000.0   ---&gt;   16.13</t>
  </si>
  <si>
    <t>500.0   ---&gt;   14.45</t>
  </si>
  <si>
    <t>1000.0   ---&gt;   18.3</t>
  </si>
  <si>
    <t>1500.0   ---&gt;   21.66</t>
  </si>
  <si>
    <t>2000.0   ---&gt;   25.88</t>
  </si>
  <si>
    <t>2500.0   ---&gt;   29.2</t>
  </si>
  <si>
    <t>3000.0   ---&gt;   31.5</t>
  </si>
  <si>
    <t>3500.0   ---&gt;   31.5</t>
  </si>
  <si>
    <t>4000.0   ---&gt;   31.5</t>
  </si>
  <si>
    <t>4500.0   ---&gt;   31.5</t>
  </si>
  <si>
    <t>5000.0   ---&gt;   31.5</t>
  </si>
  <si>
    <t>5500.0   ---&gt;   31.5</t>
  </si>
  <si>
    <t>6000.0   ---&gt;   31.5</t>
  </si>
  <si>
    <t>6500.0   ---&gt;   29.7</t>
  </si>
  <si>
    <t>7000.0   ---&gt;   27.3</t>
  </si>
  <si>
    <t>7500.0   ---&gt;   24.3</t>
  </si>
  <si>
    <t>500.0   ---&gt;   18.98</t>
  </si>
  <si>
    <t>1000.0   ---&gt;   23.9</t>
  </si>
  <si>
    <t>1500.0   ---&gt;   30.85</t>
  </si>
  <si>
    <t>2000.0   ---&gt;   36.68</t>
  </si>
  <si>
    <t>2500.0   ---&gt;   42.72</t>
  </si>
  <si>
    <t>3000.0   ---&gt;   44.62</t>
  </si>
  <si>
    <t>3500.0   ---&gt;   45.0</t>
  </si>
  <si>
    <t>4000.0   ---&gt;   44.81</t>
  </si>
  <si>
    <t>4500.0   ---&gt;   44.87</t>
  </si>
  <si>
    <t>5000.0   ---&gt;   43.21</t>
  </si>
  <si>
    <t>5500.0   ---&gt;   41.05</t>
  </si>
  <si>
    <t>6000.0   ---&gt;   37.92</t>
  </si>
  <si>
    <t>6500.0   ---&gt;   35.26</t>
  </si>
  <si>
    <t>7000.0   ---&gt;   32.58</t>
  </si>
  <si>
    <t>7500.0   ---&gt;   30.13</t>
  </si>
  <si>
    <t>8000.0   ---&gt;   27.25</t>
  </si>
  <si>
    <t>8500.0   ---&gt;   24.13</t>
  </si>
  <si>
    <t>500.0   ---&gt;   11.9</t>
  </si>
  <si>
    <t>1000.0   ---&gt;   13.2</t>
  </si>
  <si>
    <t>1500.0   ---&gt;   14.35</t>
  </si>
  <si>
    <t>2000.0   ---&gt;   15.2</t>
  </si>
  <si>
    <t>2500.0   ---&gt;   15.4</t>
  </si>
  <si>
    <t>3500.0   ---&gt;   16.65</t>
  </si>
  <si>
    <t>4000.0   ---&gt;   17.4</t>
  </si>
  <si>
    <t>4500.0   ---&gt;   17.8</t>
  </si>
  <si>
    <t>5000.0   ---&gt;   17.74</t>
  </si>
  <si>
    <t>5500.0   ---&gt;   18.0</t>
  </si>
  <si>
    <t>6000.0   ---&gt;   17.75</t>
  </si>
  <si>
    <t>6500.0   ---&gt;   17.5</t>
  </si>
  <si>
    <t>7000.0   ---&gt;   16.32</t>
  </si>
  <si>
    <t>7500.0   ---&gt;   14.9</t>
  </si>
  <si>
    <t>8000.0   ---&gt;   13.15</t>
  </si>
  <si>
    <t>8500.0   ---&gt;   11.1</t>
  </si>
  <si>
    <t>500.0   ---&gt;   7.53</t>
  </si>
  <si>
    <t>1000.0   ---&gt;   8.23</t>
  </si>
  <si>
    <t>1500.0   ---&gt;   9.44</t>
  </si>
  <si>
    <t>2000.0   ---&gt;   11.86</t>
  </si>
  <si>
    <t>2500.0   ---&gt;   14.6</t>
  </si>
  <si>
    <t>3000.0   ---&gt;   16.3</t>
  </si>
  <si>
    <t>3500.0   ---&gt;   16.19</t>
  </si>
  <si>
    <t>4000.0   ---&gt;   15.82</t>
  </si>
  <si>
    <t>4500.0   ---&gt;   15.42</t>
  </si>
  <si>
    <t>5000.0   ---&gt;   15.01</t>
  </si>
  <si>
    <t>5500.0   ---&gt;   14.26</t>
  </si>
  <si>
    <t>6000.0   ---&gt;   12.64</t>
  </si>
  <si>
    <t>6500.0   ---&gt;   10.19</t>
  </si>
  <si>
    <t>7000.0   ---&gt;   7.25</t>
  </si>
  <si>
    <t>7500.0   ---&gt;   4.1</t>
  </si>
  <si>
    <t>500.0   ---&gt;   27.3</t>
  </si>
  <si>
    <t>1000.0   ---&gt;   35.88</t>
  </si>
  <si>
    <t>1500.0   ---&gt;   42.35</t>
  </si>
  <si>
    <t>2500.0   ---&gt;   51.1</t>
  </si>
  <si>
    <t>3000.0   ---&gt;   53.55</t>
  </si>
  <si>
    <t>3500.0   ---&gt;   54.95</t>
  </si>
  <si>
    <t>4000.0   ---&gt;   55.1</t>
  </si>
  <si>
    <t>4500.0   ---&gt;   52.67</t>
  </si>
  <si>
    <t>5000.0   ---&gt;   49.35</t>
  </si>
  <si>
    <t>5600.0   ---&gt;   44.7</t>
  </si>
  <si>
    <t>6000.0   ---&gt;   40.6</t>
  </si>
  <si>
    <t>6500.0   ---&gt;   34.83</t>
  </si>
  <si>
    <t>500.0   ---&gt;   9.85</t>
  </si>
  <si>
    <t>1000.0   ---&gt;   11.45</t>
  </si>
  <si>
    <t>1500.0   ---&gt;   12.25</t>
  </si>
  <si>
    <t>2000.0   ---&gt;   12.7</t>
  </si>
  <si>
    <t>4200.0   ---&gt;   14.25</t>
  </si>
  <si>
    <t>4800.0   ---&gt;   14.6</t>
  </si>
  <si>
    <t>5200.0   ---&gt;   14.5</t>
  </si>
  <si>
    <t>5800.0   ---&gt;   13.6</t>
  </si>
  <si>
    <t>6100.0   ---&gt;   12.7</t>
  </si>
  <si>
    <t>6500.0   ---&gt;   11.65</t>
  </si>
  <si>
    <t>7000.0   ---&gt;   9.45</t>
  </si>
  <si>
    <t>500.0   ---&gt;   20.2</t>
  </si>
  <si>
    <t>1000.0   ---&gt;   23.0</t>
  </si>
  <si>
    <t>1500.0   ---&gt;   24.8</t>
  </si>
  <si>
    <t>2000.0   ---&gt;   25.7</t>
  </si>
  <si>
    <t>2500.0   ---&gt;   25.8</t>
  </si>
  <si>
    <t>3000.0   ---&gt;   27.2</t>
  </si>
  <si>
    <t>3500.0   ---&gt;   28.9</t>
  </si>
  <si>
    <t>4000.0   ---&gt;   30.2</t>
  </si>
  <si>
    <t>5000.0   ---&gt;   30.6</t>
  </si>
  <si>
    <t>5500.0   ---&gt;   30.4</t>
  </si>
  <si>
    <t>6000.0   ---&gt;   29.3</t>
  </si>
  <si>
    <t>7000.0   ---&gt;   25.2</t>
  </si>
  <si>
    <t>7500.0   ---&gt;   22.0</t>
  </si>
  <si>
    <t>1000.0   ---&gt;   12.15</t>
  </si>
  <si>
    <t>1500.0   ---&gt;   13.3</t>
  </si>
  <si>
    <t>2000.0   ---&gt;   14.25</t>
  </si>
  <si>
    <t>2500.0   ---&gt;   14.9</t>
  </si>
  <si>
    <t>3000.0   ---&gt;   15.2</t>
  </si>
  <si>
    <t>4000.0   ---&gt;   14.35</t>
  </si>
  <si>
    <t>4500.0   ---&gt;   13.65</t>
  </si>
  <si>
    <t>5000.0   ---&gt;   12.8</t>
  </si>
  <si>
    <t>5400.0   ---&gt;   12.0</t>
  </si>
  <si>
    <t>6000.0   ---&gt;   10.6</t>
  </si>
  <si>
    <t>6500.0   ---&gt;   9.35</t>
  </si>
  <si>
    <t>7000.0   ---&gt;   7.9</t>
  </si>
  <si>
    <t>500.0   ---&gt;   14.7</t>
  </si>
  <si>
    <t>1000.0   ---&gt;   17.0</t>
  </si>
  <si>
    <t>1500.0   ---&gt;   19.9</t>
  </si>
  <si>
    <t>2000.0   ---&gt;   22.8</t>
  </si>
  <si>
    <t>2500.0   ---&gt;   25.6</t>
  </si>
  <si>
    <t>4000.0   ---&gt;   32.4</t>
  </si>
  <si>
    <t>4500.0   ---&gt;   33.4</t>
  </si>
  <si>
    <t>5000.0   ---&gt;   32.3</t>
  </si>
  <si>
    <t>5400.0   ---&gt;   30.1</t>
  </si>
  <si>
    <t>6000.0   ---&gt;   24.6</t>
  </si>
  <si>
    <t>6500.0   ---&gt;   18.9</t>
  </si>
  <si>
    <t>500.0   ---&gt;   21.91</t>
  </si>
  <si>
    <t>1000.0   ---&gt;   24.24</t>
  </si>
  <si>
    <t>1500.0   ---&gt;   26.34</t>
  </si>
  <si>
    <t>2000.0   ---&gt;   29.33</t>
  </si>
  <si>
    <t>2500.0   ---&gt;   32.13</t>
  </si>
  <si>
    <t>3000.0   ---&gt;   32.63</t>
  </si>
  <si>
    <t>3500.0   ---&gt;   32.43</t>
  </si>
  <si>
    <t>4000.0   ---&gt;   32.17</t>
  </si>
  <si>
    <t>4500.0   ---&gt;   31.74</t>
  </si>
  <si>
    <t>5000.0   ---&gt;   31.44</t>
  </si>
  <si>
    <t>5500.0   ---&gt;   31.3</t>
  </si>
  <si>
    <t>6300.0   ---&gt;   29.5</t>
  </si>
  <si>
    <t>6500.0   ---&gt;   28.81</t>
  </si>
  <si>
    <t>7000.0   ---&gt;   26.56</t>
  </si>
  <si>
    <t>500.0   ---&gt;   13.87</t>
  </si>
  <si>
    <t>1000.0   ---&gt;   16.57</t>
  </si>
  <si>
    <t>1500.0   ---&gt;   18.68</t>
  </si>
  <si>
    <t>2000.0   ---&gt;   20.63</t>
  </si>
  <si>
    <t>2500.0   ---&gt;   22.27</t>
  </si>
  <si>
    <t>3000.0   ---&gt;   23.62</t>
  </si>
  <si>
    <t>4000.0   ---&gt;   25.66</t>
  </si>
  <si>
    <t>4600.0   ---&gt;   26.05</t>
  </si>
  <si>
    <t>5000.0   ---&gt;   25.42</t>
  </si>
  <si>
    <t>5500.0   ---&gt;   24.52</t>
  </si>
  <si>
    <t>5800.0   ---&gt;   23.52</t>
  </si>
  <si>
    <t>7000.0   ---&gt;   13.5</t>
  </si>
  <si>
    <t>1000.0   ---&gt;   19.8</t>
  </si>
  <si>
    <t>2000.0   ---&gt;   30.8</t>
  </si>
  <si>
    <t>2500.0   ---&gt;   34.8</t>
  </si>
  <si>
    <t>3500.0   ---&gt;   36.78</t>
  </si>
  <si>
    <t>4000.0   ---&gt;   36.65</t>
  </si>
  <si>
    <t>4500.0   ---&gt;   36.68</t>
  </si>
  <si>
    <t>5000.0   ---&gt;   36.5</t>
  </si>
  <si>
    <t>5500.0   ---&gt;   34.67</t>
  </si>
  <si>
    <t>6000.0   ---&gt;   32.21</t>
  </si>
  <si>
    <t>6500.0   ---&gt;   29.45</t>
  </si>
  <si>
    <t>7500.0   ---&gt;   23.8</t>
  </si>
  <si>
    <t>8000.0   ---&gt;   20.8</t>
  </si>
  <si>
    <t>8500.0   ---&gt;   16.9</t>
  </si>
  <si>
    <t>500.0   ---&gt;   10.62</t>
  </si>
  <si>
    <t>1500.0   ---&gt;   13.25</t>
  </si>
  <si>
    <t>2000.0   ---&gt;   14.5</t>
  </si>
  <si>
    <t>2500.0   ---&gt;   15.31</t>
  </si>
  <si>
    <t>3500.0   ---&gt;   16.25</t>
  </si>
  <si>
    <t>4000.0   ---&gt;   16.5</t>
  </si>
  <si>
    <t>4500.0   ---&gt;   16.34</t>
  </si>
  <si>
    <t>5000.0   ---&gt;   16.1</t>
  </si>
  <si>
    <t>5500.0   ---&gt;   15.41</t>
  </si>
  <si>
    <t>6000.0   ---&gt;   14.55</t>
  </si>
  <si>
    <t>6500.0   ---&gt;   13.72</t>
  </si>
  <si>
    <t>7000.0   ---&gt;   12.52</t>
  </si>
  <si>
    <t>8000.0   ---&gt;   8.6</t>
  </si>
  <si>
    <t>1000.0   ---&gt;   16.95</t>
  </si>
  <si>
    <t>1500.0   ---&gt;   19.05</t>
  </si>
  <si>
    <t>2500.0   ---&gt;   21.83</t>
  </si>
  <si>
    <t>3000.0   ---&gt;   22.58</t>
  </si>
  <si>
    <t>3500.0   ---&gt;   22.95</t>
  </si>
  <si>
    <t>4500.0   ---&gt;   22.73</t>
  </si>
  <si>
    <t>5000.0   ---&gt;   22.13</t>
  </si>
  <si>
    <t>5500.0   ---&gt;   21.15</t>
  </si>
  <si>
    <t>6500.0   ---&gt;   18.3</t>
  </si>
  <si>
    <t>7000.0   ---&gt;   15.98</t>
  </si>
  <si>
    <t>500.0   ---&gt;   8.8</t>
  </si>
  <si>
    <t>1000.0   ---&gt;   10.4</t>
  </si>
  <si>
    <t>1500.0   ---&gt;   11.91</t>
  </si>
  <si>
    <t>2000.0   ---&gt;   12.88</t>
  </si>
  <si>
    <t>2500.0   ---&gt;   13.26</t>
  </si>
  <si>
    <t>3000.0   ---&gt;   13.87</t>
  </si>
  <si>
    <t>3500.0   ---&gt;   14.17</t>
  </si>
  <si>
    <t>4000.0   ---&gt;   14.28</t>
  </si>
  <si>
    <t>4500.0   ---&gt;   14.23</t>
  </si>
  <si>
    <t>5000.0   ---&gt;   14.17</t>
  </si>
  <si>
    <t>5500.0   ---&gt;   13.87</t>
  </si>
  <si>
    <t>6000.0   ---&gt;   13.5</t>
  </si>
  <si>
    <t>6500.0   ---&gt;   12.24</t>
  </si>
  <si>
    <t>7000.0   ---&gt;   10.6</t>
  </si>
  <si>
    <t>500.0   ---&gt;   14.33</t>
  </si>
  <si>
    <t>1000.0   ---&gt;   16.05</t>
  </si>
  <si>
    <t>2000.0   ---&gt;   18.53</t>
  </si>
  <si>
    <t>3000.0   ---&gt;   19.95</t>
  </si>
  <si>
    <t>3500.0   ---&gt;   20.1</t>
  </si>
  <si>
    <t>4000.0   ---&gt;   20.03</t>
  </si>
  <si>
    <t>4500.0   ---&gt;   20.33</t>
  </si>
  <si>
    <t>5200.0   ---&gt;   21.0</t>
  </si>
  <si>
    <t>5600.0   ---&gt;   20.93</t>
  </si>
  <si>
    <t>6000.0   ---&gt;   20.93</t>
  </si>
  <si>
    <t>6500.0   ---&gt;   20.93</t>
  </si>
  <si>
    <t>7000.0   ---&gt;   20.63</t>
  </si>
  <si>
    <t>7200.0   ---&gt;   20.3</t>
  </si>
  <si>
    <t>7800.0   ---&gt;   18.68</t>
  </si>
  <si>
    <t>8200.0   ---&gt;   17.18</t>
  </si>
  <si>
    <t>500.0   ---&gt;   24.33</t>
  </si>
  <si>
    <t>1000.0   ---&gt;   26.77</t>
  </si>
  <si>
    <t>1500.0   ---&gt;   37.97</t>
  </si>
  <si>
    <t>2000.0   ---&gt;   50.4</t>
  </si>
  <si>
    <t>2500.0   ---&gt;   60.72</t>
  </si>
  <si>
    <t>3000.0   ---&gt;   68.13</t>
  </si>
  <si>
    <t>3500.0   ---&gt;   70.33</t>
  </si>
  <si>
    <t>4000.0   ---&gt;   71.17</t>
  </si>
  <si>
    <t>4400.0   ---&gt;   72.0</t>
  </si>
  <si>
    <t>5000.0   ---&gt;   71.55</t>
  </si>
  <si>
    <t>5500.0   ---&gt;   71.15</t>
  </si>
  <si>
    <t>6000.0   ---&gt;   70.02</t>
  </si>
  <si>
    <t>6800.0   ---&gt;   68.4</t>
  </si>
  <si>
    <t>7000.0   ---&gt;   65.6</t>
  </si>
  <si>
    <t>7500.0   ---&gt;   56.88</t>
  </si>
  <si>
    <t>8000.0   ---&gt;   49.17</t>
  </si>
  <si>
    <t>500.0   ---&gt;   24.8</t>
  </si>
  <si>
    <t>1000.0   ---&gt;   27.8</t>
  </si>
  <si>
    <t>1500.0   ---&gt;   30.3</t>
  </si>
  <si>
    <t>2200.0   ---&gt;   32.1</t>
  </si>
  <si>
    <t>2800.0   ---&gt;   32.6</t>
  </si>
  <si>
    <t>3000.0   ---&gt;   32.6</t>
  </si>
  <si>
    <t>3500.0   ---&gt;   32.5</t>
  </si>
  <si>
    <t>4000.0   ---&gt;   32.3</t>
  </si>
  <si>
    <t>4500.0   ---&gt;   31.9</t>
  </si>
  <si>
    <t>5500.0   ---&gt;   30.5</t>
  </si>
  <si>
    <t>6000.0   ---&gt;   28.7</t>
  </si>
  <si>
    <t>6250.0   ---&gt;   27.6</t>
  </si>
  <si>
    <t>6800.0   ---&gt;   24.8</t>
  </si>
  <si>
    <t>7200.0   ---&gt;   22.3</t>
  </si>
  <si>
    <t>7800.0   ---&gt;   0.0</t>
  </si>
  <si>
    <t>500.0   ---&gt;   11.25</t>
  </si>
  <si>
    <t>1000.0   ---&gt;   11.79</t>
  </si>
  <si>
    <t>1500.0   ---&gt;   13.45</t>
  </si>
  <si>
    <t>2000.0   ---&gt;   17.3</t>
  </si>
  <si>
    <t>2500.0   ---&gt;   19.08</t>
  </si>
  <si>
    <t>3000.0   ---&gt;   19.71</t>
  </si>
  <si>
    <t>3500.0   ---&gt;   19.65</t>
  </si>
  <si>
    <t>4000.0   ---&gt;   19.58</t>
  </si>
  <si>
    <t>4500.0   ---&gt;   19.93</t>
  </si>
  <si>
    <t>5000.0   ---&gt;   19.99</t>
  </si>
  <si>
    <t>5500.0   ---&gt;   19.01</t>
  </si>
  <si>
    <t>6000.0   ---&gt;   17.69</t>
  </si>
  <si>
    <t>6500.0   ---&gt;   16.46</t>
  </si>
  <si>
    <t>7000.0   ---&gt;   14.6</t>
  </si>
  <si>
    <t>7500.0   ---&gt;   12.5</t>
  </si>
  <si>
    <t>500.0   ---&gt;   25.64</t>
  </si>
  <si>
    <t>1000.0   ---&gt;   28.67</t>
  </si>
  <si>
    <t>1500.0   ---&gt;   30.59</t>
  </si>
  <si>
    <t>2000.0   ---&gt;   31.61</t>
  </si>
  <si>
    <t>2500.0   ---&gt;   32.98</t>
  </si>
  <si>
    <t>3000.0   ---&gt;   34.3</t>
  </si>
  <si>
    <t>3500.0   ---&gt;   35.18</t>
  </si>
  <si>
    <t>4500.0   ---&gt;   36.35</t>
  </si>
  <si>
    <t>5000.0   ---&gt;   37.02</t>
  </si>
  <si>
    <t>5500.0   ---&gt;   35.65</t>
  </si>
  <si>
    <t>6000.0   ---&gt;   33.37</t>
  </si>
  <si>
    <t>6500.0   ---&gt;   30.59</t>
  </si>
  <si>
    <t>7000.0   ---&gt;   27.4</t>
  </si>
  <si>
    <t>500.0   ---&gt;   9.94</t>
  </si>
  <si>
    <t>1000.0   ---&gt;   12.08</t>
  </si>
  <si>
    <t>1500.0   ---&gt;   13.57</t>
  </si>
  <si>
    <t>2000.0   ---&gt;   14.63</t>
  </si>
  <si>
    <t>2500.0   ---&gt;   15.58</t>
  </si>
  <si>
    <t>3000.0   ---&gt;   16.64</t>
  </si>
  <si>
    <t>3500.0   ---&gt;   17.41</t>
  </si>
  <si>
    <t>4000.0   ---&gt;   17.59</t>
  </si>
  <si>
    <t>4500.0   ---&gt;   17.43</t>
  </si>
  <si>
    <t>5500.0   ---&gt;   16.88</t>
  </si>
  <si>
    <t>6000.0   ---&gt;   16.21</t>
  </si>
  <si>
    <t>1000.0   ---&gt;   14.25</t>
  </si>
  <si>
    <t>1500.0   ---&gt;   15.65</t>
  </si>
  <si>
    <t>2000.0   ---&gt;   16.6</t>
  </si>
  <si>
    <t>3200.0   ---&gt;   17.5</t>
  </si>
  <si>
    <t>3500.0   ---&gt;   17.5</t>
  </si>
  <si>
    <t>4500.0   ---&gt;   17.0</t>
  </si>
  <si>
    <t>5000.0   ---&gt;   16.25</t>
  </si>
  <si>
    <t>5400.0   ---&gt;   15.4</t>
  </si>
  <si>
    <t>6000.0   ---&gt;   13.65</t>
  </si>
  <si>
    <t>6500.0   ---&gt;   11.6</t>
  </si>
  <si>
    <t>2500.0   ---&gt;   24.67</t>
  </si>
  <si>
    <t>3000.0   ---&gt;   26.02</t>
  </si>
  <si>
    <t>3500.0   ---&gt;   26.35</t>
  </si>
  <si>
    <t>4000.0   ---&gt;   26.52</t>
  </si>
  <si>
    <t>4500.0   ---&gt;   26.77</t>
  </si>
  <si>
    <t>5000.0   ---&gt;   27.1</t>
  </si>
  <si>
    <t>5500.0   ---&gt;   27.16</t>
  </si>
  <si>
    <t>6000.0   ---&gt;   26.55</t>
  </si>
  <si>
    <t>6500.0   ---&gt;   25.33</t>
  </si>
  <si>
    <t>7000.0   ---&gt;   22.75</t>
  </si>
  <si>
    <t>7500.0   ---&gt;   20.17</t>
  </si>
  <si>
    <t>8000.0   ---&gt;   17.0</t>
  </si>
  <si>
    <t>500.0   ---&gt;   16.94</t>
  </si>
  <si>
    <t>1500.0   ---&gt;   22.47</t>
  </si>
  <si>
    <t>2000.0   ---&gt;   28.75</t>
  </si>
  <si>
    <t>2500.0   ---&gt;   35.44</t>
  </si>
  <si>
    <t>3000.0   ---&gt;   38.51</t>
  </si>
  <si>
    <t>3500.0   ---&gt;   39.06</t>
  </si>
  <si>
    <t>4000.0   ---&gt;   39.01</t>
  </si>
  <si>
    <t>4500.0   ---&gt;   38.83</t>
  </si>
  <si>
    <t>5000.0   ---&gt;   38.41</t>
  </si>
  <si>
    <t>5500.0   ---&gt;   37.42</t>
  </si>
  <si>
    <t>6000.0   ---&gt;   35.47</t>
  </si>
  <si>
    <t>6500.0   ---&gt;   32.96</t>
  </si>
  <si>
    <t>7000.0   ---&gt;   30.34</t>
  </si>
  <si>
    <t>7500.0   ---&gt;   27.8</t>
  </si>
  <si>
    <t>8000.0   ---&gt;   25.1</t>
  </si>
  <si>
    <t>8500.0   ---&gt;   21.9</t>
  </si>
  <si>
    <t>500.0   ---&gt;   25.33</t>
  </si>
  <si>
    <t>1000.0   ---&gt;   30.87</t>
  </si>
  <si>
    <t>1500.0   ---&gt;   36.25</t>
  </si>
  <si>
    <t>2000.0   ---&gt;   42.78</t>
  </si>
  <si>
    <t>2500.0   ---&gt;   47.45</t>
  </si>
  <si>
    <t>3000.0   ---&gt;   51.87</t>
  </si>
  <si>
    <t>3500.0   ---&gt;   55.98</t>
  </si>
  <si>
    <t>3750.0   ---&gt;   57.4</t>
  </si>
  <si>
    <t>4200.0   ---&gt;   57.28</t>
  </si>
  <si>
    <t>5000.0   ---&gt;   56.55</t>
  </si>
  <si>
    <t>5500.0   ---&gt;   54.95</t>
  </si>
  <si>
    <t>6000.0   ---&gt;   53.63</t>
  </si>
  <si>
    <t>6500.0   ---&gt;   52.02</t>
  </si>
  <si>
    <t>7000.0   ---&gt;   50.12</t>
  </si>
  <si>
    <t>7500.0   ---&gt;   47.57</t>
  </si>
  <si>
    <t>8000.0   ---&gt;   44.58</t>
  </si>
  <si>
    <t>8500.0   ---&gt;   40.81</t>
  </si>
  <si>
    <t>9000.0   ---&gt;   35.85</t>
  </si>
  <si>
    <t>9500.0   ---&gt;   29.76</t>
  </si>
  <si>
    <t>1500.0   ---&gt;   30.0</t>
  </si>
  <si>
    <t>2000.0   ---&gt;   37.2</t>
  </si>
  <si>
    <t>3000.0   ---&gt;   60.6</t>
  </si>
  <si>
    <t>3500.0   ---&gt;   63.8</t>
  </si>
  <si>
    <t>4000.0   ---&gt;   66.4</t>
  </si>
  <si>
    <t>4500.0   ---&gt;   68.2</t>
  </si>
  <si>
    <t>5000.0   ---&gt;   70.0</t>
  </si>
  <si>
    <t>5500.0   ---&gt;   70.6</t>
  </si>
  <si>
    <t>6000.0   ---&gt;   69.8</t>
  </si>
  <si>
    <t>6500.0   ---&gt;   67.8</t>
  </si>
  <si>
    <t>7000.0   ---&gt;   62.6</t>
  </si>
  <si>
    <t>7200.0   ---&gt;   58.6</t>
  </si>
  <si>
    <t>7800.0   ---&gt;   47.0</t>
  </si>
  <si>
    <t>8500.0   ---&gt;   31.6</t>
  </si>
  <si>
    <t>500.0   ---&gt;   27.75</t>
  </si>
  <si>
    <t>1000.0   ---&gt;   32.88</t>
  </si>
  <si>
    <t>1500.0   ---&gt;   35.63</t>
  </si>
  <si>
    <t>2000.0   ---&gt;   36.88</t>
  </si>
  <si>
    <t>2500.0   ---&gt;   38.63</t>
  </si>
  <si>
    <t>3000.0   ---&gt;   41.38</t>
  </si>
  <si>
    <t>3500.0   ---&gt;   43.54</t>
  </si>
  <si>
    <t>4000.0   ---&gt;   43.76</t>
  </si>
  <si>
    <t>4500.0   ---&gt;   43.38</t>
  </si>
  <si>
    <t>5000.0   ---&gt;   41.88</t>
  </si>
  <si>
    <t>5500.0   ---&gt;   40.13</t>
  </si>
  <si>
    <t>6000.0   ---&gt;   38.38</t>
  </si>
  <si>
    <t>6500.0   ---&gt;   35.8</t>
  </si>
  <si>
    <t>500.0   ---&gt;   28.65</t>
  </si>
  <si>
    <t>1000.0   ---&gt;   34.34</t>
  </si>
  <si>
    <t>1500.0   ---&gt;   44.46</t>
  </si>
  <si>
    <t>2000.0   ---&gt;   52.6</t>
  </si>
  <si>
    <t>2500.0   ---&gt;   53.8</t>
  </si>
  <si>
    <t>3000.0   ---&gt;   54.1</t>
  </si>
  <si>
    <t>3500.0   ---&gt;   54.1</t>
  </si>
  <si>
    <t>4000.0   ---&gt;   54.1</t>
  </si>
  <si>
    <t>4500.0   ---&gt;   54.25</t>
  </si>
  <si>
    <t>5000.0   ---&gt;   53.95</t>
  </si>
  <si>
    <t>5700.0   ---&gt;   53.05</t>
  </si>
  <si>
    <t>6000.0   ---&gt;   50.04</t>
  </si>
  <si>
    <t>6500.0   ---&gt;   44.85</t>
  </si>
  <si>
    <t>7000.0   ---&gt;   36.5</t>
  </si>
  <si>
    <t>500.0   ---&gt;   41.78</t>
  </si>
  <si>
    <t>1000.0   ---&gt;   48.47</t>
  </si>
  <si>
    <t>1500.0   ---&gt;   50.58</t>
  </si>
  <si>
    <t>2000.0   ---&gt;   50.36</t>
  </si>
  <si>
    <t>2500.0   ---&gt;   49.85</t>
  </si>
  <si>
    <t>3000.0   ---&gt;   50.48</t>
  </si>
  <si>
    <t>3500.0   ---&gt;   50.48</t>
  </si>
  <si>
    <t>4000.0   ---&gt;   50.48</t>
  </si>
  <si>
    <t>4500.0   ---&gt;   50.99</t>
  </si>
  <si>
    <t>5000.0   ---&gt;   52.54</t>
  </si>
  <si>
    <t>5500.0   ---&gt;   53.17</t>
  </si>
  <si>
    <t>6000.0   ---&gt;   51.88</t>
  </si>
  <si>
    <t>6800.0   ---&gt;   47.36</t>
  </si>
  <si>
    <t>7000.0   ---&gt;   45.67</t>
  </si>
  <si>
    <t>7500.0   ---&gt;   40.76</t>
  </si>
  <si>
    <t>8000.0   ---&gt;   33.9</t>
  </si>
  <si>
    <t>500.0   ---&gt;   22.1</t>
  </si>
  <si>
    <t>1000.0   ---&gt;   29.55</t>
  </si>
  <si>
    <t>1500.0   ---&gt;   33.05</t>
  </si>
  <si>
    <t>2000.0   ---&gt;   35.55</t>
  </si>
  <si>
    <t>2500.0   ---&gt;   37.1</t>
  </si>
  <si>
    <t>3000.0   ---&gt;   38.9</t>
  </si>
  <si>
    <t>3500.0   ---&gt;   40.2</t>
  </si>
  <si>
    <t>4000.0   ---&gt;   42.8</t>
  </si>
  <si>
    <t>4500.0   ---&gt;   46.3</t>
  </si>
  <si>
    <t>5000.0   ---&gt;   48.45</t>
  </si>
  <si>
    <t>5500.0   ---&gt;   50.0</t>
  </si>
  <si>
    <t>6000.0   ---&gt;   49.7</t>
  </si>
  <si>
    <t>6500.0   ---&gt;   48.65</t>
  </si>
  <si>
    <t>6800.0   ---&gt;   47.25</t>
  </si>
  <si>
    <t>7500.0   ---&gt;   41.85</t>
  </si>
  <si>
    <t>8000.0   ---&gt;   34.5</t>
  </si>
  <si>
    <t>500.0   ---&gt;   10.31</t>
  </si>
  <si>
    <t>1000.0   ---&gt;   11.63</t>
  </si>
  <si>
    <t>1500.0   ---&gt;   12.64</t>
  </si>
  <si>
    <t>2000.0   ---&gt;   13.46</t>
  </si>
  <si>
    <t>2500.0   ---&gt;   14.17</t>
  </si>
  <si>
    <t>3000.0   ---&gt;   14.56</t>
  </si>
  <si>
    <t>3500.0   ---&gt;   14.82</t>
  </si>
  <si>
    <t>4000.0   ---&gt;   14.99</t>
  </si>
  <si>
    <t>4500.0   ---&gt;   14.72</t>
  </si>
  <si>
    <t>5000.0   ---&gt;   14.35</t>
  </si>
  <si>
    <t>5500.0   ---&gt;   13.82</t>
  </si>
  <si>
    <t>6000.0   ---&gt;   12.97</t>
  </si>
  <si>
    <t>6500.0   ---&gt;   11.73</t>
  </si>
  <si>
    <t>7000.0   ---&gt;   10.2</t>
  </si>
  <si>
    <t>1000.0   ---&gt;   23.55</t>
  </si>
  <si>
    <t>1500.0   ---&gt;   40.35</t>
  </si>
  <si>
    <t>2000.0   ---&gt;   47.1</t>
  </si>
  <si>
    <t>2500.0   ---&gt;   50.55</t>
  </si>
  <si>
    <t>2750.0   ---&gt;   51.7</t>
  </si>
  <si>
    <t>3300.0   ---&gt;   52.65</t>
  </si>
  <si>
    <t>5000.0   ---&gt;   42.6</t>
  </si>
  <si>
    <t>5500.0   ---&gt;   39.05</t>
  </si>
  <si>
    <t>6000.0   ---&gt;   34.5</t>
  </si>
  <si>
    <t>6500.0   ---&gt;   28.35</t>
  </si>
  <si>
    <t>7000.0   ---&gt;   21.9</t>
  </si>
  <si>
    <t>7500.0   ---&gt;   15.0</t>
  </si>
  <si>
    <t>1000.0   ---&gt;   19.7</t>
  </si>
  <si>
    <t>1500.0   ---&gt;   20.9</t>
  </si>
  <si>
    <t>2000.0   ---&gt;   23.4</t>
  </si>
  <si>
    <t>2500.0   ---&gt;   26.7</t>
  </si>
  <si>
    <t>3000.0   ---&gt;   29.2</t>
  </si>
  <si>
    <t>3500.0   ---&gt;   30.4</t>
  </si>
  <si>
    <t>4000.0   ---&gt;   30.8</t>
  </si>
  <si>
    <t>4400.0   ---&gt;   31.0</t>
  </si>
  <si>
    <t>5000.0   ---&gt;   29.6</t>
  </si>
  <si>
    <t>5400.0   ---&gt;   28.5</t>
  </si>
  <si>
    <t>5800.0   ---&gt;   27.2</t>
  </si>
  <si>
    <t>6200.0   ---&gt;   25.2</t>
  </si>
  <si>
    <t>6800.0   ---&gt;   21.4</t>
  </si>
  <si>
    <t>500.0   ---&gt;   24.1</t>
  </si>
  <si>
    <t>1000.0   ---&gt;   28.3</t>
  </si>
  <si>
    <t>1500.0   ---&gt;   31.8</t>
  </si>
  <si>
    <t>2000.0   ---&gt;   34.5</t>
  </si>
  <si>
    <t>2500.0   ---&gt;   36.5</t>
  </si>
  <si>
    <t>3000.0   ---&gt;   37.9</t>
  </si>
  <si>
    <t>3500.0   ---&gt;   38.7</t>
  </si>
  <si>
    <t>4000.0   ---&gt;   39.0</t>
  </si>
  <si>
    <t>4500.0   ---&gt;   38.7</t>
  </si>
  <si>
    <t>5000.0   ---&gt;   37.5</t>
  </si>
  <si>
    <t>5500.0   ---&gt;   35.4</t>
  </si>
  <si>
    <t>6000.0   ---&gt;   33.0</t>
  </si>
  <si>
    <t>6500.0   ---&gt;   29.6</t>
  </si>
  <si>
    <t>7000.0   ---&gt;   25.5</t>
  </si>
  <si>
    <t>500.0   ---&gt;   34.0</t>
  </si>
  <si>
    <t>1000.0   ---&gt;   38.38</t>
  </si>
  <si>
    <t>1500.0   ---&gt;   41.0</t>
  </si>
  <si>
    <t>2000.0   ---&gt;   42.75</t>
  </si>
  <si>
    <t>2500.0   ---&gt;   43.38</t>
  </si>
  <si>
    <t>3000.0   ---&gt;   43.75</t>
  </si>
  <si>
    <t>3500.0   ---&gt;   44.13</t>
  </si>
  <si>
    <t>4200.0   ---&gt;   44.24</t>
  </si>
  <si>
    <t>4900.0   ---&gt;   42.75</t>
  </si>
  <si>
    <t>5400.0   ---&gt;   40.25</t>
  </si>
  <si>
    <t>5800.0   ---&gt;   37.5</t>
  </si>
  <si>
    <t>6500.0   ---&gt;   32.5</t>
  </si>
  <si>
    <t>7000.0   ---&gt;   28.88</t>
  </si>
  <si>
    <t>7500.0   ---&gt;   24.0</t>
  </si>
  <si>
    <t>1000.0   ---&gt;   30.59</t>
  </si>
  <si>
    <t>1500.0   ---&gt;   32.97</t>
  </si>
  <si>
    <t>2000.0   ---&gt;   35.25</t>
  </si>
  <si>
    <t>2500.0   ---&gt;   38.24</t>
  </si>
  <si>
    <t>3000.0   ---&gt;   41.81</t>
  </si>
  <si>
    <t>3500.0   ---&gt;   41.81</t>
  </si>
  <si>
    <t>4000.0   ---&gt;   41.81</t>
  </si>
  <si>
    <t>4500.0   ---&gt;   40.52</t>
  </si>
  <si>
    <t>5000.0   ---&gt;   39.03</t>
  </si>
  <si>
    <t>5500.0   ---&gt;   37.73</t>
  </si>
  <si>
    <t>6000.0   ---&gt;   37.01</t>
  </si>
  <si>
    <t>6500.0   ---&gt;   33.61</t>
  </si>
  <si>
    <t>500.0   ---&gt;   22.0</t>
  </si>
  <si>
    <t>1000.0   ---&gt;   24.88</t>
  </si>
  <si>
    <t>1500.0   ---&gt;   27.05</t>
  </si>
  <si>
    <t>2000.0   ---&gt;   28.88</t>
  </si>
  <si>
    <t>2500.0   ---&gt;   31.13</t>
  </si>
  <si>
    <t>3500.0   ---&gt;   39.0</t>
  </si>
  <si>
    <t>4500.0   ---&gt;   46.88</t>
  </si>
  <si>
    <t>5000.0   ---&gt;   48.53</t>
  </si>
  <si>
    <t>5500.0   ---&gt;   49.0</t>
  </si>
  <si>
    <t>6000.0   ---&gt;   48.45</t>
  </si>
  <si>
    <t>6500.0   ---&gt;   47.47</t>
  </si>
  <si>
    <t>7000.0   ---&gt;   45.97</t>
  </si>
  <si>
    <t>7500.0   ---&gt;   44.0</t>
  </si>
  <si>
    <t>8500.0   ---&gt;   34.88</t>
  </si>
  <si>
    <t>500.0   ---&gt;   9.04</t>
  </si>
  <si>
    <t>1000.0   ---&gt;   9.43</t>
  </si>
  <si>
    <t>2000.0   ---&gt;   11.87</t>
  </si>
  <si>
    <t>2500.0   ---&gt;   12.96</t>
  </si>
  <si>
    <t>3000.0   ---&gt;   12.96</t>
  </si>
  <si>
    <t>3500.0   ---&gt;   13.12</t>
  </si>
  <si>
    <t>4000.0   ---&gt;   13.32</t>
  </si>
  <si>
    <t>5500.0   ---&gt;   12.49</t>
  </si>
  <si>
    <t>6000.0   ---&gt;   11.73</t>
  </si>
  <si>
    <t>6500.0   ---&gt;   10.72</t>
  </si>
  <si>
    <t>7000.0   ---&gt;   9.63</t>
  </si>
  <si>
    <t>500.0   ---&gt;   18.6</t>
  </si>
  <si>
    <t>1000.0   ---&gt;   26.3</t>
  </si>
  <si>
    <t>1500.0   ---&gt;   32.8</t>
  </si>
  <si>
    <t>2000.0   ---&gt;   37.3</t>
  </si>
  <si>
    <t>2500.0   ---&gt;   38.0</t>
  </si>
  <si>
    <t>3000.0   ---&gt;   38.3</t>
  </si>
  <si>
    <t>3500.0   ---&gt;   38.2</t>
  </si>
  <si>
    <t>4000.0   ---&gt;   38.1</t>
  </si>
  <si>
    <t>4500.0   ---&gt;   37.9</t>
  </si>
  <si>
    <t>5000.0   ---&gt;   37.1</t>
  </si>
  <si>
    <t>5500.0   ---&gt;   35.8</t>
  </si>
  <si>
    <t>6000.0   ---&gt;   33.4</t>
  </si>
  <si>
    <t>7000.0   ---&gt;   27.6</t>
  </si>
  <si>
    <t>7500.0   ---&gt;   22.2</t>
  </si>
  <si>
    <t>500.0   ---&gt;   19.25</t>
  </si>
  <si>
    <t>1500.0   ---&gt;   27.95</t>
  </si>
  <si>
    <t>2500.0   ---&gt;   44.3</t>
  </si>
  <si>
    <t>3000.0   ---&gt;   51.35</t>
  </si>
  <si>
    <t>4000.0   ---&gt;   55.4</t>
  </si>
  <si>
    <t>4500.0   ---&gt;   55.9</t>
  </si>
  <si>
    <t>5100.0   ---&gt;   56.4</t>
  </si>
  <si>
    <t>5500.0   ---&gt;   56.25</t>
  </si>
  <si>
    <t>5950.0   ---&gt;   56.0</t>
  </si>
  <si>
    <t>6500.0   ---&gt;   51.05</t>
  </si>
  <si>
    <t>7000.0   ---&gt;   46.05</t>
  </si>
  <si>
    <t>7500.0   ---&gt;   40.5</t>
  </si>
  <si>
    <t>1000.0   ---&gt;   24.4</t>
  </si>
  <si>
    <t>1500.0   ---&gt;   26.7</t>
  </si>
  <si>
    <t>2000.0   ---&gt;   27.7</t>
  </si>
  <si>
    <t>2500.0   ---&gt;   29.0</t>
  </si>
  <si>
    <t>3000.0   ---&gt;   30.6</t>
  </si>
  <si>
    <t>3500.0   ---&gt;   33.1</t>
  </si>
  <si>
    <t>4000.0   ---&gt;   35.5</t>
  </si>
  <si>
    <t>4500.0   ---&gt;   37.3</t>
  </si>
  <si>
    <t>5200.0   ---&gt;   38.2</t>
  </si>
  <si>
    <t>5700.0   ---&gt;   38.3</t>
  </si>
  <si>
    <t>6100.0   ---&gt;   38.3</t>
  </si>
  <si>
    <t>6500.0   ---&gt;   38.1</t>
  </si>
  <si>
    <t>7000.0   ---&gt;   37.6</t>
  </si>
  <si>
    <t>7700.0   ---&gt;   35.7</t>
  </si>
  <si>
    <t>8000.0   ---&gt;   34.2</t>
  </si>
  <si>
    <t>8500.0   ---&gt;   31.0</t>
  </si>
  <si>
    <t>9000.0   ---&gt;   27.5</t>
  </si>
  <si>
    <t>500.0   ---&gt;   26.06</t>
  </si>
  <si>
    <t>1000.0   ---&gt;   27.27</t>
  </si>
  <si>
    <t>1500.0   ---&gt;   29.22</t>
  </si>
  <si>
    <t>2000.0   ---&gt;   34.22</t>
  </si>
  <si>
    <t>2500.0   ---&gt;   40.74</t>
  </si>
  <si>
    <t>3000.0   ---&gt;   47.36</t>
  </si>
  <si>
    <t>3500.0   ---&gt;   56.14</t>
  </si>
  <si>
    <t>4000.0   ---&gt;   62.22</t>
  </si>
  <si>
    <t>4800.0   ---&gt;   66.3</t>
  </si>
  <si>
    <t>5000.0   ---&gt;   66.18</t>
  </si>
  <si>
    <t>5500.0   ---&gt;   63.88</t>
  </si>
  <si>
    <t>6000.0   ---&gt;   57.81</t>
  </si>
  <si>
    <t>6500.0   ---&gt;   51.77</t>
  </si>
  <si>
    <t>7000.0   ---&gt;   43.7</t>
  </si>
  <si>
    <t>7500.0   ---&gt;   35.88</t>
  </si>
  <si>
    <t>500.0   ---&gt;   23.25</t>
  </si>
  <si>
    <t>1000.0   ---&gt;   23.76</t>
  </si>
  <si>
    <t>1500.0   ---&gt;   24.37</t>
  </si>
  <si>
    <t>2000.0   ---&gt;   25.29</t>
  </si>
  <si>
    <t>2500.0   ---&gt;   26.61</t>
  </si>
  <si>
    <t>3000.0   ---&gt;   26.92</t>
  </si>
  <si>
    <t>3500.0   ---&gt;   28.25</t>
  </si>
  <si>
    <t>4000.0   ---&gt;   28.55</t>
  </si>
  <si>
    <t>4500.0   ---&gt;   27.84</t>
  </si>
  <si>
    <t>5000.0   ---&gt;   26.92</t>
  </si>
  <si>
    <t>5500.0   ---&gt;   25.8</t>
  </si>
  <si>
    <t>6000.0   ---&gt;   24.68</t>
  </si>
  <si>
    <t>6500.0   ---&gt;   22.74</t>
  </si>
  <si>
    <t>500.0   ---&gt;   16.27</t>
  </si>
  <si>
    <t>1500.0   ---&gt;   21.38</t>
  </si>
  <si>
    <t>2500.0   ---&gt;   25.45</t>
  </si>
  <si>
    <t>3500.0   ---&gt;   27.5</t>
  </si>
  <si>
    <t>4000.0   ---&gt;   27.8</t>
  </si>
  <si>
    <t>4800.0   ---&gt;   28.0</t>
  </si>
  <si>
    <t>5000.0   ---&gt;   28.0</t>
  </si>
  <si>
    <t>5500.0   ---&gt;   27.6</t>
  </si>
  <si>
    <t>6000.0   ---&gt;   26.2</t>
  </si>
  <si>
    <t>6500.0   ---&gt;   24.0</t>
  </si>
  <si>
    <t>7500.0   ---&gt;   18.6</t>
  </si>
  <si>
    <t>8000.0   ---&gt;   15.0</t>
  </si>
  <si>
    <t>500.0   ---&gt;   14.92</t>
  </si>
  <si>
    <t>1000.0   ---&gt;   16.5</t>
  </si>
  <si>
    <t>2000.0   ---&gt;   20.46</t>
  </si>
  <si>
    <t>2500.0   ---&gt;   25.89</t>
  </si>
  <si>
    <t>3000.0   ---&gt;   31.71</t>
  </si>
  <si>
    <t>3500.0   ---&gt;   35.47</t>
  </si>
  <si>
    <t>4000.0   ---&gt;   36.0</t>
  </si>
  <si>
    <t>4500.0   ---&gt;   35.9</t>
  </si>
  <si>
    <t>5000.0   ---&gt;   35.63</t>
  </si>
  <si>
    <t>5500.0   ---&gt;   34.88</t>
  </si>
  <si>
    <t>6000.0   ---&gt;   33.23</t>
  </si>
  <si>
    <t>6500.0   ---&gt;   30.85</t>
  </si>
  <si>
    <t>7000.0   ---&gt;   28.19</t>
  </si>
  <si>
    <t>7500.0   ---&gt;   24.68</t>
  </si>
  <si>
    <t>8000.0   ---&gt;   20.66</t>
  </si>
  <si>
    <t>500.0   ---&gt;   11.31</t>
  </si>
  <si>
    <t>1000.0   ---&gt;   12.49</t>
  </si>
  <si>
    <t>1500.0   ---&gt;   13.65</t>
  </si>
  <si>
    <t>2000.0   ---&gt;   14.86</t>
  </si>
  <si>
    <t>2500.0   ---&gt;   15.95</t>
  </si>
  <si>
    <t>3000.0   ---&gt;   16.87</t>
  </si>
  <si>
    <t>3500.0   ---&gt;   17.76</t>
  </si>
  <si>
    <t>4000.0   ---&gt;   18.51</t>
  </si>
  <si>
    <t>4500.0   ---&gt;   19.01</t>
  </si>
  <si>
    <t>5000.0   ---&gt;   18.94</t>
  </si>
  <si>
    <t>5500.0   ---&gt;   18.45</t>
  </si>
  <si>
    <t>6000.0   ---&gt;   17.43</t>
  </si>
  <si>
    <t>6500.0   ---&gt;   16.01</t>
  </si>
  <si>
    <t>7000.0   ---&gt;   14.27</t>
  </si>
  <si>
    <t>7500.0   ---&gt;   12.34</t>
  </si>
  <si>
    <t>8000.0   ---&gt;   10.34</t>
  </si>
  <si>
    <t>8500.0   ---&gt;   7.84</t>
  </si>
  <si>
    <t>9000.0   ---&gt;   5.48</t>
  </si>
  <si>
    <t>1000.0   ---&gt;   13.4</t>
  </si>
  <si>
    <t>2000.0   ---&gt;   15.0</t>
  </si>
  <si>
    <t>2500.0   ---&gt;   15.45</t>
  </si>
  <si>
    <t>3500.0   ---&gt;   15.65</t>
  </si>
  <si>
    <t>4000.0   ---&gt;   15.15</t>
  </si>
  <si>
    <t>4500.0   ---&gt;   15.0</t>
  </si>
  <si>
    <t>5500.0   ---&gt;   14.45</t>
  </si>
  <si>
    <t>6000.0   ---&gt;   13.75</t>
  </si>
  <si>
    <t>6500.0   ---&gt;   12.55</t>
  </si>
  <si>
    <t>500.0   ---&gt;   20.39</t>
  </si>
  <si>
    <t>1000.0   ---&gt;   22.43</t>
  </si>
  <si>
    <t>1500.0   ---&gt;   23.45</t>
  </si>
  <si>
    <t>3000.0   ---&gt;   25.29</t>
  </si>
  <si>
    <t>3500.0   ---&gt;   25.49</t>
  </si>
  <si>
    <t>4500.0   ---&gt;   28.04</t>
  </si>
  <si>
    <t>5000.0   ---&gt;   29.47</t>
  </si>
  <si>
    <t>5500.0   ---&gt;   29.06</t>
  </si>
  <si>
    <t>6000.0   ---&gt;   28.65</t>
  </si>
  <si>
    <t>6500.0   ---&gt;   26.0</t>
  </si>
  <si>
    <t>7500.0   ---&gt;   14.85</t>
  </si>
  <si>
    <t>500.0   ---&gt;   7.48</t>
  </si>
  <si>
    <t>1000.0   ---&gt;   14.96</t>
  </si>
  <si>
    <t>1500.0   ---&gt;   22.43</t>
  </si>
  <si>
    <t>2000.0   ---&gt;   34.67</t>
  </si>
  <si>
    <t>2500.0   ---&gt;   34.98</t>
  </si>
  <si>
    <t>3000.0   ---&gt;   34.87</t>
  </si>
  <si>
    <t>3500.0   ---&gt;   34.77</t>
  </si>
  <si>
    <t>4000.0   ---&gt;   34.67</t>
  </si>
  <si>
    <t>4500.0   ---&gt;   34.16</t>
  </si>
  <si>
    <t>5000.0   ---&gt;   33.65</t>
  </si>
  <si>
    <t>5500.0   ---&gt;   33.14</t>
  </si>
  <si>
    <t>6000.0   ---&gt;   32.11</t>
  </si>
  <si>
    <t>7000.0   ---&gt;   27.82</t>
  </si>
  <si>
    <t>500.0   ---&gt;   41.47</t>
  </si>
  <si>
    <t>1000.0   ---&gt;   49.0</t>
  </si>
  <si>
    <t>1500.0   ---&gt;   56.0</t>
  </si>
  <si>
    <t>2000.0   ---&gt;   61.6</t>
  </si>
  <si>
    <t>2500.0   ---&gt;   65.63</t>
  </si>
  <si>
    <t>3000.0   ---&gt;   68.07</t>
  </si>
  <si>
    <t>3750.0   ---&gt;   69.1</t>
  </si>
  <si>
    <t>4000.0   ---&gt;   68.78</t>
  </si>
  <si>
    <t>4500.0   ---&gt;   67.55</t>
  </si>
  <si>
    <t>5000.0   ---&gt;   65.45</t>
  </si>
  <si>
    <t>5500.0   ---&gt;   62.3</t>
  </si>
  <si>
    <t>6000.0   ---&gt;   58.8</t>
  </si>
  <si>
    <t>6500.0   ---&gt;   55.0</t>
  </si>
  <si>
    <t>7000.0   ---&gt;   49.88</t>
  </si>
  <si>
    <t>500.0   ---&gt;   5.55</t>
  </si>
  <si>
    <t>1000.0   ---&gt;   6.8</t>
  </si>
  <si>
    <t>1500.0   ---&gt;   7.7</t>
  </si>
  <si>
    <t>2000.0   ---&gt;   8.45</t>
  </si>
  <si>
    <t>2500.0   ---&gt;   8.85</t>
  </si>
  <si>
    <t>3000.0   ---&gt;   9.3</t>
  </si>
  <si>
    <t>3500.0   ---&gt;   9.95</t>
  </si>
  <si>
    <t>4000.0   ---&gt;   10.8</t>
  </si>
  <si>
    <t>4500.0   ---&gt;   11.45</t>
  </si>
  <si>
    <t>5000.0   ---&gt;   11.85</t>
  </si>
  <si>
    <t>5500.0   ---&gt;   12.2</t>
  </si>
  <si>
    <t>6000.0   ---&gt;   12.4</t>
  </si>
  <si>
    <t>6800.0   ---&gt;   12.5</t>
  </si>
  <si>
    <t>7500.0   ---&gt;   11.15</t>
  </si>
  <si>
    <t>8200.0   ---&gt;   9.5</t>
  </si>
  <si>
    <t>9000.0   ---&gt;   6.95</t>
  </si>
  <si>
    <t>500.0   ---&gt;   25.0</t>
  </si>
  <si>
    <t>1000.0   ---&gt;   27.6</t>
  </si>
  <si>
    <t>2000.0   ---&gt;   32.1</t>
  </si>
  <si>
    <t>2500.0   ---&gt;   33.9</t>
  </si>
  <si>
    <t>3000.0   ---&gt;   35.3</t>
  </si>
  <si>
    <t>3500.0   ---&gt;   36.0</t>
  </si>
  <si>
    <t>4000.0   ---&gt;   35.8</t>
  </si>
  <si>
    <t>4500.0   ---&gt;   35.6</t>
  </si>
  <si>
    <t>5000.0   ---&gt;   35.3</t>
  </si>
  <si>
    <t>5500.0   ---&gt;   35.0</t>
  </si>
  <si>
    <t>6500.0   ---&gt;   26.7</t>
  </si>
  <si>
    <t>7000.0   ---&gt;   22.2</t>
  </si>
  <si>
    <t>7500.0   ---&gt;   18.3</t>
  </si>
  <si>
    <t>500.0   ---&gt;   27.7</t>
  </si>
  <si>
    <t>1000.0   ---&gt;   30.2</t>
  </si>
  <si>
    <t>2000.0   ---&gt;   33.8</t>
  </si>
  <si>
    <t>2500.0   ---&gt;   34.9</t>
  </si>
  <si>
    <t>3000.0   ---&gt;   35.8</t>
  </si>
  <si>
    <t>3500.0   ---&gt;   36.6</t>
  </si>
  <si>
    <t>4000.0   ---&gt;   37.0</t>
  </si>
  <si>
    <t>4500.0   ---&gt;   37.0</t>
  </si>
  <si>
    <t>5000.0   ---&gt;   37.0</t>
  </si>
  <si>
    <t>5500.0   ---&gt;   36.4</t>
  </si>
  <si>
    <t>6000.0   ---&gt;   32.5</t>
  </si>
  <si>
    <t>500.0   ---&gt;   45.2</t>
  </si>
  <si>
    <t>1000.0   ---&gt;   61.4</t>
  </si>
  <si>
    <t>1500.0   ---&gt;   68.2</t>
  </si>
  <si>
    <t>2000.0   ---&gt;   72.0</t>
  </si>
  <si>
    <t>2500.0   ---&gt;   73.6</t>
  </si>
  <si>
    <t>3250.0   ---&gt;   75.0</t>
  </si>
  <si>
    <t>4000.0   ---&gt;   74.8</t>
  </si>
  <si>
    <t>4500.0   ---&gt;   74.2</t>
  </si>
  <si>
    <t>5000.0   ---&gt;   73.6</t>
  </si>
  <si>
    <t>5500.0   ---&gt;   72.4</t>
  </si>
  <si>
    <t>6000.0   ---&gt;   70.9</t>
  </si>
  <si>
    <t>6500.0   ---&gt;   66.6</t>
  </si>
  <si>
    <t>7000.0   ---&gt;   60.8</t>
  </si>
  <si>
    <t>7500.0   ---&gt;   51.6</t>
  </si>
  <si>
    <t>1000.0   ---&gt;   19.13</t>
  </si>
  <si>
    <t>2000.0   ---&gt;   25.07</t>
  </si>
  <si>
    <t>2500.0   ---&gt;   25.3</t>
  </si>
  <si>
    <t>3000.0   ---&gt;   25.37</t>
  </si>
  <si>
    <t>3500.0   ---&gt;   25.45</t>
  </si>
  <si>
    <t>4000.0   ---&gt;   25.3</t>
  </si>
  <si>
    <t>4500.0   ---&gt;   25.22</t>
  </si>
  <si>
    <t>5000.0   ---&gt;   25.15</t>
  </si>
  <si>
    <t>5700.0   ---&gt;   25.0</t>
  </si>
  <si>
    <t>6000.0   ---&gt;   23.55</t>
  </si>
  <si>
    <t>6500.0   ---&gt;   20.27</t>
  </si>
  <si>
    <t>7000.0   ---&gt;   16.05</t>
  </si>
  <si>
    <t>7500.0   ---&gt;   11.77</t>
  </si>
  <si>
    <t>500.0   ---&gt;   32.4</t>
  </si>
  <si>
    <t>1000.0   ---&gt;   40.8</t>
  </si>
  <si>
    <t>1500.0   ---&gt;   48.0</t>
  </si>
  <si>
    <t>2000.0   ---&gt;   55.0</t>
  </si>
  <si>
    <t>2500.0   ---&gt;   60.2</t>
  </si>
  <si>
    <t>3000.0   ---&gt;   64.4</t>
  </si>
  <si>
    <t>3500.0   ---&gt;   67.4</t>
  </si>
  <si>
    <t>4000.0   ---&gt;   69.2</t>
  </si>
  <si>
    <t>4500.0   ---&gt;   70.0</t>
  </si>
  <si>
    <t>5000.0   ---&gt;   69.4</t>
  </si>
  <si>
    <t>5500.0   ---&gt;   68.4</t>
  </si>
  <si>
    <t>6000.0   ---&gt;   66.4</t>
  </si>
  <si>
    <t>6500.0   ---&gt;   63.8</t>
  </si>
  <si>
    <t>7000.0   ---&gt;   60.4</t>
  </si>
  <si>
    <t>7500.0   ---&gt;   57.0</t>
  </si>
  <si>
    <t>500.0   ---&gt;   23.5</t>
  </si>
  <si>
    <t>2000.0   ---&gt;   33.1</t>
  </si>
  <si>
    <t>2500.0   ---&gt;   35.3</t>
  </si>
  <si>
    <t>3000.0   ---&gt;   36.9</t>
  </si>
  <si>
    <t>3500.0   ---&gt;   38.1</t>
  </si>
  <si>
    <t>4000.0   ---&gt;   38.9</t>
  </si>
  <si>
    <t>4500.0   ---&gt;   39.7</t>
  </si>
  <si>
    <t>5000.0   ---&gt;   39.6</t>
  </si>
  <si>
    <t>5500.0   ---&gt;   39.5</t>
  </si>
  <si>
    <t>6000.0   ---&gt;   39.4</t>
  </si>
  <si>
    <t>6500.0   ---&gt;   39.2</t>
  </si>
  <si>
    <t>7000.0   ---&gt;   38.8</t>
  </si>
  <si>
    <t>7500.0   ---&gt;   35.7</t>
  </si>
  <si>
    <t>8000.0   ---&gt;   31.2</t>
  </si>
  <si>
    <t>8500.0   ---&gt;   25.4</t>
  </si>
  <si>
    <t>500.0   ---&gt;   15.68</t>
  </si>
  <si>
    <t>1000.0   ---&gt;   19.27</t>
  </si>
  <si>
    <t>1500.0   ---&gt;   21.88</t>
  </si>
  <si>
    <t>2000.0   ---&gt;   22.75</t>
  </si>
  <si>
    <t>2500.0   ---&gt;   23.73</t>
  </si>
  <si>
    <t>3000.0   ---&gt;   25.08</t>
  </si>
  <si>
    <t>3500.0   ---&gt;   26.42</t>
  </si>
  <si>
    <t>4000.0   ---&gt;   26.9</t>
  </si>
  <si>
    <t>4500.0   ---&gt;   27.65</t>
  </si>
  <si>
    <t>5000.0   ---&gt;   28.27</t>
  </si>
  <si>
    <t>5600.0   ---&gt;   28.6</t>
  </si>
  <si>
    <t>6000.0   ---&gt;   28.77</t>
  </si>
  <si>
    <t>6500.0   ---&gt;   28.72</t>
  </si>
  <si>
    <t>7000.0   ---&gt;   28.77</t>
  </si>
  <si>
    <t>7500.0   ---&gt;   28.92</t>
  </si>
  <si>
    <t>8000.0   ---&gt;   28.4</t>
  </si>
  <si>
    <t>8500.0   ---&gt;   27.32</t>
  </si>
  <si>
    <t>9000.0   ---&gt;   25.5</t>
  </si>
  <si>
    <t>9500.0   ---&gt;   22.2</t>
  </si>
  <si>
    <t>10000.0   ---&gt;   17.4</t>
  </si>
  <si>
    <t>500.0   ---&gt;   18.8</t>
  </si>
  <si>
    <t>1500.0   ---&gt;   23.2</t>
  </si>
  <si>
    <t>2000.0   ---&gt;   25.6</t>
  </si>
  <si>
    <t>2500.0   ---&gt;   27.6</t>
  </si>
  <si>
    <t>3000.0   ---&gt;   29.5</t>
  </si>
  <si>
    <t>3500.0   ---&gt;   31.7</t>
  </si>
  <si>
    <t>4000.0   ---&gt;   33.7</t>
  </si>
  <si>
    <t>4500.0   ---&gt;   35.5</t>
  </si>
  <si>
    <t>5000.0   ---&gt;   36.8</t>
  </si>
  <si>
    <t>5500.0   ---&gt;   37.7</t>
  </si>
  <si>
    <t>6000.0   ---&gt;   38.4</t>
  </si>
  <si>
    <t>6500.0   ---&gt;   38.8</t>
  </si>
  <si>
    <t>7000.0   ---&gt;   39.0</t>
  </si>
  <si>
    <t>7500.0   ---&gt;   38.7</t>
  </si>
  <si>
    <t>8000.0   ---&gt;   38.1</t>
  </si>
  <si>
    <t>8500.0   ---&gt;   37.7</t>
  </si>
  <si>
    <t>9000.0   ---&gt;   37.0</t>
  </si>
  <si>
    <t>9500.0   ---&gt;   34.7</t>
  </si>
  <si>
    <t>10000.0   ---&gt;   30.2</t>
  </si>
  <si>
    <t>500.0   ---&gt;   16.2</t>
  </si>
  <si>
    <t>1000.0   ---&gt;   18.08</t>
  </si>
  <si>
    <t>1500.0   ---&gt;   19.35</t>
  </si>
  <si>
    <t>2500.0   ---&gt;   21.67</t>
  </si>
  <si>
    <t>3500.0   ---&gt;   23.33</t>
  </si>
  <si>
    <t>4000.0   ---&gt;   24.0</t>
  </si>
  <si>
    <t>4750.0   ---&gt;   24.48</t>
  </si>
  <si>
    <t>5000.0   ---&gt;   24.38</t>
  </si>
  <si>
    <t>6000.0   ---&gt;   24.15</t>
  </si>
  <si>
    <t>6500.0   ---&gt;   24.15</t>
  </si>
  <si>
    <t>8000.0   ---&gt;   18.23</t>
  </si>
  <si>
    <t>500.0   ---&gt;   26.38</t>
  </si>
  <si>
    <t>1000.0   ---&gt;   30.63</t>
  </si>
  <si>
    <t>1500.0   ---&gt;   33.5</t>
  </si>
  <si>
    <t>2000.0   ---&gt;   36.0</t>
  </si>
  <si>
    <t>2500.0   ---&gt;   37.88</t>
  </si>
  <si>
    <t>3000.0   ---&gt;   39.63</t>
  </si>
  <si>
    <t>3500.0   ---&gt;   41.25</t>
  </si>
  <si>
    <t>4000.0   ---&gt;   42.75</t>
  </si>
  <si>
    <t>4500.0   ---&gt;   43.5</t>
  </si>
  <si>
    <t>5000.0   ---&gt;   41.25</t>
  </si>
  <si>
    <t>5500.0   ---&gt;   38.63</t>
  </si>
  <si>
    <t>6000.0   ---&gt;   36.0</t>
  </si>
  <si>
    <t>Car Prize Probability%</t>
  </si>
  <si>
    <t>Per Roll Probability%</t>
  </si>
  <si>
    <t>RPM</t>
  </si>
  <si>
    <t>Torque (kgfm)</t>
  </si>
  <si>
    <t>Power (PS)</t>
  </si>
  <si>
    <t>Power (ps)</t>
  </si>
  <si>
    <t>Torque Normal%</t>
  </si>
  <si>
    <t>Power Normal%</t>
  </si>
  <si>
    <t>Select Car</t>
  </si>
  <si>
    <t>Dropdown Works on Local Copy ONLY</t>
  </si>
  <si>
    <t>Please make a local copy of this google sheet for this to work. Apparently Google Sheets does not support dropdown click for viewers.</t>
  </si>
  <si>
    <t>If you are comfortable using Google Data Studio (for interactive graph outside of Google Sheets), use the link below</t>
  </si>
  <si>
    <t>Google Data Studio - Enthusia Car Power Curves</t>
  </si>
  <si>
    <t>ＡＳＬ</t>
  </si>
  <si>
    <t>ＢＭＷ</t>
  </si>
  <si>
    <t>ＤＭＣ</t>
  </si>
  <si>
    <t>ＭＧ</t>
  </si>
  <si>
    <t>ＴＶＲ</t>
  </si>
  <si>
    <t>アウディ</t>
  </si>
  <si>
    <t>ASTON MARTIN</t>
  </si>
  <si>
    <t>アストン マーティン</t>
  </si>
  <si>
    <t>ALFA ROMEO</t>
  </si>
  <si>
    <t>アルファ ロメオ</t>
  </si>
  <si>
    <t>Austin-Healey</t>
  </si>
  <si>
    <t>オースチン・ヒーレー</t>
  </si>
  <si>
    <t>OPEL</t>
  </si>
  <si>
    <t>オペル</t>
  </si>
  <si>
    <t>CADILLAC</t>
  </si>
  <si>
    <t>キャデラック</t>
  </si>
  <si>
    <t>CHRYSLER</t>
  </si>
  <si>
    <t>クライスラー</t>
  </si>
  <si>
    <t>CATERHAM</t>
  </si>
  <si>
    <t>ケイターハム</t>
  </si>
  <si>
    <t>SAAB</t>
  </si>
  <si>
    <t>サーブ</t>
  </si>
  <si>
    <t>SHELBY</t>
  </si>
  <si>
    <t>シェルビー</t>
  </si>
  <si>
    <t>CITROEN</t>
  </si>
  <si>
    <t>シトロエン</t>
  </si>
  <si>
    <t>CHEVROLET</t>
  </si>
  <si>
    <t>シボレー</t>
  </si>
  <si>
    <t>JAGUAR</t>
  </si>
  <si>
    <t>ジャガー</t>
  </si>
  <si>
    <t>SUZUKI</t>
  </si>
  <si>
    <t>スズキ</t>
  </si>
  <si>
    <t>SUBARU</t>
  </si>
  <si>
    <t>スバル</t>
  </si>
  <si>
    <t>スマート</t>
  </si>
  <si>
    <t>DAIHATSU</t>
  </si>
  <si>
    <t>ダイハツ</t>
  </si>
  <si>
    <t>ダッジ</t>
  </si>
  <si>
    <t>DE TOMASO</t>
  </si>
  <si>
    <t>デ・トマソ</t>
  </si>
  <si>
    <t>Tommy kaira</t>
  </si>
  <si>
    <t>トミーカイラ</t>
  </si>
  <si>
    <t>TOYOTA</t>
  </si>
  <si>
    <t>トヨタ</t>
  </si>
  <si>
    <t>NISSAN</t>
  </si>
  <si>
    <t>ニッサン</t>
  </si>
  <si>
    <t>HYUNDAI</t>
  </si>
  <si>
    <t>ヒュンダイ</t>
  </si>
  <si>
    <t>FIAT</t>
  </si>
  <si>
    <t>フィアット</t>
  </si>
  <si>
    <t>フォード</t>
  </si>
  <si>
    <t>VOLKSWAGEN</t>
  </si>
  <si>
    <t>フォルクスワーゲン</t>
  </si>
  <si>
    <t>PEUGEOT</t>
  </si>
  <si>
    <t>プジョー</t>
  </si>
  <si>
    <t>VOLVO</t>
  </si>
  <si>
    <t>ボルボ</t>
  </si>
  <si>
    <t>HONDA</t>
  </si>
  <si>
    <t>ホンダ</t>
  </si>
  <si>
    <t>PONTIAC</t>
  </si>
  <si>
    <t>ポンティアック</t>
  </si>
  <si>
    <t>MAZDA</t>
  </si>
  <si>
    <t>マツダ</t>
  </si>
  <si>
    <t>MITSUBISHI</t>
  </si>
  <si>
    <t>ミツビシ</t>
  </si>
  <si>
    <t>MINI</t>
  </si>
  <si>
    <t>ミニ</t>
  </si>
  <si>
    <t>Mercedes-Benz</t>
  </si>
  <si>
    <t>メルセデス・ベンツ</t>
  </si>
  <si>
    <t>MORRIS</t>
  </si>
  <si>
    <t>モーリス</t>
  </si>
  <si>
    <t>LANCIA</t>
  </si>
  <si>
    <t>ランチア</t>
  </si>
  <si>
    <t>LAND ROVER</t>
  </si>
  <si>
    <t>ランドローバー</t>
  </si>
  <si>
    <t>RUF</t>
  </si>
  <si>
    <t>ルーフ</t>
  </si>
  <si>
    <t>RENAULT</t>
  </si>
  <si>
    <t>ルノー</t>
  </si>
  <si>
    <t>LOTUS</t>
  </si>
  <si>
    <t>ロータス</t>
  </si>
  <si>
    <t>DAUER</t>
  </si>
  <si>
    <t>ダウアー</t>
  </si>
  <si>
    <t>Driveable</t>
  </si>
  <si>
    <t>Usable Without Cheats</t>
  </si>
  <si>
    <t>Black Void (UI)</t>
  </si>
  <si>
    <t>Minimap</t>
  </si>
  <si>
    <t>AUTUMN HILL FORWARD</t>
  </si>
  <si>
    <t>AUTUMN MOUNTAIN FORWARD</t>
  </si>
  <si>
    <t>VICTORIA GARDEN FORWARD</t>
  </si>
  <si>
    <t>VICTORIA ROAD FORWARD</t>
  </si>
  <si>
    <t>ROUTE de la SEINE FORWARD</t>
  </si>
  <si>
    <t>BURGENSCHLUCHT FORWARD</t>
  </si>
  <si>
    <t>WINTERTRAUM FORWARD</t>
  </si>
  <si>
    <t>MARCO STRADA WET FORWARD</t>
  </si>
  <si>
    <t>MARCO STRADA FORWARD</t>
  </si>
  <si>
    <t>TSUKUBA FORWARD</t>
  </si>
  <si>
    <t>TSUKUBA NIGHT FORWARD</t>
  </si>
  <si>
    <t>TSUKUBA WET FORWARD</t>
  </si>
  <si>
    <t>NORDSCHLEIFE FORWARD</t>
  </si>
  <si>
    <t>PACIFIC GATEWAY FORWARD</t>
  </si>
  <si>
    <t>LOWENSEERING FORWARD</t>
  </si>
  <si>
    <t>REV CITY FORWARD</t>
  </si>
  <si>
    <t>SPEEDIAPOLIS RING</t>
  </si>
  <si>
    <t>MYSTIC CAVEWAY FORWARD</t>
  </si>
  <si>
    <t>EDGE OF THE ROAD FORWARD</t>
  </si>
  <si>
    <t>DRAGON RANGE UPHILL</t>
  </si>
  <si>
    <t>AIRPORT SQUARE</t>
  </si>
  <si>
    <t>OCEAN BRIDGE TA</t>
  </si>
  <si>
    <t>OCEAN BRIDGE RAIN TA</t>
  </si>
  <si>
    <t>MIRAGE #1</t>
  </si>
  <si>
    <t>MIRAGE #2</t>
  </si>
  <si>
    <t>MIRAGE #3</t>
  </si>
  <si>
    <t>MIRAGE #4</t>
  </si>
  <si>
    <t>MIRAGE #5</t>
  </si>
  <si>
    <t>MIRAGE #6</t>
  </si>
  <si>
    <t>MIRAGE #7</t>
  </si>
  <si>
    <t>MIRAGE #8</t>
  </si>
  <si>
    <t>MIRAGE #9</t>
  </si>
  <si>
    <t>MIRAGE #10</t>
  </si>
  <si>
    <t>MIRAGE #11</t>
  </si>
  <si>
    <t>MIRAGE #12</t>
  </si>
  <si>
    <t>MIRAGE #13</t>
  </si>
  <si>
    <t>MIRAGE #14</t>
  </si>
  <si>
    <t>MIRAGE #15</t>
  </si>
  <si>
    <t>MIRAGE #16</t>
  </si>
  <si>
    <t>COSMIC EGGWAY FORWARD</t>
  </si>
  <si>
    <t>COSMIC WINDING FORWARD</t>
  </si>
  <si>
    <t>WILD WEST ENDURO FORWARD</t>
  </si>
  <si>
    <t>AUTUMN HILL REVERSE</t>
  </si>
  <si>
    <t>AUTUMN MOUNTAIN REVERSE</t>
  </si>
  <si>
    <t>VICTORIA GARDEN REVERSE</t>
  </si>
  <si>
    <t>VICTORIA ROAD REVERSE</t>
  </si>
  <si>
    <t>ROUTE de la SEINE REVERSE</t>
  </si>
  <si>
    <t>BURGENSCHLUCHT REVERSE</t>
  </si>
  <si>
    <t>WINTERTRAUM REVERSE</t>
  </si>
  <si>
    <t>MARCO STRADA WET REVERSE</t>
  </si>
  <si>
    <t>MARCO STRADA REVERSE</t>
  </si>
  <si>
    <t>TSUKUBA REVERSE</t>
  </si>
  <si>
    <t>TSUKUBA NIGHT REVERSE</t>
  </si>
  <si>
    <t>TSUKUBA WET REVERSE</t>
  </si>
  <si>
    <t>NORDSCHLEIFE REVERSE</t>
  </si>
  <si>
    <t>PACIFIC GATEWAY REVERSE</t>
  </si>
  <si>
    <t>LOWENSEERING REVERSE</t>
  </si>
  <si>
    <t>REV CITY REVERSE</t>
  </si>
  <si>
    <t>MYSTIC CAVEWAY REVERSE</t>
  </si>
  <si>
    <t>EDGE OF THE ROAD REVERSE</t>
  </si>
  <si>
    <t>DRAGON RANGE DOWNHILL</t>
  </si>
  <si>
    <t>COSMIC EGGWAY REVERSE</t>
  </si>
  <si>
    <t>COSMIC WINDING REVERSE</t>
  </si>
  <si>
    <t>Map exists but is completely unused</t>
  </si>
  <si>
    <t>WILD WEST ENDURO REVERSE</t>
  </si>
  <si>
    <t>Map exists, but unused and a black void, but still driveable</t>
  </si>
  <si>
    <t>- - -</t>
  </si>
  <si>
    <t>No Finish</t>
  </si>
  <si>
    <t>GARAGE</t>
  </si>
  <si>
    <t>Demo map probably, instant finish</t>
  </si>
  <si>
    <t>MARCO STRADA</t>
  </si>
  <si>
    <t>Nurburgring Nordschleife</t>
  </si>
  <si>
    <t>MIRAGE CROSSING</t>
  </si>
  <si>
    <t>PYLON SLALOM</t>
  </si>
  <si>
    <t>Demo Map, probably the same one as in the intro movie</t>
  </si>
  <si>
    <t>SS CIRCLE</t>
  </si>
  <si>
    <t>Debug Map</t>
  </si>
  <si>
    <t>DEMO RUN</t>
  </si>
  <si>
    <t>Debug Map for testing</t>
  </si>
  <si>
    <t>WINTERTRAUM</t>
  </si>
  <si>
    <t>Probably Demo Map, No Rear View Cam and Minimap</t>
  </si>
  <si>
    <t>MYSTIC CAVEWAY</t>
  </si>
  <si>
    <t>Nurburgring Nordschleife REVERSE</t>
  </si>
  <si>
    <t>400-519</t>
  </si>
  <si>
    <t>NULL OR ""</t>
  </si>
  <si>
    <t>OTHERS</t>
  </si>
  <si>
    <t>Black Void Without UI</t>
  </si>
  <si>
    <t>Rank</t>
  </si>
  <si>
    <t>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</si>
</sst>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20.0"/>
      <color theme="1"/>
      <name val="Noto Sans JP"/>
    </font>
    <font>
      <color theme="1"/>
      <name val="Noto Sans JP"/>
    </font>
    <font/>
    <font>
      <sz val="10.0"/>
      <color theme="1"/>
      <name val="Noto Sans JP"/>
    </font>
    <font>
      <b/>
      <sz val="12.0"/>
      <color theme="1"/>
      <name val="Noto Sans JP"/>
    </font>
    <font>
      <b/>
      <sz val="11.0"/>
      <color theme="1"/>
      <name val="Noto Sans JP"/>
    </font>
    <font>
      <sz val="9.0"/>
      <color theme="1"/>
      <name val="Noto Sans JP"/>
    </font>
    <font>
      <u/>
      <sz val="9.0"/>
      <color rgb="FF0000FF"/>
      <name val="Noto Sans JP"/>
    </font>
    <font>
      <b/>
      <color theme="1"/>
      <name val="Noto Sans JP"/>
    </font>
    <font>
      <sz val="11.0"/>
      <color theme="1"/>
      <name val="Noto Sans JP"/>
    </font>
    <font>
      <u/>
      <sz val="10.0"/>
      <color rgb="FF0000FF"/>
      <name val="Noto Sans JP"/>
    </font>
    <font>
      <u/>
      <color rgb="FF0000FF"/>
      <name val="Noto Sans JP"/>
    </font>
    <font>
      <u/>
      <color rgb="FF0000FF"/>
      <name val="Noto Sans JP"/>
    </font>
    <font>
      <b/>
      <sz val="14.0"/>
      <color theme="1"/>
      <name val="Noto Sans JP"/>
    </font>
    <font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sz val="10.0"/>
      <color theme="1"/>
      <name val="Noto Sans JP"/>
    </font>
    <font>
      <b/>
      <u/>
      <sz val="14.0"/>
      <color rgb="FF0000FF"/>
      <name val="Noto Sans JP"/>
    </font>
    <font>
      <b/>
      <sz val="14.0"/>
      <color rgb="FF1F1F1F"/>
      <name val="Noto Sans JP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</border>
    <border>
      <top style="thin">
        <color rgb="FFEFEFEF"/>
      </top>
    </border>
    <border>
      <right style="thin">
        <color rgb="FFEFEFEF"/>
      </right>
      <top style="thin">
        <color rgb="FFEFEFEF"/>
      </top>
    </border>
    <border>
      <left style="thin">
        <color rgb="FFEFEFEF"/>
      </left>
    </border>
    <border>
      <right style="thin">
        <color rgb="FFEFEFEF"/>
      </right>
    </border>
    <border>
      <left style="thin">
        <color rgb="FFEFEFEF"/>
      </left>
      <bottom style="thin">
        <color rgb="FFEFEFEF"/>
      </bottom>
    </border>
    <border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2" fontId="1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2" fillId="2" fontId="4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10" fillId="3" fontId="6" numFmtId="0" xfId="0" applyAlignment="1" applyBorder="1" applyFill="1" applyFont="1">
      <alignment readingOrder="0"/>
    </xf>
    <xf borderId="11" fillId="3" fontId="3" numFmtId="0" xfId="0" applyBorder="1" applyFont="1"/>
    <xf borderId="12" fillId="3" fontId="3" numFmtId="0" xfId="0" applyBorder="1" applyFont="1"/>
    <xf borderId="10" fillId="4" fontId="2" numFmtId="0" xfId="0" applyAlignment="1" applyBorder="1" applyFill="1" applyFont="1">
      <alignment horizontal="left" readingOrder="0"/>
    </xf>
    <xf borderId="11" fillId="4" fontId="3" numFmtId="0" xfId="0" applyBorder="1" applyFont="1"/>
    <xf borderId="10" fillId="4" fontId="2" numFmtId="0" xfId="0" applyAlignment="1" applyBorder="1" applyFont="1">
      <alignment readingOrder="0"/>
    </xf>
    <xf borderId="12" fillId="4" fontId="3" numFmtId="0" xfId="0" applyBorder="1" applyFont="1"/>
    <xf borderId="10" fillId="2" fontId="2" numFmtId="0" xfId="0" applyAlignment="1" applyBorder="1" applyFont="1">
      <alignment horizontal="left" readingOrder="0"/>
    </xf>
    <xf borderId="11" fillId="2" fontId="3" numFmtId="0" xfId="0" applyBorder="1" applyFont="1"/>
    <xf borderId="10" fillId="2" fontId="2" numFmtId="0" xfId="0" applyAlignment="1" applyBorder="1" applyFont="1">
      <alignment readingOrder="0"/>
    </xf>
    <xf borderId="12" fillId="2" fontId="3" numFmtId="0" xfId="0" applyBorder="1" applyFont="1"/>
    <xf borderId="10" fillId="2" fontId="7" numFmtId="0" xfId="0" applyAlignment="1" applyBorder="1" applyFont="1">
      <alignment readingOrder="0"/>
    </xf>
    <xf borderId="11" fillId="2" fontId="8" numFmtId="0" xfId="0" applyAlignment="1" applyBorder="1" applyFont="1">
      <alignment readingOrder="0"/>
    </xf>
    <xf borderId="10" fillId="2" fontId="9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" fillId="0" fontId="10" numFmtId="0" xfId="0" applyAlignment="1" applyBorder="1" applyFont="1">
      <alignment horizontal="center" readingOrder="0"/>
    </xf>
    <xf borderId="10" fillId="2" fontId="10" numFmtId="0" xfId="0" applyAlignment="1" applyBorder="1" applyFont="1">
      <alignment horizontal="center" readingOrder="0"/>
    </xf>
    <xf borderId="10" fillId="4" fontId="4" numFmtId="0" xfId="0" applyAlignment="1" applyBorder="1" applyFont="1">
      <alignment horizontal="left" readingOrder="0"/>
    </xf>
    <xf borderId="10" fillId="4" fontId="4" numFmtId="0" xfId="0" applyAlignment="1" applyBorder="1" applyFont="1">
      <alignment readingOrder="0"/>
    </xf>
    <xf borderId="10" fillId="4" fontId="11" numFmtId="0" xfId="0" applyAlignment="1" applyBorder="1" applyFont="1">
      <alignment readingOrder="0"/>
    </xf>
    <xf borderId="10" fillId="2" fontId="4" numFmtId="0" xfId="0" applyAlignment="1" applyBorder="1" applyFont="1">
      <alignment horizontal="left" readingOrder="0"/>
    </xf>
    <xf borderId="10" fillId="2" fontId="4" numFmtId="0" xfId="0" applyAlignment="1" applyBorder="1" applyFont="1">
      <alignment readingOrder="0"/>
    </xf>
    <xf borderId="10" fillId="2" fontId="12" numFmtId="0" xfId="0" applyAlignment="1" applyBorder="1" applyFont="1">
      <alignment readingOrder="0" vertical="bottom"/>
    </xf>
    <xf borderId="10" fillId="4" fontId="2" numFmtId="0" xfId="0" applyAlignment="1" applyBorder="1" applyFont="1">
      <alignment readingOrder="0" vertical="bottom"/>
    </xf>
    <xf borderId="10" fillId="4" fontId="13" numFmtId="0" xfId="0" applyAlignment="1" applyBorder="1" applyFont="1">
      <alignment readingOrder="0" vertical="bottom"/>
    </xf>
    <xf borderId="10" fillId="2" fontId="2" numFmtId="0" xfId="0" applyAlignment="1" applyBorder="1" applyFont="1">
      <alignment readingOrder="0" vertical="bottom"/>
    </xf>
    <xf borderId="1" fillId="2" fontId="4" numFmtId="0" xfId="0" applyAlignment="1" applyBorder="1" applyFont="1">
      <alignment horizontal="left" readingOrder="0"/>
    </xf>
    <xf borderId="1" fillId="4" fontId="4" numFmtId="0" xfId="0" applyAlignment="1" applyBorder="1" applyFont="1">
      <alignment horizontal="left" readingOrder="0"/>
    </xf>
    <xf borderId="1" fillId="3" fontId="14" numFmtId="0" xfId="0" applyAlignment="1" applyBorder="1" applyFont="1">
      <alignment readingOrder="0"/>
    </xf>
    <xf borderId="0" fillId="3" fontId="15" numFmtId="0" xfId="0" applyFont="1"/>
    <xf borderId="1" fillId="4" fontId="2" numFmtId="0" xfId="0" applyAlignment="1" applyBorder="1" applyFont="1">
      <alignment readingOrder="0"/>
    </xf>
    <xf borderId="0" fillId="4" fontId="15" numFmtId="0" xfId="0" applyFont="1"/>
    <xf borderId="1" fillId="2" fontId="2" numFmtId="0" xfId="0" applyAlignment="1" applyBorder="1" applyFont="1">
      <alignment readingOrder="0"/>
    </xf>
    <xf borderId="0" fillId="2" fontId="15" numFmtId="0" xfId="0" applyFont="1"/>
    <xf borderId="1" fillId="2" fontId="2" numFmtId="0" xfId="0" applyBorder="1" applyFont="1"/>
    <xf borderId="1" fillId="4" fontId="2" numFmtId="0" xfId="0" applyBorder="1" applyFont="1"/>
    <xf borderId="13" fillId="3" fontId="14" numFmtId="0" xfId="0" applyAlignment="1" applyBorder="1" applyFont="1">
      <alignment readingOrder="0"/>
    </xf>
    <xf borderId="0" fillId="0" fontId="14" numFmtId="0" xfId="0" applyFont="1"/>
    <xf borderId="13" fillId="4" fontId="2" numFmtId="0" xfId="0" applyAlignment="1" applyBorder="1" applyFont="1">
      <alignment readingOrder="0"/>
    </xf>
    <xf borderId="0" fillId="0" fontId="2" numFmtId="0" xfId="0" applyFont="1"/>
    <xf borderId="13" fillId="2" fontId="2" numFmtId="0" xfId="0" applyAlignment="1" applyBorder="1" applyFont="1">
      <alignment readingOrder="0"/>
    </xf>
    <xf borderId="1" fillId="3" fontId="14" numFmtId="0" xfId="0" applyBorder="1" applyFont="1"/>
    <xf borderId="1" fillId="0" fontId="14" numFmtId="0" xfId="0" applyBorder="1" applyFont="1"/>
    <xf borderId="1" fillId="4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3" fillId="3" fontId="14" numFmtId="0" xfId="0" applyAlignment="1" applyBorder="1" applyFont="1">
      <alignment vertical="bottom"/>
    </xf>
    <xf borderId="13" fillId="3" fontId="14" numFmtId="0" xfId="0" applyAlignment="1" applyBorder="1" applyFont="1">
      <alignment readingOrder="0" vertical="bottom"/>
    </xf>
    <xf borderId="13" fillId="3" fontId="14" numFmtId="0" xfId="0" applyAlignment="1" applyBorder="1" applyFont="1">
      <alignment vertical="bottom"/>
    </xf>
    <xf borderId="0" fillId="0" fontId="16" numFmtId="0" xfId="0" applyFont="1"/>
    <xf borderId="13" fillId="4" fontId="2" numFmtId="0" xfId="0" applyAlignment="1" applyBorder="1" applyFont="1">
      <alignment horizontal="right" vertical="bottom"/>
    </xf>
    <xf borderId="13" fillId="4" fontId="2" numFmtId="0" xfId="0" applyAlignment="1" applyBorder="1" applyFont="1">
      <alignment vertical="bottom"/>
    </xf>
    <xf borderId="13" fillId="4" fontId="2" numFmtId="0" xfId="0" applyAlignment="1" applyBorder="1" applyFont="1">
      <alignment horizontal="right" readingOrder="0" vertical="bottom"/>
    </xf>
    <xf borderId="13" fillId="4" fontId="2" numFmtId="0" xfId="0" applyAlignment="1" applyBorder="1" applyFont="1">
      <alignment horizontal="right" vertical="bottom"/>
    </xf>
    <xf borderId="13" fillId="2" fontId="17" numFmtId="0" xfId="0" applyAlignment="1" applyBorder="1" applyFont="1">
      <alignment vertical="bottom"/>
    </xf>
    <xf borderId="13" fillId="2" fontId="2" numFmtId="0" xfId="0" applyAlignment="1" applyBorder="1" applyFont="1">
      <alignment horizontal="right" vertical="bottom"/>
    </xf>
    <xf borderId="13" fillId="2" fontId="2" numFmtId="0" xfId="0" applyAlignment="1" applyBorder="1" applyFont="1">
      <alignment horizontal="right" vertical="bottom"/>
    </xf>
    <xf borderId="13" fillId="4" fontId="17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13" fillId="2" fontId="2" numFmtId="0" xfId="0" applyAlignment="1" applyBorder="1" applyFont="1">
      <alignment horizontal="right" readingOrder="0" vertical="bottom"/>
    </xf>
    <xf borderId="13" fillId="4" fontId="17" numFmtId="0" xfId="0" applyAlignment="1" applyBorder="1" applyFont="1">
      <alignment vertical="bottom"/>
    </xf>
    <xf borderId="13" fillId="4" fontId="2" numFmtId="0" xfId="0" applyAlignment="1" applyBorder="1" applyFont="1">
      <alignment vertical="bottom"/>
    </xf>
    <xf borderId="1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3" fontId="14" numFmtId="0" xfId="0" applyAlignment="1" applyFont="1">
      <alignment readingOrder="0" vertical="bottom"/>
    </xf>
    <xf borderId="10" fillId="3" fontId="14" numFmtId="0" xfId="0" applyAlignment="1" applyBorder="1" applyFont="1">
      <alignment readingOrder="0"/>
    </xf>
    <xf borderId="1" fillId="0" fontId="16" numFmtId="0" xfId="0" applyBorder="1" applyFont="1"/>
    <xf borderId="0" fillId="0" fontId="15" numFmtId="0" xfId="0" applyFont="1"/>
    <xf borderId="1" fillId="4" fontId="5" numFmtId="0" xfId="0" applyBorder="1" applyFont="1"/>
    <xf borderId="1" fillId="4" fontId="5" numFmtId="0" xfId="0" applyAlignment="1" applyBorder="1" applyFont="1">
      <alignment readingOrder="0"/>
    </xf>
    <xf borderId="1" fillId="0" fontId="15" numFmtId="0" xfId="0" applyBorder="1" applyFont="1"/>
    <xf borderId="2" fillId="0" fontId="18" numFmtId="0" xfId="0" applyAlignment="1" applyBorder="1" applyFont="1">
      <alignment horizontal="center" readingOrder="0" vertical="center"/>
    </xf>
    <xf borderId="13" fillId="2" fontId="2" numFmtId="0" xfId="0" applyAlignment="1" applyBorder="1" applyFont="1">
      <alignment vertical="bottom"/>
    </xf>
    <xf borderId="2" fillId="0" fontId="9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4" fontId="15" numFmtId="0" xfId="0" applyBorder="1" applyFont="1"/>
    <xf borderId="1" fillId="2" fontId="15" numFmtId="0" xfId="0" applyBorder="1" applyFont="1"/>
    <xf borderId="1" fillId="3" fontId="20" numFmtId="0" xfId="0" applyAlignment="1" applyBorder="1" applyFont="1">
      <alignment vertical="bottom"/>
    </xf>
    <xf borderId="1" fillId="3" fontId="14" numFmtId="0" xfId="0" applyAlignment="1" applyBorder="1" applyFont="1">
      <alignment vertical="bottom"/>
    </xf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horizontal="center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2">
    <tableStyle count="3" pivot="0" name="Car Power Curve Data-style">
      <tableStyleElement dxfId="1" type="headerRow"/>
      <tableStyleElement dxfId="2" type="firstRowStripe"/>
      <tableStyleElement dxfId="3" type="secondRowStripe"/>
    </tableStyle>
    <tableStyle count="3" pivot="0" name="Car Power Curve Viewer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vs. Rank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'Ranking Points'!$B$1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'Ranking Points'!$A$2:$A$1001</c:f>
            </c:strRef>
          </c:cat>
          <c:val>
            <c:numRef>
              <c:f>'Ranking Points'!$B$2:$B$1001</c:f>
              <c:numCache/>
            </c:numRef>
          </c:val>
        </c:ser>
        <c:axId val="728524991"/>
        <c:axId val="941392285"/>
      </c:areaChart>
      <c:catAx>
        <c:axId val="728524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392285"/>
      </c:catAx>
      <c:valAx>
        <c:axId val="941392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524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657225</xdr:colOff>
      <xdr:row>36</xdr:row>
      <xdr:rowOff>19050</xdr:rowOff>
    </xdr:from>
    <xdr:ext cx="9353550" cy="5276850"/>
    <xdr:pic>
      <xdr:nvPicPr>
        <xdr:cNvPr id="17368912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657225</xdr:colOff>
      <xdr:row>8</xdr:row>
      <xdr:rowOff>142875</xdr:rowOff>
    </xdr:from>
    <xdr:ext cx="9353550" cy="5276850"/>
    <xdr:pic>
      <xdr:nvPicPr>
        <xdr:cNvPr id="195167885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104775</xdr:rowOff>
    </xdr:from>
    <xdr:ext cx="7381875" cy="4572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193" displayName="Table_1" name="Table_1" id="1">
  <tableColumns count="13">
    <tableColumn name="Index" id="1"/>
    <tableColumn name="ID" id="2"/>
    <tableColumn name="File Name" id="3"/>
    <tableColumn name="Name (EN)" id="4"/>
    <tableColumn name="Name (JP)" id="5"/>
    <tableColumn name="Redline RPM" id="6"/>
    <tableColumn name="Limiter RPM" id="7"/>
    <tableColumn name="Idle RPM" id="8"/>
    <tableColumn name="Peak Torque RPM" id="9"/>
    <tableColumn name="Peak Power RPM" id="10"/>
    <tableColumn name="RPM" id="11"/>
    <tableColumn name="Torque (kgfm)" id="12"/>
    <tableColumn name="Power (PS)" id="13"/>
  </tableColumns>
  <tableStyleInfo name="Car Power Curve Data-style" showColumnStripes="0" showFirstColumn="1" showLastColumn="1" showRowStripes="1"/>
</table>
</file>

<file path=xl/tables/table2.xml><?xml version="1.0" encoding="utf-8"?>
<table xmlns="http://schemas.openxmlformats.org/spreadsheetml/2006/main" ref="A1:J5065" displayName="Table_2" name="Table_2" id="2">
  <tableColumns count="10">
    <tableColumn name="Index" id="1"/>
    <tableColumn name="ID" id="2"/>
    <tableColumn name="File Name" id="3"/>
    <tableColumn name="Name (EN)" id="4"/>
    <tableColumn name="Name (JP)" id="5"/>
    <tableColumn name="RPM" id="6"/>
    <tableColumn name="Torque (kgfm)" id="7"/>
    <tableColumn name="Power (ps)" id="8"/>
    <tableColumn name="Torque Normal%" id="9"/>
    <tableColumn name="Power Normal%" id="10"/>
  </tableColumns>
  <tableStyleInfo name="Car Power Curve View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studio.google.com/u/0/reporting/3ebc0049-2d67-476f-9aa1-4f936f272987" TargetMode="External"/><Relationship Id="rId2" Type="http://schemas.openxmlformats.org/officeDocument/2006/relationships/hyperlink" Target="https://github.com/real-xp" TargetMode="External"/><Relationship Id="rId3" Type="http://schemas.openxmlformats.org/officeDocument/2006/relationships/hyperlink" Target="https://github.com/MF42-DZH" TargetMode="External"/><Relationship Id="rId4" Type="http://schemas.openxmlformats.org/officeDocument/2006/relationships/hyperlink" Target="https://www.youtube.com/@ImaSilly55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youtube.com/@Nale_it" TargetMode="External"/><Relationship Id="rId6" Type="http://schemas.openxmlformats.org/officeDocument/2006/relationships/hyperlink" Target="https://www.youtube.com/@RezaMaulana98YT" TargetMode="External"/><Relationship Id="rId7" Type="http://schemas.openxmlformats.org/officeDocument/2006/relationships/hyperlink" Target="https://www.youtube.com/@Bogi76YT" TargetMode="External"/><Relationship Id="rId8" Type="http://schemas.openxmlformats.org/officeDocument/2006/relationships/hyperlink" Target="https://www.youtube.com/@mrxba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atastudio.google.com/u/0/reporting/3ebc0049-2d67-476f-9aa1-4f936f272987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583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1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6</v>
      </c>
      <c r="B18" s="14"/>
      <c r="C18" s="13" t="s">
        <v>7</v>
      </c>
      <c r="D18" s="14"/>
      <c r="E18" s="14"/>
      <c r="F18" s="13" t="s">
        <v>8</v>
      </c>
      <c r="G18" s="14"/>
      <c r="H18" s="14"/>
      <c r="I18" s="14"/>
      <c r="J18" s="14"/>
      <c r="K18" s="14"/>
      <c r="L18" s="14"/>
      <c r="M18" s="1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>
        <v>1.0</v>
      </c>
      <c r="B19" s="17"/>
      <c r="C19" s="18" t="s">
        <v>9</v>
      </c>
      <c r="D19" s="17"/>
      <c r="E19" s="17"/>
      <c r="F19" s="18" t="s">
        <v>10</v>
      </c>
      <c r="G19" s="17"/>
      <c r="H19" s="17"/>
      <c r="I19" s="17"/>
      <c r="J19" s="17"/>
      <c r="K19" s="17"/>
      <c r="L19" s="17"/>
      <c r="M19" s="1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">
        <v>2.0</v>
      </c>
      <c r="B20" s="21"/>
      <c r="C20" s="22" t="s">
        <v>11</v>
      </c>
      <c r="D20" s="21"/>
      <c r="E20" s="21"/>
      <c r="F20" s="22" t="s">
        <v>12</v>
      </c>
      <c r="G20" s="21"/>
      <c r="H20" s="21"/>
      <c r="I20" s="21"/>
      <c r="J20" s="21"/>
      <c r="K20" s="21"/>
      <c r="L20" s="21"/>
      <c r="M20" s="2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6">
        <v>3.0</v>
      </c>
      <c r="B21" s="17"/>
      <c r="C21" s="18" t="s">
        <v>13</v>
      </c>
      <c r="D21" s="17"/>
      <c r="E21" s="17"/>
      <c r="F21" s="18" t="s">
        <v>14</v>
      </c>
      <c r="G21" s="17"/>
      <c r="H21" s="17"/>
      <c r="I21" s="17"/>
      <c r="J21" s="17"/>
      <c r="K21" s="17"/>
      <c r="L21" s="17"/>
      <c r="M21" s="1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0">
        <v>4.0</v>
      </c>
      <c r="B22" s="21"/>
      <c r="C22" s="22" t="s">
        <v>15</v>
      </c>
      <c r="D22" s="21"/>
      <c r="E22" s="21"/>
      <c r="F22" s="22" t="s">
        <v>16</v>
      </c>
      <c r="G22" s="21"/>
      <c r="H22" s="21"/>
      <c r="I22" s="21"/>
      <c r="J22" s="21"/>
      <c r="K22" s="21"/>
      <c r="L22" s="21"/>
      <c r="M22" s="2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>
        <v>5.0</v>
      </c>
      <c r="B23" s="17"/>
      <c r="C23" s="18" t="s">
        <v>17</v>
      </c>
      <c r="D23" s="17"/>
      <c r="E23" s="17"/>
      <c r="F23" s="18" t="s">
        <v>18</v>
      </c>
      <c r="G23" s="17"/>
      <c r="H23" s="17"/>
      <c r="I23" s="17"/>
      <c r="J23" s="17"/>
      <c r="K23" s="17"/>
      <c r="L23" s="17"/>
      <c r="M23" s="1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0">
        <v>6.0</v>
      </c>
      <c r="B24" s="21"/>
      <c r="C24" s="22" t="s">
        <v>19</v>
      </c>
      <c r="D24" s="21"/>
      <c r="E24" s="21"/>
      <c r="F24" s="24" t="s">
        <v>20</v>
      </c>
      <c r="G24" s="21"/>
      <c r="H24" s="21"/>
      <c r="I24" s="21"/>
      <c r="J24" s="25" t="s">
        <v>21</v>
      </c>
      <c r="K24" s="21"/>
      <c r="L24" s="21"/>
      <c r="M24" s="2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6">
        <v>7.0</v>
      </c>
      <c r="B25" s="17"/>
      <c r="C25" s="18" t="s">
        <v>22</v>
      </c>
      <c r="D25" s="17"/>
      <c r="E25" s="17"/>
      <c r="F25" s="18" t="s">
        <v>23</v>
      </c>
      <c r="G25" s="17"/>
      <c r="H25" s="17"/>
      <c r="I25" s="17"/>
      <c r="J25" s="17"/>
      <c r="K25" s="17"/>
      <c r="L25" s="17"/>
      <c r="M25" s="1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">
        <v>8.0</v>
      </c>
      <c r="B26" s="21"/>
      <c r="C26" s="22" t="s">
        <v>24</v>
      </c>
      <c r="D26" s="21"/>
      <c r="E26" s="21"/>
      <c r="F26" s="22" t="s">
        <v>25</v>
      </c>
      <c r="G26" s="21"/>
      <c r="H26" s="21"/>
      <c r="I26" s="21"/>
      <c r="J26" s="21"/>
      <c r="K26" s="21"/>
      <c r="L26" s="21"/>
      <c r="M26" s="2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6">
        <v>9.0</v>
      </c>
      <c r="B27" s="17"/>
      <c r="C27" s="18" t="s">
        <v>26</v>
      </c>
      <c r="D27" s="17"/>
      <c r="E27" s="17"/>
      <c r="F27" s="18" t="s">
        <v>27</v>
      </c>
      <c r="G27" s="17"/>
      <c r="H27" s="17"/>
      <c r="I27" s="17"/>
      <c r="J27" s="17"/>
      <c r="K27" s="17"/>
      <c r="L27" s="17"/>
      <c r="M27" s="1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6" t="s">
        <v>28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 t="s">
        <v>29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0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0" t="s">
        <v>30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 t="s">
        <v>6</v>
      </c>
      <c r="B36" s="14"/>
      <c r="C36" s="14"/>
      <c r="D36" s="15"/>
      <c r="E36" s="13" t="s">
        <v>31</v>
      </c>
      <c r="F36" s="14"/>
      <c r="G36" s="14"/>
      <c r="H36" s="14"/>
      <c r="I36" s="15"/>
      <c r="J36" s="13" t="s">
        <v>32</v>
      </c>
      <c r="K36" s="14"/>
      <c r="L36" s="14"/>
      <c r="M36" s="1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1">
        <v>1.0</v>
      </c>
      <c r="B37" s="17"/>
      <c r="C37" s="17"/>
      <c r="D37" s="19"/>
      <c r="E37" s="32" t="s">
        <v>33</v>
      </c>
      <c r="F37" s="17"/>
      <c r="G37" s="17"/>
      <c r="H37" s="17"/>
      <c r="I37" s="19"/>
      <c r="J37" s="33" t="s">
        <v>34</v>
      </c>
      <c r="K37" s="17"/>
      <c r="L37" s="17"/>
      <c r="M37" s="1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4">
        <v>2.0</v>
      </c>
      <c r="B38" s="21"/>
      <c r="C38" s="21"/>
      <c r="D38" s="23"/>
      <c r="E38" s="35" t="s">
        <v>35</v>
      </c>
      <c r="F38" s="21"/>
      <c r="G38" s="21"/>
      <c r="H38" s="21"/>
      <c r="I38" s="23"/>
      <c r="J38" s="36" t="s">
        <v>36</v>
      </c>
      <c r="K38" s="21"/>
      <c r="L38" s="21"/>
      <c r="M38" s="2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1">
        <v>3.0</v>
      </c>
      <c r="B39" s="17"/>
      <c r="C39" s="17"/>
      <c r="D39" s="19"/>
      <c r="E39" s="37" t="s">
        <v>37</v>
      </c>
      <c r="F39" s="17"/>
      <c r="G39" s="17"/>
      <c r="H39" s="17"/>
      <c r="I39" s="19"/>
      <c r="J39" s="38" t="s">
        <v>38</v>
      </c>
      <c r="K39" s="17"/>
      <c r="L39" s="17"/>
      <c r="M39" s="1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4">
        <v>4.0</v>
      </c>
      <c r="B40" s="21"/>
      <c r="C40" s="21"/>
      <c r="D40" s="23"/>
      <c r="E40" s="39" t="s">
        <v>39</v>
      </c>
      <c r="F40" s="21"/>
      <c r="G40" s="21"/>
      <c r="H40" s="21"/>
      <c r="I40" s="23"/>
      <c r="J40" s="36" t="s">
        <v>40</v>
      </c>
      <c r="K40" s="21"/>
      <c r="L40" s="21"/>
      <c r="M40" s="2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1">
        <v>5.0</v>
      </c>
      <c r="B41" s="17"/>
      <c r="C41" s="17"/>
      <c r="D41" s="19"/>
      <c r="E41" s="37" t="s">
        <v>41</v>
      </c>
      <c r="F41" s="17"/>
      <c r="G41" s="17"/>
      <c r="H41" s="17"/>
      <c r="I41" s="19"/>
      <c r="J41" s="38" t="s">
        <v>42</v>
      </c>
      <c r="K41" s="17"/>
      <c r="L41" s="17"/>
      <c r="M41" s="1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4">
        <v>6.0</v>
      </c>
      <c r="B42" s="21"/>
      <c r="C42" s="21"/>
      <c r="D42" s="23"/>
      <c r="E42" s="39" t="s">
        <v>43</v>
      </c>
      <c r="F42" s="21"/>
      <c r="G42" s="21"/>
      <c r="H42" s="21"/>
      <c r="I42" s="23"/>
      <c r="J42" s="36" t="s">
        <v>44</v>
      </c>
      <c r="K42" s="21"/>
      <c r="L42" s="21"/>
      <c r="M42" s="2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1">
        <v>7.0</v>
      </c>
      <c r="B43" s="17"/>
      <c r="C43" s="17"/>
      <c r="D43" s="19"/>
      <c r="E43" s="37" t="s">
        <v>45</v>
      </c>
      <c r="F43" s="17"/>
      <c r="G43" s="17"/>
      <c r="H43" s="17"/>
      <c r="I43" s="19"/>
      <c r="J43" s="38" t="s">
        <v>46</v>
      </c>
      <c r="K43" s="17"/>
      <c r="L43" s="17"/>
      <c r="M43" s="1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64">
    <mergeCell ref="C24:E24"/>
    <mergeCell ref="F24:I24"/>
    <mergeCell ref="A25:B25"/>
    <mergeCell ref="C25:E25"/>
    <mergeCell ref="F25:M25"/>
    <mergeCell ref="C26:E26"/>
    <mergeCell ref="F26:M26"/>
    <mergeCell ref="F27:M27"/>
    <mergeCell ref="A29:M29"/>
    <mergeCell ref="A31:M32"/>
    <mergeCell ref="A34:M34"/>
    <mergeCell ref="A36:D36"/>
    <mergeCell ref="E36:I36"/>
    <mergeCell ref="J36:M36"/>
    <mergeCell ref="E39:I39"/>
    <mergeCell ref="J39:M39"/>
    <mergeCell ref="A37:D37"/>
    <mergeCell ref="E37:I37"/>
    <mergeCell ref="J37:M37"/>
    <mergeCell ref="A38:D38"/>
    <mergeCell ref="E38:I38"/>
    <mergeCell ref="J38:M38"/>
    <mergeCell ref="A39:D39"/>
    <mergeCell ref="E42:I42"/>
    <mergeCell ref="J42:M42"/>
    <mergeCell ref="A40:D40"/>
    <mergeCell ref="E40:I40"/>
    <mergeCell ref="J40:M40"/>
    <mergeCell ref="A41:D41"/>
    <mergeCell ref="E41:I41"/>
    <mergeCell ref="J41:M41"/>
    <mergeCell ref="A42:D42"/>
    <mergeCell ref="C18:E18"/>
    <mergeCell ref="F18:M18"/>
    <mergeCell ref="A2:M4"/>
    <mergeCell ref="A6:M7"/>
    <mergeCell ref="A8:M9"/>
    <mergeCell ref="A10:M11"/>
    <mergeCell ref="A13:M14"/>
    <mergeCell ref="A16:M17"/>
    <mergeCell ref="A18:B18"/>
    <mergeCell ref="C21:E21"/>
    <mergeCell ref="F21:M21"/>
    <mergeCell ref="A19:B19"/>
    <mergeCell ref="C19:E19"/>
    <mergeCell ref="F19:M19"/>
    <mergeCell ref="A20:B20"/>
    <mergeCell ref="C20:E20"/>
    <mergeCell ref="F20:M20"/>
    <mergeCell ref="A21:B21"/>
    <mergeCell ref="A22:B22"/>
    <mergeCell ref="C22:E22"/>
    <mergeCell ref="F22:M22"/>
    <mergeCell ref="A23:B23"/>
    <mergeCell ref="C23:E23"/>
    <mergeCell ref="F23:M23"/>
    <mergeCell ref="A24:B24"/>
    <mergeCell ref="J24:M24"/>
    <mergeCell ref="A26:B26"/>
    <mergeCell ref="A27:B27"/>
    <mergeCell ref="C27:E27"/>
    <mergeCell ref="A43:D43"/>
    <mergeCell ref="E43:I43"/>
    <mergeCell ref="J43:M43"/>
  </mergeCells>
  <hyperlinks>
    <hyperlink r:id="rId1" ref="J24"/>
    <hyperlink r:id="rId2" ref="J37"/>
    <hyperlink r:id="rId3" ref="J38"/>
    <hyperlink r:id="rId4" ref="J39"/>
    <hyperlink r:id="rId5" ref="J40"/>
    <hyperlink r:id="rId6" ref="J41"/>
    <hyperlink r:id="rId7" ref="J42"/>
    <hyperlink r:id="rId8" ref="J43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5.88"/>
    <col customWidth="1" min="3" max="3" width="14.88"/>
    <col customWidth="1" min="4" max="4" width="36.88"/>
    <col customWidth="1" min="5" max="5" width="51.0"/>
  </cols>
  <sheetData>
    <row r="1">
      <c r="A1" s="42" t="s">
        <v>6</v>
      </c>
      <c r="B1" s="42" t="s">
        <v>47</v>
      </c>
      <c r="C1" s="42" t="s">
        <v>48</v>
      </c>
      <c r="D1" s="42" t="s">
        <v>49</v>
      </c>
      <c r="E1" s="42" t="s">
        <v>50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4">
        <v>1.0</v>
      </c>
      <c r="B2" s="44">
        <v>1.0</v>
      </c>
      <c r="C2" s="44" t="s">
        <v>51</v>
      </c>
      <c r="D2" s="44" t="s">
        <v>52</v>
      </c>
      <c r="E2" s="44" t="s">
        <v>53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>
        <v>2.0</v>
      </c>
      <c r="B3" s="46">
        <v>2.0</v>
      </c>
      <c r="C3" s="46" t="s">
        <v>54</v>
      </c>
      <c r="D3" s="46" t="s">
        <v>55</v>
      </c>
      <c r="E3" s="46" t="s">
        <v>56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4">
        <v>3.0</v>
      </c>
      <c r="B4" s="44">
        <v>3.0</v>
      </c>
      <c r="C4" s="44" t="s">
        <v>57</v>
      </c>
      <c r="D4" s="44" t="s">
        <v>58</v>
      </c>
      <c r="E4" s="44" t="s">
        <v>59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6">
        <v>4.0</v>
      </c>
      <c r="B5" s="46">
        <v>5.0</v>
      </c>
      <c r="C5" s="46" t="s">
        <v>60</v>
      </c>
      <c r="D5" s="46" t="s">
        <v>61</v>
      </c>
      <c r="E5" s="46" t="s">
        <v>62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4">
        <v>5.0</v>
      </c>
      <c r="B6" s="44">
        <v>6.0</v>
      </c>
      <c r="C6" s="44" t="s">
        <v>63</v>
      </c>
      <c r="D6" s="44" t="s">
        <v>64</v>
      </c>
      <c r="E6" s="44" t="s">
        <v>65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6">
        <v>6.0</v>
      </c>
      <c r="B7" s="46">
        <v>7.0</v>
      </c>
      <c r="C7" s="46" t="s">
        <v>66</v>
      </c>
      <c r="D7" s="46" t="s">
        <v>67</v>
      </c>
      <c r="E7" s="46" t="s">
        <v>68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4">
        <v>7.0</v>
      </c>
      <c r="B8" s="44">
        <v>8.0</v>
      </c>
      <c r="C8" s="44" t="s">
        <v>69</v>
      </c>
      <c r="D8" s="44" t="s">
        <v>70</v>
      </c>
      <c r="E8" s="44" t="s">
        <v>71</v>
      </c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6">
        <v>8.0</v>
      </c>
      <c r="B9" s="46">
        <v>10.0</v>
      </c>
      <c r="C9" s="46" t="s">
        <v>72</v>
      </c>
      <c r="D9" s="46" t="s">
        <v>73</v>
      </c>
      <c r="E9" s="46" t="s">
        <v>74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4">
        <v>9.0</v>
      </c>
      <c r="B10" s="44">
        <v>11.0</v>
      </c>
      <c r="C10" s="44" t="s">
        <v>75</v>
      </c>
      <c r="D10" s="44" t="s">
        <v>76</v>
      </c>
      <c r="E10" s="44" t="s">
        <v>77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6">
        <v>10.0</v>
      </c>
      <c r="B11" s="46">
        <v>13.0</v>
      </c>
      <c r="C11" s="46" t="s">
        <v>78</v>
      </c>
      <c r="D11" s="46" t="s">
        <v>79</v>
      </c>
      <c r="E11" s="46" t="s">
        <v>80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4">
        <v>11.0</v>
      </c>
      <c r="B12" s="44">
        <v>14.0</v>
      </c>
      <c r="C12" s="44" t="s">
        <v>81</v>
      </c>
      <c r="D12" s="44" t="s">
        <v>82</v>
      </c>
      <c r="E12" s="44" t="s">
        <v>83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6">
        <v>12.0</v>
      </c>
      <c r="B13" s="46">
        <v>15.0</v>
      </c>
      <c r="C13" s="46" t="s">
        <v>84</v>
      </c>
      <c r="D13" s="46" t="s">
        <v>85</v>
      </c>
      <c r="E13" s="46" t="s">
        <v>86</v>
      </c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4">
        <v>13.0</v>
      </c>
      <c r="B14" s="44">
        <v>16.0</v>
      </c>
      <c r="C14" s="44" t="s">
        <v>87</v>
      </c>
      <c r="D14" s="44" t="s">
        <v>88</v>
      </c>
      <c r="E14" s="44" t="s">
        <v>89</v>
      </c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6">
        <v>14.0</v>
      </c>
      <c r="B15" s="46">
        <v>17.0</v>
      </c>
      <c r="C15" s="46" t="s">
        <v>90</v>
      </c>
      <c r="D15" s="46" t="s">
        <v>91</v>
      </c>
      <c r="E15" s="46" t="s">
        <v>92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4">
        <v>15.0</v>
      </c>
      <c r="B16" s="44">
        <v>18.0</v>
      </c>
      <c r="C16" s="44" t="s">
        <v>93</v>
      </c>
      <c r="D16" s="44" t="s">
        <v>94</v>
      </c>
      <c r="E16" s="44" t="s">
        <v>95</v>
      </c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6">
        <v>16.0</v>
      </c>
      <c r="B17" s="46">
        <v>19.0</v>
      </c>
      <c r="C17" s="46" t="s">
        <v>96</v>
      </c>
      <c r="D17" s="46" t="s">
        <v>97</v>
      </c>
      <c r="E17" s="46" t="s">
        <v>98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4">
        <v>17.0</v>
      </c>
      <c r="B18" s="44">
        <v>20.0</v>
      </c>
      <c r="C18" s="44" t="s">
        <v>99</v>
      </c>
      <c r="D18" s="44" t="s">
        <v>100</v>
      </c>
      <c r="E18" s="44" t="s">
        <v>101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6">
        <v>18.0</v>
      </c>
      <c r="B19" s="46">
        <v>21.0</v>
      </c>
      <c r="C19" s="46" t="s">
        <v>102</v>
      </c>
      <c r="D19" s="46" t="s">
        <v>103</v>
      </c>
      <c r="E19" s="46" t="s">
        <v>104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4">
        <v>19.0</v>
      </c>
      <c r="B20" s="44">
        <v>25.0</v>
      </c>
      <c r="C20" s="44" t="s">
        <v>105</v>
      </c>
      <c r="D20" s="44" t="s">
        <v>106</v>
      </c>
      <c r="E20" s="44" t="s">
        <v>107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6">
        <v>20.0</v>
      </c>
      <c r="B21" s="46">
        <v>26.0</v>
      </c>
      <c r="C21" s="46" t="s">
        <v>108</v>
      </c>
      <c r="D21" s="46" t="s">
        <v>109</v>
      </c>
      <c r="E21" s="46" t="s">
        <v>110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4">
        <v>21.0</v>
      </c>
      <c r="B22" s="44">
        <v>27.0</v>
      </c>
      <c r="C22" s="44" t="s">
        <v>111</v>
      </c>
      <c r="D22" s="44" t="s">
        <v>112</v>
      </c>
      <c r="E22" s="44" t="s">
        <v>113</v>
      </c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6">
        <v>22.0</v>
      </c>
      <c r="B23" s="46">
        <v>28.0</v>
      </c>
      <c r="C23" s="46" t="s">
        <v>114</v>
      </c>
      <c r="D23" s="46" t="s">
        <v>115</v>
      </c>
      <c r="E23" s="46" t="s">
        <v>116</v>
      </c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4">
        <v>23.0</v>
      </c>
      <c r="B24" s="44">
        <v>29.0</v>
      </c>
      <c r="C24" s="44" t="s">
        <v>117</v>
      </c>
      <c r="D24" s="44" t="s">
        <v>118</v>
      </c>
      <c r="E24" s="44" t="s">
        <v>119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6">
        <v>24.0</v>
      </c>
      <c r="B25" s="46">
        <v>31.0</v>
      </c>
      <c r="C25" s="46" t="s">
        <v>120</v>
      </c>
      <c r="D25" s="46" t="s">
        <v>121</v>
      </c>
      <c r="E25" s="46" t="s">
        <v>122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44">
        <v>25.0</v>
      </c>
      <c r="B26" s="44">
        <v>32.0</v>
      </c>
      <c r="C26" s="44" t="s">
        <v>123</v>
      </c>
      <c r="D26" s="44" t="s">
        <v>124</v>
      </c>
      <c r="E26" s="44" t="s">
        <v>125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6">
        <v>26.0</v>
      </c>
      <c r="B27" s="46">
        <v>35.0</v>
      </c>
      <c r="C27" s="46" t="s">
        <v>126</v>
      </c>
      <c r="D27" s="46" t="s">
        <v>127</v>
      </c>
      <c r="E27" s="46" t="s">
        <v>128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44">
        <v>27.0</v>
      </c>
      <c r="B28" s="44">
        <v>36.0</v>
      </c>
      <c r="C28" s="44" t="s">
        <v>129</v>
      </c>
      <c r="D28" s="44" t="s">
        <v>130</v>
      </c>
      <c r="E28" s="44" t="s">
        <v>131</v>
      </c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6">
        <v>28.0</v>
      </c>
      <c r="B29" s="46">
        <v>37.0</v>
      </c>
      <c r="C29" s="46" t="s">
        <v>132</v>
      </c>
      <c r="D29" s="46" t="s">
        <v>133</v>
      </c>
      <c r="E29" s="46" t="s">
        <v>134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44">
        <v>29.0</v>
      </c>
      <c r="B30" s="44">
        <v>38.0</v>
      </c>
      <c r="C30" s="44" t="s">
        <v>135</v>
      </c>
      <c r="D30" s="44" t="s">
        <v>136</v>
      </c>
      <c r="E30" s="44" t="s">
        <v>137</v>
      </c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6">
        <v>30.0</v>
      </c>
      <c r="B31" s="46">
        <v>39.0</v>
      </c>
      <c r="C31" s="46" t="s">
        <v>138</v>
      </c>
      <c r="D31" s="46" t="s">
        <v>139</v>
      </c>
      <c r="E31" s="46" t="s">
        <v>140</v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4">
        <v>31.0</v>
      </c>
      <c r="B32" s="44">
        <v>40.0</v>
      </c>
      <c r="C32" s="44" t="s">
        <v>141</v>
      </c>
      <c r="D32" s="44" t="s">
        <v>142</v>
      </c>
      <c r="E32" s="44" t="s">
        <v>143</v>
      </c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6">
        <v>32.0</v>
      </c>
      <c r="B33" s="46">
        <v>42.0</v>
      </c>
      <c r="C33" s="46" t="s">
        <v>144</v>
      </c>
      <c r="D33" s="46" t="s">
        <v>145</v>
      </c>
      <c r="E33" s="46" t="s">
        <v>146</v>
      </c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4">
        <v>33.0</v>
      </c>
      <c r="B34" s="44">
        <v>45.0</v>
      </c>
      <c r="C34" s="44" t="s">
        <v>147</v>
      </c>
      <c r="D34" s="44" t="s">
        <v>148</v>
      </c>
      <c r="E34" s="44" t="s">
        <v>149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6">
        <v>34.0</v>
      </c>
      <c r="B35" s="46">
        <v>46.0</v>
      </c>
      <c r="C35" s="46" t="s">
        <v>150</v>
      </c>
      <c r="D35" s="46" t="s">
        <v>151</v>
      </c>
      <c r="E35" s="46" t="s">
        <v>152</v>
      </c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4">
        <v>35.0</v>
      </c>
      <c r="B36" s="44">
        <v>47.0</v>
      </c>
      <c r="C36" s="44" t="s">
        <v>153</v>
      </c>
      <c r="D36" s="44" t="s">
        <v>154</v>
      </c>
      <c r="E36" s="44" t="s">
        <v>155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6">
        <v>36.0</v>
      </c>
      <c r="B37" s="46">
        <v>48.0</v>
      </c>
      <c r="C37" s="46" t="s">
        <v>156</v>
      </c>
      <c r="D37" s="46" t="s">
        <v>157</v>
      </c>
      <c r="E37" s="46" t="s">
        <v>158</v>
      </c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4">
        <v>37.0</v>
      </c>
      <c r="B38" s="44">
        <v>49.0</v>
      </c>
      <c r="C38" s="44" t="s">
        <v>159</v>
      </c>
      <c r="D38" s="44" t="s">
        <v>160</v>
      </c>
      <c r="E38" s="44" t="s">
        <v>161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6">
        <v>38.0</v>
      </c>
      <c r="B39" s="46">
        <v>50.0</v>
      </c>
      <c r="C39" s="46" t="s">
        <v>162</v>
      </c>
      <c r="D39" s="46" t="s">
        <v>163</v>
      </c>
      <c r="E39" s="46" t="s">
        <v>164</v>
      </c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4">
        <v>39.0</v>
      </c>
      <c r="B40" s="44">
        <v>51.0</v>
      </c>
      <c r="C40" s="44" t="s">
        <v>165</v>
      </c>
      <c r="D40" s="44" t="s">
        <v>166</v>
      </c>
      <c r="E40" s="44" t="s">
        <v>167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6">
        <v>40.0</v>
      </c>
      <c r="B41" s="46">
        <v>52.0</v>
      </c>
      <c r="C41" s="46" t="s">
        <v>168</v>
      </c>
      <c r="D41" s="46" t="s">
        <v>169</v>
      </c>
      <c r="E41" s="46" t="s">
        <v>170</v>
      </c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4">
        <v>41.0</v>
      </c>
      <c r="B42" s="44">
        <v>54.0</v>
      </c>
      <c r="C42" s="44" t="s">
        <v>171</v>
      </c>
      <c r="D42" s="44" t="s">
        <v>172</v>
      </c>
      <c r="E42" s="44" t="s">
        <v>173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6">
        <v>42.0</v>
      </c>
      <c r="B43" s="46">
        <v>56.0</v>
      </c>
      <c r="C43" s="46" t="s">
        <v>174</v>
      </c>
      <c r="D43" s="46" t="s">
        <v>175</v>
      </c>
      <c r="E43" s="46" t="s">
        <v>176</v>
      </c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4">
        <v>43.0</v>
      </c>
      <c r="B44" s="44">
        <v>57.0</v>
      </c>
      <c r="C44" s="44" t="s">
        <v>177</v>
      </c>
      <c r="D44" s="44" t="s">
        <v>178</v>
      </c>
      <c r="E44" s="44" t="s">
        <v>179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6">
        <v>44.0</v>
      </c>
      <c r="B45" s="46">
        <v>58.0</v>
      </c>
      <c r="C45" s="46" t="s">
        <v>180</v>
      </c>
      <c r="D45" s="46" t="s">
        <v>181</v>
      </c>
      <c r="E45" s="46" t="s">
        <v>182</v>
      </c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4">
        <v>45.0</v>
      </c>
      <c r="B46" s="44">
        <v>60.0</v>
      </c>
      <c r="C46" s="44" t="s">
        <v>183</v>
      </c>
      <c r="D46" s="44" t="s">
        <v>184</v>
      </c>
      <c r="E46" s="44" t="s">
        <v>185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6">
        <v>46.0</v>
      </c>
      <c r="B47" s="46">
        <v>61.0</v>
      </c>
      <c r="C47" s="46" t="s">
        <v>186</v>
      </c>
      <c r="D47" s="46" t="s">
        <v>187</v>
      </c>
      <c r="E47" s="46" t="s">
        <v>188</v>
      </c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4">
        <v>47.0</v>
      </c>
      <c r="B48" s="44">
        <v>63.0</v>
      </c>
      <c r="C48" s="44" t="s">
        <v>189</v>
      </c>
      <c r="D48" s="44" t="s">
        <v>190</v>
      </c>
      <c r="E48" s="44" t="s">
        <v>191</v>
      </c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6">
        <v>48.0</v>
      </c>
      <c r="B49" s="46">
        <v>64.0</v>
      </c>
      <c r="C49" s="46" t="s">
        <v>192</v>
      </c>
      <c r="D49" s="46" t="s">
        <v>193</v>
      </c>
      <c r="E49" s="46" t="s">
        <v>194</v>
      </c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4">
        <v>49.0</v>
      </c>
      <c r="B50" s="44">
        <v>66.0</v>
      </c>
      <c r="C50" s="44" t="s">
        <v>195</v>
      </c>
      <c r="D50" s="44" t="s">
        <v>196</v>
      </c>
      <c r="E50" s="44" t="s">
        <v>197</v>
      </c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6">
        <v>50.0</v>
      </c>
      <c r="B51" s="46">
        <v>67.0</v>
      </c>
      <c r="C51" s="46" t="s">
        <v>198</v>
      </c>
      <c r="D51" s="46" t="s">
        <v>199</v>
      </c>
      <c r="E51" s="46" t="s">
        <v>200</v>
      </c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4">
        <v>51.0</v>
      </c>
      <c r="B52" s="44">
        <v>69.0</v>
      </c>
      <c r="C52" s="44" t="s">
        <v>201</v>
      </c>
      <c r="D52" s="44" t="s">
        <v>202</v>
      </c>
      <c r="E52" s="44" t="s">
        <v>203</v>
      </c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6">
        <v>52.0</v>
      </c>
      <c r="B53" s="46">
        <v>79.0</v>
      </c>
      <c r="C53" s="46" t="s">
        <v>204</v>
      </c>
      <c r="D53" s="46" t="s">
        <v>205</v>
      </c>
      <c r="E53" s="46" t="s">
        <v>206</v>
      </c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4">
        <v>53.0</v>
      </c>
      <c r="B54" s="44">
        <v>82.0</v>
      </c>
      <c r="C54" s="44" t="s">
        <v>207</v>
      </c>
      <c r="D54" s="44" t="s">
        <v>208</v>
      </c>
      <c r="E54" s="44" t="s">
        <v>209</v>
      </c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6">
        <v>54.0</v>
      </c>
      <c r="B55" s="46">
        <v>83.0</v>
      </c>
      <c r="C55" s="46" t="s">
        <v>210</v>
      </c>
      <c r="D55" s="46" t="s">
        <v>211</v>
      </c>
      <c r="E55" s="46" t="s">
        <v>212</v>
      </c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4">
        <v>55.0</v>
      </c>
      <c r="B56" s="44">
        <v>84.0</v>
      </c>
      <c r="C56" s="44" t="s">
        <v>213</v>
      </c>
      <c r="D56" s="44" t="s">
        <v>214</v>
      </c>
      <c r="E56" s="44" t="s">
        <v>215</v>
      </c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6">
        <v>56.0</v>
      </c>
      <c r="B57" s="46">
        <v>85.0</v>
      </c>
      <c r="C57" s="46" t="s">
        <v>216</v>
      </c>
      <c r="D57" s="46" t="s">
        <v>217</v>
      </c>
      <c r="E57" s="46" t="s">
        <v>218</v>
      </c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4">
        <v>57.0</v>
      </c>
      <c r="B58" s="44">
        <v>86.0</v>
      </c>
      <c r="C58" s="44" t="s">
        <v>219</v>
      </c>
      <c r="D58" s="44" t="s">
        <v>220</v>
      </c>
      <c r="E58" s="44" t="s">
        <v>221</v>
      </c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6">
        <v>58.0</v>
      </c>
      <c r="B59" s="46">
        <v>87.0</v>
      </c>
      <c r="C59" s="46" t="s">
        <v>222</v>
      </c>
      <c r="D59" s="46" t="s">
        <v>223</v>
      </c>
      <c r="E59" s="46" t="s">
        <v>224</v>
      </c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4">
        <v>59.0</v>
      </c>
      <c r="B60" s="44">
        <v>88.0</v>
      </c>
      <c r="C60" s="44" t="s">
        <v>225</v>
      </c>
      <c r="D60" s="44" t="s">
        <v>226</v>
      </c>
      <c r="E60" s="44" t="s">
        <v>227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6">
        <v>60.0</v>
      </c>
      <c r="B61" s="46">
        <v>89.0</v>
      </c>
      <c r="C61" s="46" t="s">
        <v>228</v>
      </c>
      <c r="D61" s="46" t="s">
        <v>229</v>
      </c>
      <c r="E61" s="46" t="s">
        <v>230</v>
      </c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4">
        <v>61.0</v>
      </c>
      <c r="B62" s="44">
        <v>90.0</v>
      </c>
      <c r="C62" s="44" t="s">
        <v>231</v>
      </c>
      <c r="D62" s="44" t="s">
        <v>232</v>
      </c>
      <c r="E62" s="44" t="s">
        <v>233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6">
        <v>62.0</v>
      </c>
      <c r="B63" s="46">
        <v>91.0</v>
      </c>
      <c r="C63" s="46" t="s">
        <v>234</v>
      </c>
      <c r="D63" s="46" t="s">
        <v>235</v>
      </c>
      <c r="E63" s="46" t="s">
        <v>236</v>
      </c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4">
        <v>63.0</v>
      </c>
      <c r="B64" s="44">
        <v>92.0</v>
      </c>
      <c r="C64" s="44" t="s">
        <v>237</v>
      </c>
      <c r="D64" s="44" t="s">
        <v>238</v>
      </c>
      <c r="E64" s="44" t="s">
        <v>239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6">
        <v>64.0</v>
      </c>
      <c r="B65" s="46">
        <v>95.0</v>
      </c>
      <c r="C65" s="46" t="s">
        <v>240</v>
      </c>
      <c r="D65" s="46" t="s">
        <v>241</v>
      </c>
      <c r="E65" s="46" t="s">
        <v>242</v>
      </c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4">
        <v>65.0</v>
      </c>
      <c r="B66" s="44">
        <v>97.0</v>
      </c>
      <c r="C66" s="44" t="s">
        <v>243</v>
      </c>
      <c r="D66" s="44" t="s">
        <v>244</v>
      </c>
      <c r="E66" s="44" t="s">
        <v>245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6">
        <v>66.0</v>
      </c>
      <c r="B67" s="46">
        <v>98.0</v>
      </c>
      <c r="C67" s="46" t="s">
        <v>246</v>
      </c>
      <c r="D67" s="46" t="s">
        <v>247</v>
      </c>
      <c r="E67" s="46" t="s">
        <v>248</v>
      </c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4">
        <v>67.0</v>
      </c>
      <c r="B68" s="44">
        <v>100.0</v>
      </c>
      <c r="C68" s="44" t="s">
        <v>249</v>
      </c>
      <c r="D68" s="44" t="s">
        <v>250</v>
      </c>
      <c r="E68" s="44" t="s">
        <v>251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6">
        <v>68.0</v>
      </c>
      <c r="B69" s="46">
        <v>103.0</v>
      </c>
      <c r="C69" s="46" t="s">
        <v>252</v>
      </c>
      <c r="D69" s="46" t="s">
        <v>253</v>
      </c>
      <c r="E69" s="46" t="s">
        <v>254</v>
      </c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4">
        <v>69.0</v>
      </c>
      <c r="B70" s="44">
        <v>105.0</v>
      </c>
      <c r="C70" s="44" t="s">
        <v>255</v>
      </c>
      <c r="D70" s="44" t="s">
        <v>256</v>
      </c>
      <c r="E70" s="44" t="s">
        <v>257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6">
        <v>70.0</v>
      </c>
      <c r="B71" s="46">
        <v>106.0</v>
      </c>
      <c r="C71" s="46" t="s">
        <v>258</v>
      </c>
      <c r="D71" s="46" t="s">
        <v>259</v>
      </c>
      <c r="E71" s="46" t="s">
        <v>260</v>
      </c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4">
        <v>71.0</v>
      </c>
      <c r="B72" s="44">
        <v>108.0</v>
      </c>
      <c r="C72" s="44" t="s">
        <v>261</v>
      </c>
      <c r="D72" s="44" t="s">
        <v>262</v>
      </c>
      <c r="E72" s="44" t="s">
        <v>263</v>
      </c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6">
        <v>72.0</v>
      </c>
      <c r="B73" s="46">
        <v>109.0</v>
      </c>
      <c r="C73" s="46" t="s">
        <v>264</v>
      </c>
      <c r="D73" s="46" t="s">
        <v>265</v>
      </c>
      <c r="E73" s="46" t="s">
        <v>266</v>
      </c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4">
        <v>73.0</v>
      </c>
      <c r="B74" s="44">
        <v>111.0</v>
      </c>
      <c r="C74" s="44" t="s">
        <v>267</v>
      </c>
      <c r="D74" s="44" t="s">
        <v>268</v>
      </c>
      <c r="E74" s="44" t="s">
        <v>269</v>
      </c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6">
        <v>74.0</v>
      </c>
      <c r="B75" s="46">
        <v>112.0</v>
      </c>
      <c r="C75" s="46" t="s">
        <v>270</v>
      </c>
      <c r="D75" s="46" t="s">
        <v>271</v>
      </c>
      <c r="E75" s="46" t="s">
        <v>272</v>
      </c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4">
        <v>75.0</v>
      </c>
      <c r="B76" s="44">
        <v>113.0</v>
      </c>
      <c r="C76" s="44" t="s">
        <v>273</v>
      </c>
      <c r="D76" s="44" t="s">
        <v>274</v>
      </c>
      <c r="E76" s="44" t="s">
        <v>275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6">
        <v>76.0</v>
      </c>
      <c r="B77" s="46">
        <v>114.0</v>
      </c>
      <c r="C77" s="46" t="s">
        <v>276</v>
      </c>
      <c r="D77" s="46" t="s">
        <v>277</v>
      </c>
      <c r="E77" s="46" t="s">
        <v>278</v>
      </c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4">
        <v>77.0</v>
      </c>
      <c r="B78" s="44">
        <v>117.0</v>
      </c>
      <c r="C78" s="44" t="s">
        <v>279</v>
      </c>
      <c r="D78" s="44" t="s">
        <v>280</v>
      </c>
      <c r="E78" s="44" t="s">
        <v>281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6">
        <v>78.0</v>
      </c>
      <c r="B79" s="46">
        <v>119.0</v>
      </c>
      <c r="C79" s="46" t="s">
        <v>282</v>
      </c>
      <c r="D79" s="46" t="s">
        <v>283</v>
      </c>
      <c r="E79" s="46" t="s">
        <v>284</v>
      </c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4">
        <v>79.0</v>
      </c>
      <c r="B80" s="44">
        <v>120.0</v>
      </c>
      <c r="C80" s="44" t="s">
        <v>285</v>
      </c>
      <c r="D80" s="44" t="s">
        <v>286</v>
      </c>
      <c r="E80" s="44" t="s">
        <v>287</v>
      </c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6">
        <v>80.0</v>
      </c>
      <c r="B81" s="46">
        <v>121.0</v>
      </c>
      <c r="C81" s="46" t="s">
        <v>288</v>
      </c>
      <c r="D81" s="46" t="s">
        <v>289</v>
      </c>
      <c r="E81" s="46" t="s">
        <v>290</v>
      </c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4">
        <v>81.0</v>
      </c>
      <c r="B82" s="44">
        <v>122.0</v>
      </c>
      <c r="C82" s="44" t="s">
        <v>291</v>
      </c>
      <c r="D82" s="44" t="s">
        <v>292</v>
      </c>
      <c r="E82" s="44" t="s">
        <v>293</v>
      </c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6">
        <v>82.0</v>
      </c>
      <c r="B83" s="46">
        <v>123.0</v>
      </c>
      <c r="C83" s="46" t="s">
        <v>294</v>
      </c>
      <c r="D83" s="46" t="s">
        <v>295</v>
      </c>
      <c r="E83" s="46" t="s">
        <v>296</v>
      </c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4">
        <v>83.0</v>
      </c>
      <c r="B84" s="44">
        <v>124.0</v>
      </c>
      <c r="C84" s="44" t="s">
        <v>297</v>
      </c>
      <c r="D84" s="44" t="s">
        <v>298</v>
      </c>
      <c r="E84" s="44" t="s">
        <v>299</v>
      </c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6">
        <v>84.0</v>
      </c>
      <c r="B85" s="46">
        <v>126.0</v>
      </c>
      <c r="C85" s="46" t="s">
        <v>300</v>
      </c>
      <c r="D85" s="46" t="s">
        <v>301</v>
      </c>
      <c r="E85" s="46" t="s">
        <v>302</v>
      </c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4">
        <v>85.0</v>
      </c>
      <c r="B86" s="44">
        <v>127.0</v>
      </c>
      <c r="C86" s="44" t="s">
        <v>303</v>
      </c>
      <c r="D86" s="44" t="s">
        <v>304</v>
      </c>
      <c r="E86" s="44" t="s">
        <v>305</v>
      </c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6">
        <v>86.0</v>
      </c>
      <c r="B87" s="46">
        <v>129.0</v>
      </c>
      <c r="C87" s="46" t="s">
        <v>306</v>
      </c>
      <c r="D87" s="46" t="s">
        <v>307</v>
      </c>
      <c r="E87" s="46" t="s">
        <v>308</v>
      </c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4">
        <v>87.0</v>
      </c>
      <c r="B88" s="44">
        <v>130.0</v>
      </c>
      <c r="C88" s="44" t="s">
        <v>309</v>
      </c>
      <c r="D88" s="44" t="s">
        <v>310</v>
      </c>
      <c r="E88" s="44" t="s">
        <v>311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6">
        <v>88.0</v>
      </c>
      <c r="B89" s="46">
        <v>132.0</v>
      </c>
      <c r="C89" s="46" t="s">
        <v>312</v>
      </c>
      <c r="D89" s="46" t="s">
        <v>313</v>
      </c>
      <c r="E89" s="46" t="s">
        <v>314</v>
      </c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4">
        <v>89.0</v>
      </c>
      <c r="B90" s="44">
        <v>133.0</v>
      </c>
      <c r="C90" s="44" t="s">
        <v>315</v>
      </c>
      <c r="D90" s="44" t="s">
        <v>316</v>
      </c>
      <c r="E90" s="44" t="s">
        <v>317</v>
      </c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6">
        <v>90.0</v>
      </c>
      <c r="B91" s="46">
        <v>137.0</v>
      </c>
      <c r="C91" s="46" t="s">
        <v>318</v>
      </c>
      <c r="D91" s="46" t="s">
        <v>319</v>
      </c>
      <c r="E91" s="46" t="s">
        <v>320</v>
      </c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4">
        <v>91.0</v>
      </c>
      <c r="B92" s="44">
        <v>144.0</v>
      </c>
      <c r="C92" s="44" t="s">
        <v>321</v>
      </c>
      <c r="D92" s="44" t="s">
        <v>322</v>
      </c>
      <c r="E92" s="44" t="s">
        <v>323</v>
      </c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6">
        <v>92.0</v>
      </c>
      <c r="B93" s="46">
        <v>146.0</v>
      </c>
      <c r="C93" s="46" t="s">
        <v>324</v>
      </c>
      <c r="D93" s="46" t="s">
        <v>325</v>
      </c>
      <c r="E93" s="46" t="s">
        <v>326</v>
      </c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4">
        <v>93.0</v>
      </c>
      <c r="B94" s="44">
        <v>148.0</v>
      </c>
      <c r="C94" s="44" t="s">
        <v>327</v>
      </c>
      <c r="D94" s="44" t="s">
        <v>328</v>
      </c>
      <c r="E94" s="44" t="s">
        <v>329</v>
      </c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6">
        <v>94.0</v>
      </c>
      <c r="B95" s="46">
        <v>151.0</v>
      </c>
      <c r="C95" s="46" t="s">
        <v>330</v>
      </c>
      <c r="D95" s="46" t="s">
        <v>331</v>
      </c>
      <c r="E95" s="46" t="s">
        <v>332</v>
      </c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4">
        <v>95.0</v>
      </c>
      <c r="B96" s="44">
        <v>152.0</v>
      </c>
      <c r="C96" s="44" t="s">
        <v>333</v>
      </c>
      <c r="D96" s="44" t="s">
        <v>334</v>
      </c>
      <c r="E96" s="44" t="s">
        <v>335</v>
      </c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6">
        <v>96.0</v>
      </c>
      <c r="B97" s="46">
        <v>153.0</v>
      </c>
      <c r="C97" s="46" t="s">
        <v>336</v>
      </c>
      <c r="D97" s="46" t="s">
        <v>337</v>
      </c>
      <c r="E97" s="46" t="s">
        <v>338</v>
      </c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4">
        <v>97.0</v>
      </c>
      <c r="B98" s="44">
        <v>154.0</v>
      </c>
      <c r="C98" s="44" t="s">
        <v>339</v>
      </c>
      <c r="D98" s="44" t="s">
        <v>340</v>
      </c>
      <c r="E98" s="44" t="s">
        <v>341</v>
      </c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6">
        <v>98.0</v>
      </c>
      <c r="B99" s="46">
        <v>155.0</v>
      </c>
      <c r="C99" s="46" t="s">
        <v>342</v>
      </c>
      <c r="D99" s="46" t="s">
        <v>343</v>
      </c>
      <c r="E99" s="46" t="s">
        <v>344</v>
      </c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4">
        <v>99.0</v>
      </c>
      <c r="B100" s="44">
        <v>156.0</v>
      </c>
      <c r="C100" s="44" t="s">
        <v>345</v>
      </c>
      <c r="D100" s="44" t="s">
        <v>346</v>
      </c>
      <c r="E100" s="44" t="s">
        <v>347</v>
      </c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6">
        <v>100.0</v>
      </c>
      <c r="B101" s="46">
        <v>157.0</v>
      </c>
      <c r="C101" s="46" t="s">
        <v>348</v>
      </c>
      <c r="D101" s="46" t="s">
        <v>349</v>
      </c>
      <c r="E101" s="46" t="s">
        <v>350</v>
      </c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4">
        <v>101.0</v>
      </c>
      <c r="B102" s="44">
        <v>158.0</v>
      </c>
      <c r="C102" s="44" t="s">
        <v>351</v>
      </c>
      <c r="D102" s="44" t="s">
        <v>352</v>
      </c>
      <c r="E102" s="44" t="s">
        <v>353</v>
      </c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6">
        <v>102.0</v>
      </c>
      <c r="B103" s="46">
        <v>159.0</v>
      </c>
      <c r="C103" s="46" t="s">
        <v>354</v>
      </c>
      <c r="D103" s="46" t="s">
        <v>355</v>
      </c>
      <c r="E103" s="46" t="s">
        <v>356</v>
      </c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4">
        <v>103.0</v>
      </c>
      <c r="B104" s="44">
        <v>160.0</v>
      </c>
      <c r="C104" s="44" t="s">
        <v>357</v>
      </c>
      <c r="D104" s="44" t="s">
        <v>358</v>
      </c>
      <c r="E104" s="44" t="s">
        <v>359</v>
      </c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6">
        <v>104.0</v>
      </c>
      <c r="B105" s="46">
        <v>161.0</v>
      </c>
      <c r="C105" s="46" t="s">
        <v>360</v>
      </c>
      <c r="D105" s="46" t="s">
        <v>361</v>
      </c>
      <c r="E105" s="46" t="s">
        <v>362</v>
      </c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4">
        <v>105.0</v>
      </c>
      <c r="B106" s="44">
        <v>163.0</v>
      </c>
      <c r="C106" s="44" t="s">
        <v>363</v>
      </c>
      <c r="D106" s="44" t="s">
        <v>364</v>
      </c>
      <c r="E106" s="44" t="s">
        <v>365</v>
      </c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6">
        <v>106.0</v>
      </c>
      <c r="B107" s="46">
        <v>166.0</v>
      </c>
      <c r="C107" s="46" t="s">
        <v>366</v>
      </c>
      <c r="D107" s="46" t="s">
        <v>367</v>
      </c>
      <c r="E107" s="46" t="s">
        <v>368</v>
      </c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4">
        <v>107.0</v>
      </c>
      <c r="B108" s="44">
        <v>167.0</v>
      </c>
      <c r="C108" s="44" t="s">
        <v>369</v>
      </c>
      <c r="D108" s="44" t="s">
        <v>370</v>
      </c>
      <c r="E108" s="44" t="s">
        <v>371</v>
      </c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6">
        <v>108.0</v>
      </c>
      <c r="B109" s="46">
        <v>168.0</v>
      </c>
      <c r="C109" s="46" t="s">
        <v>372</v>
      </c>
      <c r="D109" s="46" t="s">
        <v>373</v>
      </c>
      <c r="E109" s="46" t="s">
        <v>374</v>
      </c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4">
        <v>109.0</v>
      </c>
      <c r="B110" s="44">
        <v>170.0</v>
      </c>
      <c r="C110" s="44" t="s">
        <v>375</v>
      </c>
      <c r="D110" s="44" t="s">
        <v>376</v>
      </c>
      <c r="E110" s="44" t="s">
        <v>377</v>
      </c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6">
        <v>110.0</v>
      </c>
      <c r="B111" s="46">
        <v>172.0</v>
      </c>
      <c r="C111" s="46" t="s">
        <v>378</v>
      </c>
      <c r="D111" s="46" t="s">
        <v>379</v>
      </c>
      <c r="E111" s="46" t="s">
        <v>380</v>
      </c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4">
        <v>111.0</v>
      </c>
      <c r="B112" s="44">
        <v>173.0</v>
      </c>
      <c r="C112" s="44" t="s">
        <v>381</v>
      </c>
      <c r="D112" s="44" t="s">
        <v>382</v>
      </c>
      <c r="E112" s="44" t="s">
        <v>383</v>
      </c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6">
        <v>112.0</v>
      </c>
      <c r="B113" s="46">
        <v>174.0</v>
      </c>
      <c r="C113" s="46" t="s">
        <v>384</v>
      </c>
      <c r="D113" s="46" t="s">
        <v>385</v>
      </c>
      <c r="E113" s="46" t="s">
        <v>386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4">
        <v>113.0</v>
      </c>
      <c r="B114" s="44">
        <v>175.0</v>
      </c>
      <c r="C114" s="44" t="s">
        <v>387</v>
      </c>
      <c r="D114" s="44" t="s">
        <v>388</v>
      </c>
      <c r="E114" s="44" t="s">
        <v>389</v>
      </c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6">
        <v>114.0</v>
      </c>
      <c r="B115" s="46">
        <v>176.0</v>
      </c>
      <c r="C115" s="46" t="s">
        <v>390</v>
      </c>
      <c r="D115" s="46" t="s">
        <v>391</v>
      </c>
      <c r="E115" s="46" t="s">
        <v>392</v>
      </c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4">
        <v>115.0</v>
      </c>
      <c r="B116" s="44">
        <v>177.0</v>
      </c>
      <c r="C116" s="44" t="s">
        <v>393</v>
      </c>
      <c r="D116" s="44" t="s">
        <v>394</v>
      </c>
      <c r="E116" s="44" t="s">
        <v>395</v>
      </c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6">
        <v>116.0</v>
      </c>
      <c r="B117" s="46">
        <v>179.0</v>
      </c>
      <c r="C117" s="46" t="s">
        <v>396</v>
      </c>
      <c r="D117" s="46" t="s">
        <v>397</v>
      </c>
      <c r="E117" s="46" t="s">
        <v>398</v>
      </c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4">
        <v>117.0</v>
      </c>
      <c r="B118" s="44">
        <v>180.0</v>
      </c>
      <c r="C118" s="44" t="s">
        <v>399</v>
      </c>
      <c r="D118" s="44" t="s">
        <v>400</v>
      </c>
      <c r="E118" s="44" t="s">
        <v>401</v>
      </c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6">
        <v>118.0</v>
      </c>
      <c r="B119" s="46">
        <v>181.0</v>
      </c>
      <c r="C119" s="46" t="s">
        <v>402</v>
      </c>
      <c r="D119" s="46" t="s">
        <v>403</v>
      </c>
      <c r="E119" s="46" t="s">
        <v>404</v>
      </c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4">
        <v>119.0</v>
      </c>
      <c r="B120" s="44">
        <v>183.0</v>
      </c>
      <c r="C120" s="44" t="s">
        <v>405</v>
      </c>
      <c r="D120" s="44" t="s">
        <v>406</v>
      </c>
      <c r="E120" s="44" t="s">
        <v>407</v>
      </c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6">
        <v>120.0</v>
      </c>
      <c r="B121" s="46">
        <v>184.0</v>
      </c>
      <c r="C121" s="46" t="s">
        <v>408</v>
      </c>
      <c r="D121" s="46" t="s">
        <v>409</v>
      </c>
      <c r="E121" s="46" t="s">
        <v>410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4">
        <v>121.0</v>
      </c>
      <c r="B122" s="44">
        <v>186.0</v>
      </c>
      <c r="C122" s="44" t="s">
        <v>411</v>
      </c>
      <c r="D122" s="44" t="s">
        <v>412</v>
      </c>
      <c r="E122" s="44" t="s">
        <v>413</v>
      </c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6">
        <v>122.0</v>
      </c>
      <c r="B123" s="46">
        <v>187.0</v>
      </c>
      <c r="C123" s="46" t="s">
        <v>414</v>
      </c>
      <c r="D123" s="46" t="s">
        <v>415</v>
      </c>
      <c r="E123" s="46" t="s">
        <v>416</v>
      </c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4">
        <v>123.0</v>
      </c>
      <c r="B124" s="44">
        <v>188.0</v>
      </c>
      <c r="C124" s="44" t="s">
        <v>417</v>
      </c>
      <c r="D124" s="44" t="s">
        <v>418</v>
      </c>
      <c r="E124" s="44" t="s">
        <v>419</v>
      </c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6">
        <v>124.0</v>
      </c>
      <c r="B125" s="46">
        <v>189.0</v>
      </c>
      <c r="C125" s="46" t="s">
        <v>420</v>
      </c>
      <c r="D125" s="46" t="s">
        <v>421</v>
      </c>
      <c r="E125" s="46" t="s">
        <v>422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4">
        <v>125.0</v>
      </c>
      <c r="B126" s="44">
        <v>190.0</v>
      </c>
      <c r="C126" s="44" t="s">
        <v>423</v>
      </c>
      <c r="D126" s="44" t="s">
        <v>424</v>
      </c>
      <c r="E126" s="44" t="s">
        <v>425</v>
      </c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6">
        <v>126.0</v>
      </c>
      <c r="B127" s="46">
        <v>193.0</v>
      </c>
      <c r="C127" s="46" t="s">
        <v>426</v>
      </c>
      <c r="D127" s="46" t="s">
        <v>427</v>
      </c>
      <c r="E127" s="46" t="s">
        <v>428</v>
      </c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4">
        <v>127.0</v>
      </c>
      <c r="B128" s="44">
        <v>194.0</v>
      </c>
      <c r="C128" s="44" t="s">
        <v>429</v>
      </c>
      <c r="D128" s="44" t="s">
        <v>430</v>
      </c>
      <c r="E128" s="44" t="s">
        <v>431</v>
      </c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6">
        <v>128.0</v>
      </c>
      <c r="B129" s="46">
        <v>197.0</v>
      </c>
      <c r="C129" s="46" t="s">
        <v>432</v>
      </c>
      <c r="D129" s="46" t="s">
        <v>433</v>
      </c>
      <c r="E129" s="46" t="s">
        <v>434</v>
      </c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4">
        <v>129.0</v>
      </c>
      <c r="B130" s="44">
        <v>198.0</v>
      </c>
      <c r="C130" s="44" t="s">
        <v>435</v>
      </c>
      <c r="D130" s="44" t="s">
        <v>436</v>
      </c>
      <c r="E130" s="44" t="s">
        <v>437</v>
      </c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6">
        <v>130.0</v>
      </c>
      <c r="B131" s="46">
        <v>199.0</v>
      </c>
      <c r="C131" s="46" t="s">
        <v>438</v>
      </c>
      <c r="D131" s="46" t="s">
        <v>439</v>
      </c>
      <c r="E131" s="46" t="s">
        <v>440</v>
      </c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4">
        <v>131.0</v>
      </c>
      <c r="B132" s="44">
        <v>200.0</v>
      </c>
      <c r="C132" s="44" t="s">
        <v>441</v>
      </c>
      <c r="D132" s="44" t="s">
        <v>442</v>
      </c>
      <c r="E132" s="44" t="s">
        <v>443</v>
      </c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6">
        <v>132.0</v>
      </c>
      <c r="B133" s="46">
        <v>201.0</v>
      </c>
      <c r="C133" s="46" t="s">
        <v>444</v>
      </c>
      <c r="D133" s="46" t="s">
        <v>445</v>
      </c>
      <c r="E133" s="46" t="s">
        <v>446</v>
      </c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4">
        <v>133.0</v>
      </c>
      <c r="B134" s="44">
        <v>203.0</v>
      </c>
      <c r="C134" s="44" t="s">
        <v>447</v>
      </c>
      <c r="D134" s="44" t="s">
        <v>448</v>
      </c>
      <c r="E134" s="44" t="s">
        <v>449</v>
      </c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6">
        <v>134.0</v>
      </c>
      <c r="B135" s="46">
        <v>206.0</v>
      </c>
      <c r="C135" s="46" t="s">
        <v>450</v>
      </c>
      <c r="D135" s="46" t="s">
        <v>451</v>
      </c>
      <c r="E135" s="46" t="s">
        <v>452</v>
      </c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4">
        <v>135.0</v>
      </c>
      <c r="B136" s="44">
        <v>208.0</v>
      </c>
      <c r="C136" s="44" t="s">
        <v>453</v>
      </c>
      <c r="D136" s="44" t="s">
        <v>454</v>
      </c>
      <c r="E136" s="44" t="s">
        <v>455</v>
      </c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6">
        <v>136.0</v>
      </c>
      <c r="B137" s="46">
        <v>209.0</v>
      </c>
      <c r="C137" s="46" t="s">
        <v>456</v>
      </c>
      <c r="D137" s="46" t="s">
        <v>457</v>
      </c>
      <c r="E137" s="46" t="s">
        <v>458</v>
      </c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4">
        <v>137.0</v>
      </c>
      <c r="B138" s="44">
        <v>211.0</v>
      </c>
      <c r="C138" s="44" t="s">
        <v>459</v>
      </c>
      <c r="D138" s="44" t="s">
        <v>460</v>
      </c>
      <c r="E138" s="44" t="s">
        <v>461</v>
      </c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6">
        <v>138.0</v>
      </c>
      <c r="B139" s="46">
        <v>212.0</v>
      </c>
      <c r="C139" s="46" t="s">
        <v>462</v>
      </c>
      <c r="D139" s="46" t="s">
        <v>463</v>
      </c>
      <c r="E139" s="46" t="s">
        <v>464</v>
      </c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4">
        <v>139.0</v>
      </c>
      <c r="B140" s="44">
        <v>215.0</v>
      </c>
      <c r="C140" s="44" t="s">
        <v>465</v>
      </c>
      <c r="D140" s="44" t="s">
        <v>466</v>
      </c>
      <c r="E140" s="44" t="s">
        <v>467</v>
      </c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6">
        <v>140.0</v>
      </c>
      <c r="B141" s="46">
        <v>216.0</v>
      </c>
      <c r="C141" s="46" t="s">
        <v>468</v>
      </c>
      <c r="D141" s="46" t="s">
        <v>469</v>
      </c>
      <c r="E141" s="46" t="s">
        <v>470</v>
      </c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4">
        <v>141.0</v>
      </c>
      <c r="B142" s="44">
        <v>218.0</v>
      </c>
      <c r="C142" s="44" t="s">
        <v>471</v>
      </c>
      <c r="D142" s="44" t="s">
        <v>472</v>
      </c>
      <c r="E142" s="44" t="s">
        <v>473</v>
      </c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6">
        <v>142.0</v>
      </c>
      <c r="B143" s="46">
        <v>222.0</v>
      </c>
      <c r="C143" s="46" t="s">
        <v>474</v>
      </c>
      <c r="D143" s="46" t="s">
        <v>475</v>
      </c>
      <c r="E143" s="46" t="s">
        <v>476</v>
      </c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4">
        <v>143.0</v>
      </c>
      <c r="B144" s="44">
        <v>225.0</v>
      </c>
      <c r="C144" s="44" t="s">
        <v>477</v>
      </c>
      <c r="D144" s="44" t="s">
        <v>478</v>
      </c>
      <c r="E144" s="44" t="s">
        <v>479</v>
      </c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6">
        <v>144.0</v>
      </c>
      <c r="B145" s="46">
        <v>229.0</v>
      </c>
      <c r="C145" s="46" t="s">
        <v>480</v>
      </c>
      <c r="D145" s="46" t="s">
        <v>481</v>
      </c>
      <c r="E145" s="46" t="s">
        <v>482</v>
      </c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4">
        <v>145.0</v>
      </c>
      <c r="B146" s="44">
        <v>230.0</v>
      </c>
      <c r="C146" s="44" t="s">
        <v>483</v>
      </c>
      <c r="D146" s="44" t="s">
        <v>484</v>
      </c>
      <c r="E146" s="44" t="s">
        <v>485</v>
      </c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6">
        <v>146.0</v>
      </c>
      <c r="B147" s="46">
        <v>231.0</v>
      </c>
      <c r="C147" s="46" t="s">
        <v>486</v>
      </c>
      <c r="D147" s="46" t="s">
        <v>487</v>
      </c>
      <c r="E147" s="46" t="s">
        <v>488</v>
      </c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4">
        <v>147.0</v>
      </c>
      <c r="B148" s="44">
        <v>232.0</v>
      </c>
      <c r="C148" s="44" t="s">
        <v>489</v>
      </c>
      <c r="D148" s="44" t="s">
        <v>490</v>
      </c>
      <c r="E148" s="44" t="s">
        <v>491</v>
      </c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6">
        <v>148.0</v>
      </c>
      <c r="B149" s="46">
        <v>233.0</v>
      </c>
      <c r="C149" s="46" t="s">
        <v>492</v>
      </c>
      <c r="D149" s="46" t="s">
        <v>493</v>
      </c>
      <c r="E149" s="46" t="s">
        <v>494</v>
      </c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4">
        <v>149.0</v>
      </c>
      <c r="B150" s="44">
        <v>236.0</v>
      </c>
      <c r="C150" s="44" t="s">
        <v>495</v>
      </c>
      <c r="D150" s="44" t="s">
        <v>496</v>
      </c>
      <c r="E150" s="44" t="s">
        <v>497</v>
      </c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6">
        <v>150.0</v>
      </c>
      <c r="B151" s="46">
        <v>237.0</v>
      </c>
      <c r="C151" s="46" t="s">
        <v>498</v>
      </c>
      <c r="D151" s="46" t="s">
        <v>499</v>
      </c>
      <c r="E151" s="46" t="s">
        <v>500</v>
      </c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4">
        <v>151.0</v>
      </c>
      <c r="B152" s="44">
        <v>239.0</v>
      </c>
      <c r="C152" s="44" t="s">
        <v>501</v>
      </c>
      <c r="D152" s="44" t="s">
        <v>502</v>
      </c>
      <c r="E152" s="44" t="s">
        <v>503</v>
      </c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6">
        <v>152.0</v>
      </c>
      <c r="B153" s="46">
        <v>240.0</v>
      </c>
      <c r="C153" s="46" t="s">
        <v>504</v>
      </c>
      <c r="D153" s="46" t="s">
        <v>505</v>
      </c>
      <c r="E153" s="46" t="s">
        <v>506</v>
      </c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4">
        <v>153.0</v>
      </c>
      <c r="B154" s="44">
        <v>241.0</v>
      </c>
      <c r="C154" s="44" t="s">
        <v>507</v>
      </c>
      <c r="D154" s="44" t="s">
        <v>508</v>
      </c>
      <c r="E154" s="44" t="s">
        <v>509</v>
      </c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6">
        <v>154.0</v>
      </c>
      <c r="B155" s="46">
        <v>242.0</v>
      </c>
      <c r="C155" s="46" t="s">
        <v>510</v>
      </c>
      <c r="D155" s="46" t="s">
        <v>511</v>
      </c>
      <c r="E155" s="46" t="s">
        <v>512</v>
      </c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4">
        <v>155.0</v>
      </c>
      <c r="B156" s="44">
        <v>244.0</v>
      </c>
      <c r="C156" s="44" t="s">
        <v>513</v>
      </c>
      <c r="D156" s="44" t="s">
        <v>514</v>
      </c>
      <c r="E156" s="44" t="s">
        <v>515</v>
      </c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6">
        <v>156.0</v>
      </c>
      <c r="B157" s="46">
        <v>245.0</v>
      </c>
      <c r="C157" s="46" t="s">
        <v>516</v>
      </c>
      <c r="D157" s="46" t="s">
        <v>517</v>
      </c>
      <c r="E157" s="46" t="s">
        <v>518</v>
      </c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4">
        <v>157.0</v>
      </c>
      <c r="B158" s="44">
        <v>254.0</v>
      </c>
      <c r="C158" s="44" t="s">
        <v>519</v>
      </c>
      <c r="D158" s="44" t="s">
        <v>520</v>
      </c>
      <c r="E158" s="44" t="s">
        <v>521</v>
      </c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6">
        <v>158.0</v>
      </c>
      <c r="B159" s="46">
        <v>255.0</v>
      </c>
      <c r="C159" s="46" t="s">
        <v>522</v>
      </c>
      <c r="D159" s="46" t="s">
        <v>523</v>
      </c>
      <c r="E159" s="46" t="s">
        <v>524</v>
      </c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4">
        <v>159.0</v>
      </c>
      <c r="B160" s="44">
        <v>256.0</v>
      </c>
      <c r="C160" s="44" t="s">
        <v>525</v>
      </c>
      <c r="D160" s="44" t="s">
        <v>526</v>
      </c>
      <c r="E160" s="44" t="s">
        <v>527</v>
      </c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6">
        <v>160.0</v>
      </c>
      <c r="B161" s="46">
        <v>258.0</v>
      </c>
      <c r="C161" s="46" t="s">
        <v>528</v>
      </c>
      <c r="D161" s="46" t="s">
        <v>529</v>
      </c>
      <c r="E161" s="46" t="s">
        <v>530</v>
      </c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4">
        <v>161.0</v>
      </c>
      <c r="B162" s="44">
        <v>261.0</v>
      </c>
      <c r="C162" s="44" t="s">
        <v>531</v>
      </c>
      <c r="D162" s="44" t="s">
        <v>532</v>
      </c>
      <c r="E162" s="44" t="s">
        <v>533</v>
      </c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6">
        <v>162.0</v>
      </c>
      <c r="B163" s="46">
        <v>263.0</v>
      </c>
      <c r="C163" s="46" t="s">
        <v>534</v>
      </c>
      <c r="D163" s="46" t="s">
        <v>535</v>
      </c>
      <c r="E163" s="46" t="s">
        <v>536</v>
      </c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4">
        <v>163.0</v>
      </c>
      <c r="B164" s="44">
        <v>264.0</v>
      </c>
      <c r="C164" s="44" t="s">
        <v>537</v>
      </c>
      <c r="D164" s="44" t="s">
        <v>538</v>
      </c>
      <c r="E164" s="44" t="s">
        <v>539</v>
      </c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6">
        <v>164.0</v>
      </c>
      <c r="B165" s="46">
        <v>265.0</v>
      </c>
      <c r="C165" s="46" t="s">
        <v>540</v>
      </c>
      <c r="D165" s="46" t="s">
        <v>541</v>
      </c>
      <c r="E165" s="46" t="s">
        <v>542</v>
      </c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4">
        <v>165.0</v>
      </c>
      <c r="B166" s="44">
        <v>266.0</v>
      </c>
      <c r="C166" s="44" t="s">
        <v>543</v>
      </c>
      <c r="D166" s="44" t="s">
        <v>544</v>
      </c>
      <c r="E166" s="44" t="s">
        <v>545</v>
      </c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6">
        <v>166.0</v>
      </c>
      <c r="B167" s="46">
        <v>270.0</v>
      </c>
      <c r="C167" s="46" t="s">
        <v>546</v>
      </c>
      <c r="D167" s="46" t="s">
        <v>547</v>
      </c>
      <c r="E167" s="46" t="s">
        <v>548</v>
      </c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4">
        <v>167.0</v>
      </c>
      <c r="B168" s="44">
        <v>277.0</v>
      </c>
      <c r="C168" s="44" t="s">
        <v>549</v>
      </c>
      <c r="D168" s="44" t="s">
        <v>550</v>
      </c>
      <c r="E168" s="44" t="s">
        <v>551</v>
      </c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6">
        <v>168.0</v>
      </c>
      <c r="B169" s="46">
        <v>279.0</v>
      </c>
      <c r="C169" s="46" t="s">
        <v>552</v>
      </c>
      <c r="D169" s="46" t="s">
        <v>553</v>
      </c>
      <c r="E169" s="46" t="s">
        <v>554</v>
      </c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4">
        <v>169.0</v>
      </c>
      <c r="B170" s="44">
        <v>280.0</v>
      </c>
      <c r="C170" s="44" t="s">
        <v>555</v>
      </c>
      <c r="D170" s="44" t="s">
        <v>556</v>
      </c>
      <c r="E170" s="44" t="s">
        <v>557</v>
      </c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6">
        <v>170.0</v>
      </c>
      <c r="B171" s="46">
        <v>281.0</v>
      </c>
      <c r="C171" s="46" t="s">
        <v>558</v>
      </c>
      <c r="D171" s="46" t="s">
        <v>559</v>
      </c>
      <c r="E171" s="46" t="s">
        <v>560</v>
      </c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4">
        <v>171.0</v>
      </c>
      <c r="B172" s="44">
        <v>283.0</v>
      </c>
      <c r="C172" s="44" t="s">
        <v>561</v>
      </c>
      <c r="D172" s="44" t="s">
        <v>562</v>
      </c>
      <c r="E172" s="44" t="s">
        <v>563</v>
      </c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6">
        <v>172.0</v>
      </c>
      <c r="B173" s="46">
        <v>285.0</v>
      </c>
      <c r="C173" s="46" t="s">
        <v>564</v>
      </c>
      <c r="D173" s="46" t="s">
        <v>565</v>
      </c>
      <c r="E173" s="46" t="s">
        <v>566</v>
      </c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4">
        <v>173.0</v>
      </c>
      <c r="B174" s="44">
        <v>286.0</v>
      </c>
      <c r="C174" s="44" t="s">
        <v>567</v>
      </c>
      <c r="D174" s="44" t="s">
        <v>568</v>
      </c>
      <c r="E174" s="44" t="s">
        <v>569</v>
      </c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6">
        <v>174.0</v>
      </c>
      <c r="B175" s="46">
        <v>290.0</v>
      </c>
      <c r="C175" s="46" t="s">
        <v>570</v>
      </c>
      <c r="D175" s="46" t="s">
        <v>571</v>
      </c>
      <c r="E175" s="46" t="s">
        <v>572</v>
      </c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4">
        <v>175.0</v>
      </c>
      <c r="B176" s="44">
        <v>291.0</v>
      </c>
      <c r="C176" s="44" t="s">
        <v>573</v>
      </c>
      <c r="D176" s="44" t="s">
        <v>574</v>
      </c>
      <c r="E176" s="44" t="s">
        <v>575</v>
      </c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6">
        <v>176.0</v>
      </c>
      <c r="B177" s="46">
        <v>292.0</v>
      </c>
      <c r="C177" s="46" t="s">
        <v>576</v>
      </c>
      <c r="D177" s="46" t="s">
        <v>577</v>
      </c>
      <c r="E177" s="46" t="s">
        <v>578</v>
      </c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4">
        <v>177.0</v>
      </c>
      <c r="B178" s="44">
        <v>293.0</v>
      </c>
      <c r="C178" s="44" t="s">
        <v>579</v>
      </c>
      <c r="D178" s="44" t="s">
        <v>580</v>
      </c>
      <c r="E178" s="44" t="s">
        <v>581</v>
      </c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6">
        <v>178.0</v>
      </c>
      <c r="B179" s="46">
        <v>295.0</v>
      </c>
      <c r="C179" s="46" t="s">
        <v>582</v>
      </c>
      <c r="D179" s="46" t="s">
        <v>583</v>
      </c>
      <c r="E179" s="46" t="s">
        <v>584</v>
      </c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4">
        <v>179.0</v>
      </c>
      <c r="B180" s="44">
        <v>296.0</v>
      </c>
      <c r="C180" s="44" t="s">
        <v>585</v>
      </c>
      <c r="D180" s="44" t="s">
        <v>586</v>
      </c>
      <c r="E180" s="44" t="s">
        <v>587</v>
      </c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6">
        <v>180.0</v>
      </c>
      <c r="B181" s="46">
        <v>297.0</v>
      </c>
      <c r="C181" s="46" t="s">
        <v>588</v>
      </c>
      <c r="D181" s="46" t="s">
        <v>589</v>
      </c>
      <c r="E181" s="46" t="s">
        <v>590</v>
      </c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4">
        <v>181.0</v>
      </c>
      <c r="B182" s="44">
        <v>298.0</v>
      </c>
      <c r="C182" s="44" t="s">
        <v>591</v>
      </c>
      <c r="D182" s="44" t="s">
        <v>592</v>
      </c>
      <c r="E182" s="44" t="s">
        <v>593</v>
      </c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6">
        <v>182.0</v>
      </c>
      <c r="B183" s="46">
        <v>299.0</v>
      </c>
      <c r="C183" s="46" t="s">
        <v>594</v>
      </c>
      <c r="D183" s="46" t="s">
        <v>595</v>
      </c>
      <c r="E183" s="46" t="s">
        <v>596</v>
      </c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4">
        <v>183.0</v>
      </c>
      <c r="B184" s="44">
        <v>300.0</v>
      </c>
      <c r="C184" s="44" t="s">
        <v>597</v>
      </c>
      <c r="D184" s="44" t="s">
        <v>598</v>
      </c>
      <c r="E184" s="44" t="s">
        <v>599</v>
      </c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6">
        <v>184.0</v>
      </c>
      <c r="B185" s="46">
        <v>301.0</v>
      </c>
      <c r="C185" s="46" t="s">
        <v>600</v>
      </c>
      <c r="D185" s="46" t="s">
        <v>601</v>
      </c>
      <c r="E185" s="46" t="s">
        <v>602</v>
      </c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4">
        <v>185.0</v>
      </c>
      <c r="B186" s="44">
        <v>302.0</v>
      </c>
      <c r="C186" s="44" t="s">
        <v>603</v>
      </c>
      <c r="D186" s="44" t="s">
        <v>604</v>
      </c>
      <c r="E186" s="44" t="s">
        <v>605</v>
      </c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6">
        <v>186.0</v>
      </c>
      <c r="B187" s="46">
        <v>304.0</v>
      </c>
      <c r="C187" s="46" t="s">
        <v>606</v>
      </c>
      <c r="D187" s="46" t="s">
        <v>607</v>
      </c>
      <c r="E187" s="46" t="s">
        <v>607</v>
      </c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4">
        <v>187.0</v>
      </c>
      <c r="B188" s="44">
        <v>305.0</v>
      </c>
      <c r="C188" s="44" t="s">
        <v>608</v>
      </c>
      <c r="D188" s="44" t="s">
        <v>609</v>
      </c>
      <c r="E188" s="44" t="s">
        <v>610</v>
      </c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6">
        <v>188.0</v>
      </c>
      <c r="B189" s="46">
        <v>306.0</v>
      </c>
      <c r="C189" s="46" t="s">
        <v>611</v>
      </c>
      <c r="D189" s="46" t="s">
        <v>612</v>
      </c>
      <c r="E189" s="46" t="s">
        <v>613</v>
      </c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4">
        <v>189.0</v>
      </c>
      <c r="B190" s="44">
        <v>307.0</v>
      </c>
      <c r="C190" s="44" t="s">
        <v>614</v>
      </c>
      <c r="D190" s="44" t="s">
        <v>615</v>
      </c>
      <c r="E190" s="44" t="s">
        <v>616</v>
      </c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6">
        <v>190.0</v>
      </c>
      <c r="B191" s="46">
        <v>308.0</v>
      </c>
      <c r="C191" s="46" t="s">
        <v>617</v>
      </c>
      <c r="D191" s="46" t="s">
        <v>618</v>
      </c>
      <c r="E191" s="46" t="s">
        <v>619</v>
      </c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4">
        <v>191.0</v>
      </c>
      <c r="B192" s="44">
        <v>309.0</v>
      </c>
      <c r="C192" s="44" t="s">
        <v>620</v>
      </c>
      <c r="D192" s="44" t="s">
        <v>621</v>
      </c>
      <c r="E192" s="44" t="s">
        <v>622</v>
      </c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6">
        <v>192.0</v>
      </c>
      <c r="B193" s="46">
        <v>310.0</v>
      </c>
      <c r="C193" s="46" t="s">
        <v>623</v>
      </c>
      <c r="D193" s="46" t="s">
        <v>624</v>
      </c>
      <c r="E193" s="46" t="s">
        <v>625</v>
      </c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4">
        <v>193.0</v>
      </c>
      <c r="B194" s="44">
        <v>311.0</v>
      </c>
      <c r="C194" s="44" t="s">
        <v>626</v>
      </c>
      <c r="D194" s="44" t="s">
        <v>627</v>
      </c>
      <c r="E194" s="44" t="s">
        <v>628</v>
      </c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6">
        <v>194.0</v>
      </c>
      <c r="B195" s="46">
        <v>315.0</v>
      </c>
      <c r="C195" s="46" t="s">
        <v>629</v>
      </c>
      <c r="D195" s="46" t="s">
        <v>630</v>
      </c>
      <c r="E195" s="46" t="s">
        <v>631</v>
      </c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4">
        <v>195.0</v>
      </c>
      <c r="B196" s="44">
        <v>316.0</v>
      </c>
      <c r="C196" s="44" t="s">
        <v>632</v>
      </c>
      <c r="D196" s="44" t="s">
        <v>633</v>
      </c>
      <c r="E196" s="44" t="s">
        <v>634</v>
      </c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6">
        <v>196.0</v>
      </c>
      <c r="B197" s="46">
        <v>319.0</v>
      </c>
      <c r="C197" s="46" t="s">
        <v>635</v>
      </c>
      <c r="D197" s="46" t="s">
        <v>636</v>
      </c>
      <c r="E197" s="46" t="s">
        <v>637</v>
      </c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4">
        <v>197.0</v>
      </c>
      <c r="B198" s="44">
        <v>320.0</v>
      </c>
      <c r="C198" s="44" t="s">
        <v>638</v>
      </c>
      <c r="D198" s="44" t="s">
        <v>639</v>
      </c>
      <c r="E198" s="44" t="s">
        <v>640</v>
      </c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6">
        <v>198.0</v>
      </c>
      <c r="B199" s="46">
        <v>321.0</v>
      </c>
      <c r="C199" s="46" t="s">
        <v>641</v>
      </c>
      <c r="D199" s="46" t="s">
        <v>642</v>
      </c>
      <c r="E199" s="46" t="s">
        <v>643</v>
      </c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4">
        <v>199.0</v>
      </c>
      <c r="B200" s="44">
        <v>323.0</v>
      </c>
      <c r="C200" s="44" t="s">
        <v>644</v>
      </c>
      <c r="D200" s="44" t="s">
        <v>645</v>
      </c>
      <c r="E200" s="44" t="s">
        <v>646</v>
      </c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6">
        <v>200.0</v>
      </c>
      <c r="B201" s="46">
        <v>327.0</v>
      </c>
      <c r="C201" s="46" t="s">
        <v>647</v>
      </c>
      <c r="D201" s="46" t="s">
        <v>648</v>
      </c>
      <c r="E201" s="46" t="s">
        <v>649</v>
      </c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4">
        <v>201.0</v>
      </c>
      <c r="B202" s="44">
        <v>330.0</v>
      </c>
      <c r="C202" s="44" t="s">
        <v>650</v>
      </c>
      <c r="D202" s="44" t="s">
        <v>651</v>
      </c>
      <c r="E202" s="44" t="s">
        <v>652</v>
      </c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6">
        <v>202.0</v>
      </c>
      <c r="B203" s="46">
        <v>331.0</v>
      </c>
      <c r="C203" s="46" t="s">
        <v>653</v>
      </c>
      <c r="D203" s="46" t="s">
        <v>654</v>
      </c>
      <c r="E203" s="46" t="s">
        <v>655</v>
      </c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4">
        <v>203.0</v>
      </c>
      <c r="B204" s="44">
        <v>332.0</v>
      </c>
      <c r="C204" s="44" t="s">
        <v>656</v>
      </c>
      <c r="D204" s="44" t="s">
        <v>657</v>
      </c>
      <c r="E204" s="44" t="s">
        <v>658</v>
      </c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6">
        <v>204.0</v>
      </c>
      <c r="B205" s="46">
        <v>333.0</v>
      </c>
      <c r="C205" s="46" t="s">
        <v>659</v>
      </c>
      <c r="D205" s="46" t="s">
        <v>660</v>
      </c>
      <c r="E205" s="46" t="s">
        <v>661</v>
      </c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4">
        <v>205.0</v>
      </c>
      <c r="B206" s="44">
        <v>334.0</v>
      </c>
      <c r="C206" s="44" t="s">
        <v>662</v>
      </c>
      <c r="D206" s="44" t="s">
        <v>663</v>
      </c>
      <c r="E206" s="44" t="s">
        <v>664</v>
      </c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6">
        <v>206.0</v>
      </c>
      <c r="B207" s="46">
        <v>335.0</v>
      </c>
      <c r="C207" s="46" t="s">
        <v>665</v>
      </c>
      <c r="D207" s="46" t="s">
        <v>666</v>
      </c>
      <c r="E207" s="46" t="s">
        <v>667</v>
      </c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4">
        <v>207.0</v>
      </c>
      <c r="B208" s="44">
        <v>336.0</v>
      </c>
      <c r="C208" s="44" t="s">
        <v>668</v>
      </c>
      <c r="D208" s="44" t="s">
        <v>669</v>
      </c>
      <c r="E208" s="44" t="s">
        <v>670</v>
      </c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6">
        <v>208.0</v>
      </c>
      <c r="B209" s="46">
        <v>337.0</v>
      </c>
      <c r="C209" s="46" t="s">
        <v>671</v>
      </c>
      <c r="D209" s="46" t="s">
        <v>672</v>
      </c>
      <c r="E209" s="46" t="s">
        <v>673</v>
      </c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4">
        <v>209.0</v>
      </c>
      <c r="B210" s="44">
        <v>338.0</v>
      </c>
      <c r="C210" s="44" t="s">
        <v>674</v>
      </c>
      <c r="D210" s="44" t="s">
        <v>675</v>
      </c>
      <c r="E210" s="44" t="s">
        <v>676</v>
      </c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6">
        <v>210.0</v>
      </c>
      <c r="B211" s="46">
        <v>353.0</v>
      </c>
      <c r="C211" s="46" t="s">
        <v>677</v>
      </c>
      <c r="D211" s="46" t="s">
        <v>678</v>
      </c>
      <c r="E211" s="46" t="s">
        <v>679</v>
      </c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4">
        <v>211.0</v>
      </c>
      <c r="B212" s="44">
        <v>354.0</v>
      </c>
      <c r="C212" s="44" t="s">
        <v>680</v>
      </c>
      <c r="D212" s="44" t="s">
        <v>681</v>
      </c>
      <c r="E212" s="44" t="s">
        <v>682</v>
      </c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8"/>
      <c r="B213" s="48"/>
      <c r="C213" s="48"/>
      <c r="D213" s="48"/>
      <c r="E213" s="48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9"/>
      <c r="B214" s="49"/>
      <c r="C214" s="49"/>
      <c r="D214" s="49"/>
      <c r="E214" s="49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8"/>
      <c r="B215" s="48"/>
      <c r="C215" s="48"/>
      <c r="D215" s="48"/>
      <c r="E215" s="48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9"/>
      <c r="B216" s="49"/>
      <c r="C216" s="49"/>
      <c r="D216" s="49"/>
      <c r="E216" s="49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8"/>
      <c r="B217" s="48"/>
      <c r="C217" s="48"/>
      <c r="D217" s="48"/>
      <c r="E217" s="48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9"/>
      <c r="B218" s="49"/>
      <c r="C218" s="49"/>
      <c r="D218" s="49"/>
      <c r="E218" s="49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8"/>
      <c r="B219" s="48"/>
      <c r="C219" s="48"/>
      <c r="D219" s="48"/>
      <c r="E219" s="48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9"/>
      <c r="B220" s="49"/>
      <c r="C220" s="49"/>
      <c r="D220" s="49"/>
      <c r="E220" s="49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8"/>
      <c r="B221" s="48"/>
      <c r="C221" s="48"/>
      <c r="D221" s="48"/>
      <c r="E221" s="48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9"/>
      <c r="B222" s="49"/>
      <c r="C222" s="49"/>
      <c r="D222" s="49"/>
      <c r="E222" s="49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8"/>
      <c r="B223" s="48"/>
      <c r="C223" s="48"/>
      <c r="D223" s="48"/>
      <c r="E223" s="48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9"/>
      <c r="B224" s="49"/>
      <c r="C224" s="49"/>
      <c r="D224" s="49"/>
      <c r="E224" s="49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8"/>
      <c r="B225" s="48"/>
      <c r="C225" s="48"/>
      <c r="D225" s="48"/>
      <c r="E225" s="48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9"/>
      <c r="B226" s="49"/>
      <c r="C226" s="49"/>
      <c r="D226" s="49"/>
      <c r="E226" s="49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8"/>
      <c r="B227" s="48"/>
      <c r="C227" s="48"/>
      <c r="D227" s="48"/>
      <c r="E227" s="48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9"/>
      <c r="B228" s="49"/>
      <c r="C228" s="49"/>
      <c r="D228" s="49"/>
      <c r="E228" s="49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8"/>
      <c r="B229" s="48"/>
      <c r="C229" s="48"/>
      <c r="D229" s="48"/>
      <c r="E229" s="48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9"/>
      <c r="B230" s="49"/>
      <c r="C230" s="49"/>
      <c r="D230" s="49"/>
      <c r="E230" s="49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8"/>
      <c r="B231" s="48"/>
      <c r="C231" s="48"/>
      <c r="D231" s="48"/>
      <c r="E231" s="48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9"/>
      <c r="B232" s="49"/>
      <c r="C232" s="49"/>
      <c r="D232" s="49"/>
      <c r="E232" s="49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8"/>
      <c r="B233" s="48"/>
      <c r="C233" s="48"/>
      <c r="D233" s="48"/>
      <c r="E233" s="48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9"/>
      <c r="B234" s="49"/>
      <c r="C234" s="49"/>
      <c r="D234" s="49"/>
      <c r="E234" s="49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8"/>
      <c r="B235" s="48"/>
      <c r="C235" s="48"/>
      <c r="D235" s="48"/>
      <c r="E235" s="48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9"/>
      <c r="B236" s="49"/>
      <c r="C236" s="49"/>
      <c r="D236" s="49"/>
      <c r="E236" s="49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8"/>
      <c r="B237" s="48"/>
      <c r="C237" s="48"/>
      <c r="D237" s="48"/>
      <c r="E237" s="48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9"/>
      <c r="B238" s="49"/>
      <c r="C238" s="49"/>
      <c r="D238" s="49"/>
      <c r="E238" s="49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8"/>
      <c r="B239" s="48"/>
      <c r="C239" s="48"/>
      <c r="D239" s="48"/>
      <c r="E239" s="48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9"/>
      <c r="B240" s="49"/>
      <c r="C240" s="49"/>
      <c r="D240" s="49"/>
      <c r="E240" s="49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8"/>
      <c r="B241" s="48"/>
      <c r="C241" s="48"/>
      <c r="D241" s="48"/>
      <c r="E241" s="48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9"/>
      <c r="B242" s="49"/>
      <c r="C242" s="49"/>
      <c r="D242" s="49"/>
      <c r="E242" s="49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8"/>
      <c r="B243" s="48"/>
      <c r="C243" s="48"/>
      <c r="D243" s="48"/>
      <c r="E243" s="48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9"/>
      <c r="B244" s="49"/>
      <c r="C244" s="49"/>
      <c r="D244" s="49"/>
      <c r="E244" s="49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8"/>
      <c r="B245" s="48"/>
      <c r="C245" s="48"/>
      <c r="D245" s="48"/>
      <c r="E245" s="48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9"/>
      <c r="B246" s="49"/>
      <c r="C246" s="49"/>
      <c r="D246" s="49"/>
      <c r="E246" s="49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8"/>
      <c r="B247" s="48"/>
      <c r="C247" s="48"/>
      <c r="D247" s="48"/>
      <c r="E247" s="48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9"/>
      <c r="B248" s="49"/>
      <c r="C248" s="49"/>
      <c r="D248" s="49"/>
      <c r="E248" s="49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8"/>
      <c r="B249" s="48"/>
      <c r="C249" s="48"/>
      <c r="D249" s="48"/>
      <c r="E249" s="48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9"/>
      <c r="B250" s="49"/>
      <c r="C250" s="49"/>
      <c r="D250" s="49"/>
      <c r="E250" s="49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8"/>
      <c r="B251" s="48"/>
      <c r="C251" s="48"/>
      <c r="D251" s="48"/>
      <c r="E251" s="48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9"/>
      <c r="B252" s="49"/>
      <c r="C252" s="49"/>
      <c r="D252" s="49"/>
      <c r="E252" s="49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8"/>
      <c r="B253" s="48"/>
      <c r="C253" s="48"/>
      <c r="D253" s="48"/>
      <c r="E253" s="48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9"/>
      <c r="B254" s="49"/>
      <c r="C254" s="49"/>
      <c r="D254" s="49"/>
      <c r="E254" s="49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8"/>
      <c r="B255" s="48"/>
      <c r="C255" s="48"/>
      <c r="D255" s="48"/>
      <c r="E255" s="48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9"/>
      <c r="B256" s="49"/>
      <c r="C256" s="49"/>
      <c r="D256" s="49"/>
      <c r="E256" s="49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8"/>
      <c r="B257" s="48"/>
      <c r="C257" s="48"/>
      <c r="D257" s="48"/>
      <c r="E257" s="48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9"/>
      <c r="B258" s="49"/>
      <c r="C258" s="49"/>
      <c r="D258" s="49"/>
      <c r="E258" s="49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8"/>
      <c r="B259" s="48"/>
      <c r="C259" s="48"/>
      <c r="D259" s="48"/>
      <c r="E259" s="48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9"/>
      <c r="B260" s="49"/>
      <c r="C260" s="49"/>
      <c r="D260" s="49"/>
      <c r="E260" s="49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8"/>
      <c r="B261" s="48"/>
      <c r="C261" s="48"/>
      <c r="D261" s="48"/>
      <c r="E261" s="48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9"/>
      <c r="B262" s="49"/>
      <c r="C262" s="49"/>
      <c r="D262" s="49"/>
      <c r="E262" s="49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8"/>
      <c r="B263" s="48"/>
      <c r="C263" s="48"/>
      <c r="D263" s="48"/>
      <c r="E263" s="48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9"/>
      <c r="B264" s="49"/>
      <c r="C264" s="49"/>
      <c r="D264" s="49"/>
      <c r="E264" s="49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8"/>
      <c r="B265" s="48"/>
      <c r="C265" s="48"/>
      <c r="D265" s="48"/>
      <c r="E265" s="48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9"/>
      <c r="B266" s="49"/>
      <c r="C266" s="49"/>
      <c r="D266" s="49"/>
      <c r="E266" s="49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8"/>
      <c r="B267" s="48"/>
      <c r="C267" s="48"/>
      <c r="D267" s="48"/>
      <c r="E267" s="48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9"/>
      <c r="B268" s="49"/>
      <c r="C268" s="49"/>
      <c r="D268" s="49"/>
      <c r="E268" s="49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8"/>
      <c r="B269" s="48"/>
      <c r="C269" s="48"/>
      <c r="D269" s="48"/>
      <c r="E269" s="48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9"/>
      <c r="B270" s="49"/>
      <c r="C270" s="49"/>
      <c r="D270" s="49"/>
      <c r="E270" s="49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8"/>
      <c r="B271" s="48"/>
      <c r="C271" s="48"/>
      <c r="D271" s="48"/>
      <c r="E271" s="48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9"/>
      <c r="B272" s="49"/>
      <c r="C272" s="49"/>
      <c r="D272" s="49"/>
      <c r="E272" s="49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8"/>
      <c r="B273" s="48"/>
      <c r="C273" s="48"/>
      <c r="D273" s="48"/>
      <c r="E273" s="48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9"/>
      <c r="B274" s="49"/>
      <c r="C274" s="49"/>
      <c r="D274" s="49"/>
      <c r="E274" s="49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8"/>
      <c r="B275" s="48"/>
      <c r="C275" s="48"/>
      <c r="D275" s="48"/>
      <c r="E275" s="48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9"/>
      <c r="B276" s="49"/>
      <c r="C276" s="49"/>
      <c r="D276" s="49"/>
      <c r="E276" s="49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8"/>
      <c r="B277" s="48"/>
      <c r="C277" s="48"/>
      <c r="D277" s="48"/>
      <c r="E277" s="48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9"/>
      <c r="B278" s="49"/>
      <c r="C278" s="49"/>
      <c r="D278" s="49"/>
      <c r="E278" s="49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8"/>
      <c r="B279" s="48"/>
      <c r="C279" s="48"/>
      <c r="D279" s="48"/>
      <c r="E279" s="48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9"/>
      <c r="B280" s="49"/>
      <c r="C280" s="49"/>
      <c r="D280" s="49"/>
      <c r="E280" s="49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8"/>
      <c r="B281" s="48"/>
      <c r="C281" s="48"/>
      <c r="D281" s="48"/>
      <c r="E281" s="48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9"/>
      <c r="B282" s="49"/>
      <c r="C282" s="49"/>
      <c r="D282" s="49"/>
      <c r="E282" s="49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8"/>
      <c r="B283" s="48"/>
      <c r="C283" s="48"/>
      <c r="D283" s="48"/>
      <c r="E283" s="48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9"/>
      <c r="B284" s="49"/>
      <c r="C284" s="49"/>
      <c r="D284" s="49"/>
      <c r="E284" s="49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8"/>
      <c r="B285" s="48"/>
      <c r="C285" s="48"/>
      <c r="D285" s="48"/>
      <c r="E285" s="48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9"/>
      <c r="B286" s="49"/>
      <c r="C286" s="49"/>
      <c r="D286" s="49"/>
      <c r="E286" s="49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8"/>
      <c r="B287" s="48"/>
      <c r="C287" s="48"/>
      <c r="D287" s="48"/>
      <c r="E287" s="48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9"/>
      <c r="B288" s="49"/>
      <c r="C288" s="49"/>
      <c r="D288" s="49"/>
      <c r="E288" s="49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8"/>
      <c r="B289" s="48"/>
      <c r="C289" s="48"/>
      <c r="D289" s="48"/>
      <c r="E289" s="48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9"/>
      <c r="B290" s="49"/>
      <c r="C290" s="49"/>
      <c r="D290" s="49"/>
      <c r="E290" s="49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8"/>
      <c r="B291" s="48"/>
      <c r="C291" s="48"/>
      <c r="D291" s="48"/>
      <c r="E291" s="48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9"/>
      <c r="B292" s="49"/>
      <c r="C292" s="49"/>
      <c r="D292" s="49"/>
      <c r="E292" s="49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8"/>
      <c r="B293" s="48"/>
      <c r="C293" s="48"/>
      <c r="D293" s="48"/>
      <c r="E293" s="48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9"/>
      <c r="B294" s="49"/>
      <c r="C294" s="49"/>
      <c r="D294" s="49"/>
      <c r="E294" s="49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8"/>
      <c r="B295" s="48"/>
      <c r="C295" s="48"/>
      <c r="D295" s="48"/>
      <c r="E295" s="48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9"/>
      <c r="B296" s="49"/>
      <c r="C296" s="49"/>
      <c r="D296" s="49"/>
      <c r="E296" s="49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8"/>
      <c r="B297" s="48"/>
      <c r="C297" s="48"/>
      <c r="D297" s="48"/>
      <c r="E297" s="48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9"/>
      <c r="B298" s="49"/>
      <c r="C298" s="49"/>
      <c r="D298" s="49"/>
      <c r="E298" s="49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8"/>
      <c r="B299" s="48"/>
      <c r="C299" s="48"/>
      <c r="D299" s="48"/>
      <c r="E299" s="48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9"/>
      <c r="B300" s="49"/>
      <c r="C300" s="49"/>
      <c r="D300" s="49"/>
      <c r="E300" s="49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8"/>
      <c r="B301" s="48"/>
      <c r="C301" s="48"/>
      <c r="D301" s="48"/>
      <c r="E301" s="48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9"/>
      <c r="B302" s="49"/>
      <c r="C302" s="49"/>
      <c r="D302" s="49"/>
      <c r="E302" s="49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8"/>
      <c r="B303" s="48"/>
      <c r="C303" s="48"/>
      <c r="D303" s="48"/>
      <c r="E303" s="48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9"/>
      <c r="B304" s="49"/>
      <c r="C304" s="49"/>
      <c r="D304" s="49"/>
      <c r="E304" s="49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8"/>
      <c r="B305" s="48"/>
      <c r="C305" s="48"/>
      <c r="D305" s="48"/>
      <c r="E305" s="48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9"/>
      <c r="B306" s="49"/>
      <c r="C306" s="49"/>
      <c r="D306" s="49"/>
      <c r="E306" s="49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8"/>
      <c r="B307" s="48"/>
      <c r="C307" s="48"/>
      <c r="D307" s="48"/>
      <c r="E307" s="48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9"/>
      <c r="B308" s="49"/>
      <c r="C308" s="49"/>
      <c r="D308" s="49"/>
      <c r="E308" s="49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8"/>
      <c r="B309" s="48"/>
      <c r="C309" s="48"/>
      <c r="D309" s="48"/>
      <c r="E309" s="48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9"/>
      <c r="B310" s="49"/>
      <c r="C310" s="49"/>
      <c r="D310" s="49"/>
      <c r="E310" s="49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8"/>
      <c r="B311" s="48"/>
      <c r="C311" s="48"/>
      <c r="D311" s="48"/>
      <c r="E311" s="48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9"/>
      <c r="B312" s="49"/>
      <c r="C312" s="49"/>
      <c r="D312" s="49"/>
      <c r="E312" s="49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8"/>
      <c r="B313" s="48"/>
      <c r="C313" s="48"/>
      <c r="D313" s="48"/>
      <c r="E313" s="48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9"/>
      <c r="B314" s="49"/>
      <c r="C314" s="49"/>
      <c r="D314" s="49"/>
      <c r="E314" s="49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8"/>
      <c r="B315" s="48"/>
      <c r="C315" s="48"/>
      <c r="D315" s="48"/>
      <c r="E315" s="48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9"/>
      <c r="B316" s="49"/>
      <c r="C316" s="49"/>
      <c r="D316" s="49"/>
      <c r="E316" s="49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8"/>
      <c r="B317" s="48"/>
      <c r="C317" s="48"/>
      <c r="D317" s="48"/>
      <c r="E317" s="48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9"/>
      <c r="B318" s="49"/>
      <c r="C318" s="49"/>
      <c r="D318" s="49"/>
      <c r="E318" s="49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8"/>
      <c r="B319" s="48"/>
      <c r="C319" s="48"/>
      <c r="D319" s="48"/>
      <c r="E319" s="48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9"/>
      <c r="B320" s="49"/>
      <c r="C320" s="49"/>
      <c r="D320" s="49"/>
      <c r="E320" s="49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8"/>
      <c r="B321" s="48"/>
      <c r="C321" s="48"/>
      <c r="D321" s="48"/>
      <c r="E321" s="48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9"/>
      <c r="B322" s="49"/>
      <c r="C322" s="49"/>
      <c r="D322" s="49"/>
      <c r="E322" s="49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8"/>
      <c r="B323" s="48"/>
      <c r="C323" s="48"/>
      <c r="D323" s="48"/>
      <c r="E323" s="48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9"/>
      <c r="B324" s="49"/>
      <c r="C324" s="49"/>
      <c r="D324" s="49"/>
      <c r="E324" s="49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8"/>
      <c r="B325" s="48"/>
      <c r="C325" s="48"/>
      <c r="D325" s="48"/>
      <c r="E325" s="48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9"/>
      <c r="B326" s="49"/>
      <c r="C326" s="49"/>
      <c r="D326" s="49"/>
      <c r="E326" s="49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8"/>
      <c r="B327" s="48"/>
      <c r="C327" s="48"/>
      <c r="D327" s="48"/>
      <c r="E327" s="48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9"/>
      <c r="B328" s="49"/>
      <c r="C328" s="49"/>
      <c r="D328" s="49"/>
      <c r="E328" s="49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8"/>
      <c r="B329" s="48"/>
      <c r="C329" s="48"/>
      <c r="D329" s="48"/>
      <c r="E329" s="48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9"/>
      <c r="B330" s="49"/>
      <c r="C330" s="49"/>
      <c r="D330" s="49"/>
      <c r="E330" s="49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8"/>
      <c r="B331" s="48"/>
      <c r="C331" s="48"/>
      <c r="D331" s="48"/>
      <c r="E331" s="48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9"/>
      <c r="B332" s="49"/>
      <c r="C332" s="49"/>
      <c r="D332" s="49"/>
      <c r="E332" s="49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8"/>
      <c r="B333" s="48"/>
      <c r="C333" s="48"/>
      <c r="D333" s="48"/>
      <c r="E333" s="48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9"/>
      <c r="B334" s="49"/>
      <c r="C334" s="49"/>
      <c r="D334" s="49"/>
      <c r="E334" s="49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8"/>
      <c r="B335" s="48"/>
      <c r="C335" s="48"/>
      <c r="D335" s="48"/>
      <c r="E335" s="48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9"/>
      <c r="B336" s="49"/>
      <c r="C336" s="49"/>
      <c r="D336" s="49"/>
      <c r="E336" s="49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8"/>
      <c r="B337" s="48"/>
      <c r="C337" s="48"/>
      <c r="D337" s="48"/>
      <c r="E337" s="48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9"/>
      <c r="B338" s="49"/>
      <c r="C338" s="49"/>
      <c r="D338" s="49"/>
      <c r="E338" s="49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8"/>
      <c r="B339" s="48"/>
      <c r="C339" s="48"/>
      <c r="D339" s="48"/>
      <c r="E339" s="48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9"/>
      <c r="B340" s="49"/>
      <c r="C340" s="49"/>
      <c r="D340" s="49"/>
      <c r="E340" s="49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8"/>
      <c r="B341" s="48"/>
      <c r="C341" s="48"/>
      <c r="D341" s="48"/>
      <c r="E341" s="48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9"/>
      <c r="B342" s="49"/>
      <c r="C342" s="49"/>
      <c r="D342" s="49"/>
      <c r="E342" s="49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8"/>
      <c r="B343" s="48"/>
      <c r="C343" s="48"/>
      <c r="D343" s="48"/>
      <c r="E343" s="48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9"/>
      <c r="B344" s="49"/>
      <c r="C344" s="49"/>
      <c r="D344" s="49"/>
      <c r="E344" s="49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8"/>
      <c r="B345" s="48"/>
      <c r="C345" s="48"/>
      <c r="D345" s="48"/>
      <c r="E345" s="48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9"/>
      <c r="B346" s="49"/>
      <c r="C346" s="49"/>
      <c r="D346" s="49"/>
      <c r="E346" s="49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8"/>
      <c r="B347" s="48"/>
      <c r="C347" s="48"/>
      <c r="D347" s="48"/>
      <c r="E347" s="48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9"/>
      <c r="B348" s="49"/>
      <c r="C348" s="49"/>
      <c r="D348" s="49"/>
      <c r="E348" s="49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8"/>
      <c r="B349" s="48"/>
      <c r="C349" s="48"/>
      <c r="D349" s="48"/>
      <c r="E349" s="48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9"/>
      <c r="B350" s="49"/>
      <c r="C350" s="49"/>
      <c r="D350" s="49"/>
      <c r="E350" s="49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8"/>
      <c r="B351" s="48"/>
      <c r="C351" s="48"/>
      <c r="D351" s="48"/>
      <c r="E351" s="48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9"/>
      <c r="B352" s="49"/>
      <c r="C352" s="49"/>
      <c r="D352" s="49"/>
      <c r="E352" s="49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8"/>
      <c r="B353" s="48"/>
      <c r="C353" s="48"/>
      <c r="D353" s="48"/>
      <c r="E353" s="48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9"/>
      <c r="B354" s="49"/>
      <c r="C354" s="49"/>
      <c r="D354" s="49"/>
      <c r="E354" s="49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8"/>
      <c r="B355" s="48"/>
      <c r="C355" s="48"/>
      <c r="D355" s="48"/>
      <c r="E355" s="48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9"/>
      <c r="B356" s="49"/>
      <c r="C356" s="49"/>
      <c r="D356" s="49"/>
      <c r="E356" s="49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8"/>
      <c r="B357" s="48"/>
      <c r="C357" s="48"/>
      <c r="D357" s="48"/>
      <c r="E357" s="48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9"/>
      <c r="B358" s="49"/>
      <c r="C358" s="49"/>
      <c r="D358" s="49"/>
      <c r="E358" s="49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8"/>
      <c r="B359" s="48"/>
      <c r="C359" s="48"/>
      <c r="D359" s="48"/>
      <c r="E359" s="48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9"/>
      <c r="B360" s="49"/>
      <c r="C360" s="49"/>
      <c r="D360" s="49"/>
      <c r="E360" s="49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8"/>
      <c r="B361" s="48"/>
      <c r="C361" s="48"/>
      <c r="D361" s="48"/>
      <c r="E361" s="48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9"/>
      <c r="B362" s="49"/>
      <c r="C362" s="49"/>
      <c r="D362" s="49"/>
      <c r="E362" s="49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8"/>
      <c r="B363" s="48"/>
      <c r="C363" s="48"/>
      <c r="D363" s="48"/>
      <c r="E363" s="48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9"/>
      <c r="B364" s="49"/>
      <c r="C364" s="49"/>
      <c r="D364" s="49"/>
      <c r="E364" s="49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8"/>
      <c r="B365" s="48"/>
      <c r="C365" s="48"/>
      <c r="D365" s="48"/>
      <c r="E365" s="48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9"/>
      <c r="B366" s="49"/>
      <c r="C366" s="49"/>
      <c r="D366" s="49"/>
      <c r="E366" s="49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8"/>
      <c r="B367" s="48"/>
      <c r="C367" s="48"/>
      <c r="D367" s="48"/>
      <c r="E367" s="48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9"/>
      <c r="B368" s="49"/>
      <c r="C368" s="49"/>
      <c r="D368" s="49"/>
      <c r="E368" s="49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8"/>
      <c r="B369" s="48"/>
      <c r="C369" s="48"/>
      <c r="D369" s="48"/>
      <c r="E369" s="48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9"/>
      <c r="B370" s="49"/>
      <c r="C370" s="49"/>
      <c r="D370" s="49"/>
      <c r="E370" s="49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8"/>
      <c r="B371" s="48"/>
      <c r="C371" s="48"/>
      <c r="D371" s="48"/>
      <c r="E371" s="48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9"/>
      <c r="B372" s="49"/>
      <c r="C372" s="49"/>
      <c r="D372" s="49"/>
      <c r="E372" s="49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8"/>
      <c r="B373" s="48"/>
      <c r="C373" s="48"/>
      <c r="D373" s="48"/>
      <c r="E373" s="48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9"/>
      <c r="B374" s="49"/>
      <c r="C374" s="49"/>
      <c r="D374" s="49"/>
      <c r="E374" s="49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8"/>
      <c r="B375" s="48"/>
      <c r="C375" s="48"/>
      <c r="D375" s="48"/>
      <c r="E375" s="48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9"/>
      <c r="B376" s="49"/>
      <c r="C376" s="49"/>
      <c r="D376" s="49"/>
      <c r="E376" s="49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8"/>
      <c r="B377" s="48"/>
      <c r="C377" s="48"/>
      <c r="D377" s="48"/>
      <c r="E377" s="48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9"/>
      <c r="B378" s="49"/>
      <c r="C378" s="49"/>
      <c r="D378" s="49"/>
      <c r="E378" s="49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8"/>
      <c r="B379" s="48"/>
      <c r="C379" s="48"/>
      <c r="D379" s="48"/>
      <c r="E379" s="48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9"/>
      <c r="B380" s="49"/>
      <c r="C380" s="49"/>
      <c r="D380" s="49"/>
      <c r="E380" s="49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8"/>
      <c r="B381" s="48"/>
      <c r="C381" s="48"/>
      <c r="D381" s="48"/>
      <c r="E381" s="48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9"/>
      <c r="B382" s="49"/>
      <c r="C382" s="49"/>
      <c r="D382" s="49"/>
      <c r="E382" s="49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8"/>
      <c r="B383" s="48"/>
      <c r="C383" s="48"/>
      <c r="D383" s="48"/>
      <c r="E383" s="48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9"/>
      <c r="B384" s="49"/>
      <c r="C384" s="49"/>
      <c r="D384" s="49"/>
      <c r="E384" s="49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8"/>
      <c r="B385" s="48"/>
      <c r="C385" s="48"/>
      <c r="D385" s="48"/>
      <c r="E385" s="48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9"/>
      <c r="B386" s="49"/>
      <c r="C386" s="49"/>
      <c r="D386" s="49"/>
      <c r="E386" s="49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8"/>
      <c r="B387" s="48"/>
      <c r="C387" s="48"/>
      <c r="D387" s="48"/>
      <c r="E387" s="48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9"/>
      <c r="B388" s="49"/>
      <c r="C388" s="49"/>
      <c r="D388" s="49"/>
      <c r="E388" s="49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8"/>
      <c r="B389" s="48"/>
      <c r="C389" s="48"/>
      <c r="D389" s="48"/>
      <c r="E389" s="48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9"/>
      <c r="B390" s="49"/>
      <c r="C390" s="49"/>
      <c r="D390" s="49"/>
      <c r="E390" s="49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8"/>
      <c r="B391" s="48"/>
      <c r="C391" s="48"/>
      <c r="D391" s="48"/>
      <c r="E391" s="48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9"/>
      <c r="B392" s="49"/>
      <c r="C392" s="49"/>
      <c r="D392" s="49"/>
      <c r="E392" s="49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8"/>
      <c r="B393" s="48"/>
      <c r="C393" s="48"/>
      <c r="D393" s="48"/>
      <c r="E393" s="48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9"/>
      <c r="B394" s="49"/>
      <c r="C394" s="49"/>
      <c r="D394" s="49"/>
      <c r="E394" s="49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8"/>
      <c r="B395" s="48"/>
      <c r="C395" s="48"/>
      <c r="D395" s="48"/>
      <c r="E395" s="48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9"/>
      <c r="B396" s="49"/>
      <c r="C396" s="49"/>
      <c r="D396" s="49"/>
      <c r="E396" s="49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8"/>
      <c r="B397" s="48"/>
      <c r="C397" s="48"/>
      <c r="D397" s="48"/>
      <c r="E397" s="48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9"/>
      <c r="B398" s="49"/>
      <c r="C398" s="49"/>
      <c r="D398" s="49"/>
      <c r="E398" s="49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8"/>
      <c r="B399" s="48"/>
      <c r="C399" s="48"/>
      <c r="D399" s="48"/>
      <c r="E399" s="48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9"/>
      <c r="B400" s="49"/>
      <c r="C400" s="49"/>
      <c r="D400" s="49"/>
      <c r="E400" s="49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8"/>
      <c r="B401" s="48"/>
      <c r="C401" s="48"/>
      <c r="D401" s="48"/>
      <c r="E401" s="48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9"/>
      <c r="B402" s="49"/>
      <c r="C402" s="49"/>
      <c r="D402" s="49"/>
      <c r="E402" s="49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8"/>
      <c r="B403" s="48"/>
      <c r="C403" s="48"/>
      <c r="D403" s="48"/>
      <c r="E403" s="48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9"/>
      <c r="B404" s="49"/>
      <c r="C404" s="49"/>
      <c r="D404" s="49"/>
      <c r="E404" s="49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8"/>
      <c r="B405" s="48"/>
      <c r="C405" s="48"/>
      <c r="D405" s="48"/>
      <c r="E405" s="48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9"/>
      <c r="B406" s="49"/>
      <c r="C406" s="49"/>
      <c r="D406" s="49"/>
      <c r="E406" s="49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8"/>
      <c r="B407" s="48"/>
      <c r="C407" s="48"/>
      <c r="D407" s="48"/>
      <c r="E407" s="48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9"/>
      <c r="B408" s="49"/>
      <c r="C408" s="49"/>
      <c r="D408" s="49"/>
      <c r="E408" s="49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8"/>
      <c r="B409" s="48"/>
      <c r="C409" s="48"/>
      <c r="D409" s="48"/>
      <c r="E409" s="48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9"/>
      <c r="B410" s="49"/>
      <c r="C410" s="49"/>
      <c r="D410" s="49"/>
      <c r="E410" s="49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8"/>
      <c r="B411" s="48"/>
      <c r="C411" s="48"/>
      <c r="D411" s="48"/>
      <c r="E411" s="48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9"/>
      <c r="B412" s="49"/>
      <c r="C412" s="49"/>
      <c r="D412" s="49"/>
      <c r="E412" s="49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8"/>
      <c r="B413" s="48"/>
      <c r="C413" s="48"/>
      <c r="D413" s="48"/>
      <c r="E413" s="48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9"/>
      <c r="B414" s="49"/>
      <c r="C414" s="49"/>
      <c r="D414" s="49"/>
      <c r="E414" s="49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8"/>
      <c r="B415" s="48"/>
      <c r="C415" s="48"/>
      <c r="D415" s="48"/>
      <c r="E415" s="48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9"/>
      <c r="B416" s="49"/>
      <c r="C416" s="49"/>
      <c r="D416" s="49"/>
      <c r="E416" s="49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8"/>
      <c r="B417" s="48"/>
      <c r="C417" s="48"/>
      <c r="D417" s="48"/>
      <c r="E417" s="48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9"/>
      <c r="B418" s="49"/>
      <c r="C418" s="49"/>
      <c r="D418" s="49"/>
      <c r="E418" s="49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8"/>
      <c r="B419" s="48"/>
      <c r="C419" s="48"/>
      <c r="D419" s="48"/>
      <c r="E419" s="48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9"/>
      <c r="B420" s="49"/>
      <c r="C420" s="49"/>
      <c r="D420" s="49"/>
      <c r="E420" s="49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8"/>
      <c r="B421" s="48"/>
      <c r="C421" s="48"/>
      <c r="D421" s="48"/>
      <c r="E421" s="48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9"/>
      <c r="B422" s="49"/>
      <c r="C422" s="49"/>
      <c r="D422" s="49"/>
      <c r="E422" s="49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8"/>
      <c r="B423" s="48"/>
      <c r="C423" s="48"/>
      <c r="D423" s="48"/>
      <c r="E423" s="48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9"/>
      <c r="B424" s="49"/>
      <c r="C424" s="49"/>
      <c r="D424" s="49"/>
      <c r="E424" s="49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8"/>
      <c r="B425" s="48"/>
      <c r="C425" s="48"/>
      <c r="D425" s="48"/>
      <c r="E425" s="48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9"/>
      <c r="B426" s="49"/>
      <c r="C426" s="49"/>
      <c r="D426" s="49"/>
      <c r="E426" s="49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8"/>
      <c r="B427" s="48"/>
      <c r="C427" s="48"/>
      <c r="D427" s="48"/>
      <c r="E427" s="48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9"/>
      <c r="B428" s="49"/>
      <c r="C428" s="49"/>
      <c r="D428" s="49"/>
      <c r="E428" s="49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8"/>
      <c r="B429" s="48"/>
      <c r="C429" s="48"/>
      <c r="D429" s="48"/>
      <c r="E429" s="48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9"/>
      <c r="B430" s="49"/>
      <c r="C430" s="49"/>
      <c r="D430" s="49"/>
      <c r="E430" s="49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8"/>
      <c r="B431" s="48"/>
      <c r="C431" s="48"/>
      <c r="D431" s="48"/>
      <c r="E431" s="48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9"/>
      <c r="B432" s="49"/>
      <c r="C432" s="49"/>
      <c r="D432" s="49"/>
      <c r="E432" s="49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8"/>
      <c r="B433" s="48"/>
      <c r="C433" s="48"/>
      <c r="D433" s="48"/>
      <c r="E433" s="48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9"/>
      <c r="B434" s="49"/>
      <c r="C434" s="49"/>
      <c r="D434" s="49"/>
      <c r="E434" s="49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8"/>
      <c r="B435" s="48"/>
      <c r="C435" s="48"/>
      <c r="D435" s="48"/>
      <c r="E435" s="48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9"/>
      <c r="B436" s="49"/>
      <c r="C436" s="49"/>
      <c r="D436" s="49"/>
      <c r="E436" s="49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8"/>
      <c r="B437" s="48"/>
      <c r="C437" s="48"/>
      <c r="D437" s="48"/>
      <c r="E437" s="48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9"/>
      <c r="B438" s="49"/>
      <c r="C438" s="49"/>
      <c r="D438" s="49"/>
      <c r="E438" s="49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8"/>
      <c r="B439" s="48"/>
      <c r="C439" s="48"/>
      <c r="D439" s="48"/>
      <c r="E439" s="48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9"/>
      <c r="B440" s="49"/>
      <c r="C440" s="49"/>
      <c r="D440" s="49"/>
      <c r="E440" s="49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8"/>
      <c r="B441" s="48"/>
      <c r="C441" s="48"/>
      <c r="D441" s="48"/>
      <c r="E441" s="48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9"/>
      <c r="B442" s="49"/>
      <c r="C442" s="49"/>
      <c r="D442" s="49"/>
      <c r="E442" s="49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8"/>
      <c r="B443" s="48"/>
      <c r="C443" s="48"/>
      <c r="D443" s="48"/>
      <c r="E443" s="48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9"/>
      <c r="B444" s="49"/>
      <c r="C444" s="49"/>
      <c r="D444" s="49"/>
      <c r="E444" s="49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8"/>
      <c r="B445" s="48"/>
      <c r="C445" s="48"/>
      <c r="D445" s="48"/>
      <c r="E445" s="48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9"/>
      <c r="B446" s="49"/>
      <c r="C446" s="49"/>
      <c r="D446" s="49"/>
      <c r="E446" s="49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8"/>
      <c r="B447" s="48"/>
      <c r="C447" s="48"/>
      <c r="D447" s="48"/>
      <c r="E447" s="48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9"/>
      <c r="B448" s="49"/>
      <c r="C448" s="49"/>
      <c r="D448" s="49"/>
      <c r="E448" s="49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8"/>
      <c r="B449" s="48"/>
      <c r="C449" s="48"/>
      <c r="D449" s="48"/>
      <c r="E449" s="48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9"/>
      <c r="B450" s="49"/>
      <c r="C450" s="49"/>
      <c r="D450" s="49"/>
      <c r="E450" s="49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8"/>
      <c r="B451" s="48"/>
      <c r="C451" s="48"/>
      <c r="D451" s="48"/>
      <c r="E451" s="48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9"/>
      <c r="B452" s="49"/>
      <c r="C452" s="49"/>
      <c r="D452" s="49"/>
      <c r="E452" s="49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8"/>
      <c r="B453" s="48"/>
      <c r="C453" s="48"/>
      <c r="D453" s="48"/>
      <c r="E453" s="48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9"/>
      <c r="B454" s="49"/>
      <c r="C454" s="49"/>
      <c r="D454" s="49"/>
      <c r="E454" s="49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8"/>
      <c r="B455" s="48"/>
      <c r="C455" s="48"/>
      <c r="D455" s="48"/>
      <c r="E455" s="48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9"/>
      <c r="B456" s="49"/>
      <c r="C456" s="49"/>
      <c r="D456" s="49"/>
      <c r="E456" s="49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8"/>
      <c r="B457" s="48"/>
      <c r="C457" s="48"/>
      <c r="D457" s="48"/>
      <c r="E457" s="48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9"/>
      <c r="B458" s="49"/>
      <c r="C458" s="49"/>
      <c r="D458" s="49"/>
      <c r="E458" s="49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8"/>
      <c r="B459" s="48"/>
      <c r="C459" s="48"/>
      <c r="D459" s="48"/>
      <c r="E459" s="48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9"/>
      <c r="B460" s="49"/>
      <c r="C460" s="49"/>
      <c r="D460" s="49"/>
      <c r="E460" s="49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8"/>
      <c r="B461" s="48"/>
      <c r="C461" s="48"/>
      <c r="D461" s="48"/>
      <c r="E461" s="48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9"/>
      <c r="B462" s="49"/>
      <c r="C462" s="49"/>
      <c r="D462" s="49"/>
      <c r="E462" s="49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8"/>
      <c r="B463" s="48"/>
      <c r="C463" s="48"/>
      <c r="D463" s="48"/>
      <c r="E463" s="48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9"/>
      <c r="B464" s="49"/>
      <c r="C464" s="49"/>
      <c r="D464" s="49"/>
      <c r="E464" s="49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8"/>
      <c r="B465" s="48"/>
      <c r="C465" s="48"/>
      <c r="D465" s="48"/>
      <c r="E465" s="48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9"/>
      <c r="B466" s="49"/>
      <c r="C466" s="49"/>
      <c r="D466" s="49"/>
      <c r="E466" s="49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8"/>
      <c r="B467" s="48"/>
      <c r="C467" s="48"/>
      <c r="D467" s="48"/>
      <c r="E467" s="48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9"/>
      <c r="B468" s="49"/>
      <c r="C468" s="49"/>
      <c r="D468" s="49"/>
      <c r="E468" s="49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8"/>
      <c r="B469" s="48"/>
      <c r="C469" s="48"/>
      <c r="D469" s="48"/>
      <c r="E469" s="48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9"/>
      <c r="B470" s="49"/>
      <c r="C470" s="49"/>
      <c r="D470" s="49"/>
      <c r="E470" s="49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8"/>
      <c r="B471" s="48"/>
      <c r="C471" s="48"/>
      <c r="D471" s="48"/>
      <c r="E471" s="48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9"/>
      <c r="B472" s="49"/>
      <c r="C472" s="49"/>
      <c r="D472" s="49"/>
      <c r="E472" s="49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8"/>
      <c r="B473" s="48"/>
      <c r="C473" s="48"/>
      <c r="D473" s="48"/>
      <c r="E473" s="48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9"/>
      <c r="B474" s="49"/>
      <c r="C474" s="49"/>
      <c r="D474" s="49"/>
      <c r="E474" s="49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8"/>
      <c r="B475" s="48"/>
      <c r="C475" s="48"/>
      <c r="D475" s="48"/>
      <c r="E475" s="48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9"/>
      <c r="B476" s="49"/>
      <c r="C476" s="49"/>
      <c r="D476" s="49"/>
      <c r="E476" s="49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8"/>
      <c r="B477" s="48"/>
      <c r="C477" s="48"/>
      <c r="D477" s="48"/>
      <c r="E477" s="48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9"/>
      <c r="B478" s="49"/>
      <c r="C478" s="49"/>
      <c r="D478" s="49"/>
      <c r="E478" s="49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8"/>
      <c r="B479" s="48"/>
      <c r="C479" s="48"/>
      <c r="D479" s="48"/>
      <c r="E479" s="48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9"/>
      <c r="B480" s="49"/>
      <c r="C480" s="49"/>
      <c r="D480" s="49"/>
      <c r="E480" s="49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8"/>
      <c r="B481" s="48"/>
      <c r="C481" s="48"/>
      <c r="D481" s="48"/>
      <c r="E481" s="48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9"/>
      <c r="B482" s="49"/>
      <c r="C482" s="49"/>
      <c r="D482" s="49"/>
      <c r="E482" s="49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8"/>
      <c r="B483" s="48"/>
      <c r="C483" s="48"/>
      <c r="D483" s="48"/>
      <c r="E483" s="48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9"/>
      <c r="B484" s="49"/>
      <c r="C484" s="49"/>
      <c r="D484" s="49"/>
      <c r="E484" s="49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8"/>
      <c r="B485" s="48"/>
      <c r="C485" s="48"/>
      <c r="D485" s="48"/>
      <c r="E485" s="48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9"/>
      <c r="B486" s="49"/>
      <c r="C486" s="49"/>
      <c r="D486" s="49"/>
      <c r="E486" s="49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8"/>
      <c r="B487" s="48"/>
      <c r="C487" s="48"/>
      <c r="D487" s="48"/>
      <c r="E487" s="48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9"/>
      <c r="B488" s="49"/>
      <c r="C488" s="49"/>
      <c r="D488" s="49"/>
      <c r="E488" s="49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8"/>
      <c r="B489" s="48"/>
      <c r="C489" s="48"/>
      <c r="D489" s="48"/>
      <c r="E489" s="48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9"/>
      <c r="B490" s="49"/>
      <c r="C490" s="49"/>
      <c r="D490" s="49"/>
      <c r="E490" s="49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8"/>
      <c r="B491" s="48"/>
      <c r="C491" s="48"/>
      <c r="D491" s="48"/>
      <c r="E491" s="48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9"/>
      <c r="B492" s="49"/>
      <c r="C492" s="49"/>
      <c r="D492" s="49"/>
      <c r="E492" s="49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8"/>
      <c r="B493" s="48"/>
      <c r="C493" s="48"/>
      <c r="D493" s="48"/>
      <c r="E493" s="48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9"/>
      <c r="B494" s="49"/>
      <c r="C494" s="49"/>
      <c r="D494" s="49"/>
      <c r="E494" s="49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8"/>
      <c r="B495" s="48"/>
      <c r="C495" s="48"/>
      <c r="D495" s="48"/>
      <c r="E495" s="48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9"/>
      <c r="B496" s="49"/>
      <c r="C496" s="49"/>
      <c r="D496" s="49"/>
      <c r="E496" s="49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8"/>
      <c r="B497" s="48"/>
      <c r="C497" s="48"/>
      <c r="D497" s="48"/>
      <c r="E497" s="48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9"/>
      <c r="B498" s="49"/>
      <c r="C498" s="49"/>
      <c r="D498" s="49"/>
      <c r="E498" s="49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8"/>
      <c r="B499" s="48"/>
      <c r="C499" s="48"/>
      <c r="D499" s="48"/>
      <c r="E499" s="48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9"/>
      <c r="B500" s="49"/>
      <c r="C500" s="49"/>
      <c r="D500" s="49"/>
      <c r="E500" s="49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8"/>
      <c r="B501" s="48"/>
      <c r="C501" s="48"/>
      <c r="D501" s="48"/>
      <c r="E501" s="48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9"/>
      <c r="B502" s="49"/>
      <c r="C502" s="49"/>
      <c r="D502" s="49"/>
      <c r="E502" s="49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8"/>
      <c r="B503" s="48"/>
      <c r="C503" s="48"/>
      <c r="D503" s="48"/>
      <c r="E503" s="48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9"/>
      <c r="B504" s="49"/>
      <c r="C504" s="49"/>
      <c r="D504" s="49"/>
      <c r="E504" s="49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8"/>
      <c r="B505" s="48"/>
      <c r="C505" s="48"/>
      <c r="D505" s="48"/>
      <c r="E505" s="48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9"/>
      <c r="B506" s="49"/>
      <c r="C506" s="49"/>
      <c r="D506" s="49"/>
      <c r="E506" s="49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8"/>
      <c r="B507" s="48"/>
      <c r="C507" s="48"/>
      <c r="D507" s="48"/>
      <c r="E507" s="48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9"/>
      <c r="B508" s="49"/>
      <c r="C508" s="49"/>
      <c r="D508" s="49"/>
      <c r="E508" s="49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8"/>
      <c r="B509" s="48"/>
      <c r="C509" s="48"/>
      <c r="D509" s="48"/>
      <c r="E509" s="48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9"/>
      <c r="B510" s="49"/>
      <c r="C510" s="49"/>
      <c r="D510" s="49"/>
      <c r="E510" s="49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8"/>
      <c r="B511" s="48"/>
      <c r="C511" s="48"/>
      <c r="D511" s="48"/>
      <c r="E511" s="48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9"/>
      <c r="B512" s="49"/>
      <c r="C512" s="49"/>
      <c r="D512" s="49"/>
      <c r="E512" s="49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8"/>
      <c r="B513" s="48"/>
      <c r="C513" s="48"/>
      <c r="D513" s="48"/>
      <c r="E513" s="48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9"/>
      <c r="B514" s="49"/>
      <c r="C514" s="49"/>
      <c r="D514" s="49"/>
      <c r="E514" s="49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8"/>
      <c r="B515" s="48"/>
      <c r="C515" s="48"/>
      <c r="D515" s="48"/>
      <c r="E515" s="48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9"/>
      <c r="B516" s="49"/>
      <c r="C516" s="49"/>
      <c r="D516" s="49"/>
      <c r="E516" s="49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8"/>
      <c r="B517" s="48"/>
      <c r="C517" s="48"/>
      <c r="D517" s="48"/>
      <c r="E517" s="48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9"/>
      <c r="B518" s="49"/>
      <c r="C518" s="49"/>
      <c r="D518" s="49"/>
      <c r="E518" s="49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8"/>
      <c r="B519" s="48"/>
      <c r="C519" s="48"/>
      <c r="D519" s="48"/>
      <c r="E519" s="48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9"/>
      <c r="B520" s="49"/>
      <c r="C520" s="49"/>
      <c r="D520" s="49"/>
      <c r="E520" s="49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8"/>
      <c r="B521" s="48"/>
      <c r="C521" s="48"/>
      <c r="D521" s="48"/>
      <c r="E521" s="48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9"/>
      <c r="B522" s="49"/>
      <c r="C522" s="49"/>
      <c r="D522" s="49"/>
      <c r="E522" s="49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8"/>
      <c r="B523" s="48"/>
      <c r="C523" s="48"/>
      <c r="D523" s="48"/>
      <c r="E523" s="48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9"/>
      <c r="B524" s="49"/>
      <c r="C524" s="49"/>
      <c r="D524" s="49"/>
      <c r="E524" s="49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8"/>
      <c r="B525" s="48"/>
      <c r="C525" s="48"/>
      <c r="D525" s="48"/>
      <c r="E525" s="48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9"/>
      <c r="B526" s="49"/>
      <c r="C526" s="49"/>
      <c r="D526" s="49"/>
      <c r="E526" s="49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8"/>
      <c r="B527" s="48"/>
      <c r="C527" s="48"/>
      <c r="D527" s="48"/>
      <c r="E527" s="48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9"/>
      <c r="B528" s="49"/>
      <c r="C528" s="49"/>
      <c r="D528" s="49"/>
      <c r="E528" s="49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8"/>
      <c r="B529" s="48"/>
      <c r="C529" s="48"/>
      <c r="D529" s="48"/>
      <c r="E529" s="48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9"/>
      <c r="B530" s="49"/>
      <c r="C530" s="49"/>
      <c r="D530" s="49"/>
      <c r="E530" s="49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8"/>
      <c r="B531" s="48"/>
      <c r="C531" s="48"/>
      <c r="D531" s="48"/>
      <c r="E531" s="48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9"/>
      <c r="B532" s="49"/>
      <c r="C532" s="49"/>
      <c r="D532" s="49"/>
      <c r="E532" s="49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8"/>
      <c r="B533" s="48"/>
      <c r="C533" s="48"/>
      <c r="D533" s="48"/>
      <c r="E533" s="48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9"/>
      <c r="B534" s="49"/>
      <c r="C534" s="49"/>
      <c r="D534" s="49"/>
      <c r="E534" s="49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8"/>
      <c r="B535" s="48"/>
      <c r="C535" s="48"/>
      <c r="D535" s="48"/>
      <c r="E535" s="48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9"/>
      <c r="B536" s="49"/>
      <c r="C536" s="49"/>
      <c r="D536" s="49"/>
      <c r="E536" s="49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8"/>
      <c r="B537" s="48"/>
      <c r="C537" s="48"/>
      <c r="D537" s="48"/>
      <c r="E537" s="48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9"/>
      <c r="B538" s="49"/>
      <c r="C538" s="49"/>
      <c r="D538" s="49"/>
      <c r="E538" s="49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8"/>
      <c r="B539" s="48"/>
      <c r="C539" s="48"/>
      <c r="D539" s="48"/>
      <c r="E539" s="48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9"/>
      <c r="B540" s="49"/>
      <c r="C540" s="49"/>
      <c r="D540" s="49"/>
      <c r="E540" s="49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8"/>
      <c r="B541" s="48"/>
      <c r="C541" s="48"/>
      <c r="D541" s="48"/>
      <c r="E541" s="48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9"/>
      <c r="B542" s="49"/>
      <c r="C542" s="49"/>
      <c r="D542" s="49"/>
      <c r="E542" s="49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8"/>
      <c r="B543" s="48"/>
      <c r="C543" s="48"/>
      <c r="D543" s="48"/>
      <c r="E543" s="48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9"/>
      <c r="B544" s="49"/>
      <c r="C544" s="49"/>
      <c r="D544" s="49"/>
      <c r="E544" s="49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8"/>
      <c r="B545" s="48"/>
      <c r="C545" s="48"/>
      <c r="D545" s="48"/>
      <c r="E545" s="48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9"/>
      <c r="B546" s="49"/>
      <c r="C546" s="49"/>
      <c r="D546" s="49"/>
      <c r="E546" s="49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8"/>
      <c r="B547" s="48"/>
      <c r="C547" s="48"/>
      <c r="D547" s="48"/>
      <c r="E547" s="48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9"/>
      <c r="B548" s="49"/>
      <c r="C548" s="49"/>
      <c r="D548" s="49"/>
      <c r="E548" s="49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8"/>
      <c r="B549" s="48"/>
      <c r="C549" s="48"/>
      <c r="D549" s="48"/>
      <c r="E549" s="48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9"/>
      <c r="B550" s="49"/>
      <c r="C550" s="49"/>
      <c r="D550" s="49"/>
      <c r="E550" s="49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8"/>
      <c r="B551" s="48"/>
      <c r="C551" s="48"/>
      <c r="D551" s="48"/>
      <c r="E551" s="48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9"/>
      <c r="B552" s="49"/>
      <c r="C552" s="49"/>
      <c r="D552" s="49"/>
      <c r="E552" s="49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8"/>
      <c r="B553" s="48"/>
      <c r="C553" s="48"/>
      <c r="D553" s="48"/>
      <c r="E553" s="48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9"/>
      <c r="B554" s="49"/>
      <c r="C554" s="49"/>
      <c r="D554" s="49"/>
      <c r="E554" s="49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8"/>
      <c r="B555" s="48"/>
      <c r="C555" s="48"/>
      <c r="D555" s="48"/>
      <c r="E555" s="48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9"/>
      <c r="B556" s="49"/>
      <c r="C556" s="49"/>
      <c r="D556" s="49"/>
      <c r="E556" s="49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8"/>
      <c r="B557" s="48"/>
      <c r="C557" s="48"/>
      <c r="D557" s="48"/>
      <c r="E557" s="48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9"/>
      <c r="B558" s="49"/>
      <c r="C558" s="49"/>
      <c r="D558" s="49"/>
      <c r="E558" s="49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8"/>
      <c r="B559" s="48"/>
      <c r="C559" s="48"/>
      <c r="D559" s="48"/>
      <c r="E559" s="48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9"/>
      <c r="B560" s="49"/>
      <c r="C560" s="49"/>
      <c r="D560" s="49"/>
      <c r="E560" s="49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8"/>
      <c r="B561" s="48"/>
      <c r="C561" s="48"/>
      <c r="D561" s="48"/>
      <c r="E561" s="48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9"/>
      <c r="B562" s="49"/>
      <c r="C562" s="49"/>
      <c r="D562" s="49"/>
      <c r="E562" s="49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8"/>
      <c r="B563" s="48"/>
      <c r="C563" s="48"/>
      <c r="D563" s="48"/>
      <c r="E563" s="48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9"/>
      <c r="B564" s="49"/>
      <c r="C564" s="49"/>
      <c r="D564" s="49"/>
      <c r="E564" s="49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8"/>
      <c r="B565" s="48"/>
      <c r="C565" s="48"/>
      <c r="D565" s="48"/>
      <c r="E565" s="48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9"/>
      <c r="B566" s="49"/>
      <c r="C566" s="49"/>
      <c r="D566" s="49"/>
      <c r="E566" s="49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8"/>
      <c r="B567" s="48"/>
      <c r="C567" s="48"/>
      <c r="D567" s="48"/>
      <c r="E567" s="48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9"/>
      <c r="B568" s="49"/>
      <c r="C568" s="49"/>
      <c r="D568" s="49"/>
      <c r="E568" s="49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8"/>
      <c r="B569" s="48"/>
      <c r="C569" s="48"/>
      <c r="D569" s="48"/>
      <c r="E569" s="48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9"/>
      <c r="B570" s="49"/>
      <c r="C570" s="49"/>
      <c r="D570" s="49"/>
      <c r="E570" s="49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8"/>
      <c r="B571" s="48"/>
      <c r="C571" s="48"/>
      <c r="D571" s="48"/>
      <c r="E571" s="48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9"/>
      <c r="B572" s="49"/>
      <c r="C572" s="49"/>
      <c r="D572" s="49"/>
      <c r="E572" s="49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8"/>
      <c r="B573" s="48"/>
      <c r="C573" s="48"/>
      <c r="D573" s="48"/>
      <c r="E573" s="48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9"/>
      <c r="B574" s="49"/>
      <c r="C574" s="49"/>
      <c r="D574" s="49"/>
      <c r="E574" s="49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8"/>
      <c r="B575" s="48"/>
      <c r="C575" s="48"/>
      <c r="D575" s="48"/>
      <c r="E575" s="48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9"/>
      <c r="B576" s="49"/>
      <c r="C576" s="49"/>
      <c r="D576" s="49"/>
      <c r="E576" s="49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8"/>
      <c r="B577" s="48"/>
      <c r="C577" s="48"/>
      <c r="D577" s="48"/>
      <c r="E577" s="48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9"/>
      <c r="B578" s="49"/>
      <c r="C578" s="49"/>
      <c r="D578" s="49"/>
      <c r="E578" s="49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8"/>
      <c r="B579" s="48"/>
      <c r="C579" s="48"/>
      <c r="D579" s="48"/>
      <c r="E579" s="48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9"/>
      <c r="B580" s="49"/>
      <c r="C580" s="49"/>
      <c r="D580" s="49"/>
      <c r="E580" s="49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8"/>
      <c r="B581" s="48"/>
      <c r="C581" s="48"/>
      <c r="D581" s="48"/>
      <c r="E581" s="48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9"/>
      <c r="B582" s="49"/>
      <c r="C582" s="49"/>
      <c r="D582" s="49"/>
      <c r="E582" s="49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8"/>
      <c r="B583" s="48"/>
      <c r="C583" s="48"/>
      <c r="D583" s="48"/>
      <c r="E583" s="48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9"/>
      <c r="B584" s="49"/>
      <c r="C584" s="49"/>
      <c r="D584" s="49"/>
      <c r="E584" s="49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8"/>
      <c r="B585" s="48"/>
      <c r="C585" s="48"/>
      <c r="D585" s="48"/>
      <c r="E585" s="48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9"/>
      <c r="B586" s="49"/>
      <c r="C586" s="49"/>
      <c r="D586" s="49"/>
      <c r="E586" s="49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8"/>
      <c r="B587" s="48"/>
      <c r="C587" s="48"/>
      <c r="D587" s="48"/>
      <c r="E587" s="48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9"/>
      <c r="B588" s="49"/>
      <c r="C588" s="49"/>
      <c r="D588" s="49"/>
      <c r="E588" s="49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8"/>
      <c r="B589" s="48"/>
      <c r="C589" s="48"/>
      <c r="D589" s="48"/>
      <c r="E589" s="48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9"/>
      <c r="B590" s="49"/>
      <c r="C590" s="49"/>
      <c r="D590" s="49"/>
      <c r="E590" s="49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8"/>
      <c r="B591" s="48"/>
      <c r="C591" s="48"/>
      <c r="D591" s="48"/>
      <c r="E591" s="48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9"/>
      <c r="B592" s="49"/>
      <c r="C592" s="49"/>
      <c r="D592" s="49"/>
      <c r="E592" s="49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8"/>
      <c r="B593" s="48"/>
      <c r="C593" s="48"/>
      <c r="D593" s="48"/>
      <c r="E593" s="48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9"/>
      <c r="B594" s="49"/>
      <c r="C594" s="49"/>
      <c r="D594" s="49"/>
      <c r="E594" s="49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8"/>
      <c r="B595" s="48"/>
      <c r="C595" s="48"/>
      <c r="D595" s="48"/>
      <c r="E595" s="48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9"/>
      <c r="B596" s="49"/>
      <c r="C596" s="49"/>
      <c r="D596" s="49"/>
      <c r="E596" s="49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8"/>
      <c r="B597" s="48"/>
      <c r="C597" s="48"/>
      <c r="D597" s="48"/>
      <c r="E597" s="48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9"/>
      <c r="B598" s="49"/>
      <c r="C598" s="49"/>
      <c r="D598" s="49"/>
      <c r="E598" s="49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8"/>
      <c r="B599" s="48"/>
      <c r="C599" s="48"/>
      <c r="D599" s="48"/>
      <c r="E599" s="48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9"/>
      <c r="B600" s="49"/>
      <c r="C600" s="49"/>
      <c r="D600" s="49"/>
      <c r="E600" s="49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8"/>
      <c r="B601" s="48"/>
      <c r="C601" s="48"/>
      <c r="D601" s="48"/>
      <c r="E601" s="48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9"/>
      <c r="B602" s="49"/>
      <c r="C602" s="49"/>
      <c r="D602" s="49"/>
      <c r="E602" s="49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8"/>
      <c r="B603" s="48"/>
      <c r="C603" s="48"/>
      <c r="D603" s="48"/>
      <c r="E603" s="48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9"/>
      <c r="B604" s="49"/>
      <c r="C604" s="49"/>
      <c r="D604" s="49"/>
      <c r="E604" s="49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8"/>
      <c r="B605" s="48"/>
      <c r="C605" s="48"/>
      <c r="D605" s="48"/>
      <c r="E605" s="48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9"/>
      <c r="B606" s="49"/>
      <c r="C606" s="49"/>
      <c r="D606" s="49"/>
      <c r="E606" s="49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8"/>
      <c r="B607" s="48"/>
      <c r="C607" s="48"/>
      <c r="D607" s="48"/>
      <c r="E607" s="48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9"/>
      <c r="B608" s="49"/>
      <c r="C608" s="49"/>
      <c r="D608" s="49"/>
      <c r="E608" s="49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8"/>
      <c r="B609" s="48"/>
      <c r="C609" s="48"/>
      <c r="D609" s="48"/>
      <c r="E609" s="48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9"/>
      <c r="B610" s="49"/>
      <c r="C610" s="49"/>
      <c r="D610" s="49"/>
      <c r="E610" s="49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8"/>
      <c r="B611" s="48"/>
      <c r="C611" s="48"/>
      <c r="D611" s="48"/>
      <c r="E611" s="48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9"/>
      <c r="B612" s="49"/>
      <c r="C612" s="49"/>
      <c r="D612" s="49"/>
      <c r="E612" s="49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8"/>
      <c r="B613" s="48"/>
      <c r="C613" s="48"/>
      <c r="D613" s="48"/>
      <c r="E613" s="48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9"/>
      <c r="B614" s="49"/>
      <c r="C614" s="49"/>
      <c r="D614" s="49"/>
      <c r="E614" s="49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8"/>
      <c r="B615" s="48"/>
      <c r="C615" s="48"/>
      <c r="D615" s="48"/>
      <c r="E615" s="48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9"/>
      <c r="B616" s="49"/>
      <c r="C616" s="49"/>
      <c r="D616" s="49"/>
      <c r="E616" s="49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8"/>
      <c r="B617" s="48"/>
      <c r="C617" s="48"/>
      <c r="D617" s="48"/>
      <c r="E617" s="48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9"/>
      <c r="B618" s="49"/>
      <c r="C618" s="49"/>
      <c r="D618" s="49"/>
      <c r="E618" s="49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8"/>
      <c r="B619" s="48"/>
      <c r="C619" s="48"/>
      <c r="D619" s="48"/>
      <c r="E619" s="48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9"/>
      <c r="B620" s="49"/>
      <c r="C620" s="49"/>
      <c r="D620" s="49"/>
      <c r="E620" s="49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8"/>
      <c r="B621" s="48"/>
      <c r="C621" s="48"/>
      <c r="D621" s="48"/>
      <c r="E621" s="48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9"/>
      <c r="B622" s="49"/>
      <c r="C622" s="49"/>
      <c r="D622" s="49"/>
      <c r="E622" s="49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8"/>
      <c r="B623" s="48"/>
      <c r="C623" s="48"/>
      <c r="D623" s="48"/>
      <c r="E623" s="48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9"/>
      <c r="B624" s="49"/>
      <c r="C624" s="49"/>
      <c r="D624" s="49"/>
      <c r="E624" s="49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8"/>
      <c r="B625" s="48"/>
      <c r="C625" s="48"/>
      <c r="D625" s="48"/>
      <c r="E625" s="48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9"/>
      <c r="B626" s="49"/>
      <c r="C626" s="49"/>
      <c r="D626" s="49"/>
      <c r="E626" s="49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8"/>
      <c r="B627" s="48"/>
      <c r="C627" s="48"/>
      <c r="D627" s="48"/>
      <c r="E627" s="48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9"/>
      <c r="B628" s="49"/>
      <c r="C628" s="49"/>
      <c r="D628" s="49"/>
      <c r="E628" s="49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8"/>
      <c r="B629" s="48"/>
      <c r="C629" s="48"/>
      <c r="D629" s="48"/>
      <c r="E629" s="48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9"/>
      <c r="B630" s="49"/>
      <c r="C630" s="49"/>
      <c r="D630" s="49"/>
      <c r="E630" s="49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8"/>
      <c r="B631" s="48"/>
      <c r="C631" s="48"/>
      <c r="D631" s="48"/>
      <c r="E631" s="48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9"/>
      <c r="B632" s="49"/>
      <c r="C632" s="49"/>
      <c r="D632" s="49"/>
      <c r="E632" s="49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8"/>
      <c r="B633" s="48"/>
      <c r="C633" s="48"/>
      <c r="D633" s="48"/>
      <c r="E633" s="48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9"/>
      <c r="B634" s="49"/>
      <c r="C634" s="49"/>
      <c r="D634" s="49"/>
      <c r="E634" s="49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8"/>
      <c r="B635" s="48"/>
      <c r="C635" s="48"/>
      <c r="D635" s="48"/>
      <c r="E635" s="48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9"/>
      <c r="B636" s="49"/>
      <c r="C636" s="49"/>
      <c r="D636" s="49"/>
      <c r="E636" s="49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8"/>
      <c r="B637" s="48"/>
      <c r="C637" s="48"/>
      <c r="D637" s="48"/>
      <c r="E637" s="48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9"/>
      <c r="B638" s="49"/>
      <c r="C638" s="49"/>
      <c r="D638" s="49"/>
      <c r="E638" s="49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8"/>
      <c r="B639" s="48"/>
      <c r="C639" s="48"/>
      <c r="D639" s="48"/>
      <c r="E639" s="48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9"/>
      <c r="B640" s="49"/>
      <c r="C640" s="49"/>
      <c r="D640" s="49"/>
      <c r="E640" s="49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8"/>
      <c r="B641" s="48"/>
      <c r="C641" s="48"/>
      <c r="D641" s="48"/>
      <c r="E641" s="48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9"/>
      <c r="B642" s="49"/>
      <c r="C642" s="49"/>
      <c r="D642" s="49"/>
      <c r="E642" s="49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8"/>
      <c r="B643" s="48"/>
      <c r="C643" s="48"/>
      <c r="D643" s="48"/>
      <c r="E643" s="48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9"/>
      <c r="B644" s="49"/>
      <c r="C644" s="49"/>
      <c r="D644" s="49"/>
      <c r="E644" s="49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8"/>
      <c r="B645" s="48"/>
      <c r="C645" s="48"/>
      <c r="D645" s="48"/>
      <c r="E645" s="48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9"/>
      <c r="B646" s="49"/>
      <c r="C646" s="49"/>
      <c r="D646" s="49"/>
      <c r="E646" s="49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8"/>
      <c r="B647" s="48"/>
      <c r="C647" s="48"/>
      <c r="D647" s="48"/>
      <c r="E647" s="48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9"/>
      <c r="B648" s="49"/>
      <c r="C648" s="49"/>
      <c r="D648" s="49"/>
      <c r="E648" s="49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8"/>
      <c r="B649" s="48"/>
      <c r="C649" s="48"/>
      <c r="D649" s="48"/>
      <c r="E649" s="48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9"/>
      <c r="B650" s="49"/>
      <c r="C650" s="49"/>
      <c r="D650" s="49"/>
      <c r="E650" s="49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8"/>
      <c r="B651" s="48"/>
      <c r="C651" s="48"/>
      <c r="D651" s="48"/>
      <c r="E651" s="48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9"/>
      <c r="B652" s="49"/>
      <c r="C652" s="49"/>
      <c r="D652" s="49"/>
      <c r="E652" s="49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8"/>
      <c r="B653" s="48"/>
      <c r="C653" s="48"/>
      <c r="D653" s="48"/>
      <c r="E653" s="48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9"/>
      <c r="B654" s="49"/>
      <c r="C654" s="49"/>
      <c r="D654" s="49"/>
      <c r="E654" s="49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8"/>
      <c r="B655" s="48"/>
      <c r="C655" s="48"/>
      <c r="D655" s="48"/>
      <c r="E655" s="48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9"/>
      <c r="B656" s="49"/>
      <c r="C656" s="49"/>
      <c r="D656" s="49"/>
      <c r="E656" s="49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8"/>
      <c r="B657" s="48"/>
      <c r="C657" s="48"/>
      <c r="D657" s="48"/>
      <c r="E657" s="48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9"/>
      <c r="B658" s="49"/>
      <c r="C658" s="49"/>
      <c r="D658" s="49"/>
      <c r="E658" s="49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8"/>
      <c r="B659" s="48"/>
      <c r="C659" s="48"/>
      <c r="D659" s="48"/>
      <c r="E659" s="48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9"/>
      <c r="B660" s="49"/>
      <c r="C660" s="49"/>
      <c r="D660" s="49"/>
      <c r="E660" s="49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8"/>
      <c r="B661" s="48"/>
      <c r="C661" s="48"/>
      <c r="D661" s="48"/>
      <c r="E661" s="48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9"/>
      <c r="B662" s="49"/>
      <c r="C662" s="49"/>
      <c r="D662" s="49"/>
      <c r="E662" s="49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8"/>
      <c r="B663" s="48"/>
      <c r="C663" s="48"/>
      <c r="D663" s="48"/>
      <c r="E663" s="48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9"/>
      <c r="B664" s="49"/>
      <c r="C664" s="49"/>
      <c r="D664" s="49"/>
      <c r="E664" s="49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8"/>
      <c r="B665" s="48"/>
      <c r="C665" s="48"/>
      <c r="D665" s="48"/>
      <c r="E665" s="48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9"/>
      <c r="B666" s="49"/>
      <c r="C666" s="49"/>
      <c r="D666" s="49"/>
      <c r="E666" s="49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8"/>
      <c r="B667" s="48"/>
      <c r="C667" s="48"/>
      <c r="D667" s="48"/>
      <c r="E667" s="48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9"/>
      <c r="B668" s="49"/>
      <c r="C668" s="49"/>
      <c r="D668" s="49"/>
      <c r="E668" s="49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8"/>
      <c r="B669" s="48"/>
      <c r="C669" s="48"/>
      <c r="D669" s="48"/>
      <c r="E669" s="48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9"/>
      <c r="B670" s="49"/>
      <c r="C670" s="49"/>
      <c r="D670" s="49"/>
      <c r="E670" s="49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8"/>
      <c r="B671" s="48"/>
      <c r="C671" s="48"/>
      <c r="D671" s="48"/>
      <c r="E671" s="48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9"/>
      <c r="B672" s="49"/>
      <c r="C672" s="49"/>
      <c r="D672" s="49"/>
      <c r="E672" s="49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8"/>
      <c r="B673" s="48"/>
      <c r="C673" s="48"/>
      <c r="D673" s="48"/>
      <c r="E673" s="48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9"/>
      <c r="B674" s="49"/>
      <c r="C674" s="49"/>
      <c r="D674" s="49"/>
      <c r="E674" s="49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8"/>
      <c r="B675" s="48"/>
      <c r="C675" s="48"/>
      <c r="D675" s="48"/>
      <c r="E675" s="48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9"/>
      <c r="B676" s="49"/>
      <c r="C676" s="49"/>
      <c r="D676" s="49"/>
      <c r="E676" s="49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8"/>
      <c r="B677" s="48"/>
      <c r="C677" s="48"/>
      <c r="D677" s="48"/>
      <c r="E677" s="48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9"/>
      <c r="B678" s="49"/>
      <c r="C678" s="49"/>
      <c r="D678" s="49"/>
      <c r="E678" s="49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8"/>
      <c r="B679" s="48"/>
      <c r="C679" s="48"/>
      <c r="D679" s="48"/>
      <c r="E679" s="48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9"/>
      <c r="B680" s="49"/>
      <c r="C680" s="49"/>
      <c r="D680" s="49"/>
      <c r="E680" s="49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8"/>
      <c r="B681" s="48"/>
      <c r="C681" s="48"/>
      <c r="D681" s="48"/>
      <c r="E681" s="48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9"/>
      <c r="B682" s="49"/>
      <c r="C682" s="49"/>
      <c r="D682" s="49"/>
      <c r="E682" s="49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8"/>
      <c r="B683" s="48"/>
      <c r="C683" s="48"/>
      <c r="D683" s="48"/>
      <c r="E683" s="48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9"/>
      <c r="B684" s="49"/>
      <c r="C684" s="49"/>
      <c r="D684" s="49"/>
      <c r="E684" s="49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8"/>
      <c r="B685" s="48"/>
      <c r="C685" s="48"/>
      <c r="D685" s="48"/>
      <c r="E685" s="48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9"/>
      <c r="B686" s="49"/>
      <c r="C686" s="49"/>
      <c r="D686" s="49"/>
      <c r="E686" s="49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8"/>
      <c r="B687" s="48"/>
      <c r="C687" s="48"/>
      <c r="D687" s="48"/>
      <c r="E687" s="48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9"/>
      <c r="B688" s="49"/>
      <c r="C688" s="49"/>
      <c r="D688" s="49"/>
      <c r="E688" s="49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8"/>
      <c r="B689" s="48"/>
      <c r="C689" s="48"/>
      <c r="D689" s="48"/>
      <c r="E689" s="48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9"/>
      <c r="B690" s="49"/>
      <c r="C690" s="49"/>
      <c r="D690" s="49"/>
      <c r="E690" s="49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8"/>
      <c r="B691" s="48"/>
      <c r="C691" s="48"/>
      <c r="D691" s="48"/>
      <c r="E691" s="48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9"/>
      <c r="B692" s="49"/>
      <c r="C692" s="49"/>
      <c r="D692" s="49"/>
      <c r="E692" s="49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8"/>
      <c r="B693" s="48"/>
      <c r="C693" s="48"/>
      <c r="D693" s="48"/>
      <c r="E693" s="48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9"/>
      <c r="B694" s="49"/>
      <c r="C694" s="49"/>
      <c r="D694" s="49"/>
      <c r="E694" s="49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8"/>
      <c r="B695" s="48"/>
      <c r="C695" s="48"/>
      <c r="D695" s="48"/>
      <c r="E695" s="48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9"/>
      <c r="B696" s="49"/>
      <c r="C696" s="49"/>
      <c r="D696" s="49"/>
      <c r="E696" s="49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8"/>
      <c r="B697" s="48"/>
      <c r="C697" s="48"/>
      <c r="D697" s="48"/>
      <c r="E697" s="48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9"/>
      <c r="B698" s="49"/>
      <c r="C698" s="49"/>
      <c r="D698" s="49"/>
      <c r="E698" s="49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8"/>
      <c r="B699" s="48"/>
      <c r="C699" s="48"/>
      <c r="D699" s="48"/>
      <c r="E699" s="48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9"/>
      <c r="B700" s="49"/>
      <c r="C700" s="49"/>
      <c r="D700" s="49"/>
      <c r="E700" s="49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8"/>
      <c r="B701" s="48"/>
      <c r="C701" s="48"/>
      <c r="D701" s="48"/>
      <c r="E701" s="48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9"/>
      <c r="B702" s="49"/>
      <c r="C702" s="49"/>
      <c r="D702" s="49"/>
      <c r="E702" s="49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8"/>
      <c r="B703" s="48"/>
      <c r="C703" s="48"/>
      <c r="D703" s="48"/>
      <c r="E703" s="48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9"/>
      <c r="B704" s="49"/>
      <c r="C704" s="49"/>
      <c r="D704" s="49"/>
      <c r="E704" s="49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8"/>
      <c r="B705" s="48"/>
      <c r="C705" s="48"/>
      <c r="D705" s="48"/>
      <c r="E705" s="48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9"/>
      <c r="B706" s="49"/>
      <c r="C706" s="49"/>
      <c r="D706" s="49"/>
      <c r="E706" s="49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8"/>
      <c r="B707" s="48"/>
      <c r="C707" s="48"/>
      <c r="D707" s="48"/>
      <c r="E707" s="48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9"/>
      <c r="B708" s="49"/>
      <c r="C708" s="49"/>
      <c r="D708" s="49"/>
      <c r="E708" s="49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8"/>
      <c r="B709" s="48"/>
      <c r="C709" s="48"/>
      <c r="D709" s="48"/>
      <c r="E709" s="48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9"/>
      <c r="B710" s="49"/>
      <c r="C710" s="49"/>
      <c r="D710" s="49"/>
      <c r="E710" s="49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8"/>
      <c r="B711" s="48"/>
      <c r="C711" s="48"/>
      <c r="D711" s="48"/>
      <c r="E711" s="48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9"/>
      <c r="B712" s="49"/>
      <c r="C712" s="49"/>
      <c r="D712" s="49"/>
      <c r="E712" s="49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8"/>
      <c r="B713" s="48"/>
      <c r="C713" s="48"/>
      <c r="D713" s="48"/>
      <c r="E713" s="48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9"/>
      <c r="B714" s="49"/>
      <c r="C714" s="49"/>
      <c r="D714" s="49"/>
      <c r="E714" s="49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8"/>
      <c r="B715" s="48"/>
      <c r="C715" s="48"/>
      <c r="D715" s="48"/>
      <c r="E715" s="48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9"/>
      <c r="B716" s="49"/>
      <c r="C716" s="49"/>
      <c r="D716" s="49"/>
      <c r="E716" s="49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8"/>
      <c r="B717" s="48"/>
      <c r="C717" s="48"/>
      <c r="D717" s="48"/>
      <c r="E717" s="48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9"/>
      <c r="B718" s="49"/>
      <c r="C718" s="49"/>
      <c r="D718" s="49"/>
      <c r="E718" s="49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8"/>
      <c r="B719" s="48"/>
      <c r="C719" s="48"/>
      <c r="D719" s="48"/>
      <c r="E719" s="48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9"/>
      <c r="B720" s="49"/>
      <c r="C720" s="49"/>
      <c r="D720" s="49"/>
      <c r="E720" s="49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8"/>
      <c r="B721" s="48"/>
      <c r="C721" s="48"/>
      <c r="D721" s="48"/>
      <c r="E721" s="48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9"/>
      <c r="B722" s="49"/>
      <c r="C722" s="49"/>
      <c r="D722" s="49"/>
      <c r="E722" s="49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8"/>
      <c r="B723" s="48"/>
      <c r="C723" s="48"/>
      <c r="D723" s="48"/>
      <c r="E723" s="48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9"/>
      <c r="B724" s="49"/>
      <c r="C724" s="49"/>
      <c r="D724" s="49"/>
      <c r="E724" s="49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8"/>
      <c r="B725" s="48"/>
      <c r="C725" s="48"/>
      <c r="D725" s="48"/>
      <c r="E725" s="48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9"/>
      <c r="B726" s="49"/>
      <c r="C726" s="49"/>
      <c r="D726" s="49"/>
      <c r="E726" s="49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8"/>
      <c r="B727" s="48"/>
      <c r="C727" s="48"/>
      <c r="D727" s="48"/>
      <c r="E727" s="48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9"/>
      <c r="B728" s="49"/>
      <c r="C728" s="49"/>
      <c r="D728" s="49"/>
      <c r="E728" s="49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8"/>
      <c r="B729" s="48"/>
      <c r="C729" s="48"/>
      <c r="D729" s="48"/>
      <c r="E729" s="48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9"/>
      <c r="B730" s="49"/>
      <c r="C730" s="49"/>
      <c r="D730" s="49"/>
      <c r="E730" s="49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8"/>
      <c r="B731" s="48"/>
      <c r="C731" s="48"/>
      <c r="D731" s="48"/>
      <c r="E731" s="48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9"/>
      <c r="B732" s="49"/>
      <c r="C732" s="49"/>
      <c r="D732" s="49"/>
      <c r="E732" s="49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8"/>
      <c r="B733" s="48"/>
      <c r="C733" s="48"/>
      <c r="D733" s="48"/>
      <c r="E733" s="48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9"/>
      <c r="B734" s="49"/>
      <c r="C734" s="49"/>
      <c r="D734" s="49"/>
      <c r="E734" s="49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8"/>
      <c r="B735" s="48"/>
      <c r="C735" s="48"/>
      <c r="D735" s="48"/>
      <c r="E735" s="48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9"/>
      <c r="B736" s="49"/>
      <c r="C736" s="49"/>
      <c r="D736" s="49"/>
      <c r="E736" s="49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8"/>
      <c r="B737" s="48"/>
      <c r="C737" s="48"/>
      <c r="D737" s="48"/>
      <c r="E737" s="48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9"/>
      <c r="B738" s="49"/>
      <c r="C738" s="49"/>
      <c r="D738" s="49"/>
      <c r="E738" s="49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8"/>
      <c r="B739" s="48"/>
      <c r="C739" s="48"/>
      <c r="D739" s="48"/>
      <c r="E739" s="48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9"/>
      <c r="B740" s="49"/>
      <c r="C740" s="49"/>
      <c r="D740" s="49"/>
      <c r="E740" s="49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8"/>
      <c r="B741" s="48"/>
      <c r="C741" s="48"/>
      <c r="D741" s="48"/>
      <c r="E741" s="48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9"/>
      <c r="B742" s="49"/>
      <c r="C742" s="49"/>
      <c r="D742" s="49"/>
      <c r="E742" s="49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8"/>
      <c r="B743" s="48"/>
      <c r="C743" s="48"/>
      <c r="D743" s="48"/>
      <c r="E743" s="48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9"/>
      <c r="B744" s="49"/>
      <c r="C744" s="49"/>
      <c r="D744" s="49"/>
      <c r="E744" s="49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8"/>
      <c r="B745" s="48"/>
      <c r="C745" s="48"/>
      <c r="D745" s="48"/>
      <c r="E745" s="48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9"/>
      <c r="B746" s="49"/>
      <c r="C746" s="49"/>
      <c r="D746" s="49"/>
      <c r="E746" s="49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8"/>
      <c r="B747" s="48"/>
      <c r="C747" s="48"/>
      <c r="D747" s="48"/>
      <c r="E747" s="48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9"/>
      <c r="B748" s="49"/>
      <c r="C748" s="49"/>
      <c r="D748" s="49"/>
      <c r="E748" s="49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8"/>
      <c r="B749" s="48"/>
      <c r="C749" s="48"/>
      <c r="D749" s="48"/>
      <c r="E749" s="48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9"/>
      <c r="B750" s="49"/>
      <c r="C750" s="49"/>
      <c r="D750" s="49"/>
      <c r="E750" s="49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8"/>
      <c r="B751" s="48"/>
      <c r="C751" s="48"/>
      <c r="D751" s="48"/>
      <c r="E751" s="48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9"/>
      <c r="B752" s="49"/>
      <c r="C752" s="49"/>
      <c r="D752" s="49"/>
      <c r="E752" s="49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8"/>
      <c r="B753" s="48"/>
      <c r="C753" s="48"/>
      <c r="D753" s="48"/>
      <c r="E753" s="48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9"/>
      <c r="B754" s="49"/>
      <c r="C754" s="49"/>
      <c r="D754" s="49"/>
      <c r="E754" s="49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8"/>
      <c r="B755" s="48"/>
      <c r="C755" s="48"/>
      <c r="D755" s="48"/>
      <c r="E755" s="48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9"/>
      <c r="B756" s="49"/>
      <c r="C756" s="49"/>
      <c r="D756" s="49"/>
      <c r="E756" s="49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8"/>
      <c r="B757" s="48"/>
      <c r="C757" s="48"/>
      <c r="D757" s="48"/>
      <c r="E757" s="48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9"/>
      <c r="B758" s="49"/>
      <c r="C758" s="49"/>
      <c r="D758" s="49"/>
      <c r="E758" s="49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8"/>
      <c r="B759" s="48"/>
      <c r="C759" s="48"/>
      <c r="D759" s="48"/>
      <c r="E759" s="48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9"/>
      <c r="B760" s="49"/>
      <c r="C760" s="49"/>
      <c r="D760" s="49"/>
      <c r="E760" s="49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8"/>
      <c r="B761" s="48"/>
      <c r="C761" s="48"/>
      <c r="D761" s="48"/>
      <c r="E761" s="48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9"/>
      <c r="B762" s="49"/>
      <c r="C762" s="49"/>
      <c r="D762" s="49"/>
      <c r="E762" s="49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8"/>
      <c r="B763" s="48"/>
      <c r="C763" s="48"/>
      <c r="D763" s="48"/>
      <c r="E763" s="48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9"/>
      <c r="B764" s="49"/>
      <c r="C764" s="49"/>
      <c r="D764" s="49"/>
      <c r="E764" s="49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8"/>
      <c r="B765" s="48"/>
      <c r="C765" s="48"/>
      <c r="D765" s="48"/>
      <c r="E765" s="48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9"/>
      <c r="B766" s="49"/>
      <c r="C766" s="49"/>
      <c r="D766" s="49"/>
      <c r="E766" s="49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8"/>
      <c r="B767" s="48"/>
      <c r="C767" s="48"/>
      <c r="D767" s="48"/>
      <c r="E767" s="48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9"/>
      <c r="B768" s="49"/>
      <c r="C768" s="49"/>
      <c r="D768" s="49"/>
      <c r="E768" s="49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8"/>
      <c r="B769" s="48"/>
      <c r="C769" s="48"/>
      <c r="D769" s="48"/>
      <c r="E769" s="48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9"/>
      <c r="B770" s="49"/>
      <c r="C770" s="49"/>
      <c r="D770" s="49"/>
      <c r="E770" s="49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8"/>
      <c r="B771" s="48"/>
      <c r="C771" s="48"/>
      <c r="D771" s="48"/>
      <c r="E771" s="48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9"/>
      <c r="B772" s="49"/>
      <c r="C772" s="49"/>
      <c r="D772" s="49"/>
      <c r="E772" s="49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8"/>
      <c r="B773" s="48"/>
      <c r="C773" s="48"/>
      <c r="D773" s="48"/>
      <c r="E773" s="48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9"/>
      <c r="B774" s="49"/>
      <c r="C774" s="49"/>
      <c r="D774" s="49"/>
      <c r="E774" s="49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8"/>
      <c r="B775" s="48"/>
      <c r="C775" s="48"/>
      <c r="D775" s="48"/>
      <c r="E775" s="48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9"/>
      <c r="B776" s="49"/>
      <c r="C776" s="49"/>
      <c r="D776" s="49"/>
      <c r="E776" s="49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8"/>
      <c r="B777" s="48"/>
      <c r="C777" s="48"/>
      <c r="D777" s="48"/>
      <c r="E777" s="48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9"/>
      <c r="B778" s="49"/>
      <c r="C778" s="49"/>
      <c r="D778" s="49"/>
      <c r="E778" s="49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8"/>
      <c r="B779" s="48"/>
      <c r="C779" s="48"/>
      <c r="D779" s="48"/>
      <c r="E779" s="48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9"/>
      <c r="B780" s="49"/>
      <c r="C780" s="49"/>
      <c r="D780" s="49"/>
      <c r="E780" s="49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8"/>
      <c r="B781" s="48"/>
      <c r="C781" s="48"/>
      <c r="D781" s="48"/>
      <c r="E781" s="48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9"/>
      <c r="B782" s="49"/>
      <c r="C782" s="49"/>
      <c r="D782" s="49"/>
      <c r="E782" s="49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8"/>
      <c r="B783" s="48"/>
      <c r="C783" s="48"/>
      <c r="D783" s="48"/>
      <c r="E783" s="48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9"/>
      <c r="B784" s="49"/>
      <c r="C784" s="49"/>
      <c r="D784" s="49"/>
      <c r="E784" s="49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8"/>
      <c r="B785" s="48"/>
      <c r="C785" s="48"/>
      <c r="D785" s="48"/>
      <c r="E785" s="48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9"/>
      <c r="B786" s="49"/>
      <c r="C786" s="49"/>
      <c r="D786" s="49"/>
      <c r="E786" s="49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8"/>
      <c r="B787" s="48"/>
      <c r="C787" s="48"/>
      <c r="D787" s="48"/>
      <c r="E787" s="48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9"/>
      <c r="B788" s="49"/>
      <c r="C788" s="49"/>
      <c r="D788" s="49"/>
      <c r="E788" s="49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8"/>
      <c r="B789" s="48"/>
      <c r="C789" s="48"/>
      <c r="D789" s="48"/>
      <c r="E789" s="48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9"/>
      <c r="B790" s="49"/>
      <c r="C790" s="49"/>
      <c r="D790" s="49"/>
      <c r="E790" s="49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8"/>
      <c r="B791" s="48"/>
      <c r="C791" s="48"/>
      <c r="D791" s="48"/>
      <c r="E791" s="48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9"/>
      <c r="B792" s="49"/>
      <c r="C792" s="49"/>
      <c r="D792" s="49"/>
      <c r="E792" s="49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8"/>
      <c r="B793" s="48"/>
      <c r="C793" s="48"/>
      <c r="D793" s="48"/>
      <c r="E793" s="48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9"/>
      <c r="B794" s="49"/>
      <c r="C794" s="49"/>
      <c r="D794" s="49"/>
      <c r="E794" s="49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8"/>
      <c r="B795" s="48"/>
      <c r="C795" s="48"/>
      <c r="D795" s="48"/>
      <c r="E795" s="48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9"/>
      <c r="B796" s="49"/>
      <c r="C796" s="49"/>
      <c r="D796" s="49"/>
      <c r="E796" s="49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8"/>
      <c r="B797" s="48"/>
      <c r="C797" s="48"/>
      <c r="D797" s="48"/>
      <c r="E797" s="48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9"/>
      <c r="B798" s="49"/>
      <c r="C798" s="49"/>
      <c r="D798" s="49"/>
      <c r="E798" s="49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8"/>
      <c r="B799" s="48"/>
      <c r="C799" s="48"/>
      <c r="D799" s="48"/>
      <c r="E799" s="48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9"/>
      <c r="B800" s="49"/>
      <c r="C800" s="49"/>
      <c r="D800" s="49"/>
      <c r="E800" s="49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8"/>
      <c r="B801" s="48"/>
      <c r="C801" s="48"/>
      <c r="D801" s="48"/>
      <c r="E801" s="48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9"/>
      <c r="B802" s="49"/>
      <c r="C802" s="49"/>
      <c r="D802" s="49"/>
      <c r="E802" s="49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8"/>
      <c r="B803" s="48"/>
      <c r="C803" s="48"/>
      <c r="D803" s="48"/>
      <c r="E803" s="48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9"/>
      <c r="B804" s="49"/>
      <c r="C804" s="49"/>
      <c r="D804" s="49"/>
      <c r="E804" s="49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8"/>
      <c r="B805" s="48"/>
      <c r="C805" s="48"/>
      <c r="D805" s="48"/>
      <c r="E805" s="48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9"/>
      <c r="B806" s="49"/>
      <c r="C806" s="49"/>
      <c r="D806" s="49"/>
      <c r="E806" s="49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8"/>
      <c r="B807" s="48"/>
      <c r="C807" s="48"/>
      <c r="D807" s="48"/>
      <c r="E807" s="48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9"/>
      <c r="B808" s="49"/>
      <c r="C808" s="49"/>
      <c r="D808" s="49"/>
      <c r="E808" s="49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8"/>
      <c r="B809" s="48"/>
      <c r="C809" s="48"/>
      <c r="D809" s="48"/>
      <c r="E809" s="48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9"/>
      <c r="B810" s="49"/>
      <c r="C810" s="49"/>
      <c r="D810" s="49"/>
      <c r="E810" s="49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8"/>
      <c r="B811" s="48"/>
      <c r="C811" s="48"/>
      <c r="D811" s="48"/>
      <c r="E811" s="48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9"/>
      <c r="B812" s="49"/>
      <c r="C812" s="49"/>
      <c r="D812" s="49"/>
      <c r="E812" s="49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8"/>
      <c r="B813" s="48"/>
      <c r="C813" s="48"/>
      <c r="D813" s="48"/>
      <c r="E813" s="48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9"/>
      <c r="B814" s="49"/>
      <c r="C814" s="49"/>
      <c r="D814" s="49"/>
      <c r="E814" s="49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8"/>
      <c r="B815" s="48"/>
      <c r="C815" s="48"/>
      <c r="D815" s="48"/>
      <c r="E815" s="48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9"/>
      <c r="B816" s="49"/>
      <c r="C816" s="49"/>
      <c r="D816" s="49"/>
      <c r="E816" s="49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8"/>
      <c r="B817" s="48"/>
      <c r="C817" s="48"/>
      <c r="D817" s="48"/>
      <c r="E817" s="48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9"/>
      <c r="B818" s="49"/>
      <c r="C818" s="49"/>
      <c r="D818" s="49"/>
      <c r="E818" s="49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8"/>
      <c r="B819" s="48"/>
      <c r="C819" s="48"/>
      <c r="D819" s="48"/>
      <c r="E819" s="48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9"/>
      <c r="B820" s="49"/>
      <c r="C820" s="49"/>
      <c r="D820" s="49"/>
      <c r="E820" s="49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8"/>
      <c r="B821" s="48"/>
      <c r="C821" s="48"/>
      <c r="D821" s="48"/>
      <c r="E821" s="48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9"/>
      <c r="B822" s="49"/>
      <c r="C822" s="49"/>
      <c r="D822" s="49"/>
      <c r="E822" s="49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8"/>
      <c r="B823" s="48"/>
      <c r="C823" s="48"/>
      <c r="D823" s="48"/>
      <c r="E823" s="48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9"/>
      <c r="B824" s="49"/>
      <c r="C824" s="49"/>
      <c r="D824" s="49"/>
      <c r="E824" s="49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8"/>
      <c r="B825" s="48"/>
      <c r="C825" s="48"/>
      <c r="D825" s="48"/>
      <c r="E825" s="48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9"/>
      <c r="B826" s="49"/>
      <c r="C826" s="49"/>
      <c r="D826" s="49"/>
      <c r="E826" s="49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8"/>
      <c r="B827" s="48"/>
      <c r="C827" s="48"/>
      <c r="D827" s="48"/>
      <c r="E827" s="48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9"/>
      <c r="B828" s="49"/>
      <c r="C828" s="49"/>
      <c r="D828" s="49"/>
      <c r="E828" s="49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8"/>
      <c r="B829" s="48"/>
      <c r="C829" s="48"/>
      <c r="D829" s="48"/>
      <c r="E829" s="48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9"/>
      <c r="B830" s="49"/>
      <c r="C830" s="49"/>
      <c r="D830" s="49"/>
      <c r="E830" s="49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8"/>
      <c r="B831" s="48"/>
      <c r="C831" s="48"/>
      <c r="D831" s="48"/>
      <c r="E831" s="48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9"/>
      <c r="B832" s="49"/>
      <c r="C832" s="49"/>
      <c r="D832" s="49"/>
      <c r="E832" s="49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8"/>
      <c r="B833" s="48"/>
      <c r="C833" s="48"/>
      <c r="D833" s="48"/>
      <c r="E833" s="48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9"/>
      <c r="B834" s="49"/>
      <c r="C834" s="49"/>
      <c r="D834" s="49"/>
      <c r="E834" s="49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8"/>
      <c r="B835" s="48"/>
      <c r="C835" s="48"/>
      <c r="D835" s="48"/>
      <c r="E835" s="48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9"/>
      <c r="B836" s="49"/>
      <c r="C836" s="49"/>
      <c r="D836" s="49"/>
      <c r="E836" s="49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8"/>
      <c r="B837" s="48"/>
      <c r="C837" s="48"/>
      <c r="D837" s="48"/>
      <c r="E837" s="48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9"/>
      <c r="B838" s="49"/>
      <c r="C838" s="49"/>
      <c r="D838" s="49"/>
      <c r="E838" s="49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8"/>
      <c r="B839" s="48"/>
      <c r="C839" s="48"/>
      <c r="D839" s="48"/>
      <c r="E839" s="48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9"/>
      <c r="B840" s="49"/>
      <c r="C840" s="49"/>
      <c r="D840" s="49"/>
      <c r="E840" s="49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8"/>
      <c r="B841" s="48"/>
      <c r="C841" s="48"/>
      <c r="D841" s="48"/>
      <c r="E841" s="48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9"/>
      <c r="B842" s="49"/>
      <c r="C842" s="49"/>
      <c r="D842" s="49"/>
      <c r="E842" s="49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8"/>
      <c r="B843" s="48"/>
      <c r="C843" s="48"/>
      <c r="D843" s="48"/>
      <c r="E843" s="48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9"/>
      <c r="B844" s="49"/>
      <c r="C844" s="49"/>
      <c r="D844" s="49"/>
      <c r="E844" s="49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8"/>
      <c r="B845" s="48"/>
      <c r="C845" s="48"/>
      <c r="D845" s="48"/>
      <c r="E845" s="48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9"/>
      <c r="B846" s="49"/>
      <c r="C846" s="49"/>
      <c r="D846" s="49"/>
      <c r="E846" s="49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8"/>
      <c r="B847" s="48"/>
      <c r="C847" s="48"/>
      <c r="D847" s="48"/>
      <c r="E847" s="48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9"/>
      <c r="B848" s="49"/>
      <c r="C848" s="49"/>
      <c r="D848" s="49"/>
      <c r="E848" s="49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8"/>
      <c r="B849" s="48"/>
      <c r="C849" s="48"/>
      <c r="D849" s="48"/>
      <c r="E849" s="48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9"/>
      <c r="B850" s="49"/>
      <c r="C850" s="49"/>
      <c r="D850" s="49"/>
      <c r="E850" s="49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8"/>
      <c r="B851" s="48"/>
      <c r="C851" s="48"/>
      <c r="D851" s="48"/>
      <c r="E851" s="48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9"/>
      <c r="B852" s="49"/>
      <c r="C852" s="49"/>
      <c r="D852" s="49"/>
      <c r="E852" s="49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8"/>
      <c r="B853" s="48"/>
      <c r="C853" s="48"/>
      <c r="D853" s="48"/>
      <c r="E853" s="48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9"/>
      <c r="B854" s="49"/>
      <c r="C854" s="49"/>
      <c r="D854" s="49"/>
      <c r="E854" s="49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8"/>
      <c r="B855" s="48"/>
      <c r="C855" s="48"/>
      <c r="D855" s="48"/>
      <c r="E855" s="48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9"/>
      <c r="B856" s="49"/>
      <c r="C856" s="49"/>
      <c r="D856" s="49"/>
      <c r="E856" s="49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8"/>
      <c r="B857" s="48"/>
      <c r="C857" s="48"/>
      <c r="D857" s="48"/>
      <c r="E857" s="48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9"/>
      <c r="B858" s="49"/>
      <c r="C858" s="49"/>
      <c r="D858" s="49"/>
      <c r="E858" s="49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8"/>
      <c r="B859" s="48"/>
      <c r="C859" s="48"/>
      <c r="D859" s="48"/>
      <c r="E859" s="48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9"/>
      <c r="B860" s="49"/>
      <c r="C860" s="49"/>
      <c r="D860" s="49"/>
      <c r="E860" s="49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8"/>
      <c r="B861" s="48"/>
      <c r="C861" s="48"/>
      <c r="D861" s="48"/>
      <c r="E861" s="48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9"/>
      <c r="B862" s="49"/>
      <c r="C862" s="49"/>
      <c r="D862" s="49"/>
      <c r="E862" s="49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8"/>
      <c r="B863" s="48"/>
      <c r="C863" s="48"/>
      <c r="D863" s="48"/>
      <c r="E863" s="48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9"/>
      <c r="B864" s="49"/>
      <c r="C864" s="49"/>
      <c r="D864" s="49"/>
      <c r="E864" s="49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8"/>
      <c r="B865" s="48"/>
      <c r="C865" s="48"/>
      <c r="D865" s="48"/>
      <c r="E865" s="48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9"/>
      <c r="B866" s="49"/>
      <c r="C866" s="49"/>
      <c r="D866" s="49"/>
      <c r="E866" s="49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8"/>
      <c r="B867" s="48"/>
      <c r="C867" s="48"/>
      <c r="D867" s="48"/>
      <c r="E867" s="48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9"/>
      <c r="B868" s="49"/>
      <c r="C868" s="49"/>
      <c r="D868" s="49"/>
      <c r="E868" s="49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8"/>
      <c r="B869" s="48"/>
      <c r="C869" s="48"/>
      <c r="D869" s="48"/>
      <c r="E869" s="48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9"/>
      <c r="B870" s="49"/>
      <c r="C870" s="49"/>
      <c r="D870" s="49"/>
      <c r="E870" s="49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8"/>
      <c r="B871" s="48"/>
      <c r="C871" s="48"/>
      <c r="D871" s="48"/>
      <c r="E871" s="48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9"/>
      <c r="B872" s="49"/>
      <c r="C872" s="49"/>
      <c r="D872" s="49"/>
      <c r="E872" s="49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8"/>
      <c r="B873" s="48"/>
      <c r="C873" s="48"/>
      <c r="D873" s="48"/>
      <c r="E873" s="48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9"/>
      <c r="B874" s="49"/>
      <c r="C874" s="49"/>
      <c r="D874" s="49"/>
      <c r="E874" s="49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8"/>
      <c r="B875" s="48"/>
      <c r="C875" s="48"/>
      <c r="D875" s="48"/>
      <c r="E875" s="48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9"/>
      <c r="B876" s="49"/>
      <c r="C876" s="49"/>
      <c r="D876" s="49"/>
      <c r="E876" s="49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8"/>
      <c r="B877" s="48"/>
      <c r="C877" s="48"/>
      <c r="D877" s="48"/>
      <c r="E877" s="48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9"/>
      <c r="B878" s="49"/>
      <c r="C878" s="49"/>
      <c r="D878" s="49"/>
      <c r="E878" s="49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8"/>
      <c r="B879" s="48"/>
      <c r="C879" s="48"/>
      <c r="D879" s="48"/>
      <c r="E879" s="48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9"/>
      <c r="B880" s="49"/>
      <c r="C880" s="49"/>
      <c r="D880" s="49"/>
      <c r="E880" s="49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8"/>
      <c r="B881" s="48"/>
      <c r="C881" s="48"/>
      <c r="D881" s="48"/>
      <c r="E881" s="48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9"/>
      <c r="B882" s="49"/>
      <c r="C882" s="49"/>
      <c r="D882" s="49"/>
      <c r="E882" s="49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8"/>
      <c r="B883" s="48"/>
      <c r="C883" s="48"/>
      <c r="D883" s="48"/>
      <c r="E883" s="48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9"/>
      <c r="B884" s="49"/>
      <c r="C884" s="49"/>
      <c r="D884" s="49"/>
      <c r="E884" s="49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8"/>
      <c r="B885" s="48"/>
      <c r="C885" s="48"/>
      <c r="D885" s="48"/>
      <c r="E885" s="48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9"/>
      <c r="B886" s="49"/>
      <c r="C886" s="49"/>
      <c r="D886" s="49"/>
      <c r="E886" s="49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8"/>
      <c r="B887" s="48"/>
      <c r="C887" s="48"/>
      <c r="D887" s="48"/>
      <c r="E887" s="48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9"/>
      <c r="B888" s="49"/>
      <c r="C888" s="49"/>
      <c r="D888" s="49"/>
      <c r="E888" s="49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8"/>
      <c r="B889" s="48"/>
      <c r="C889" s="48"/>
      <c r="D889" s="48"/>
      <c r="E889" s="48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9"/>
      <c r="B890" s="49"/>
      <c r="C890" s="49"/>
      <c r="D890" s="49"/>
      <c r="E890" s="49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8"/>
      <c r="B891" s="48"/>
      <c r="C891" s="48"/>
      <c r="D891" s="48"/>
      <c r="E891" s="48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9"/>
      <c r="B892" s="49"/>
      <c r="C892" s="49"/>
      <c r="D892" s="49"/>
      <c r="E892" s="49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8"/>
      <c r="B893" s="48"/>
      <c r="C893" s="48"/>
      <c r="D893" s="48"/>
      <c r="E893" s="48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9"/>
      <c r="B894" s="49"/>
      <c r="C894" s="49"/>
      <c r="D894" s="49"/>
      <c r="E894" s="49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8"/>
      <c r="B895" s="48"/>
      <c r="C895" s="48"/>
      <c r="D895" s="48"/>
      <c r="E895" s="48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9"/>
      <c r="B896" s="49"/>
      <c r="C896" s="49"/>
      <c r="D896" s="49"/>
      <c r="E896" s="49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8"/>
      <c r="B897" s="48"/>
      <c r="C897" s="48"/>
      <c r="D897" s="48"/>
      <c r="E897" s="48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9"/>
      <c r="B898" s="49"/>
      <c r="C898" s="49"/>
      <c r="D898" s="49"/>
      <c r="E898" s="49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8"/>
      <c r="B899" s="48"/>
      <c r="C899" s="48"/>
      <c r="D899" s="48"/>
      <c r="E899" s="48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9"/>
      <c r="B900" s="49"/>
      <c r="C900" s="49"/>
      <c r="D900" s="49"/>
      <c r="E900" s="49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8"/>
      <c r="B901" s="48"/>
      <c r="C901" s="48"/>
      <c r="D901" s="48"/>
      <c r="E901" s="48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9"/>
      <c r="B902" s="49"/>
      <c r="C902" s="49"/>
      <c r="D902" s="49"/>
      <c r="E902" s="49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8"/>
      <c r="B903" s="48"/>
      <c r="C903" s="48"/>
      <c r="D903" s="48"/>
      <c r="E903" s="48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9"/>
      <c r="B904" s="49"/>
      <c r="C904" s="49"/>
      <c r="D904" s="49"/>
      <c r="E904" s="49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8"/>
      <c r="B905" s="48"/>
      <c r="C905" s="48"/>
      <c r="D905" s="48"/>
      <c r="E905" s="48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9"/>
      <c r="B906" s="49"/>
      <c r="C906" s="49"/>
      <c r="D906" s="49"/>
      <c r="E906" s="49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8"/>
      <c r="B907" s="48"/>
      <c r="C907" s="48"/>
      <c r="D907" s="48"/>
      <c r="E907" s="48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9"/>
      <c r="B908" s="49"/>
      <c r="C908" s="49"/>
      <c r="D908" s="49"/>
      <c r="E908" s="49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8"/>
      <c r="B909" s="48"/>
      <c r="C909" s="48"/>
      <c r="D909" s="48"/>
      <c r="E909" s="48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9"/>
      <c r="B910" s="49"/>
      <c r="C910" s="49"/>
      <c r="D910" s="49"/>
      <c r="E910" s="49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8"/>
      <c r="B911" s="48"/>
      <c r="C911" s="48"/>
      <c r="D911" s="48"/>
      <c r="E911" s="48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9"/>
      <c r="B912" s="49"/>
      <c r="C912" s="49"/>
      <c r="D912" s="49"/>
      <c r="E912" s="49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8"/>
      <c r="B913" s="48"/>
      <c r="C913" s="48"/>
      <c r="D913" s="48"/>
      <c r="E913" s="48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9"/>
      <c r="B914" s="49"/>
      <c r="C914" s="49"/>
      <c r="D914" s="49"/>
      <c r="E914" s="49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8"/>
      <c r="B915" s="48"/>
      <c r="C915" s="48"/>
      <c r="D915" s="48"/>
      <c r="E915" s="48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9"/>
      <c r="B916" s="49"/>
      <c r="C916" s="49"/>
      <c r="D916" s="49"/>
      <c r="E916" s="49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8"/>
      <c r="B917" s="48"/>
      <c r="C917" s="48"/>
      <c r="D917" s="48"/>
      <c r="E917" s="48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9"/>
      <c r="B918" s="49"/>
      <c r="C918" s="49"/>
      <c r="D918" s="49"/>
      <c r="E918" s="49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8"/>
      <c r="B919" s="48"/>
      <c r="C919" s="48"/>
      <c r="D919" s="48"/>
      <c r="E919" s="48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9"/>
      <c r="B920" s="49"/>
      <c r="C920" s="49"/>
      <c r="D920" s="49"/>
      <c r="E920" s="49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8"/>
      <c r="B921" s="48"/>
      <c r="C921" s="48"/>
      <c r="D921" s="48"/>
      <c r="E921" s="48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9"/>
      <c r="B922" s="49"/>
      <c r="C922" s="49"/>
      <c r="D922" s="49"/>
      <c r="E922" s="49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8"/>
      <c r="B923" s="48"/>
      <c r="C923" s="48"/>
      <c r="D923" s="48"/>
      <c r="E923" s="48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9"/>
      <c r="B924" s="49"/>
      <c r="C924" s="49"/>
      <c r="D924" s="49"/>
      <c r="E924" s="49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8"/>
      <c r="B925" s="48"/>
      <c r="C925" s="48"/>
      <c r="D925" s="48"/>
      <c r="E925" s="48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9"/>
      <c r="B926" s="49"/>
      <c r="C926" s="49"/>
      <c r="D926" s="49"/>
      <c r="E926" s="49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8"/>
      <c r="B927" s="48"/>
      <c r="C927" s="48"/>
      <c r="D927" s="48"/>
      <c r="E927" s="48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9"/>
      <c r="B928" s="49"/>
      <c r="C928" s="49"/>
      <c r="D928" s="49"/>
      <c r="E928" s="49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8"/>
      <c r="B929" s="48"/>
      <c r="C929" s="48"/>
      <c r="D929" s="48"/>
      <c r="E929" s="48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9"/>
      <c r="B930" s="49"/>
      <c r="C930" s="49"/>
      <c r="D930" s="49"/>
      <c r="E930" s="49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8"/>
      <c r="B931" s="48"/>
      <c r="C931" s="48"/>
      <c r="D931" s="48"/>
      <c r="E931" s="48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9"/>
      <c r="B932" s="49"/>
      <c r="C932" s="49"/>
      <c r="D932" s="49"/>
      <c r="E932" s="49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8"/>
      <c r="B933" s="48"/>
      <c r="C933" s="48"/>
      <c r="D933" s="48"/>
      <c r="E933" s="48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9"/>
      <c r="B934" s="49"/>
      <c r="C934" s="49"/>
      <c r="D934" s="49"/>
      <c r="E934" s="49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8"/>
      <c r="B935" s="48"/>
      <c r="C935" s="48"/>
      <c r="D935" s="48"/>
      <c r="E935" s="48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9"/>
      <c r="B936" s="49"/>
      <c r="C936" s="49"/>
      <c r="D936" s="49"/>
      <c r="E936" s="49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8"/>
      <c r="B937" s="48"/>
      <c r="C937" s="48"/>
      <c r="D937" s="48"/>
      <c r="E937" s="48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9"/>
      <c r="B938" s="49"/>
      <c r="C938" s="49"/>
      <c r="D938" s="49"/>
      <c r="E938" s="49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8"/>
      <c r="B939" s="48"/>
      <c r="C939" s="48"/>
      <c r="D939" s="48"/>
      <c r="E939" s="48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9"/>
      <c r="B940" s="49"/>
      <c r="C940" s="49"/>
      <c r="D940" s="49"/>
      <c r="E940" s="49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8"/>
      <c r="B941" s="48"/>
      <c r="C941" s="48"/>
      <c r="D941" s="48"/>
      <c r="E941" s="48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9"/>
      <c r="B942" s="49"/>
      <c r="C942" s="49"/>
      <c r="D942" s="49"/>
      <c r="E942" s="49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8"/>
      <c r="B943" s="48"/>
      <c r="C943" s="48"/>
      <c r="D943" s="48"/>
      <c r="E943" s="48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9"/>
      <c r="B944" s="49"/>
      <c r="C944" s="49"/>
      <c r="D944" s="49"/>
      <c r="E944" s="49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8"/>
      <c r="B945" s="48"/>
      <c r="C945" s="48"/>
      <c r="D945" s="48"/>
      <c r="E945" s="48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9"/>
      <c r="B946" s="49"/>
      <c r="C946" s="49"/>
      <c r="D946" s="49"/>
      <c r="E946" s="49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8"/>
      <c r="B947" s="48"/>
      <c r="C947" s="48"/>
      <c r="D947" s="48"/>
      <c r="E947" s="48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9"/>
      <c r="B948" s="49"/>
      <c r="C948" s="49"/>
      <c r="D948" s="49"/>
      <c r="E948" s="49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8"/>
      <c r="B949" s="48"/>
      <c r="C949" s="48"/>
      <c r="D949" s="48"/>
      <c r="E949" s="48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9"/>
      <c r="B950" s="49"/>
      <c r="C950" s="49"/>
      <c r="D950" s="49"/>
      <c r="E950" s="49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8"/>
      <c r="B951" s="48"/>
      <c r="C951" s="48"/>
      <c r="D951" s="48"/>
      <c r="E951" s="48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9"/>
      <c r="B952" s="49"/>
      <c r="C952" s="49"/>
      <c r="D952" s="49"/>
      <c r="E952" s="49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8"/>
      <c r="B953" s="48"/>
      <c r="C953" s="48"/>
      <c r="D953" s="48"/>
      <c r="E953" s="48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9"/>
      <c r="B954" s="49"/>
      <c r="C954" s="49"/>
      <c r="D954" s="49"/>
      <c r="E954" s="49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8"/>
      <c r="B955" s="48"/>
      <c r="C955" s="48"/>
      <c r="D955" s="48"/>
      <c r="E955" s="48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9"/>
      <c r="B956" s="49"/>
      <c r="C956" s="49"/>
      <c r="D956" s="49"/>
      <c r="E956" s="49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8"/>
      <c r="B957" s="48"/>
      <c r="C957" s="48"/>
      <c r="D957" s="48"/>
      <c r="E957" s="48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9"/>
      <c r="B958" s="49"/>
      <c r="C958" s="49"/>
      <c r="D958" s="49"/>
      <c r="E958" s="49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8"/>
      <c r="B959" s="48"/>
      <c r="C959" s="48"/>
      <c r="D959" s="48"/>
      <c r="E959" s="48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9"/>
      <c r="B960" s="49"/>
      <c r="C960" s="49"/>
      <c r="D960" s="49"/>
      <c r="E960" s="49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8"/>
      <c r="B961" s="48"/>
      <c r="C961" s="48"/>
      <c r="D961" s="48"/>
      <c r="E961" s="48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9"/>
      <c r="B962" s="49"/>
      <c r="C962" s="49"/>
      <c r="D962" s="49"/>
      <c r="E962" s="49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8"/>
      <c r="B963" s="48"/>
      <c r="C963" s="48"/>
      <c r="D963" s="48"/>
      <c r="E963" s="48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9"/>
      <c r="B964" s="49"/>
      <c r="C964" s="49"/>
      <c r="D964" s="49"/>
      <c r="E964" s="49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8"/>
      <c r="B965" s="48"/>
      <c r="C965" s="48"/>
      <c r="D965" s="48"/>
      <c r="E965" s="48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9"/>
      <c r="B966" s="49"/>
      <c r="C966" s="49"/>
      <c r="D966" s="49"/>
      <c r="E966" s="49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8"/>
      <c r="B967" s="48"/>
      <c r="C967" s="48"/>
      <c r="D967" s="48"/>
      <c r="E967" s="48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9"/>
      <c r="B968" s="49"/>
      <c r="C968" s="49"/>
      <c r="D968" s="49"/>
      <c r="E968" s="49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8"/>
      <c r="B969" s="48"/>
      <c r="C969" s="48"/>
      <c r="D969" s="48"/>
      <c r="E969" s="48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9"/>
      <c r="B970" s="49"/>
      <c r="C970" s="49"/>
      <c r="D970" s="49"/>
      <c r="E970" s="49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8"/>
      <c r="B971" s="48"/>
      <c r="C971" s="48"/>
      <c r="D971" s="48"/>
      <c r="E971" s="48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9"/>
      <c r="B972" s="49"/>
      <c r="C972" s="49"/>
      <c r="D972" s="49"/>
      <c r="E972" s="49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8"/>
      <c r="B973" s="48"/>
      <c r="C973" s="48"/>
      <c r="D973" s="48"/>
      <c r="E973" s="48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9"/>
      <c r="B974" s="49"/>
      <c r="C974" s="49"/>
      <c r="D974" s="49"/>
      <c r="E974" s="49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8"/>
      <c r="B975" s="48"/>
      <c r="C975" s="48"/>
      <c r="D975" s="48"/>
      <c r="E975" s="48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9"/>
      <c r="B976" s="49"/>
      <c r="C976" s="49"/>
      <c r="D976" s="49"/>
      <c r="E976" s="49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8"/>
      <c r="B977" s="48"/>
      <c r="C977" s="48"/>
      <c r="D977" s="48"/>
      <c r="E977" s="48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9"/>
      <c r="B978" s="49"/>
      <c r="C978" s="49"/>
      <c r="D978" s="49"/>
      <c r="E978" s="49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8"/>
      <c r="B979" s="48"/>
      <c r="C979" s="48"/>
      <c r="D979" s="48"/>
      <c r="E979" s="48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9"/>
      <c r="B980" s="49"/>
      <c r="C980" s="49"/>
      <c r="D980" s="49"/>
      <c r="E980" s="49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8"/>
      <c r="B981" s="48"/>
      <c r="C981" s="48"/>
      <c r="D981" s="48"/>
      <c r="E981" s="48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9"/>
      <c r="B982" s="49"/>
      <c r="C982" s="49"/>
      <c r="D982" s="49"/>
      <c r="E982" s="49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8"/>
      <c r="B983" s="48"/>
      <c r="C983" s="48"/>
      <c r="D983" s="48"/>
      <c r="E983" s="48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9"/>
      <c r="B984" s="49"/>
      <c r="C984" s="49"/>
      <c r="D984" s="49"/>
      <c r="E984" s="49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8"/>
      <c r="B985" s="48"/>
      <c r="C985" s="48"/>
      <c r="D985" s="48"/>
      <c r="E985" s="48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9"/>
      <c r="B986" s="49"/>
      <c r="C986" s="49"/>
      <c r="D986" s="49"/>
      <c r="E986" s="49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8"/>
      <c r="B987" s="48"/>
      <c r="C987" s="48"/>
      <c r="D987" s="48"/>
      <c r="E987" s="48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9"/>
      <c r="B988" s="49"/>
      <c r="C988" s="49"/>
      <c r="D988" s="49"/>
      <c r="E988" s="49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8"/>
      <c r="B989" s="48"/>
      <c r="C989" s="48"/>
      <c r="D989" s="48"/>
      <c r="E989" s="48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9"/>
      <c r="B990" s="49"/>
      <c r="C990" s="49"/>
      <c r="D990" s="49"/>
      <c r="E990" s="49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8"/>
      <c r="B991" s="48"/>
      <c r="C991" s="48"/>
      <c r="D991" s="48"/>
      <c r="E991" s="48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9"/>
      <c r="B992" s="49"/>
      <c r="C992" s="49"/>
      <c r="D992" s="49"/>
      <c r="E992" s="49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8"/>
      <c r="B993" s="48"/>
      <c r="C993" s="48"/>
      <c r="D993" s="48"/>
      <c r="E993" s="48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9"/>
      <c r="B994" s="49"/>
      <c r="C994" s="49"/>
      <c r="D994" s="49"/>
      <c r="E994" s="49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8"/>
      <c r="B995" s="48"/>
      <c r="C995" s="48"/>
      <c r="D995" s="48"/>
      <c r="E995" s="48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9"/>
      <c r="B996" s="49"/>
      <c r="C996" s="49"/>
      <c r="D996" s="49"/>
      <c r="E996" s="49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8"/>
      <c r="B997" s="48"/>
      <c r="C997" s="48"/>
      <c r="D997" s="48"/>
      <c r="E997" s="48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9"/>
      <c r="B998" s="49"/>
      <c r="C998" s="49"/>
      <c r="D998" s="49"/>
      <c r="E998" s="49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8"/>
      <c r="B999" s="48"/>
      <c r="C999" s="48"/>
      <c r="D999" s="48"/>
      <c r="E999" s="48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9"/>
      <c r="B1000" s="49"/>
      <c r="C1000" s="49"/>
      <c r="D1000" s="49"/>
      <c r="E1000" s="49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autoFilter ref="$A$1:$E$21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5.88"/>
    <col customWidth="1" min="3" max="3" width="14.88"/>
    <col customWidth="1" min="4" max="4" width="36.88"/>
    <col customWidth="1" min="5" max="5" width="51.0"/>
    <col customWidth="1" min="6" max="6" width="26.38"/>
    <col customWidth="1" min="7" max="7" width="26.5"/>
    <col customWidth="1" min="8" max="8" width="25.5"/>
    <col customWidth="1" min="9" max="9" width="19.0"/>
    <col customWidth="1" min="10" max="10" width="16.75"/>
    <col customWidth="1" min="11" max="11" width="25.5"/>
    <col customWidth="1" min="12" max="12" width="22.63"/>
    <col customWidth="1" min="13" max="13" width="21.5"/>
    <col customWidth="1" min="14" max="14" width="22.38"/>
    <col customWidth="1" min="15" max="15" width="22.63"/>
    <col customWidth="1" min="16" max="16" width="23.38"/>
    <col customWidth="1" min="17" max="18" width="22.5"/>
    <col customWidth="1" min="19" max="19" width="23.75"/>
    <col customWidth="1" min="20" max="20" width="21.75"/>
    <col customWidth="1" min="21" max="21" width="22.5"/>
    <col customWidth="1" min="22" max="22" width="22.0"/>
    <col customWidth="1" min="23" max="23" width="23.5"/>
    <col customWidth="1" min="24" max="24" width="21.63"/>
    <col customWidth="1" min="25" max="25" width="22.38"/>
    <col customWidth="1" min="26" max="26" width="23.75"/>
    <col customWidth="1" min="27" max="27" width="24.5"/>
    <col customWidth="1" min="28" max="28" width="23.25"/>
    <col customWidth="1" min="29" max="29" width="23.75"/>
    <col customWidth="1" min="30" max="30" width="24.63"/>
    <col customWidth="1" min="31" max="31" width="22.75"/>
    <col customWidth="1" min="32" max="32" width="23.63"/>
    <col customWidth="1" min="33" max="33" width="16.25"/>
    <col customWidth="1" min="34" max="34" width="16.88"/>
    <col customWidth="1" min="35" max="35" width="29.5"/>
    <col customWidth="1" min="36" max="36" width="14.5"/>
    <col customWidth="1" min="37" max="37" width="9.38"/>
    <col customWidth="1" min="38" max="38" width="25.0"/>
    <col customWidth="1" min="39" max="39" width="7.75"/>
    <col customWidth="1" min="40" max="41" width="7.88"/>
    <col customWidth="1" min="42" max="42" width="22.25"/>
    <col customWidth="1" min="43" max="45" width="15.88"/>
    <col customWidth="1" min="46" max="46" width="25.75"/>
    <col customWidth="1" min="47" max="47" width="20.5"/>
    <col customWidth="1" min="48" max="48" width="24.38"/>
    <col customWidth="1" min="49" max="49" width="15.0"/>
    <col customWidth="1" min="50" max="50" width="16.25"/>
    <col customWidth="1" min="51" max="51" width="17.88"/>
    <col customWidth="1" min="52" max="52" width="30.25"/>
    <col customWidth="1" min="53" max="53" width="16.88"/>
    <col customWidth="1" min="54" max="54" width="29.38"/>
    <col customWidth="1" min="55" max="55" width="17.63"/>
  </cols>
  <sheetData>
    <row r="1">
      <c r="A1" s="50" t="s">
        <v>6</v>
      </c>
      <c r="B1" s="50" t="s">
        <v>47</v>
      </c>
      <c r="C1" s="50" t="s">
        <v>48</v>
      </c>
      <c r="D1" s="50" t="s">
        <v>49</v>
      </c>
      <c r="E1" s="50" t="s">
        <v>50</v>
      </c>
      <c r="F1" s="50" t="s">
        <v>683</v>
      </c>
      <c r="G1" s="50" t="s">
        <v>684</v>
      </c>
      <c r="H1" s="50" t="s">
        <v>685</v>
      </c>
      <c r="I1" s="50" t="s">
        <v>686</v>
      </c>
      <c r="J1" s="50" t="s">
        <v>687</v>
      </c>
      <c r="K1" s="50" t="s">
        <v>688</v>
      </c>
      <c r="L1" s="50" t="s">
        <v>689</v>
      </c>
      <c r="M1" s="50" t="s">
        <v>690</v>
      </c>
      <c r="N1" s="50" t="s">
        <v>691</v>
      </c>
      <c r="O1" s="50" t="s">
        <v>692</v>
      </c>
      <c r="P1" s="50" t="s">
        <v>693</v>
      </c>
      <c r="Q1" s="50" t="s">
        <v>694</v>
      </c>
      <c r="R1" s="50" t="s">
        <v>695</v>
      </c>
      <c r="S1" s="50" t="s">
        <v>696</v>
      </c>
      <c r="T1" s="50" t="s">
        <v>697</v>
      </c>
      <c r="U1" s="50" t="s">
        <v>698</v>
      </c>
      <c r="V1" s="50" t="s">
        <v>699</v>
      </c>
      <c r="W1" s="50" t="s">
        <v>700</v>
      </c>
      <c r="X1" s="50" t="s">
        <v>701</v>
      </c>
      <c r="Y1" s="50" t="s">
        <v>702</v>
      </c>
      <c r="Z1" s="50" t="s">
        <v>703</v>
      </c>
      <c r="AA1" s="50" t="s">
        <v>704</v>
      </c>
      <c r="AB1" s="50" t="s">
        <v>705</v>
      </c>
      <c r="AC1" s="50" t="s">
        <v>706</v>
      </c>
      <c r="AD1" s="50" t="s">
        <v>707</v>
      </c>
      <c r="AE1" s="50" t="s">
        <v>708</v>
      </c>
      <c r="AF1" s="50" t="s">
        <v>709</v>
      </c>
      <c r="AG1" s="50" t="s">
        <v>710</v>
      </c>
      <c r="AH1" s="50" t="s">
        <v>711</v>
      </c>
      <c r="AI1" s="50" t="s">
        <v>712</v>
      </c>
      <c r="AJ1" s="50" t="s">
        <v>713</v>
      </c>
      <c r="AK1" s="50" t="s">
        <v>714</v>
      </c>
      <c r="AL1" s="50" t="s">
        <v>715</v>
      </c>
      <c r="AM1" s="50" t="s">
        <v>716</v>
      </c>
      <c r="AN1" s="50" t="s">
        <v>717</v>
      </c>
      <c r="AO1" s="50" t="s">
        <v>718</v>
      </c>
      <c r="AP1" s="50" t="s">
        <v>719</v>
      </c>
      <c r="AQ1" s="50" t="s">
        <v>720</v>
      </c>
      <c r="AR1" s="50" t="s">
        <v>721</v>
      </c>
      <c r="AS1" s="50" t="s">
        <v>722</v>
      </c>
      <c r="AT1" s="50" t="s">
        <v>723</v>
      </c>
      <c r="AU1" s="50" t="s">
        <v>724</v>
      </c>
      <c r="AV1" s="50" t="s">
        <v>725</v>
      </c>
      <c r="AW1" s="50" t="s">
        <v>726</v>
      </c>
      <c r="AX1" s="50" t="s">
        <v>727</v>
      </c>
      <c r="AY1" s="50" t="s">
        <v>728</v>
      </c>
      <c r="AZ1" s="50" t="s">
        <v>729</v>
      </c>
      <c r="BA1" s="50" t="s">
        <v>730</v>
      </c>
      <c r="BB1" s="50" t="s">
        <v>731</v>
      </c>
      <c r="BC1" s="50" t="s">
        <v>732</v>
      </c>
      <c r="BD1" s="51"/>
      <c r="BE1" s="51"/>
    </row>
    <row r="2">
      <c r="A2" s="52">
        <v>1.0</v>
      </c>
      <c r="B2" s="52">
        <v>1.0</v>
      </c>
      <c r="C2" s="52" t="s">
        <v>51</v>
      </c>
      <c r="D2" s="52" t="s">
        <v>52</v>
      </c>
      <c r="E2" s="52" t="s">
        <v>53</v>
      </c>
      <c r="F2" s="52">
        <v>16.0</v>
      </c>
      <c r="G2" s="52">
        <v>0.0</v>
      </c>
      <c r="H2" s="52">
        <v>0.0</v>
      </c>
      <c r="I2" s="52" t="s">
        <v>733</v>
      </c>
      <c r="J2" s="52">
        <v>1995.0</v>
      </c>
      <c r="K2" s="52">
        <v>4.0</v>
      </c>
      <c r="L2" s="52">
        <v>3955.0</v>
      </c>
      <c r="M2" s="52">
        <v>1675.0</v>
      </c>
      <c r="N2" s="52">
        <v>1235.0</v>
      </c>
      <c r="O2" s="52">
        <v>2265.0</v>
      </c>
      <c r="P2" s="52">
        <v>1405.0</v>
      </c>
      <c r="Q2" s="52">
        <v>1420.0</v>
      </c>
      <c r="R2" s="52">
        <v>990.0</v>
      </c>
      <c r="S2" s="52">
        <v>1839.0</v>
      </c>
      <c r="T2" s="52">
        <v>130.0</v>
      </c>
      <c r="U2" s="52">
        <v>0.0</v>
      </c>
      <c r="V2" s="52">
        <v>0.0</v>
      </c>
      <c r="W2" s="52">
        <v>0.0</v>
      </c>
      <c r="X2" s="52">
        <v>0.0</v>
      </c>
      <c r="Y2" s="52">
        <v>6500.0</v>
      </c>
      <c r="Z2" s="52">
        <v>0.0</v>
      </c>
      <c r="AA2" s="52">
        <v>0.0</v>
      </c>
      <c r="AB2" s="52">
        <v>4500.0</v>
      </c>
      <c r="AC2" s="52">
        <v>195.0</v>
      </c>
      <c r="AD2" s="52">
        <v>0.0</v>
      </c>
      <c r="AE2" s="52">
        <v>195.0</v>
      </c>
      <c r="AF2" s="52">
        <v>0.0</v>
      </c>
      <c r="AG2" s="52" t="s">
        <v>734</v>
      </c>
      <c r="AH2" s="52" t="b">
        <v>1</v>
      </c>
      <c r="AI2" s="52" t="b">
        <v>1</v>
      </c>
      <c r="AJ2" s="52">
        <v>1.0</v>
      </c>
      <c r="AK2" s="52" t="s">
        <v>735</v>
      </c>
      <c r="AL2" s="52" t="s">
        <v>736</v>
      </c>
      <c r="AM2" s="52" t="b">
        <v>0</v>
      </c>
      <c r="AN2" s="52" t="b">
        <v>0</v>
      </c>
      <c r="AO2" s="52" t="b">
        <v>0</v>
      </c>
      <c r="AP2" s="52">
        <v>252.0</v>
      </c>
      <c r="AQ2" s="52">
        <v>0.0</v>
      </c>
      <c r="AR2" s="52">
        <v>2.0</v>
      </c>
      <c r="AS2" s="52">
        <v>0.0</v>
      </c>
      <c r="AT2" s="52" t="s">
        <v>737</v>
      </c>
      <c r="AU2" s="52">
        <v>4.0</v>
      </c>
      <c r="AV2" s="52" t="s">
        <v>738</v>
      </c>
      <c r="AW2" s="52" t="s">
        <v>739</v>
      </c>
      <c r="AX2" s="52">
        <v>5.0</v>
      </c>
      <c r="AY2" s="52">
        <v>50.0</v>
      </c>
      <c r="AZ2" s="52">
        <v>15.0</v>
      </c>
      <c r="BA2" s="52">
        <v>50.0</v>
      </c>
      <c r="BB2" s="52">
        <v>15.0</v>
      </c>
      <c r="BC2" s="52" t="s">
        <v>740</v>
      </c>
      <c r="BD2" s="53"/>
      <c r="BE2" s="53"/>
    </row>
    <row r="3">
      <c r="A3" s="54">
        <v>2.0</v>
      </c>
      <c r="B3" s="54">
        <v>2.0</v>
      </c>
      <c r="C3" s="54" t="s">
        <v>54</v>
      </c>
      <c r="D3" s="54" t="s">
        <v>55</v>
      </c>
      <c r="E3" s="54" t="s">
        <v>56</v>
      </c>
      <c r="F3" s="54">
        <v>14.0</v>
      </c>
      <c r="G3" s="54">
        <v>0.0</v>
      </c>
      <c r="H3" s="54">
        <v>0.0</v>
      </c>
      <c r="I3" s="54" t="s">
        <v>741</v>
      </c>
      <c r="J3" s="54">
        <v>2003.0</v>
      </c>
      <c r="K3" s="54">
        <v>2.0</v>
      </c>
      <c r="L3" s="54">
        <v>3695.0</v>
      </c>
      <c r="M3" s="54">
        <v>1660.0</v>
      </c>
      <c r="N3" s="54">
        <v>1525.0</v>
      </c>
      <c r="O3" s="54">
        <v>2430.0</v>
      </c>
      <c r="P3" s="54">
        <v>1470.0</v>
      </c>
      <c r="Q3" s="54">
        <v>1455.0</v>
      </c>
      <c r="R3" s="54">
        <v>950.0</v>
      </c>
      <c r="S3" s="54">
        <v>1386.0</v>
      </c>
      <c r="T3" s="54">
        <v>98.0</v>
      </c>
      <c r="U3" s="54">
        <v>72.0</v>
      </c>
      <c r="V3" s="54">
        <v>0.0</v>
      </c>
      <c r="W3" s="54">
        <v>0.0</v>
      </c>
      <c r="X3" s="54">
        <v>0.0</v>
      </c>
      <c r="Y3" s="54">
        <v>5600.0</v>
      </c>
      <c r="Z3" s="54">
        <v>137.0</v>
      </c>
      <c r="AA3" s="54">
        <v>0.0</v>
      </c>
      <c r="AB3" s="54">
        <v>3200.0</v>
      </c>
      <c r="AC3" s="54">
        <v>165.0</v>
      </c>
      <c r="AD3" s="54">
        <v>0.0</v>
      </c>
      <c r="AE3" s="54">
        <v>165.0</v>
      </c>
      <c r="AF3" s="54">
        <v>0.0</v>
      </c>
      <c r="AG3" s="54" t="s">
        <v>734</v>
      </c>
      <c r="AH3" s="54" t="b">
        <v>0</v>
      </c>
      <c r="AI3" s="54" t="b">
        <v>0</v>
      </c>
      <c r="AJ3" s="54">
        <v>0.0</v>
      </c>
      <c r="AK3" s="54" t="s">
        <v>742</v>
      </c>
      <c r="AL3" s="54" t="s">
        <v>743</v>
      </c>
      <c r="AM3" s="54" t="b">
        <v>0</v>
      </c>
      <c r="AN3" s="54" t="b">
        <v>0</v>
      </c>
      <c r="AO3" s="54" t="b">
        <v>0</v>
      </c>
      <c r="AP3" s="54">
        <v>252.0</v>
      </c>
      <c r="AQ3" s="54">
        <v>1.0</v>
      </c>
      <c r="AR3" s="54">
        <v>5.0</v>
      </c>
      <c r="AS3" s="54">
        <v>0.0</v>
      </c>
      <c r="AT3" s="54" t="s">
        <v>737</v>
      </c>
      <c r="AU3" s="54">
        <v>4.0</v>
      </c>
      <c r="AV3" s="54" t="s">
        <v>738</v>
      </c>
      <c r="AW3" s="54" t="s">
        <v>744</v>
      </c>
      <c r="AX3" s="54">
        <v>4.0</v>
      </c>
      <c r="AY3" s="54">
        <v>70.0</v>
      </c>
      <c r="AZ3" s="54">
        <v>14.0</v>
      </c>
      <c r="BA3" s="54">
        <v>70.0</v>
      </c>
      <c r="BB3" s="54">
        <v>14.0</v>
      </c>
      <c r="BC3" s="54" t="s">
        <v>745</v>
      </c>
      <c r="BD3" s="53"/>
      <c r="BE3" s="53"/>
    </row>
    <row r="4">
      <c r="A4" s="52">
        <v>3.0</v>
      </c>
      <c r="B4" s="52">
        <v>3.0</v>
      </c>
      <c r="C4" s="52" t="s">
        <v>57</v>
      </c>
      <c r="D4" s="52" t="s">
        <v>58</v>
      </c>
      <c r="E4" s="52" t="s">
        <v>59</v>
      </c>
      <c r="F4" s="52">
        <v>17.3</v>
      </c>
      <c r="G4" s="52">
        <v>0.0</v>
      </c>
      <c r="H4" s="52">
        <v>0.0</v>
      </c>
      <c r="I4" s="52" t="s">
        <v>733</v>
      </c>
      <c r="J4" s="52">
        <v>2002.0</v>
      </c>
      <c r="K4" s="52">
        <v>4.0</v>
      </c>
      <c r="L4" s="52">
        <v>3955.0</v>
      </c>
      <c r="M4" s="52">
        <v>1680.0</v>
      </c>
      <c r="N4" s="52">
        <v>1235.0</v>
      </c>
      <c r="O4" s="52">
        <v>2265.0</v>
      </c>
      <c r="P4" s="52">
        <v>1415.0</v>
      </c>
      <c r="Q4" s="52">
        <v>1440.0</v>
      </c>
      <c r="R4" s="52">
        <v>1080.0</v>
      </c>
      <c r="S4" s="52">
        <v>1839.0</v>
      </c>
      <c r="T4" s="52">
        <v>160.0</v>
      </c>
      <c r="U4" s="52">
        <v>118.0</v>
      </c>
      <c r="V4" s="52">
        <v>0.0</v>
      </c>
      <c r="W4" s="52">
        <v>0.0</v>
      </c>
      <c r="X4" s="52">
        <v>0.0</v>
      </c>
      <c r="Y4" s="52">
        <v>7000.0</v>
      </c>
      <c r="Z4" s="52">
        <v>170.0</v>
      </c>
      <c r="AA4" s="52">
        <v>0.0</v>
      </c>
      <c r="AB4" s="52">
        <v>5500.0</v>
      </c>
      <c r="AC4" s="52">
        <v>205.0</v>
      </c>
      <c r="AD4" s="52">
        <v>0.0</v>
      </c>
      <c r="AE4" s="52">
        <v>205.0</v>
      </c>
      <c r="AF4" s="52">
        <v>0.0</v>
      </c>
      <c r="AG4" s="52" t="s">
        <v>734</v>
      </c>
      <c r="AH4" s="52" t="b">
        <v>1</v>
      </c>
      <c r="AI4" s="52" t="b">
        <v>0</v>
      </c>
      <c r="AJ4" s="52">
        <v>0.0</v>
      </c>
      <c r="AK4" s="52" t="s">
        <v>735</v>
      </c>
      <c r="AL4" s="52" t="s">
        <v>736</v>
      </c>
      <c r="AM4" s="52" t="b">
        <v>0</v>
      </c>
      <c r="AN4" s="52" t="b">
        <v>0</v>
      </c>
      <c r="AO4" s="52" t="b">
        <v>0</v>
      </c>
      <c r="AP4" s="52">
        <v>252.0</v>
      </c>
      <c r="AQ4" s="52">
        <v>0.0</v>
      </c>
      <c r="AR4" s="52">
        <v>2.0</v>
      </c>
      <c r="AS4" s="52">
        <v>0.0</v>
      </c>
      <c r="AT4" s="52" t="s">
        <v>737</v>
      </c>
      <c r="AU4" s="52">
        <v>4.0</v>
      </c>
      <c r="AV4" s="52" t="s">
        <v>738</v>
      </c>
      <c r="AW4" s="52" t="s">
        <v>739</v>
      </c>
      <c r="AX4" s="52">
        <v>6.0</v>
      </c>
      <c r="AY4" s="52">
        <v>45.0</v>
      </c>
      <c r="AZ4" s="52">
        <v>16.0</v>
      </c>
      <c r="BA4" s="52">
        <v>45.0</v>
      </c>
      <c r="BB4" s="52">
        <v>16.0</v>
      </c>
      <c r="BC4" s="52" t="s">
        <v>746</v>
      </c>
      <c r="BD4" s="53"/>
      <c r="BE4" s="53"/>
    </row>
    <row r="5">
      <c r="A5" s="54">
        <v>4.0</v>
      </c>
      <c r="B5" s="54">
        <v>5.0</v>
      </c>
      <c r="C5" s="54" t="s">
        <v>60</v>
      </c>
      <c r="D5" s="54" t="s">
        <v>61</v>
      </c>
      <c r="E5" s="54" t="s">
        <v>62</v>
      </c>
      <c r="F5" s="54">
        <v>31.0</v>
      </c>
      <c r="G5" s="54">
        <v>0.0</v>
      </c>
      <c r="H5" s="54">
        <v>0.0</v>
      </c>
      <c r="I5" s="54" t="s">
        <v>747</v>
      </c>
      <c r="J5" s="54">
        <v>2002.0</v>
      </c>
      <c r="K5" s="54">
        <v>7.0</v>
      </c>
      <c r="L5" s="54">
        <v>4430.0</v>
      </c>
      <c r="M5" s="54">
        <v>1810.0</v>
      </c>
      <c r="N5" s="54">
        <v>1160.0</v>
      </c>
      <c r="O5" s="54">
        <v>2530.0</v>
      </c>
      <c r="P5" s="54">
        <v>1510.0</v>
      </c>
      <c r="Q5" s="54">
        <v>1540.0</v>
      </c>
      <c r="R5" s="54">
        <v>1270.0</v>
      </c>
      <c r="S5" s="54">
        <v>3179.0</v>
      </c>
      <c r="T5" s="54">
        <v>280.0</v>
      </c>
      <c r="U5" s="54">
        <v>206.0</v>
      </c>
      <c r="V5" s="54">
        <v>0.0</v>
      </c>
      <c r="W5" s="54">
        <v>0.0</v>
      </c>
      <c r="X5" s="54">
        <v>0.0</v>
      </c>
      <c r="Y5" s="54">
        <v>7300.0</v>
      </c>
      <c r="Z5" s="54">
        <v>304.0</v>
      </c>
      <c r="AA5" s="54">
        <v>0.0</v>
      </c>
      <c r="AB5" s="54">
        <v>5300.0</v>
      </c>
      <c r="AC5" s="54">
        <v>215.0</v>
      </c>
      <c r="AD5" s="54">
        <v>0.0</v>
      </c>
      <c r="AE5" s="54">
        <v>255.0</v>
      </c>
      <c r="AF5" s="54">
        <v>0.0</v>
      </c>
      <c r="AG5" s="54" t="s">
        <v>734</v>
      </c>
      <c r="AH5" s="54" t="b">
        <v>0</v>
      </c>
      <c r="AI5" s="54" t="b">
        <v>0</v>
      </c>
      <c r="AJ5" s="54">
        <v>0.0</v>
      </c>
      <c r="AK5" s="54" t="s">
        <v>748</v>
      </c>
      <c r="AL5" s="54" t="s">
        <v>736</v>
      </c>
      <c r="AM5" s="54" t="b">
        <v>0</v>
      </c>
      <c r="AN5" s="54" t="b">
        <v>0</v>
      </c>
      <c r="AO5" s="54" t="b">
        <v>0</v>
      </c>
      <c r="AP5" s="54">
        <v>144.0</v>
      </c>
      <c r="AQ5" s="54">
        <v>0.0</v>
      </c>
      <c r="AR5" s="54">
        <v>2.0</v>
      </c>
      <c r="AS5" s="54">
        <v>0.0</v>
      </c>
      <c r="AT5" s="54" t="s">
        <v>749</v>
      </c>
      <c r="AU5" s="54">
        <v>6.0</v>
      </c>
      <c r="AV5" s="54" t="s">
        <v>738</v>
      </c>
      <c r="AW5" s="54" t="s">
        <v>750</v>
      </c>
      <c r="AX5" s="54">
        <v>6.0</v>
      </c>
      <c r="AY5" s="54">
        <v>40.0</v>
      </c>
      <c r="AZ5" s="54">
        <v>17.0</v>
      </c>
      <c r="BA5" s="54">
        <v>40.0</v>
      </c>
      <c r="BB5" s="54">
        <v>17.0</v>
      </c>
      <c r="BC5" s="54" t="s">
        <v>751</v>
      </c>
      <c r="BD5" s="53"/>
      <c r="BE5" s="53"/>
    </row>
    <row r="6">
      <c r="A6" s="52">
        <v>5.0</v>
      </c>
      <c r="B6" s="52">
        <v>6.0</v>
      </c>
      <c r="C6" s="52" t="s">
        <v>63</v>
      </c>
      <c r="D6" s="52" t="s">
        <v>64</v>
      </c>
      <c r="E6" s="52" t="s">
        <v>65</v>
      </c>
      <c r="F6" s="52">
        <v>14.6</v>
      </c>
      <c r="G6" s="52">
        <v>0.0</v>
      </c>
      <c r="H6" s="52">
        <v>0.0</v>
      </c>
      <c r="I6" s="52" t="s">
        <v>752</v>
      </c>
      <c r="J6" s="52">
        <v>2000.0</v>
      </c>
      <c r="K6" s="52">
        <v>2.0</v>
      </c>
      <c r="L6" s="52">
        <v>3845.0</v>
      </c>
      <c r="M6" s="52">
        <v>1690.0</v>
      </c>
      <c r="N6" s="52">
        <v>1640.0</v>
      </c>
      <c r="O6" s="52">
        <v>2500.0</v>
      </c>
      <c r="P6" s="52">
        <v>1450.0</v>
      </c>
      <c r="Q6" s="52">
        <v>1435.0</v>
      </c>
      <c r="R6" s="52">
        <v>1040.0</v>
      </c>
      <c r="S6" s="52">
        <v>1496.0</v>
      </c>
      <c r="T6" s="52">
        <v>110.0</v>
      </c>
      <c r="U6" s="52">
        <v>81.0</v>
      </c>
      <c r="V6" s="52">
        <v>0.0</v>
      </c>
      <c r="W6" s="52">
        <v>0.0</v>
      </c>
      <c r="X6" s="52">
        <v>0.0</v>
      </c>
      <c r="Y6" s="52">
        <v>6000.0</v>
      </c>
      <c r="Z6" s="52">
        <v>143.0</v>
      </c>
      <c r="AA6" s="52">
        <v>0.0</v>
      </c>
      <c r="AB6" s="52">
        <v>4200.0</v>
      </c>
      <c r="AC6" s="52">
        <v>185.0</v>
      </c>
      <c r="AD6" s="52">
        <v>0.0</v>
      </c>
      <c r="AE6" s="52">
        <v>185.0</v>
      </c>
      <c r="AF6" s="52">
        <v>0.0</v>
      </c>
      <c r="AG6" s="52" t="s">
        <v>734</v>
      </c>
      <c r="AH6" s="52" t="b">
        <v>0</v>
      </c>
      <c r="AI6" s="52" t="b">
        <v>0</v>
      </c>
      <c r="AJ6" s="52">
        <v>0.0</v>
      </c>
      <c r="AK6" s="52" t="s">
        <v>742</v>
      </c>
      <c r="AL6" s="52" t="s">
        <v>743</v>
      </c>
      <c r="AM6" s="52" t="b">
        <v>1</v>
      </c>
      <c r="AN6" s="52" t="b">
        <v>1</v>
      </c>
      <c r="AO6" s="52" t="b">
        <v>0</v>
      </c>
      <c r="AP6" s="52">
        <v>252.0</v>
      </c>
      <c r="AQ6" s="52">
        <v>1.0</v>
      </c>
      <c r="AR6" s="52">
        <v>5.0</v>
      </c>
      <c r="AS6" s="52">
        <v>0.0</v>
      </c>
      <c r="AT6" s="52" t="s">
        <v>737</v>
      </c>
      <c r="AU6" s="52">
        <v>4.0</v>
      </c>
      <c r="AV6" s="52" t="s">
        <v>738</v>
      </c>
      <c r="AW6" s="52" t="s">
        <v>744</v>
      </c>
      <c r="AX6" s="52">
        <v>4.0</v>
      </c>
      <c r="AY6" s="52">
        <v>65.0</v>
      </c>
      <c r="AZ6" s="52">
        <v>15.0</v>
      </c>
      <c r="BA6" s="52">
        <v>65.0</v>
      </c>
      <c r="BB6" s="52">
        <v>15.0</v>
      </c>
      <c r="BC6" s="52" t="s">
        <v>753</v>
      </c>
      <c r="BD6" s="53"/>
      <c r="BE6" s="53"/>
    </row>
    <row r="7">
      <c r="A7" s="54">
        <v>6.0</v>
      </c>
      <c r="B7" s="54">
        <v>7.0</v>
      </c>
      <c r="C7" s="54" t="s">
        <v>66</v>
      </c>
      <c r="D7" s="54" t="s">
        <v>67</v>
      </c>
      <c r="E7" s="54" t="s">
        <v>68</v>
      </c>
      <c r="F7" s="54">
        <v>18.0</v>
      </c>
      <c r="G7" s="54">
        <v>0.0</v>
      </c>
      <c r="H7" s="54">
        <v>0.0</v>
      </c>
      <c r="I7" s="54" t="s">
        <v>752</v>
      </c>
      <c r="J7" s="54">
        <v>1967.0</v>
      </c>
      <c r="K7" s="54">
        <v>3.0</v>
      </c>
      <c r="L7" s="54">
        <v>4175.0</v>
      </c>
      <c r="M7" s="54">
        <v>1600.0</v>
      </c>
      <c r="N7" s="54">
        <v>1160.0</v>
      </c>
      <c r="O7" s="54">
        <v>2330.0</v>
      </c>
      <c r="P7" s="54">
        <v>1300.0</v>
      </c>
      <c r="Q7" s="54">
        <v>1300.0</v>
      </c>
      <c r="R7" s="54">
        <v>1120.0</v>
      </c>
      <c r="S7" s="54">
        <v>1988.0</v>
      </c>
      <c r="T7" s="54">
        <v>150.0</v>
      </c>
      <c r="U7" s="54">
        <v>0.0</v>
      </c>
      <c r="V7" s="54">
        <v>0.0</v>
      </c>
      <c r="W7" s="54">
        <v>0.0</v>
      </c>
      <c r="X7" s="54">
        <v>0.0</v>
      </c>
      <c r="Y7" s="54">
        <v>6600.0</v>
      </c>
      <c r="Z7" s="54">
        <v>0.0</v>
      </c>
      <c r="AA7" s="54">
        <v>0.0</v>
      </c>
      <c r="AB7" s="54">
        <v>5000.0</v>
      </c>
      <c r="AC7" s="54">
        <v>165.0</v>
      </c>
      <c r="AD7" s="54">
        <v>0.0</v>
      </c>
      <c r="AE7" s="54">
        <v>165.0</v>
      </c>
      <c r="AF7" s="54">
        <v>0.0</v>
      </c>
      <c r="AG7" s="54" t="s">
        <v>734</v>
      </c>
      <c r="AH7" s="54" t="b">
        <v>0</v>
      </c>
      <c r="AI7" s="54" t="b">
        <v>1</v>
      </c>
      <c r="AJ7" s="54">
        <v>2.0</v>
      </c>
      <c r="AK7" s="54" t="s">
        <v>742</v>
      </c>
      <c r="AL7" s="54" t="s">
        <v>754</v>
      </c>
      <c r="AM7" s="54" t="b">
        <v>0</v>
      </c>
      <c r="AN7" s="54" t="b">
        <v>0</v>
      </c>
      <c r="AO7" s="54" t="b">
        <v>0</v>
      </c>
      <c r="AP7" s="54">
        <v>72.0</v>
      </c>
      <c r="AQ7" s="54">
        <v>0.0</v>
      </c>
      <c r="AR7" s="54">
        <v>2.0</v>
      </c>
      <c r="AS7" s="54">
        <v>1.0</v>
      </c>
      <c r="AT7" s="54" t="s">
        <v>737</v>
      </c>
      <c r="AU7" s="54">
        <v>6.0</v>
      </c>
      <c r="AV7" s="54" t="s">
        <v>738</v>
      </c>
      <c r="AW7" s="54" t="s">
        <v>739</v>
      </c>
      <c r="AX7" s="54">
        <v>5.0</v>
      </c>
      <c r="AY7" s="54">
        <v>0.0</v>
      </c>
      <c r="AZ7" s="54">
        <v>15.0</v>
      </c>
      <c r="BA7" s="54">
        <v>0.0</v>
      </c>
      <c r="BB7" s="54">
        <v>15.0</v>
      </c>
      <c r="BC7" s="54" t="s">
        <v>755</v>
      </c>
      <c r="BD7" s="53"/>
      <c r="BE7" s="53"/>
    </row>
    <row r="8">
      <c r="A8" s="52">
        <v>7.0</v>
      </c>
      <c r="B8" s="52">
        <v>8.0</v>
      </c>
      <c r="C8" s="52" t="s">
        <v>69</v>
      </c>
      <c r="D8" s="52" t="s">
        <v>70</v>
      </c>
      <c r="E8" s="52" t="s">
        <v>71</v>
      </c>
      <c r="F8" s="52">
        <v>46.0</v>
      </c>
      <c r="G8" s="52">
        <v>0.0</v>
      </c>
      <c r="H8" s="52">
        <v>0.0</v>
      </c>
      <c r="I8" s="52" t="s">
        <v>752</v>
      </c>
      <c r="J8" s="52">
        <v>1997.0</v>
      </c>
      <c r="K8" s="52">
        <v>7.0</v>
      </c>
      <c r="L8" s="52">
        <v>4520.0</v>
      </c>
      <c r="M8" s="52">
        <v>1810.0</v>
      </c>
      <c r="N8" s="52">
        <v>1275.0</v>
      </c>
      <c r="O8" s="52">
        <v>2550.0</v>
      </c>
      <c r="P8" s="52">
        <v>1520.0</v>
      </c>
      <c r="Q8" s="52">
        <v>1525.0</v>
      </c>
      <c r="R8" s="52">
        <v>1510.0</v>
      </c>
      <c r="S8" s="52">
        <v>2997.0</v>
      </c>
      <c r="T8" s="52">
        <v>280.0</v>
      </c>
      <c r="U8" s="52">
        <v>0.0</v>
      </c>
      <c r="V8" s="52">
        <v>0.0</v>
      </c>
      <c r="W8" s="52">
        <v>0.0</v>
      </c>
      <c r="X8" s="52">
        <v>0.0</v>
      </c>
      <c r="Y8" s="52">
        <v>5600.0</v>
      </c>
      <c r="Z8" s="52">
        <v>0.0</v>
      </c>
      <c r="AA8" s="52">
        <v>0.0</v>
      </c>
      <c r="AB8" s="52">
        <v>3600.0</v>
      </c>
      <c r="AC8" s="52">
        <v>235.0</v>
      </c>
      <c r="AD8" s="52">
        <v>0.0</v>
      </c>
      <c r="AE8" s="52">
        <v>255.0</v>
      </c>
      <c r="AF8" s="52">
        <v>0.0</v>
      </c>
      <c r="AG8" s="52" t="s">
        <v>734</v>
      </c>
      <c r="AH8" s="52" t="b">
        <v>0</v>
      </c>
      <c r="AI8" s="52" t="b">
        <v>0</v>
      </c>
      <c r="AJ8" s="52">
        <v>0.0</v>
      </c>
      <c r="AK8" s="52" t="s">
        <v>756</v>
      </c>
      <c r="AL8" s="52" t="s">
        <v>754</v>
      </c>
      <c r="AM8" s="52" t="b">
        <v>1</v>
      </c>
      <c r="AN8" s="52" t="b">
        <v>0</v>
      </c>
      <c r="AO8" s="52" t="b">
        <v>0</v>
      </c>
      <c r="AP8" s="52">
        <v>180.0</v>
      </c>
      <c r="AQ8" s="52">
        <v>0.0</v>
      </c>
      <c r="AR8" s="52">
        <v>4.0</v>
      </c>
      <c r="AS8" s="52">
        <v>0.0</v>
      </c>
      <c r="AT8" s="52" t="s">
        <v>737</v>
      </c>
      <c r="AU8" s="52">
        <v>6.0</v>
      </c>
      <c r="AV8" s="52" t="s">
        <v>757</v>
      </c>
      <c r="AW8" s="52" t="s">
        <v>739</v>
      </c>
      <c r="AX8" s="52">
        <v>6.0</v>
      </c>
      <c r="AY8" s="52">
        <v>45.0</v>
      </c>
      <c r="AZ8" s="52">
        <v>17.0</v>
      </c>
      <c r="BA8" s="52">
        <v>40.0</v>
      </c>
      <c r="BB8" s="52">
        <v>17.0</v>
      </c>
      <c r="BC8" s="52" t="s">
        <v>758</v>
      </c>
      <c r="BD8" s="53"/>
      <c r="BE8" s="53"/>
    </row>
    <row r="9">
      <c r="A9" s="54">
        <v>8.0</v>
      </c>
      <c r="B9" s="54">
        <v>10.0</v>
      </c>
      <c r="C9" s="54" t="s">
        <v>72</v>
      </c>
      <c r="D9" s="54" t="s">
        <v>73</v>
      </c>
      <c r="E9" s="54" t="s">
        <v>74</v>
      </c>
      <c r="F9" s="54">
        <v>6.8</v>
      </c>
      <c r="G9" s="54">
        <v>6.0</v>
      </c>
      <c r="H9" s="54">
        <v>6.0</v>
      </c>
      <c r="I9" s="54" t="s">
        <v>752</v>
      </c>
      <c r="J9" s="54">
        <v>1965.0</v>
      </c>
      <c r="K9" s="54">
        <v>1.0</v>
      </c>
      <c r="L9" s="54">
        <v>3580.0</v>
      </c>
      <c r="M9" s="54">
        <v>1465.0</v>
      </c>
      <c r="N9" s="54">
        <v>1175.0</v>
      </c>
      <c r="O9" s="54">
        <v>2000.0</v>
      </c>
      <c r="P9" s="54">
        <v>1203.0</v>
      </c>
      <c r="Q9" s="54">
        <v>1160.0</v>
      </c>
      <c r="R9" s="54">
        <v>580.0</v>
      </c>
      <c r="S9" s="54">
        <v>790.0</v>
      </c>
      <c r="T9" s="54">
        <v>45.0</v>
      </c>
      <c r="U9" s="54">
        <v>0.0</v>
      </c>
      <c r="V9" s="54">
        <v>0.0</v>
      </c>
      <c r="W9" s="54">
        <v>0.0</v>
      </c>
      <c r="X9" s="54">
        <v>0.0</v>
      </c>
      <c r="Y9" s="54">
        <v>5400.0</v>
      </c>
      <c r="Z9" s="54">
        <v>0.0</v>
      </c>
      <c r="AA9" s="54">
        <v>0.0</v>
      </c>
      <c r="AB9" s="54">
        <v>3800.0</v>
      </c>
      <c r="AC9" s="54">
        <v>0.0</v>
      </c>
      <c r="AD9" s="54">
        <v>0.0</v>
      </c>
      <c r="AE9" s="54">
        <v>0.0</v>
      </c>
      <c r="AF9" s="54">
        <v>0.0</v>
      </c>
      <c r="AG9" s="54" t="s">
        <v>734</v>
      </c>
      <c r="AH9" s="54" t="b">
        <v>1</v>
      </c>
      <c r="AI9" s="54" t="b">
        <v>0</v>
      </c>
      <c r="AJ9" s="54">
        <v>2.0</v>
      </c>
      <c r="AK9" s="54" t="s">
        <v>742</v>
      </c>
      <c r="AL9" s="54" t="s">
        <v>754</v>
      </c>
      <c r="AM9" s="54" t="b">
        <v>0</v>
      </c>
      <c r="AN9" s="54" t="b">
        <v>0</v>
      </c>
      <c r="AO9" s="54" t="b">
        <v>0</v>
      </c>
      <c r="AP9" s="54">
        <v>180.0</v>
      </c>
      <c r="AQ9" s="54">
        <v>0.0</v>
      </c>
      <c r="AR9" s="54">
        <v>2.0</v>
      </c>
      <c r="AS9" s="54">
        <v>1.0</v>
      </c>
      <c r="AT9" s="54" t="s">
        <v>759</v>
      </c>
      <c r="AU9" s="54">
        <v>2.0</v>
      </c>
      <c r="AV9" s="54" t="s">
        <v>738</v>
      </c>
      <c r="AW9" s="54" t="s">
        <v>739</v>
      </c>
      <c r="AX9" s="54">
        <v>4.0</v>
      </c>
      <c r="AY9" s="54">
        <v>0.0</v>
      </c>
      <c r="AZ9" s="54">
        <v>12.0</v>
      </c>
      <c r="BA9" s="54">
        <v>0.0</v>
      </c>
      <c r="BB9" s="54">
        <v>12.0</v>
      </c>
      <c r="BC9" s="54" t="s">
        <v>760</v>
      </c>
      <c r="BD9" s="53"/>
      <c r="BE9" s="53"/>
    </row>
    <row r="10">
      <c r="A10" s="52">
        <v>9.0</v>
      </c>
      <c r="B10" s="52">
        <v>11.0</v>
      </c>
      <c r="C10" s="52" t="s">
        <v>75</v>
      </c>
      <c r="D10" s="52" t="s">
        <v>76</v>
      </c>
      <c r="E10" s="52" t="s">
        <v>77</v>
      </c>
      <c r="F10" s="52">
        <v>0.0</v>
      </c>
      <c r="G10" s="52">
        <v>0.0</v>
      </c>
      <c r="H10" s="52">
        <v>0.0</v>
      </c>
      <c r="I10" s="52" t="s">
        <v>752</v>
      </c>
      <c r="J10" s="52">
        <v>1999.0</v>
      </c>
      <c r="K10" s="52">
        <v>8.0</v>
      </c>
      <c r="L10" s="52">
        <v>4840.0</v>
      </c>
      <c r="M10" s="52">
        <v>2000.0</v>
      </c>
      <c r="N10" s="52">
        <v>1125.0</v>
      </c>
      <c r="O10" s="52">
        <v>2800.0</v>
      </c>
      <c r="P10" s="52">
        <v>1600.0</v>
      </c>
      <c r="Q10" s="52">
        <v>1644.0</v>
      </c>
      <c r="R10" s="52">
        <v>900.0</v>
      </c>
      <c r="S10" s="52">
        <v>3600.0</v>
      </c>
      <c r="T10" s="52">
        <v>660.0</v>
      </c>
      <c r="U10" s="52">
        <v>0.0</v>
      </c>
      <c r="V10" s="52">
        <v>0.0</v>
      </c>
      <c r="W10" s="52">
        <v>0.0</v>
      </c>
      <c r="X10" s="52">
        <v>0.0</v>
      </c>
      <c r="Y10" s="52">
        <v>0.0</v>
      </c>
      <c r="Z10" s="52">
        <v>0.0</v>
      </c>
      <c r="AA10" s="52">
        <v>0.0</v>
      </c>
      <c r="AB10" s="52">
        <v>0.0</v>
      </c>
      <c r="AC10" s="52">
        <v>290.0</v>
      </c>
      <c r="AD10" s="52">
        <v>650.0</v>
      </c>
      <c r="AE10" s="52">
        <v>310.0</v>
      </c>
      <c r="AF10" s="52">
        <v>710.0</v>
      </c>
      <c r="AG10" s="52" t="s">
        <v>734</v>
      </c>
      <c r="AH10" s="52" t="b">
        <v>0</v>
      </c>
      <c r="AI10" s="52" t="b">
        <v>0</v>
      </c>
      <c r="AJ10" s="52">
        <v>0.0</v>
      </c>
      <c r="AK10" s="52" t="s">
        <v>761</v>
      </c>
      <c r="AL10" s="52" t="s">
        <v>762</v>
      </c>
      <c r="AM10" s="52" t="b">
        <v>0</v>
      </c>
      <c r="AN10" s="52" t="b">
        <v>0</v>
      </c>
      <c r="AO10" s="52" t="b">
        <v>0</v>
      </c>
      <c r="AP10" s="52">
        <v>0.0</v>
      </c>
      <c r="AQ10" s="52">
        <v>0.0</v>
      </c>
      <c r="AR10" s="52">
        <v>1.0</v>
      </c>
      <c r="AS10" s="52">
        <v>0.0</v>
      </c>
      <c r="AT10" s="52" t="s">
        <v>749</v>
      </c>
      <c r="AU10" s="52">
        <v>8.0</v>
      </c>
      <c r="AV10" s="52" t="s">
        <v>757</v>
      </c>
      <c r="AW10" s="52" t="s">
        <v>750</v>
      </c>
      <c r="AX10" s="52">
        <v>6.0</v>
      </c>
      <c r="AY10" s="52">
        <v>0.0</v>
      </c>
      <c r="AZ10" s="52">
        <v>18.0</v>
      </c>
      <c r="BA10" s="52">
        <v>0.0</v>
      </c>
      <c r="BB10" s="52">
        <v>18.0</v>
      </c>
      <c r="BC10" s="52" t="s">
        <v>763</v>
      </c>
      <c r="BD10" s="53"/>
      <c r="BE10" s="53"/>
    </row>
    <row r="11">
      <c r="A11" s="54">
        <v>10.0</v>
      </c>
      <c r="B11" s="54">
        <v>13.0</v>
      </c>
      <c r="C11" s="54" t="s">
        <v>78</v>
      </c>
      <c r="D11" s="54" t="s">
        <v>79</v>
      </c>
      <c r="E11" s="54" t="s">
        <v>80</v>
      </c>
      <c r="F11" s="54">
        <v>21.0</v>
      </c>
      <c r="G11" s="54">
        <v>0.0</v>
      </c>
      <c r="H11" s="54">
        <v>0.0</v>
      </c>
      <c r="I11" s="54" t="s">
        <v>741</v>
      </c>
      <c r="J11" s="54">
        <v>1971.0</v>
      </c>
      <c r="K11" s="54">
        <v>3.0</v>
      </c>
      <c r="L11" s="54">
        <v>4305.0</v>
      </c>
      <c r="M11" s="54">
        <v>1690.0</v>
      </c>
      <c r="N11" s="54">
        <v>1285.0</v>
      </c>
      <c r="O11" s="54">
        <v>2305.0</v>
      </c>
      <c r="P11" s="54">
        <v>1355.0</v>
      </c>
      <c r="Q11" s="54">
        <v>1345.0</v>
      </c>
      <c r="R11" s="54">
        <v>1010.0</v>
      </c>
      <c r="S11" s="54">
        <v>2393.0</v>
      </c>
      <c r="T11" s="54">
        <v>150.0</v>
      </c>
      <c r="U11" s="54">
        <v>0.0</v>
      </c>
      <c r="V11" s="54">
        <v>0.0</v>
      </c>
      <c r="W11" s="54">
        <v>0.0</v>
      </c>
      <c r="X11" s="54">
        <v>0.0</v>
      </c>
      <c r="Y11" s="54">
        <v>5600.0</v>
      </c>
      <c r="Z11" s="54">
        <v>0.0</v>
      </c>
      <c r="AA11" s="54">
        <v>0.0</v>
      </c>
      <c r="AB11" s="54">
        <v>4800.0</v>
      </c>
      <c r="AC11" s="54">
        <v>175.0</v>
      </c>
      <c r="AD11" s="54">
        <v>0.0</v>
      </c>
      <c r="AE11" s="54">
        <v>175.0</v>
      </c>
      <c r="AF11" s="54">
        <v>0.0</v>
      </c>
      <c r="AG11" s="54" t="s">
        <v>734</v>
      </c>
      <c r="AH11" s="54" t="b">
        <v>0</v>
      </c>
      <c r="AI11" s="54" t="b">
        <v>0</v>
      </c>
      <c r="AJ11" s="54">
        <v>2.0</v>
      </c>
      <c r="AK11" s="54" t="s">
        <v>742</v>
      </c>
      <c r="AL11" s="54" t="s">
        <v>736</v>
      </c>
      <c r="AM11" s="54" t="b">
        <v>0</v>
      </c>
      <c r="AN11" s="54" t="b">
        <v>0</v>
      </c>
      <c r="AO11" s="54" t="b">
        <v>0</v>
      </c>
      <c r="AP11" s="54">
        <v>180.0</v>
      </c>
      <c r="AQ11" s="54">
        <v>0.0</v>
      </c>
      <c r="AR11" s="54">
        <v>2.0</v>
      </c>
      <c r="AS11" s="54">
        <v>1.0</v>
      </c>
      <c r="AT11" s="54" t="s">
        <v>737</v>
      </c>
      <c r="AU11" s="54">
        <v>6.0</v>
      </c>
      <c r="AV11" s="54" t="s">
        <v>738</v>
      </c>
      <c r="AW11" s="54" t="s">
        <v>739</v>
      </c>
      <c r="AX11" s="54">
        <v>5.0</v>
      </c>
      <c r="AY11" s="54">
        <v>82.0</v>
      </c>
      <c r="AZ11" s="54">
        <v>14.0</v>
      </c>
      <c r="BA11" s="54">
        <v>82.0</v>
      </c>
      <c r="BB11" s="54">
        <v>14.0</v>
      </c>
      <c r="BC11" s="54" t="s">
        <v>764</v>
      </c>
      <c r="BD11" s="53"/>
      <c r="BE11" s="53"/>
    </row>
    <row r="12">
      <c r="A12" s="52">
        <v>11.0</v>
      </c>
      <c r="B12" s="52">
        <v>14.0</v>
      </c>
      <c r="C12" s="52" t="s">
        <v>81</v>
      </c>
      <c r="D12" s="52" t="s">
        <v>82</v>
      </c>
      <c r="E12" s="52" t="s">
        <v>83</v>
      </c>
      <c r="F12" s="52">
        <v>13.5</v>
      </c>
      <c r="G12" s="52">
        <v>5.6</v>
      </c>
      <c r="H12" s="52">
        <v>5.6</v>
      </c>
      <c r="I12" s="52" t="s">
        <v>741</v>
      </c>
      <c r="J12" s="52">
        <v>1970.0</v>
      </c>
      <c r="K12" s="52">
        <v>2.0</v>
      </c>
      <c r="L12" s="52">
        <v>4095.0</v>
      </c>
      <c r="M12" s="52">
        <v>1560.0</v>
      </c>
      <c r="N12" s="52">
        <v>1405.0</v>
      </c>
      <c r="O12" s="52">
        <v>2420.0</v>
      </c>
      <c r="P12" s="52">
        <v>1270.0</v>
      </c>
      <c r="Q12" s="52">
        <v>1270.0</v>
      </c>
      <c r="R12" s="52">
        <v>935.0</v>
      </c>
      <c r="S12" s="52">
        <v>1595.0</v>
      </c>
      <c r="T12" s="52">
        <v>100.0</v>
      </c>
      <c r="U12" s="52">
        <v>0.0</v>
      </c>
      <c r="V12" s="52">
        <v>0.0</v>
      </c>
      <c r="W12" s="52">
        <v>0.0</v>
      </c>
      <c r="X12" s="52">
        <v>0.0</v>
      </c>
      <c r="Y12" s="52">
        <v>6000.0</v>
      </c>
      <c r="Z12" s="52">
        <v>0.0</v>
      </c>
      <c r="AA12" s="52">
        <v>0.0</v>
      </c>
      <c r="AB12" s="52">
        <v>4000.0</v>
      </c>
      <c r="AC12" s="52">
        <v>0.0</v>
      </c>
      <c r="AD12" s="52">
        <v>0.0</v>
      </c>
      <c r="AE12" s="52">
        <v>0.0</v>
      </c>
      <c r="AF12" s="52">
        <v>0.0</v>
      </c>
      <c r="AG12" s="52" t="s">
        <v>734</v>
      </c>
      <c r="AH12" s="52" t="b">
        <v>0</v>
      </c>
      <c r="AI12" s="52" t="b">
        <v>0</v>
      </c>
      <c r="AJ12" s="52">
        <v>2.0</v>
      </c>
      <c r="AK12" s="52" t="s">
        <v>742</v>
      </c>
      <c r="AL12" s="52" t="s">
        <v>765</v>
      </c>
      <c r="AM12" s="52" t="b">
        <v>0</v>
      </c>
      <c r="AN12" s="52" t="b">
        <v>0</v>
      </c>
      <c r="AO12" s="52" t="b">
        <v>0</v>
      </c>
      <c r="AP12" s="52">
        <v>108.0</v>
      </c>
      <c r="AQ12" s="52">
        <v>0.0</v>
      </c>
      <c r="AR12" s="52">
        <v>5.0</v>
      </c>
      <c r="AS12" s="52">
        <v>1.0</v>
      </c>
      <c r="AT12" s="52" t="s">
        <v>737</v>
      </c>
      <c r="AU12" s="52">
        <v>4.0</v>
      </c>
      <c r="AV12" s="52" t="s">
        <v>738</v>
      </c>
      <c r="AW12" s="52" t="s">
        <v>739</v>
      </c>
      <c r="AX12" s="52">
        <v>4.0</v>
      </c>
      <c r="AY12" s="52">
        <v>0.0</v>
      </c>
      <c r="AZ12" s="52">
        <v>13.0</v>
      </c>
      <c r="BA12" s="52">
        <v>0.0</v>
      </c>
      <c r="BB12" s="52">
        <v>13.0</v>
      </c>
      <c r="BC12" s="52" t="s">
        <v>766</v>
      </c>
      <c r="BD12" s="53"/>
      <c r="BE12" s="53"/>
    </row>
    <row r="13">
      <c r="A13" s="54">
        <v>12.0</v>
      </c>
      <c r="B13" s="54">
        <v>15.0</v>
      </c>
      <c r="C13" s="54" t="s">
        <v>84</v>
      </c>
      <c r="D13" s="54" t="s">
        <v>85</v>
      </c>
      <c r="E13" s="54" t="s">
        <v>86</v>
      </c>
      <c r="F13" s="54">
        <v>10.3</v>
      </c>
      <c r="G13" s="54">
        <v>0.0</v>
      </c>
      <c r="H13" s="54">
        <v>0.0</v>
      </c>
      <c r="I13" s="54" t="s">
        <v>747</v>
      </c>
      <c r="J13" s="54">
        <v>1974.0</v>
      </c>
      <c r="K13" s="54">
        <v>2.0</v>
      </c>
      <c r="L13" s="54">
        <v>3650.0</v>
      </c>
      <c r="M13" s="54">
        <v>1505.0</v>
      </c>
      <c r="N13" s="54">
        <v>1320.0</v>
      </c>
      <c r="O13" s="54">
        <v>2200.0</v>
      </c>
      <c r="P13" s="54">
        <v>1305.0</v>
      </c>
      <c r="Q13" s="54">
        <v>1285.0</v>
      </c>
      <c r="R13" s="54">
        <v>705.0</v>
      </c>
      <c r="S13" s="54">
        <v>1169.0</v>
      </c>
      <c r="T13" s="54">
        <v>76.0</v>
      </c>
      <c r="U13" s="54">
        <v>0.0</v>
      </c>
      <c r="V13" s="54">
        <v>0.0</v>
      </c>
      <c r="W13" s="54">
        <v>0.0</v>
      </c>
      <c r="X13" s="54">
        <v>0.0</v>
      </c>
      <c r="Y13" s="54">
        <v>6000.0</v>
      </c>
      <c r="Z13" s="54">
        <v>0.0</v>
      </c>
      <c r="AA13" s="54">
        <v>0.0</v>
      </c>
      <c r="AB13" s="54">
        <v>4000.0</v>
      </c>
      <c r="AC13" s="54">
        <v>155.0</v>
      </c>
      <c r="AD13" s="54">
        <v>0.0</v>
      </c>
      <c r="AE13" s="54">
        <v>155.0</v>
      </c>
      <c r="AF13" s="54">
        <v>0.0</v>
      </c>
      <c r="AG13" s="54" t="s">
        <v>734</v>
      </c>
      <c r="AH13" s="54" t="b">
        <v>0</v>
      </c>
      <c r="AI13" s="54" t="b">
        <v>0</v>
      </c>
      <c r="AJ13" s="54">
        <v>0.0</v>
      </c>
      <c r="AK13" s="54" t="s">
        <v>742</v>
      </c>
      <c r="AL13" s="54" t="s">
        <v>743</v>
      </c>
      <c r="AM13" s="54" t="b">
        <v>0</v>
      </c>
      <c r="AN13" s="54" t="b">
        <v>0</v>
      </c>
      <c r="AO13" s="54" t="b">
        <v>0</v>
      </c>
      <c r="AP13" s="54">
        <v>180.0</v>
      </c>
      <c r="AQ13" s="54">
        <v>0.0</v>
      </c>
      <c r="AR13" s="54">
        <v>5.0</v>
      </c>
      <c r="AS13" s="54">
        <v>1.0</v>
      </c>
      <c r="AT13" s="54" t="s">
        <v>737</v>
      </c>
      <c r="AU13" s="54">
        <v>4.0</v>
      </c>
      <c r="AV13" s="54" t="s">
        <v>738</v>
      </c>
      <c r="AW13" s="54" t="s">
        <v>744</v>
      </c>
      <c r="AX13" s="54">
        <v>5.0</v>
      </c>
      <c r="AY13" s="54">
        <v>82.0</v>
      </c>
      <c r="AZ13" s="54">
        <v>13.0</v>
      </c>
      <c r="BA13" s="54">
        <v>82.0</v>
      </c>
      <c r="BB13" s="54">
        <v>13.0</v>
      </c>
      <c r="BC13" s="54" t="s">
        <v>767</v>
      </c>
      <c r="BD13" s="53"/>
      <c r="BE13" s="53"/>
    </row>
    <row r="14">
      <c r="A14" s="52">
        <v>13.0</v>
      </c>
      <c r="B14" s="52">
        <v>16.0</v>
      </c>
      <c r="C14" s="52" t="s">
        <v>87</v>
      </c>
      <c r="D14" s="52" t="s">
        <v>88</v>
      </c>
      <c r="E14" s="52" t="s">
        <v>89</v>
      </c>
      <c r="F14" s="52">
        <v>6.7</v>
      </c>
      <c r="G14" s="52">
        <v>6.15</v>
      </c>
      <c r="H14" s="52">
        <v>6.15</v>
      </c>
      <c r="I14" s="52" t="s">
        <v>747</v>
      </c>
      <c r="J14" s="52">
        <v>1966.0</v>
      </c>
      <c r="K14" s="52">
        <v>2.0</v>
      </c>
      <c r="L14" s="52">
        <v>3335.0</v>
      </c>
      <c r="M14" s="52">
        <v>1400.0</v>
      </c>
      <c r="N14" s="52">
        <v>1200.0</v>
      </c>
      <c r="O14" s="52">
        <v>2000.0</v>
      </c>
      <c r="P14" s="52">
        <v>1150.0</v>
      </c>
      <c r="Q14" s="52">
        <v>1128.0</v>
      </c>
      <c r="R14" s="52">
        <v>720.0</v>
      </c>
      <c r="S14" s="52">
        <v>791.0</v>
      </c>
      <c r="T14" s="52">
        <v>70.0</v>
      </c>
      <c r="U14" s="52">
        <v>0.0</v>
      </c>
      <c r="V14" s="52">
        <v>0.0</v>
      </c>
      <c r="W14" s="52">
        <v>0.0</v>
      </c>
      <c r="X14" s="52">
        <v>0.0</v>
      </c>
      <c r="Y14" s="52">
        <v>8000.0</v>
      </c>
      <c r="Z14" s="52">
        <v>0.0</v>
      </c>
      <c r="AA14" s="52">
        <v>0.0</v>
      </c>
      <c r="AB14" s="52">
        <v>6000.0</v>
      </c>
      <c r="AC14" s="52">
        <v>0.0</v>
      </c>
      <c r="AD14" s="52">
        <v>0.0</v>
      </c>
      <c r="AE14" s="52">
        <v>0.0</v>
      </c>
      <c r="AF14" s="52">
        <v>0.0</v>
      </c>
      <c r="AG14" s="52" t="s">
        <v>734</v>
      </c>
      <c r="AH14" s="52" t="b">
        <v>1</v>
      </c>
      <c r="AI14" s="52" t="b">
        <v>0</v>
      </c>
      <c r="AJ14" s="52">
        <v>0.0</v>
      </c>
      <c r="AK14" s="52" t="s">
        <v>742</v>
      </c>
      <c r="AL14" s="52" t="s">
        <v>754</v>
      </c>
      <c r="AM14" s="52" t="b">
        <v>0</v>
      </c>
      <c r="AN14" s="52" t="b">
        <v>0</v>
      </c>
      <c r="AO14" s="52" t="b">
        <v>0</v>
      </c>
      <c r="AP14" s="52">
        <v>180.0</v>
      </c>
      <c r="AQ14" s="52">
        <v>0.0</v>
      </c>
      <c r="AR14" s="52">
        <v>2.0</v>
      </c>
      <c r="AS14" s="52">
        <v>1.0</v>
      </c>
      <c r="AT14" s="52" t="s">
        <v>737</v>
      </c>
      <c r="AU14" s="52">
        <v>4.0</v>
      </c>
      <c r="AV14" s="52" t="s">
        <v>738</v>
      </c>
      <c r="AW14" s="52" t="s">
        <v>739</v>
      </c>
      <c r="AX14" s="52">
        <v>4.0</v>
      </c>
      <c r="AY14" s="52">
        <v>0.0</v>
      </c>
      <c r="AZ14" s="52">
        <v>13.0</v>
      </c>
      <c r="BA14" s="52">
        <v>0.0</v>
      </c>
      <c r="BB14" s="52">
        <v>13.0</v>
      </c>
      <c r="BC14" s="52" t="s">
        <v>768</v>
      </c>
      <c r="BD14" s="53"/>
      <c r="BE14" s="53"/>
    </row>
    <row r="15">
      <c r="A15" s="54">
        <v>14.0</v>
      </c>
      <c r="B15" s="54">
        <v>17.0</v>
      </c>
      <c r="C15" s="54" t="s">
        <v>90</v>
      </c>
      <c r="D15" s="54" t="s">
        <v>91</v>
      </c>
      <c r="E15" s="54" t="s">
        <v>92</v>
      </c>
      <c r="F15" s="54">
        <v>62.0</v>
      </c>
      <c r="G15" s="54">
        <v>0.0</v>
      </c>
      <c r="H15" s="54">
        <v>0.0</v>
      </c>
      <c r="I15" s="54" t="s">
        <v>733</v>
      </c>
      <c r="J15" s="54">
        <v>1991.0</v>
      </c>
      <c r="K15" s="54">
        <v>8.0</v>
      </c>
      <c r="L15" s="54">
        <v>4782.0</v>
      </c>
      <c r="M15" s="54">
        <v>1994.0</v>
      </c>
      <c r="N15" s="54">
        <v>1003.0</v>
      </c>
      <c r="O15" s="54">
        <v>2662.0</v>
      </c>
      <c r="P15" s="54">
        <v>1534.0</v>
      </c>
      <c r="Q15" s="54">
        <v>1504.0</v>
      </c>
      <c r="R15" s="54">
        <v>830.0</v>
      </c>
      <c r="S15" s="54">
        <v>654.0</v>
      </c>
      <c r="T15" s="54">
        <v>700.0</v>
      </c>
      <c r="U15" s="54">
        <v>0.0</v>
      </c>
      <c r="V15" s="54">
        <v>0.0</v>
      </c>
      <c r="W15" s="54">
        <v>0.0</v>
      </c>
      <c r="X15" s="54">
        <v>0.0</v>
      </c>
      <c r="Y15" s="54">
        <v>9000.0</v>
      </c>
      <c r="Z15" s="54">
        <v>0.0</v>
      </c>
      <c r="AA15" s="54">
        <v>0.0</v>
      </c>
      <c r="AB15" s="54">
        <v>6500.0</v>
      </c>
      <c r="AC15" s="54">
        <v>300.0</v>
      </c>
      <c r="AD15" s="54">
        <v>640.0</v>
      </c>
      <c r="AE15" s="54">
        <v>355.0</v>
      </c>
      <c r="AF15" s="54">
        <v>710.0</v>
      </c>
      <c r="AG15" s="54" t="s">
        <v>734</v>
      </c>
      <c r="AH15" s="54" t="b">
        <v>0</v>
      </c>
      <c r="AI15" s="54" t="b">
        <v>0</v>
      </c>
      <c r="AJ15" s="54">
        <v>1.0</v>
      </c>
      <c r="AK15" s="54" t="s">
        <v>761</v>
      </c>
      <c r="AL15" s="54" t="s">
        <v>762</v>
      </c>
      <c r="AM15" s="54" t="b">
        <v>0</v>
      </c>
      <c r="AN15" s="54" t="b">
        <v>0</v>
      </c>
      <c r="AO15" s="54" t="b">
        <v>0</v>
      </c>
      <c r="AP15" s="54">
        <v>0.0</v>
      </c>
      <c r="AQ15" s="54">
        <v>0.0</v>
      </c>
      <c r="AR15" s="54">
        <v>1.0</v>
      </c>
      <c r="AS15" s="54">
        <v>0.0</v>
      </c>
      <c r="AT15" s="54" t="s">
        <v>769</v>
      </c>
      <c r="AU15" s="54">
        <v>4.0</v>
      </c>
      <c r="AV15" s="54" t="s">
        <v>738</v>
      </c>
      <c r="AW15" s="54" t="s">
        <v>750</v>
      </c>
      <c r="AX15" s="54">
        <v>5.0</v>
      </c>
      <c r="AY15" s="54">
        <v>0.0</v>
      </c>
      <c r="AZ15" s="54">
        <v>18.0</v>
      </c>
      <c r="BA15" s="54">
        <v>0.0</v>
      </c>
      <c r="BB15" s="54">
        <v>18.0</v>
      </c>
      <c r="BC15" s="54" t="s">
        <v>770</v>
      </c>
      <c r="BD15" s="53"/>
      <c r="BE15" s="53"/>
    </row>
    <row r="16">
      <c r="A16" s="52">
        <v>15.0</v>
      </c>
      <c r="B16" s="52">
        <v>18.0</v>
      </c>
      <c r="C16" s="52" t="s">
        <v>93</v>
      </c>
      <c r="D16" s="52" t="s">
        <v>94</v>
      </c>
      <c r="E16" s="52" t="s">
        <v>95</v>
      </c>
      <c r="F16" s="52">
        <v>14.2</v>
      </c>
      <c r="G16" s="52">
        <v>0.0</v>
      </c>
      <c r="H16" s="52">
        <v>0.0</v>
      </c>
      <c r="I16" s="52" t="s">
        <v>733</v>
      </c>
      <c r="J16" s="52">
        <v>1968.0</v>
      </c>
      <c r="K16" s="52">
        <v>3.0</v>
      </c>
      <c r="L16" s="52">
        <v>4130.0</v>
      </c>
      <c r="M16" s="52">
        <v>1590.0</v>
      </c>
      <c r="N16" s="52">
        <v>1165.0</v>
      </c>
      <c r="O16" s="52">
        <v>2350.0</v>
      </c>
      <c r="P16" s="52">
        <v>1260.0</v>
      </c>
      <c r="Q16" s="52">
        <v>1250.0</v>
      </c>
      <c r="R16" s="52">
        <v>960.0</v>
      </c>
      <c r="S16" s="52">
        <v>491.0</v>
      </c>
      <c r="T16" s="52">
        <v>128.0</v>
      </c>
      <c r="U16" s="52">
        <v>0.0</v>
      </c>
      <c r="V16" s="52">
        <v>0.0</v>
      </c>
      <c r="W16" s="52">
        <v>0.0</v>
      </c>
      <c r="X16" s="52">
        <v>0.0</v>
      </c>
      <c r="Y16" s="52">
        <v>7000.0</v>
      </c>
      <c r="Z16" s="52">
        <v>0.0</v>
      </c>
      <c r="AA16" s="52">
        <v>0.0</v>
      </c>
      <c r="AB16" s="52">
        <v>5000.0</v>
      </c>
      <c r="AC16" s="52">
        <v>155.0</v>
      </c>
      <c r="AD16" s="52">
        <v>0.0</v>
      </c>
      <c r="AE16" s="52">
        <v>155.0</v>
      </c>
      <c r="AF16" s="52">
        <v>0.0</v>
      </c>
      <c r="AG16" s="52" t="s">
        <v>734</v>
      </c>
      <c r="AH16" s="52" t="b">
        <v>0</v>
      </c>
      <c r="AI16" s="52" t="b">
        <v>0</v>
      </c>
      <c r="AJ16" s="52">
        <v>2.0</v>
      </c>
      <c r="AK16" s="52" t="s">
        <v>742</v>
      </c>
      <c r="AL16" s="52" t="s">
        <v>771</v>
      </c>
      <c r="AM16" s="52" t="b">
        <v>0</v>
      </c>
      <c r="AN16" s="52" t="b">
        <v>0</v>
      </c>
      <c r="AO16" s="52" t="b">
        <v>0</v>
      </c>
      <c r="AP16" s="52">
        <v>72.0</v>
      </c>
      <c r="AQ16" s="52">
        <v>0.0</v>
      </c>
      <c r="AR16" s="52">
        <v>2.0</v>
      </c>
      <c r="AS16" s="52">
        <v>1.0</v>
      </c>
      <c r="AT16" s="52" t="s">
        <v>769</v>
      </c>
      <c r="AU16" s="52">
        <v>2.0</v>
      </c>
      <c r="AV16" s="52" t="s">
        <v>738</v>
      </c>
      <c r="AW16" s="52" t="s">
        <v>739</v>
      </c>
      <c r="AX16" s="52">
        <v>5.0</v>
      </c>
      <c r="AY16" s="52">
        <v>82.0</v>
      </c>
      <c r="AZ16" s="52">
        <v>15.0</v>
      </c>
      <c r="BA16" s="52">
        <v>82.0</v>
      </c>
      <c r="BB16" s="52">
        <v>15.0</v>
      </c>
      <c r="BC16" s="52" t="s">
        <v>772</v>
      </c>
      <c r="BD16" s="53"/>
      <c r="BE16" s="53"/>
    </row>
    <row r="17">
      <c r="A17" s="54">
        <v>16.0</v>
      </c>
      <c r="B17" s="54">
        <v>19.0</v>
      </c>
      <c r="C17" s="54" t="s">
        <v>96</v>
      </c>
      <c r="D17" s="54" t="s">
        <v>97</v>
      </c>
      <c r="E17" s="54" t="s">
        <v>98</v>
      </c>
      <c r="F17" s="54">
        <v>14.5</v>
      </c>
      <c r="G17" s="54">
        <v>0.0</v>
      </c>
      <c r="H17" s="54">
        <v>0.0</v>
      </c>
      <c r="I17" s="54" t="s">
        <v>773</v>
      </c>
      <c r="J17" s="54">
        <v>1970.0</v>
      </c>
      <c r="K17" s="54">
        <v>2.0</v>
      </c>
      <c r="L17" s="54">
        <v>4125.0</v>
      </c>
      <c r="M17" s="54">
        <v>1580.0</v>
      </c>
      <c r="N17" s="54">
        <v>1310.0</v>
      </c>
      <c r="O17" s="54">
        <v>2420.0</v>
      </c>
      <c r="P17" s="54">
        <v>1295.0</v>
      </c>
      <c r="Q17" s="54">
        <v>1285.0</v>
      </c>
      <c r="R17" s="54">
        <v>980.0</v>
      </c>
      <c r="S17" s="54">
        <v>1597.0</v>
      </c>
      <c r="T17" s="54">
        <v>125.0</v>
      </c>
      <c r="U17" s="54">
        <v>0.0</v>
      </c>
      <c r="V17" s="54">
        <v>0.0</v>
      </c>
      <c r="W17" s="54">
        <v>0.0</v>
      </c>
      <c r="X17" s="54">
        <v>0.0</v>
      </c>
      <c r="Y17" s="54">
        <v>6800.0</v>
      </c>
      <c r="Z17" s="54">
        <v>0.0</v>
      </c>
      <c r="AA17" s="54">
        <v>0.0</v>
      </c>
      <c r="AB17" s="54">
        <v>5000.0</v>
      </c>
      <c r="AC17" s="54">
        <v>165.0</v>
      </c>
      <c r="AD17" s="54">
        <v>0.0</v>
      </c>
      <c r="AE17" s="54">
        <v>165.0</v>
      </c>
      <c r="AF17" s="54">
        <v>0.0</v>
      </c>
      <c r="AG17" s="54" t="s">
        <v>734</v>
      </c>
      <c r="AH17" s="54" t="b">
        <v>0</v>
      </c>
      <c r="AI17" s="54" t="b">
        <v>0</v>
      </c>
      <c r="AJ17" s="54">
        <v>0.0</v>
      </c>
      <c r="AK17" s="54" t="s">
        <v>742</v>
      </c>
      <c r="AL17" s="54" t="s">
        <v>771</v>
      </c>
      <c r="AM17" s="54" t="b">
        <v>0</v>
      </c>
      <c r="AN17" s="54" t="b">
        <v>0</v>
      </c>
      <c r="AO17" s="54" t="b">
        <v>0</v>
      </c>
      <c r="AP17" s="54">
        <v>180.0</v>
      </c>
      <c r="AQ17" s="54">
        <v>0.0</v>
      </c>
      <c r="AR17" s="54">
        <v>5.0</v>
      </c>
      <c r="AS17" s="54">
        <v>1.0</v>
      </c>
      <c r="AT17" s="54" t="s">
        <v>737</v>
      </c>
      <c r="AU17" s="54">
        <v>4.0</v>
      </c>
      <c r="AV17" s="54" t="s">
        <v>738</v>
      </c>
      <c r="AW17" s="54" t="s">
        <v>739</v>
      </c>
      <c r="AX17" s="54">
        <v>5.0</v>
      </c>
      <c r="AY17" s="54">
        <v>82.0</v>
      </c>
      <c r="AZ17" s="54">
        <v>13.0</v>
      </c>
      <c r="BA17" s="54">
        <v>82.0</v>
      </c>
      <c r="BB17" s="54">
        <v>13.0</v>
      </c>
      <c r="BC17" s="54" t="s">
        <v>774</v>
      </c>
      <c r="BD17" s="53"/>
      <c r="BE17" s="53"/>
    </row>
    <row r="18">
      <c r="A18" s="52">
        <v>17.0</v>
      </c>
      <c r="B18" s="52">
        <v>20.0</v>
      </c>
      <c r="C18" s="52" t="s">
        <v>99</v>
      </c>
      <c r="D18" s="52" t="s">
        <v>100</v>
      </c>
      <c r="E18" s="52" t="s">
        <v>101</v>
      </c>
      <c r="F18" s="52">
        <v>6.3</v>
      </c>
      <c r="G18" s="52">
        <v>0.0</v>
      </c>
      <c r="H18" s="52">
        <v>0.0</v>
      </c>
      <c r="I18" s="52" t="s">
        <v>773</v>
      </c>
      <c r="J18" s="52">
        <v>2002.0</v>
      </c>
      <c r="K18" s="52">
        <v>1.0</v>
      </c>
      <c r="L18" s="52">
        <v>3395.0</v>
      </c>
      <c r="M18" s="52">
        <v>1475.0</v>
      </c>
      <c r="N18" s="52">
        <v>1550.0</v>
      </c>
      <c r="O18" s="52">
        <v>2340.0</v>
      </c>
      <c r="P18" s="52">
        <v>1295.0</v>
      </c>
      <c r="Q18" s="52">
        <v>1295.0</v>
      </c>
      <c r="R18" s="52">
        <v>790.0</v>
      </c>
      <c r="S18" s="52">
        <v>657.0</v>
      </c>
      <c r="T18" s="52">
        <v>50.0</v>
      </c>
      <c r="U18" s="52">
        <v>37.0</v>
      </c>
      <c r="V18" s="52">
        <v>0.0</v>
      </c>
      <c r="W18" s="52">
        <v>0.0</v>
      </c>
      <c r="X18" s="52">
        <v>0.0</v>
      </c>
      <c r="Y18" s="52">
        <v>6500.0</v>
      </c>
      <c r="Z18" s="52">
        <v>62.0</v>
      </c>
      <c r="AA18" s="52">
        <v>0.0</v>
      </c>
      <c r="AB18" s="52">
        <v>4000.0</v>
      </c>
      <c r="AC18" s="52">
        <v>155.0</v>
      </c>
      <c r="AD18" s="52">
        <v>0.0</v>
      </c>
      <c r="AE18" s="52">
        <v>155.0</v>
      </c>
      <c r="AF18" s="52">
        <v>0.0</v>
      </c>
      <c r="AG18" s="52" t="s">
        <v>734</v>
      </c>
      <c r="AH18" s="52" t="b">
        <v>0</v>
      </c>
      <c r="AI18" s="52" t="b">
        <v>0</v>
      </c>
      <c r="AJ18" s="52">
        <v>0.0</v>
      </c>
      <c r="AK18" s="52" t="s">
        <v>742</v>
      </c>
      <c r="AL18" s="52" t="s">
        <v>743</v>
      </c>
      <c r="AM18" s="52" t="b">
        <v>0</v>
      </c>
      <c r="AN18" s="52" t="b">
        <v>0</v>
      </c>
      <c r="AO18" s="52" t="b">
        <v>0</v>
      </c>
      <c r="AP18" s="52">
        <v>252.0</v>
      </c>
      <c r="AQ18" s="52">
        <v>1.0</v>
      </c>
      <c r="AR18" s="52">
        <v>4.0</v>
      </c>
      <c r="AS18" s="52">
        <v>0.0</v>
      </c>
      <c r="AT18" s="52" t="s">
        <v>737</v>
      </c>
      <c r="AU18" s="52">
        <v>3.0</v>
      </c>
      <c r="AV18" s="52" t="s">
        <v>738</v>
      </c>
      <c r="AW18" s="52" t="s">
        <v>744</v>
      </c>
      <c r="AX18" s="52">
        <v>3.0</v>
      </c>
      <c r="AY18" s="52">
        <v>65.0</v>
      </c>
      <c r="AZ18" s="52">
        <v>13.0</v>
      </c>
      <c r="BA18" s="52">
        <v>65.0</v>
      </c>
      <c r="BB18" s="52">
        <v>13.0</v>
      </c>
      <c r="BC18" s="52" t="s">
        <v>775</v>
      </c>
      <c r="BD18" s="53"/>
      <c r="BE18" s="53"/>
    </row>
    <row r="19">
      <c r="A19" s="54">
        <v>18.0</v>
      </c>
      <c r="B19" s="54">
        <v>21.0</v>
      </c>
      <c r="C19" s="54" t="s">
        <v>102</v>
      </c>
      <c r="D19" s="54" t="s">
        <v>103</v>
      </c>
      <c r="E19" s="54" t="s">
        <v>104</v>
      </c>
      <c r="F19" s="54">
        <v>3.8</v>
      </c>
      <c r="G19" s="54">
        <v>4.8</v>
      </c>
      <c r="H19" s="54">
        <v>4.8</v>
      </c>
      <c r="I19" s="54" t="s">
        <v>776</v>
      </c>
      <c r="J19" s="54">
        <v>1968.0</v>
      </c>
      <c r="K19" s="54">
        <v>1.0</v>
      </c>
      <c r="L19" s="54">
        <v>2995.0</v>
      </c>
      <c r="M19" s="54">
        <v>1300.0</v>
      </c>
      <c r="N19" s="54">
        <v>1335.0</v>
      </c>
      <c r="O19" s="54">
        <v>1800.0</v>
      </c>
      <c r="P19" s="54">
        <v>1140.0</v>
      </c>
      <c r="Q19" s="54">
        <v>1090.0</v>
      </c>
      <c r="R19" s="54">
        <v>425.0</v>
      </c>
      <c r="S19" s="54">
        <v>356.0</v>
      </c>
      <c r="T19" s="54">
        <v>36.0</v>
      </c>
      <c r="U19" s="54">
        <v>0.0</v>
      </c>
      <c r="V19" s="54">
        <v>0.0</v>
      </c>
      <c r="W19" s="54">
        <v>0.0</v>
      </c>
      <c r="X19" s="54">
        <v>0.0</v>
      </c>
      <c r="Y19" s="54">
        <v>7000.0</v>
      </c>
      <c r="Z19" s="54">
        <v>0.0</v>
      </c>
      <c r="AA19" s="54">
        <v>0.0</v>
      </c>
      <c r="AB19" s="54">
        <v>6400.0</v>
      </c>
      <c r="AC19" s="54">
        <v>137.0</v>
      </c>
      <c r="AD19" s="54">
        <v>0.0</v>
      </c>
      <c r="AE19" s="54">
        <v>137.0</v>
      </c>
      <c r="AF19" s="54">
        <v>0.0</v>
      </c>
      <c r="AG19" s="54" t="s">
        <v>734</v>
      </c>
      <c r="AH19" s="54" t="b">
        <v>0</v>
      </c>
      <c r="AI19" s="54" t="b">
        <v>0</v>
      </c>
      <c r="AJ19" s="54">
        <v>1.0</v>
      </c>
      <c r="AK19" s="54" t="s">
        <v>777</v>
      </c>
      <c r="AL19" s="54" t="s">
        <v>743</v>
      </c>
      <c r="AM19" s="54" t="b">
        <v>0</v>
      </c>
      <c r="AN19" s="54" t="b">
        <v>0</v>
      </c>
      <c r="AO19" s="54" t="b">
        <v>0</v>
      </c>
      <c r="AP19" s="54">
        <v>144.0</v>
      </c>
      <c r="AQ19" s="54">
        <v>0.0</v>
      </c>
      <c r="AR19" s="54">
        <v>4.0</v>
      </c>
      <c r="AS19" s="54">
        <v>1.0</v>
      </c>
      <c r="AT19" s="54" t="s">
        <v>737</v>
      </c>
      <c r="AU19" s="54">
        <v>2.0</v>
      </c>
      <c r="AV19" s="54" t="s">
        <v>738</v>
      </c>
      <c r="AW19" s="54" t="s">
        <v>778</v>
      </c>
      <c r="AX19" s="54">
        <v>4.0</v>
      </c>
      <c r="AY19" s="54">
        <v>77.0</v>
      </c>
      <c r="AZ19" s="54">
        <v>10.0</v>
      </c>
      <c r="BA19" s="54">
        <v>77.0</v>
      </c>
      <c r="BB19" s="54">
        <v>10.0</v>
      </c>
      <c r="BC19" s="54" t="s">
        <v>779</v>
      </c>
      <c r="BD19" s="53"/>
      <c r="BE19" s="53"/>
    </row>
    <row r="20">
      <c r="A20" s="52">
        <v>19.0</v>
      </c>
      <c r="B20" s="52">
        <v>25.0</v>
      </c>
      <c r="C20" s="52" t="s">
        <v>105</v>
      </c>
      <c r="D20" s="52" t="s">
        <v>106</v>
      </c>
      <c r="E20" s="52" t="s">
        <v>107</v>
      </c>
      <c r="F20" s="52">
        <v>0.0</v>
      </c>
      <c r="G20" s="52">
        <v>6.7</v>
      </c>
      <c r="H20" s="52">
        <v>6.7</v>
      </c>
      <c r="I20" s="52" t="s">
        <v>780</v>
      </c>
      <c r="J20" s="52">
        <v>1963.0</v>
      </c>
      <c r="K20" s="52">
        <v>5.0</v>
      </c>
      <c r="L20" s="52">
        <v>4448.0</v>
      </c>
      <c r="M20" s="52">
        <v>1768.0</v>
      </c>
      <c r="N20" s="52">
        <v>1260.0</v>
      </c>
      <c r="O20" s="52">
        <v>2489.0</v>
      </c>
      <c r="P20" s="52">
        <v>1429.0</v>
      </c>
      <c r="Q20" s="52">
        <v>1448.0</v>
      </c>
      <c r="R20" s="52">
        <v>1368.0</v>
      </c>
      <c r="S20" s="52">
        <v>5359.0</v>
      </c>
      <c r="T20" s="52">
        <v>0.0</v>
      </c>
      <c r="U20" s="52">
        <v>0.0</v>
      </c>
      <c r="V20" s="52">
        <v>360.0</v>
      </c>
      <c r="W20" s="52">
        <v>0.0</v>
      </c>
      <c r="X20" s="52">
        <v>0.0</v>
      </c>
      <c r="Y20" s="52">
        <v>6000.0</v>
      </c>
      <c r="Z20" s="52">
        <v>0.0</v>
      </c>
      <c r="AA20" s="52">
        <v>352.0</v>
      </c>
      <c r="AB20" s="52">
        <v>4000.0</v>
      </c>
      <c r="AC20" s="52">
        <v>0.0</v>
      </c>
      <c r="AD20" s="52">
        <v>0.0</v>
      </c>
      <c r="AE20" s="52">
        <v>0.0</v>
      </c>
      <c r="AF20" s="52">
        <v>0.0</v>
      </c>
      <c r="AG20" s="52" t="s">
        <v>781</v>
      </c>
      <c r="AH20" s="52" t="b">
        <v>0</v>
      </c>
      <c r="AI20" s="52" t="b">
        <v>1</v>
      </c>
      <c r="AJ20" s="52">
        <v>1.0</v>
      </c>
      <c r="AK20" s="52" t="s">
        <v>735</v>
      </c>
      <c r="AL20" s="52" t="s">
        <v>754</v>
      </c>
      <c r="AM20" s="52" t="b">
        <v>0</v>
      </c>
      <c r="AN20" s="52" t="b">
        <v>0</v>
      </c>
      <c r="AO20" s="52" t="b">
        <v>0</v>
      </c>
      <c r="AP20" s="52">
        <v>108.0</v>
      </c>
      <c r="AQ20" s="52">
        <v>0.0</v>
      </c>
      <c r="AR20" s="52">
        <v>2.0</v>
      </c>
      <c r="AS20" s="52">
        <v>0.0</v>
      </c>
      <c r="AT20" s="52" t="s">
        <v>749</v>
      </c>
      <c r="AU20" s="52">
        <v>8.0</v>
      </c>
      <c r="AV20" s="52" t="s">
        <v>738</v>
      </c>
      <c r="AW20" s="52" t="s">
        <v>739</v>
      </c>
      <c r="AX20" s="52">
        <v>4.0</v>
      </c>
      <c r="AY20" s="52">
        <v>0.0</v>
      </c>
      <c r="AZ20" s="52">
        <v>15.0</v>
      </c>
      <c r="BA20" s="52">
        <v>0.0</v>
      </c>
      <c r="BB20" s="52">
        <v>15.0</v>
      </c>
      <c r="BC20" s="52" t="s">
        <v>782</v>
      </c>
      <c r="BD20" s="53"/>
      <c r="BE20" s="53"/>
    </row>
    <row r="21">
      <c r="A21" s="54">
        <v>20.0</v>
      </c>
      <c r="B21" s="54">
        <v>26.0</v>
      </c>
      <c r="C21" s="54" t="s">
        <v>108</v>
      </c>
      <c r="D21" s="54" t="s">
        <v>109</v>
      </c>
      <c r="E21" s="54" t="s">
        <v>110</v>
      </c>
      <c r="F21" s="54">
        <v>0.0</v>
      </c>
      <c r="G21" s="54">
        <v>6.95</v>
      </c>
      <c r="H21" s="54">
        <v>6.95</v>
      </c>
      <c r="I21" s="54" t="s">
        <v>783</v>
      </c>
      <c r="J21" s="54">
        <v>1966.0</v>
      </c>
      <c r="K21" s="54">
        <v>5.0</v>
      </c>
      <c r="L21" s="54">
        <v>4613.0</v>
      </c>
      <c r="M21" s="54">
        <v>1732.0</v>
      </c>
      <c r="N21" s="54">
        <v>1298.0</v>
      </c>
      <c r="O21" s="54">
        <v>2743.0</v>
      </c>
      <c r="P21" s="54">
        <v>1422.0</v>
      </c>
      <c r="Q21" s="54">
        <v>1422.0</v>
      </c>
      <c r="R21" s="54">
        <v>1350.0</v>
      </c>
      <c r="S21" s="54">
        <v>4736.0</v>
      </c>
      <c r="T21" s="54">
        <v>0.0</v>
      </c>
      <c r="U21" s="54">
        <v>0.0</v>
      </c>
      <c r="V21" s="54">
        <v>271.0</v>
      </c>
      <c r="W21" s="54">
        <v>0.0</v>
      </c>
      <c r="X21" s="54">
        <v>0.0</v>
      </c>
      <c r="Y21" s="54">
        <v>6000.0</v>
      </c>
      <c r="Z21" s="54">
        <v>0.0</v>
      </c>
      <c r="AA21" s="54">
        <v>312.0</v>
      </c>
      <c r="AB21" s="54">
        <v>3400.0</v>
      </c>
      <c r="AC21" s="54">
        <v>0.0</v>
      </c>
      <c r="AD21" s="54">
        <v>0.0</v>
      </c>
      <c r="AE21" s="54">
        <v>0.0</v>
      </c>
      <c r="AF21" s="54">
        <v>0.0</v>
      </c>
      <c r="AG21" s="54" t="s">
        <v>781</v>
      </c>
      <c r="AH21" s="54" t="b">
        <v>0</v>
      </c>
      <c r="AI21" s="54" t="b">
        <v>0</v>
      </c>
      <c r="AJ21" s="54">
        <v>1.0</v>
      </c>
      <c r="AK21" s="54" t="s">
        <v>735</v>
      </c>
      <c r="AL21" s="54" t="s">
        <v>771</v>
      </c>
      <c r="AM21" s="54" t="b">
        <v>0</v>
      </c>
      <c r="AN21" s="54" t="b">
        <v>0</v>
      </c>
      <c r="AO21" s="54" t="b">
        <v>0</v>
      </c>
      <c r="AP21" s="54">
        <v>216.0</v>
      </c>
      <c r="AQ21" s="54">
        <v>0.0</v>
      </c>
      <c r="AR21" s="54">
        <v>5.0</v>
      </c>
      <c r="AS21" s="54">
        <v>1.0</v>
      </c>
      <c r="AT21" s="54" t="s">
        <v>749</v>
      </c>
      <c r="AU21" s="54">
        <v>8.0</v>
      </c>
      <c r="AV21" s="54" t="s">
        <v>738</v>
      </c>
      <c r="AW21" s="54" t="s">
        <v>739</v>
      </c>
      <c r="AX21" s="54">
        <v>4.0</v>
      </c>
      <c r="AY21" s="54">
        <v>0.0</v>
      </c>
      <c r="AZ21" s="54">
        <v>14.0</v>
      </c>
      <c r="BA21" s="54">
        <v>0.0</v>
      </c>
      <c r="BB21" s="54">
        <v>14.0</v>
      </c>
      <c r="BC21" s="54" t="s">
        <v>784</v>
      </c>
      <c r="BD21" s="53"/>
      <c r="BE21" s="53"/>
    </row>
    <row r="22">
      <c r="A22" s="52">
        <v>21.0</v>
      </c>
      <c r="B22" s="52">
        <v>27.0</v>
      </c>
      <c r="C22" s="52" t="s">
        <v>111</v>
      </c>
      <c r="D22" s="52" t="s">
        <v>112</v>
      </c>
      <c r="E22" s="52" t="s">
        <v>113</v>
      </c>
      <c r="F22" s="52">
        <v>7.2</v>
      </c>
      <c r="G22" s="52">
        <v>5.2</v>
      </c>
      <c r="H22" s="52">
        <v>5.2</v>
      </c>
      <c r="I22" s="52" t="s">
        <v>785</v>
      </c>
      <c r="J22" s="52">
        <v>1958.0</v>
      </c>
      <c r="K22" s="52">
        <v>1.0</v>
      </c>
      <c r="L22" s="52">
        <v>3490.0</v>
      </c>
      <c r="M22" s="52">
        <v>1350.0</v>
      </c>
      <c r="N22" s="52">
        <v>1260.0</v>
      </c>
      <c r="O22" s="52">
        <v>2030.0</v>
      </c>
      <c r="P22" s="52">
        <v>1160.0</v>
      </c>
      <c r="Q22" s="52">
        <v>1140.0</v>
      </c>
      <c r="R22" s="52">
        <v>602.0</v>
      </c>
      <c r="S22" s="52">
        <v>948.0</v>
      </c>
      <c r="T22" s="52">
        <v>0.0</v>
      </c>
      <c r="U22" s="52">
        <v>0.0</v>
      </c>
      <c r="V22" s="52">
        <v>0.0</v>
      </c>
      <c r="W22" s="52">
        <v>43.0</v>
      </c>
      <c r="X22" s="52">
        <v>0.0</v>
      </c>
      <c r="Y22" s="52">
        <v>5000.0</v>
      </c>
      <c r="Z22" s="52">
        <v>0.0</v>
      </c>
      <c r="AA22" s="52">
        <v>0.0</v>
      </c>
      <c r="AB22" s="52">
        <v>3300.0</v>
      </c>
      <c r="AC22" s="52">
        <v>0.0</v>
      </c>
      <c r="AD22" s="52">
        <v>0.0</v>
      </c>
      <c r="AE22" s="52">
        <v>0.0</v>
      </c>
      <c r="AF22" s="52">
        <v>0.0</v>
      </c>
      <c r="AG22" s="52" t="s">
        <v>786</v>
      </c>
      <c r="AH22" s="52" t="b">
        <v>1</v>
      </c>
      <c r="AI22" s="52" t="b">
        <v>0</v>
      </c>
      <c r="AJ22" s="52">
        <v>0.0</v>
      </c>
      <c r="AK22" s="52" t="s">
        <v>742</v>
      </c>
      <c r="AL22" s="52" t="s">
        <v>736</v>
      </c>
      <c r="AM22" s="52" t="b">
        <v>0</v>
      </c>
      <c r="AN22" s="52" t="b">
        <v>0</v>
      </c>
      <c r="AO22" s="52" t="b">
        <v>0</v>
      </c>
      <c r="AP22" s="52">
        <v>144.0</v>
      </c>
      <c r="AQ22" s="52">
        <v>0.0</v>
      </c>
      <c r="AR22" s="52">
        <v>2.0</v>
      </c>
      <c r="AS22" s="52">
        <v>1.0</v>
      </c>
      <c r="AT22" s="52" t="s">
        <v>737</v>
      </c>
      <c r="AU22" s="52">
        <v>4.0</v>
      </c>
      <c r="AV22" s="52" t="s">
        <v>738</v>
      </c>
      <c r="AW22" s="52" t="s">
        <v>739</v>
      </c>
      <c r="AX22" s="52">
        <v>4.0</v>
      </c>
      <c r="AY22" s="52">
        <v>0.0</v>
      </c>
      <c r="AZ22" s="52">
        <v>13.0</v>
      </c>
      <c r="BA22" s="52">
        <v>0.0</v>
      </c>
      <c r="BB22" s="52">
        <v>13.0</v>
      </c>
      <c r="BC22" s="52" t="s">
        <v>763</v>
      </c>
      <c r="BD22" s="53"/>
      <c r="BE22" s="53"/>
    </row>
    <row r="23">
      <c r="A23" s="54">
        <v>22.0</v>
      </c>
      <c r="B23" s="54">
        <v>28.0</v>
      </c>
      <c r="C23" s="54" t="s">
        <v>114</v>
      </c>
      <c r="D23" s="54" t="s">
        <v>115</v>
      </c>
      <c r="E23" s="54" t="s">
        <v>116</v>
      </c>
      <c r="F23" s="54">
        <v>23.0</v>
      </c>
      <c r="G23" s="54">
        <v>0.0</v>
      </c>
      <c r="H23" s="54">
        <v>0.0</v>
      </c>
      <c r="I23" s="54" t="s">
        <v>787</v>
      </c>
      <c r="J23" s="54">
        <v>1974.0</v>
      </c>
      <c r="K23" s="54">
        <v>5.0</v>
      </c>
      <c r="L23" s="54">
        <v>3710.0</v>
      </c>
      <c r="M23" s="54">
        <v>1750.0</v>
      </c>
      <c r="N23" s="54">
        <v>1114.0</v>
      </c>
      <c r="O23" s="54">
        <v>2180.0</v>
      </c>
      <c r="P23" s="54">
        <v>1430.0</v>
      </c>
      <c r="Q23" s="54">
        <v>1460.0</v>
      </c>
      <c r="R23" s="54">
        <v>980.0</v>
      </c>
      <c r="S23" s="54">
        <v>2418.0</v>
      </c>
      <c r="T23" s="54">
        <v>190.0</v>
      </c>
      <c r="U23" s="54">
        <v>0.0</v>
      </c>
      <c r="V23" s="54">
        <v>0.0</v>
      </c>
      <c r="W23" s="54">
        <v>0.0</v>
      </c>
      <c r="X23" s="54">
        <v>0.0</v>
      </c>
      <c r="Y23" s="54">
        <v>7000.0</v>
      </c>
      <c r="Z23" s="54">
        <v>0.0</v>
      </c>
      <c r="AA23" s="54">
        <v>0.0</v>
      </c>
      <c r="AB23" s="54">
        <v>4000.0</v>
      </c>
      <c r="AC23" s="54">
        <v>205.0</v>
      </c>
      <c r="AD23" s="54">
        <v>0.0</v>
      </c>
      <c r="AE23" s="54">
        <v>205.0</v>
      </c>
      <c r="AF23" s="54">
        <v>0.0</v>
      </c>
      <c r="AG23" s="54" t="s">
        <v>788</v>
      </c>
      <c r="AH23" s="54" t="b">
        <v>0</v>
      </c>
      <c r="AI23" s="54" t="b">
        <v>1</v>
      </c>
      <c r="AJ23" s="54">
        <v>0.0</v>
      </c>
      <c r="AK23" s="54" t="s">
        <v>789</v>
      </c>
      <c r="AL23" s="54" t="s">
        <v>736</v>
      </c>
      <c r="AM23" s="54" t="b">
        <v>0</v>
      </c>
      <c r="AN23" s="54" t="b">
        <v>0</v>
      </c>
      <c r="AO23" s="54" t="b">
        <v>0</v>
      </c>
      <c r="AP23" s="54">
        <v>36.0</v>
      </c>
      <c r="AQ23" s="54">
        <v>0.0</v>
      </c>
      <c r="AR23" s="54">
        <v>2.0</v>
      </c>
      <c r="AS23" s="54">
        <v>1.0</v>
      </c>
      <c r="AT23" s="54" t="s">
        <v>749</v>
      </c>
      <c r="AU23" s="54">
        <v>6.0</v>
      </c>
      <c r="AV23" s="54" t="s">
        <v>738</v>
      </c>
      <c r="AW23" s="54" t="s">
        <v>750</v>
      </c>
      <c r="AX23" s="54">
        <v>5.0</v>
      </c>
      <c r="AY23" s="54">
        <v>70.0</v>
      </c>
      <c r="AZ23" s="54">
        <v>14.0</v>
      </c>
      <c r="BA23" s="54">
        <v>70.0</v>
      </c>
      <c r="BB23" s="54">
        <v>14.0</v>
      </c>
      <c r="BC23" s="54" t="s">
        <v>790</v>
      </c>
      <c r="BD23" s="53"/>
      <c r="BE23" s="53"/>
    </row>
    <row r="24">
      <c r="A24" s="52">
        <v>23.0</v>
      </c>
      <c r="B24" s="52">
        <v>29.0</v>
      </c>
      <c r="C24" s="52" t="s">
        <v>117</v>
      </c>
      <c r="D24" s="52" t="s">
        <v>118</v>
      </c>
      <c r="E24" s="52" t="s">
        <v>119</v>
      </c>
      <c r="F24" s="52">
        <v>21.4</v>
      </c>
      <c r="G24" s="52">
        <v>0.0</v>
      </c>
      <c r="H24" s="52">
        <v>0.0</v>
      </c>
      <c r="I24" s="52" t="s">
        <v>791</v>
      </c>
      <c r="J24" s="52">
        <v>1983.0</v>
      </c>
      <c r="K24" s="52">
        <v>5.0</v>
      </c>
      <c r="L24" s="52">
        <v>3665.0</v>
      </c>
      <c r="M24" s="52">
        <v>1750.0</v>
      </c>
      <c r="N24" s="52">
        <v>1325.0</v>
      </c>
      <c r="O24" s="52">
        <v>2430.0</v>
      </c>
      <c r="P24" s="52">
        <v>1345.0</v>
      </c>
      <c r="Q24" s="52">
        <v>1470.0</v>
      </c>
      <c r="R24" s="52">
        <v>970.0</v>
      </c>
      <c r="S24" s="52">
        <v>1397.0</v>
      </c>
      <c r="T24" s="52">
        <v>0.0</v>
      </c>
      <c r="U24" s="52">
        <v>116.0</v>
      </c>
      <c r="V24" s="52">
        <v>160.0</v>
      </c>
      <c r="W24" s="52">
        <v>0.0</v>
      </c>
      <c r="X24" s="52">
        <v>0.0</v>
      </c>
      <c r="Y24" s="52">
        <v>6000.0</v>
      </c>
      <c r="Z24" s="52">
        <v>221.0</v>
      </c>
      <c r="AA24" s="52">
        <v>0.0</v>
      </c>
      <c r="AB24" s="52">
        <v>3250.0</v>
      </c>
      <c r="AC24" s="52">
        <v>190.0</v>
      </c>
      <c r="AD24" s="52">
        <v>0.0</v>
      </c>
      <c r="AE24" s="52">
        <v>220.0</v>
      </c>
      <c r="AF24" s="52">
        <v>0.0</v>
      </c>
      <c r="AG24" s="52" t="s">
        <v>792</v>
      </c>
      <c r="AH24" s="52" t="b">
        <v>0</v>
      </c>
      <c r="AI24" s="52" t="b">
        <v>0</v>
      </c>
      <c r="AJ24" s="52">
        <v>1.0</v>
      </c>
      <c r="AK24" s="52" t="s">
        <v>735</v>
      </c>
      <c r="AL24" s="52" t="s">
        <v>736</v>
      </c>
      <c r="AM24" s="52" t="b">
        <v>0</v>
      </c>
      <c r="AN24" s="52" t="b">
        <v>0</v>
      </c>
      <c r="AO24" s="52" t="b">
        <v>0</v>
      </c>
      <c r="AP24" s="52">
        <v>144.0</v>
      </c>
      <c r="AQ24" s="52">
        <v>0.0</v>
      </c>
      <c r="AR24" s="52">
        <v>2.0</v>
      </c>
      <c r="AS24" s="52">
        <v>1.0</v>
      </c>
      <c r="AT24" s="52" t="s">
        <v>737</v>
      </c>
      <c r="AU24" s="52">
        <v>4.0</v>
      </c>
      <c r="AV24" s="52" t="s">
        <v>757</v>
      </c>
      <c r="AW24" s="52" t="s">
        <v>750</v>
      </c>
      <c r="AX24" s="52">
        <v>5.0</v>
      </c>
      <c r="AY24" s="52">
        <v>55.0</v>
      </c>
      <c r="AZ24" s="52">
        <v>13.0</v>
      </c>
      <c r="BA24" s="52">
        <v>55.0</v>
      </c>
      <c r="BB24" s="52">
        <v>14.0</v>
      </c>
      <c r="BC24" s="52" t="s">
        <v>763</v>
      </c>
      <c r="BD24" s="53"/>
      <c r="BE24" s="53"/>
    </row>
    <row r="25">
      <c r="A25" s="54">
        <v>24.0</v>
      </c>
      <c r="B25" s="54">
        <v>31.0</v>
      </c>
      <c r="C25" s="54" t="s">
        <v>120</v>
      </c>
      <c r="D25" s="54" t="s">
        <v>121</v>
      </c>
      <c r="E25" s="54" t="s">
        <v>122</v>
      </c>
      <c r="F25" s="54">
        <v>37.0</v>
      </c>
      <c r="G25" s="54">
        <v>0.0</v>
      </c>
      <c r="H25" s="54">
        <v>0.0</v>
      </c>
      <c r="I25" s="54" t="s">
        <v>752</v>
      </c>
      <c r="J25" s="54">
        <v>1991.0</v>
      </c>
      <c r="K25" s="54">
        <v>6.0</v>
      </c>
      <c r="L25" s="54">
        <v>4860.0</v>
      </c>
      <c r="M25" s="54">
        <v>1790.0</v>
      </c>
      <c r="N25" s="54">
        <v>1350.0</v>
      </c>
      <c r="O25" s="54">
        <v>2690.0</v>
      </c>
      <c r="P25" s="54">
        <v>1520.0</v>
      </c>
      <c r="Q25" s="54">
        <v>1520.0</v>
      </c>
      <c r="R25" s="54">
        <v>1550.0</v>
      </c>
      <c r="S25" s="54">
        <v>2491.0</v>
      </c>
      <c r="T25" s="54">
        <v>280.0</v>
      </c>
      <c r="U25" s="54">
        <v>0.0</v>
      </c>
      <c r="V25" s="54">
        <v>0.0</v>
      </c>
      <c r="W25" s="54">
        <v>0.0</v>
      </c>
      <c r="X25" s="54">
        <v>0.0</v>
      </c>
      <c r="Y25" s="54">
        <v>6200.0</v>
      </c>
      <c r="Z25" s="54">
        <v>0.0</v>
      </c>
      <c r="AA25" s="54">
        <v>0.0</v>
      </c>
      <c r="AB25" s="54">
        <v>4800.0</v>
      </c>
      <c r="AC25" s="54">
        <v>225.0</v>
      </c>
      <c r="AD25" s="54">
        <v>0.0</v>
      </c>
      <c r="AE25" s="54">
        <v>225.0</v>
      </c>
      <c r="AF25" s="54">
        <v>0.0</v>
      </c>
      <c r="AG25" s="54" t="s">
        <v>734</v>
      </c>
      <c r="AH25" s="54" t="b">
        <v>0</v>
      </c>
      <c r="AI25" s="54" t="b">
        <v>0</v>
      </c>
      <c r="AJ25" s="54">
        <v>0.0</v>
      </c>
      <c r="AK25" s="54" t="s">
        <v>789</v>
      </c>
      <c r="AL25" s="54" t="s">
        <v>771</v>
      </c>
      <c r="AM25" s="54" t="b">
        <v>1</v>
      </c>
      <c r="AN25" s="54" t="b">
        <v>0</v>
      </c>
      <c r="AO25" s="54" t="b">
        <v>0</v>
      </c>
      <c r="AP25" s="54">
        <v>216.0</v>
      </c>
      <c r="AQ25" s="54">
        <v>0.0</v>
      </c>
      <c r="AR25" s="54">
        <v>5.0</v>
      </c>
      <c r="AS25" s="54">
        <v>0.0</v>
      </c>
      <c r="AT25" s="54" t="s">
        <v>737</v>
      </c>
      <c r="AU25" s="54">
        <v>6.0</v>
      </c>
      <c r="AV25" s="54" t="s">
        <v>757</v>
      </c>
      <c r="AW25" s="54" t="s">
        <v>739</v>
      </c>
      <c r="AX25" s="54">
        <v>5.0</v>
      </c>
      <c r="AY25" s="54">
        <v>55.0</v>
      </c>
      <c r="AZ25" s="54">
        <v>16.0</v>
      </c>
      <c r="BA25" s="54">
        <v>55.0</v>
      </c>
      <c r="BB25" s="54">
        <v>16.0</v>
      </c>
      <c r="BC25" s="54" t="s">
        <v>793</v>
      </c>
      <c r="BD25" s="53"/>
      <c r="BE25" s="53"/>
    </row>
    <row r="26">
      <c r="A26" s="52">
        <v>25.0</v>
      </c>
      <c r="B26" s="52">
        <v>32.0</v>
      </c>
      <c r="C26" s="52" t="s">
        <v>123</v>
      </c>
      <c r="D26" s="52" t="s">
        <v>124</v>
      </c>
      <c r="E26" s="52" t="s">
        <v>125</v>
      </c>
      <c r="F26" s="52">
        <v>46.0</v>
      </c>
      <c r="G26" s="52">
        <v>0.0</v>
      </c>
      <c r="H26" s="52">
        <v>0.0</v>
      </c>
      <c r="I26" s="52" t="s">
        <v>752</v>
      </c>
      <c r="J26" s="52">
        <v>2002.0</v>
      </c>
      <c r="K26" s="52">
        <v>6.0</v>
      </c>
      <c r="L26" s="52">
        <v>4805.0</v>
      </c>
      <c r="M26" s="52">
        <v>1800.0</v>
      </c>
      <c r="N26" s="52">
        <v>1435.0</v>
      </c>
      <c r="O26" s="52">
        <v>2800.0</v>
      </c>
      <c r="P26" s="52">
        <v>1535.0</v>
      </c>
      <c r="Q26" s="52">
        <v>1515.0</v>
      </c>
      <c r="R26" s="52">
        <v>1680.0</v>
      </c>
      <c r="S26" s="52">
        <v>2997.0</v>
      </c>
      <c r="T26" s="52">
        <v>280.0</v>
      </c>
      <c r="U26" s="52">
        <v>206.0</v>
      </c>
      <c r="V26" s="52">
        <v>0.0</v>
      </c>
      <c r="W26" s="52">
        <v>0.0</v>
      </c>
      <c r="X26" s="52">
        <v>0.0</v>
      </c>
      <c r="Y26" s="52">
        <v>5600.0</v>
      </c>
      <c r="Z26" s="52">
        <v>451.0</v>
      </c>
      <c r="AA26" s="52">
        <v>0.0</v>
      </c>
      <c r="AB26" s="52">
        <v>3600.0</v>
      </c>
      <c r="AC26" s="52">
        <v>235.0</v>
      </c>
      <c r="AD26" s="52">
        <v>0.0</v>
      </c>
      <c r="AE26" s="52">
        <v>235.0</v>
      </c>
      <c r="AF26" s="52">
        <v>0.0</v>
      </c>
      <c r="AG26" s="52" t="s">
        <v>734</v>
      </c>
      <c r="AH26" s="52" t="b">
        <v>0</v>
      </c>
      <c r="AI26" s="52" t="b">
        <v>0</v>
      </c>
      <c r="AJ26" s="52">
        <v>0.0</v>
      </c>
      <c r="AK26" s="52" t="s">
        <v>789</v>
      </c>
      <c r="AL26" s="52" t="s">
        <v>794</v>
      </c>
      <c r="AM26" s="52" t="b">
        <v>1</v>
      </c>
      <c r="AN26" s="52" t="b">
        <v>1</v>
      </c>
      <c r="AO26" s="52" t="b">
        <v>0</v>
      </c>
      <c r="AP26" s="52">
        <v>180.0</v>
      </c>
      <c r="AQ26" s="52">
        <v>1.0</v>
      </c>
      <c r="AR26" s="52">
        <v>5.0</v>
      </c>
      <c r="AS26" s="52">
        <v>0.0</v>
      </c>
      <c r="AT26" s="52" t="s">
        <v>737</v>
      </c>
      <c r="AU26" s="52">
        <v>6.0</v>
      </c>
      <c r="AV26" s="52" t="s">
        <v>757</v>
      </c>
      <c r="AW26" s="52" t="s">
        <v>739</v>
      </c>
      <c r="AX26" s="52">
        <v>4.0</v>
      </c>
      <c r="AY26" s="52">
        <v>45.0</v>
      </c>
      <c r="AZ26" s="52">
        <v>17.0</v>
      </c>
      <c r="BA26" s="52">
        <v>45.0</v>
      </c>
      <c r="BB26" s="52">
        <v>17.0</v>
      </c>
      <c r="BC26" s="52" t="s">
        <v>758</v>
      </c>
      <c r="BD26" s="53"/>
      <c r="BE26" s="53"/>
    </row>
    <row r="27">
      <c r="A27" s="54">
        <v>26.0</v>
      </c>
      <c r="B27" s="54">
        <v>35.0</v>
      </c>
      <c r="C27" s="54" t="s">
        <v>126</v>
      </c>
      <c r="D27" s="54" t="s">
        <v>127</v>
      </c>
      <c r="E27" s="54" t="s">
        <v>128</v>
      </c>
      <c r="F27" s="54">
        <v>10.4</v>
      </c>
      <c r="G27" s="54">
        <v>0.0</v>
      </c>
      <c r="H27" s="54">
        <v>0.0</v>
      </c>
      <c r="I27" s="54" t="s">
        <v>752</v>
      </c>
      <c r="J27" s="54">
        <v>1997.0</v>
      </c>
      <c r="K27" s="54">
        <v>1.0</v>
      </c>
      <c r="L27" s="54">
        <v>4275.0</v>
      </c>
      <c r="M27" s="54">
        <v>1695.0</v>
      </c>
      <c r="N27" s="54">
        <v>1490.0</v>
      </c>
      <c r="O27" s="54">
        <v>2550.0</v>
      </c>
      <c r="P27" s="54">
        <v>1475.0</v>
      </c>
      <c r="Q27" s="54">
        <v>1480.0</v>
      </c>
      <c r="R27" s="54">
        <v>1240.0</v>
      </c>
      <c r="S27" s="54">
        <v>1496.0</v>
      </c>
      <c r="T27" s="54">
        <v>58.0</v>
      </c>
      <c r="U27" s="54">
        <v>0.0</v>
      </c>
      <c r="V27" s="54">
        <v>0.0</v>
      </c>
      <c r="W27" s="54">
        <v>0.0</v>
      </c>
      <c r="X27" s="54">
        <v>0.0</v>
      </c>
      <c r="Y27" s="54">
        <v>4000.0</v>
      </c>
      <c r="Z27" s="54">
        <v>0.0</v>
      </c>
      <c r="AA27" s="54">
        <v>0.0</v>
      </c>
      <c r="AB27" s="54">
        <v>4000.0</v>
      </c>
      <c r="AC27" s="54">
        <v>165.0</v>
      </c>
      <c r="AD27" s="54">
        <v>0.0</v>
      </c>
      <c r="AE27" s="54">
        <v>165.0</v>
      </c>
      <c r="AF27" s="54">
        <v>0.0</v>
      </c>
      <c r="AG27" s="54" t="s">
        <v>734</v>
      </c>
      <c r="AH27" s="54" t="b">
        <v>0</v>
      </c>
      <c r="AI27" s="54" t="b">
        <v>0</v>
      </c>
      <c r="AJ27" s="54">
        <v>0.0</v>
      </c>
      <c r="AK27" s="54" t="s">
        <v>742</v>
      </c>
      <c r="AL27" s="54" t="s">
        <v>743</v>
      </c>
      <c r="AM27" s="54" t="b">
        <v>0</v>
      </c>
      <c r="AN27" s="54" t="b">
        <v>0</v>
      </c>
      <c r="AO27" s="54" t="b">
        <v>1</v>
      </c>
      <c r="AP27" s="54">
        <v>252.0</v>
      </c>
      <c r="AQ27" s="54">
        <v>1.0</v>
      </c>
      <c r="AR27" s="54">
        <v>5.0</v>
      </c>
      <c r="AS27" s="54">
        <v>0.0</v>
      </c>
      <c r="AT27" s="54" t="s">
        <v>795</v>
      </c>
      <c r="AU27" s="54">
        <v>0.0</v>
      </c>
      <c r="AV27" s="54" t="s">
        <v>738</v>
      </c>
      <c r="AW27" s="54" t="s">
        <v>744</v>
      </c>
      <c r="AX27" s="54">
        <v>0.0</v>
      </c>
      <c r="AY27" s="54">
        <v>65.0</v>
      </c>
      <c r="AZ27" s="54">
        <v>15.0</v>
      </c>
      <c r="BA27" s="54">
        <v>65.0</v>
      </c>
      <c r="BB27" s="54">
        <v>15.0</v>
      </c>
      <c r="BC27" s="54" t="s">
        <v>796</v>
      </c>
      <c r="BD27" s="53"/>
      <c r="BE27" s="53"/>
    </row>
    <row r="28">
      <c r="A28" s="52">
        <v>27.0</v>
      </c>
      <c r="B28" s="52">
        <v>36.0</v>
      </c>
      <c r="C28" s="52" t="s">
        <v>129</v>
      </c>
      <c r="D28" s="52" t="s">
        <v>130</v>
      </c>
      <c r="E28" s="52" t="s">
        <v>131</v>
      </c>
      <c r="F28" s="52">
        <v>43.8</v>
      </c>
      <c r="G28" s="52">
        <v>0.0</v>
      </c>
      <c r="H28" s="52">
        <v>0.0</v>
      </c>
      <c r="I28" s="52" t="s">
        <v>752</v>
      </c>
      <c r="J28" s="52">
        <v>2000.0</v>
      </c>
      <c r="K28" s="52">
        <v>4.0</v>
      </c>
      <c r="L28" s="52">
        <v>4995.0</v>
      </c>
      <c r="M28" s="52">
        <v>1830.0</v>
      </c>
      <c r="N28" s="52">
        <v>1470.0</v>
      </c>
      <c r="O28" s="52">
        <v>2925.0</v>
      </c>
      <c r="P28" s="52">
        <v>1575.0</v>
      </c>
      <c r="Q28" s="52">
        <v>1575.0</v>
      </c>
      <c r="R28" s="52">
        <v>1800.0</v>
      </c>
      <c r="S28" s="52">
        <v>4292.0</v>
      </c>
      <c r="T28" s="52">
        <v>280.0</v>
      </c>
      <c r="U28" s="52">
        <v>206.0</v>
      </c>
      <c r="V28" s="52">
        <v>0.0</v>
      </c>
      <c r="W28" s="52">
        <v>0.0</v>
      </c>
      <c r="X28" s="52">
        <v>0.0</v>
      </c>
      <c r="Y28" s="52">
        <v>5600.0</v>
      </c>
      <c r="Z28" s="52">
        <v>430.0</v>
      </c>
      <c r="AA28" s="52">
        <v>0.0</v>
      </c>
      <c r="AB28" s="52">
        <v>3400.0</v>
      </c>
      <c r="AC28" s="52">
        <v>225.0</v>
      </c>
      <c r="AD28" s="52">
        <v>0.0</v>
      </c>
      <c r="AE28" s="52">
        <v>225.0</v>
      </c>
      <c r="AF28" s="52">
        <v>0.0</v>
      </c>
      <c r="AG28" s="52" t="s">
        <v>734</v>
      </c>
      <c r="AH28" s="52" t="b">
        <v>0</v>
      </c>
      <c r="AI28" s="52" t="b">
        <v>0</v>
      </c>
      <c r="AJ28" s="52">
        <v>0.0</v>
      </c>
      <c r="AK28" s="52" t="s">
        <v>735</v>
      </c>
      <c r="AL28" s="52" t="s">
        <v>794</v>
      </c>
      <c r="AM28" s="52" t="b">
        <v>1</v>
      </c>
      <c r="AN28" s="52" t="b">
        <v>1</v>
      </c>
      <c r="AO28" s="52" t="b">
        <v>0</v>
      </c>
      <c r="AP28" s="52">
        <v>216.0</v>
      </c>
      <c r="AQ28" s="52">
        <v>1.0</v>
      </c>
      <c r="AR28" s="52">
        <v>5.0</v>
      </c>
      <c r="AS28" s="52">
        <v>0.0</v>
      </c>
      <c r="AT28" s="52" t="s">
        <v>749</v>
      </c>
      <c r="AU28" s="52">
        <v>8.0</v>
      </c>
      <c r="AV28" s="52" t="s">
        <v>738</v>
      </c>
      <c r="AW28" s="52" t="s">
        <v>739</v>
      </c>
      <c r="AX28" s="52">
        <v>5.0</v>
      </c>
      <c r="AY28" s="52">
        <v>60.0</v>
      </c>
      <c r="AZ28" s="52">
        <v>16.0</v>
      </c>
      <c r="BA28" s="52">
        <v>60.0</v>
      </c>
      <c r="BB28" s="52">
        <v>16.0</v>
      </c>
      <c r="BC28" s="52" t="s">
        <v>797</v>
      </c>
      <c r="BD28" s="53"/>
      <c r="BE28" s="53"/>
    </row>
    <row r="29">
      <c r="A29" s="54">
        <v>28.0</v>
      </c>
      <c r="B29" s="54">
        <v>37.0</v>
      </c>
      <c r="C29" s="54" t="s">
        <v>132</v>
      </c>
      <c r="D29" s="54" t="s">
        <v>133</v>
      </c>
      <c r="E29" s="54" t="s">
        <v>134</v>
      </c>
      <c r="F29" s="54">
        <v>22.0</v>
      </c>
      <c r="G29" s="54">
        <v>0.0</v>
      </c>
      <c r="H29" s="54">
        <v>0.0</v>
      </c>
      <c r="I29" s="54" t="s">
        <v>752</v>
      </c>
      <c r="J29" s="54">
        <v>2002.0</v>
      </c>
      <c r="K29" s="54">
        <v>4.0</v>
      </c>
      <c r="L29" s="54">
        <v>4400.0</v>
      </c>
      <c r="M29" s="54">
        <v>1725.0</v>
      </c>
      <c r="N29" s="54">
        <v>1410.0</v>
      </c>
      <c r="O29" s="54">
        <v>2670.0</v>
      </c>
      <c r="P29" s="54">
        <v>1495.0</v>
      </c>
      <c r="Q29" s="54">
        <v>1485.0</v>
      </c>
      <c r="R29" s="54">
        <v>1360.0</v>
      </c>
      <c r="S29" s="54">
        <v>1998.0</v>
      </c>
      <c r="T29" s="54">
        <v>210.0</v>
      </c>
      <c r="U29" s="54">
        <v>154.0</v>
      </c>
      <c r="V29" s="54">
        <v>0.0</v>
      </c>
      <c r="W29" s="54">
        <v>0.0</v>
      </c>
      <c r="X29" s="54">
        <v>0.0</v>
      </c>
      <c r="Y29" s="54">
        <v>7600.0</v>
      </c>
      <c r="Z29" s="54">
        <v>216.0</v>
      </c>
      <c r="AA29" s="54">
        <v>0.0</v>
      </c>
      <c r="AB29" s="54">
        <v>6400.0</v>
      </c>
      <c r="AC29" s="54">
        <v>215.0</v>
      </c>
      <c r="AD29" s="54">
        <v>0.0</v>
      </c>
      <c r="AE29" s="54">
        <v>215.0</v>
      </c>
      <c r="AF29" s="54">
        <v>0.0</v>
      </c>
      <c r="AG29" s="54" t="s">
        <v>734</v>
      </c>
      <c r="AH29" s="54" t="b">
        <v>0</v>
      </c>
      <c r="AI29" s="54" t="b">
        <v>0</v>
      </c>
      <c r="AJ29" s="54">
        <v>0.0</v>
      </c>
      <c r="AK29" s="54" t="s">
        <v>789</v>
      </c>
      <c r="AL29" s="54" t="s">
        <v>765</v>
      </c>
      <c r="AM29" s="54" t="b">
        <v>1</v>
      </c>
      <c r="AN29" s="54" t="b">
        <v>0</v>
      </c>
      <c r="AO29" s="54" t="b">
        <v>0</v>
      </c>
      <c r="AP29" s="54">
        <v>252.0</v>
      </c>
      <c r="AQ29" s="54">
        <v>0.0</v>
      </c>
      <c r="AR29" s="54">
        <v>5.0</v>
      </c>
      <c r="AS29" s="54">
        <v>0.0</v>
      </c>
      <c r="AT29" s="54" t="s">
        <v>737</v>
      </c>
      <c r="AU29" s="54">
        <v>4.0</v>
      </c>
      <c r="AV29" s="54" t="s">
        <v>738</v>
      </c>
      <c r="AW29" s="54" t="s">
        <v>739</v>
      </c>
      <c r="AX29" s="54">
        <v>6.0</v>
      </c>
      <c r="AY29" s="54">
        <v>45.0</v>
      </c>
      <c r="AZ29" s="54">
        <v>17.0</v>
      </c>
      <c r="BA29" s="54">
        <v>45.0</v>
      </c>
      <c r="BB29" s="54">
        <v>17.0</v>
      </c>
      <c r="BC29" s="54" t="s">
        <v>798</v>
      </c>
      <c r="BD29" s="53"/>
      <c r="BE29" s="53"/>
    </row>
    <row r="30">
      <c r="A30" s="52">
        <v>29.0</v>
      </c>
      <c r="B30" s="52">
        <v>38.0</v>
      </c>
      <c r="C30" s="52" t="s">
        <v>135</v>
      </c>
      <c r="D30" s="52" t="s">
        <v>136</v>
      </c>
      <c r="E30" s="52" t="s">
        <v>137</v>
      </c>
      <c r="F30" s="52">
        <v>19.4</v>
      </c>
      <c r="G30" s="52">
        <v>0.0</v>
      </c>
      <c r="H30" s="52">
        <v>0.0</v>
      </c>
      <c r="I30" s="52" t="s">
        <v>752</v>
      </c>
      <c r="J30" s="52">
        <v>2001.0</v>
      </c>
      <c r="K30" s="52">
        <v>2.0</v>
      </c>
      <c r="L30" s="52">
        <v>4770.0</v>
      </c>
      <c r="M30" s="52">
        <v>1790.0</v>
      </c>
      <c r="N30" s="52">
        <v>1780.0</v>
      </c>
      <c r="O30" s="52">
        <v>2900.0</v>
      </c>
      <c r="P30" s="52">
        <v>1545.0</v>
      </c>
      <c r="Q30" s="52">
        <v>1530.0</v>
      </c>
      <c r="R30" s="52">
        <v>1850.0</v>
      </c>
      <c r="S30" s="52">
        <v>2362.0</v>
      </c>
      <c r="T30" s="52">
        <v>131.0</v>
      </c>
      <c r="U30" s="52">
        <v>96.0</v>
      </c>
      <c r="V30" s="52">
        <v>0.0</v>
      </c>
      <c r="W30" s="52">
        <v>0.0</v>
      </c>
      <c r="X30" s="52">
        <v>0.0</v>
      </c>
      <c r="Y30" s="52">
        <v>5600.0</v>
      </c>
      <c r="Z30" s="52">
        <v>190.0</v>
      </c>
      <c r="AA30" s="52">
        <v>0.0</v>
      </c>
      <c r="AB30" s="52">
        <v>4000.0</v>
      </c>
      <c r="AC30" s="52">
        <v>205.0</v>
      </c>
      <c r="AD30" s="52">
        <v>0.0</v>
      </c>
      <c r="AE30" s="52">
        <v>205.0</v>
      </c>
      <c r="AF30" s="52">
        <v>0.0</v>
      </c>
      <c r="AG30" s="52" t="s">
        <v>734</v>
      </c>
      <c r="AH30" s="52" t="b">
        <v>0</v>
      </c>
      <c r="AI30" s="52" t="b">
        <v>0</v>
      </c>
      <c r="AJ30" s="52">
        <v>0.0</v>
      </c>
      <c r="AK30" s="52" t="s">
        <v>742</v>
      </c>
      <c r="AL30" s="52" t="s">
        <v>799</v>
      </c>
      <c r="AM30" s="52" t="b">
        <v>1</v>
      </c>
      <c r="AN30" s="52" t="b">
        <v>1</v>
      </c>
      <c r="AO30" s="52" t="b">
        <v>1</v>
      </c>
      <c r="AP30" s="52">
        <v>252.0</v>
      </c>
      <c r="AQ30" s="52">
        <v>1.0</v>
      </c>
      <c r="AR30" s="52">
        <v>8.0</v>
      </c>
      <c r="AS30" s="52">
        <v>0.0</v>
      </c>
      <c r="AT30" s="52" t="s">
        <v>795</v>
      </c>
      <c r="AU30" s="52">
        <v>0.0</v>
      </c>
      <c r="AV30" s="52" t="s">
        <v>738</v>
      </c>
      <c r="AW30" s="52" t="s">
        <v>800</v>
      </c>
      <c r="AX30" s="52">
        <v>2.0</v>
      </c>
      <c r="AY30" s="52">
        <v>65.0</v>
      </c>
      <c r="AZ30" s="52">
        <v>15.0</v>
      </c>
      <c r="BA30" s="52">
        <v>65.0</v>
      </c>
      <c r="BB30" s="52">
        <v>15.0</v>
      </c>
      <c r="BC30" s="52" t="s">
        <v>801</v>
      </c>
      <c r="BD30" s="53"/>
      <c r="BE30" s="53"/>
    </row>
    <row r="31">
      <c r="A31" s="54">
        <v>30.0</v>
      </c>
      <c r="B31" s="54">
        <v>39.0</v>
      </c>
      <c r="C31" s="54" t="s">
        <v>138</v>
      </c>
      <c r="D31" s="54" t="s">
        <v>139</v>
      </c>
      <c r="E31" s="54" t="s">
        <v>140</v>
      </c>
      <c r="F31" s="54">
        <v>17.4</v>
      </c>
      <c r="G31" s="54">
        <v>0.0</v>
      </c>
      <c r="H31" s="54">
        <v>0.0</v>
      </c>
      <c r="I31" s="54" t="s">
        <v>752</v>
      </c>
      <c r="J31" s="54">
        <v>2000.0</v>
      </c>
      <c r="K31" s="54">
        <v>3.0</v>
      </c>
      <c r="L31" s="54">
        <v>4365.0</v>
      </c>
      <c r="M31" s="54">
        <v>1695.0</v>
      </c>
      <c r="N31" s="54">
        <v>1470.0</v>
      </c>
      <c r="O31" s="54">
        <v>2600.0</v>
      </c>
      <c r="P31" s="54">
        <v>1480.0</v>
      </c>
      <c r="Q31" s="54">
        <v>1460.0</v>
      </c>
      <c r="R31" s="54">
        <v>1080.0</v>
      </c>
      <c r="S31" s="54">
        <v>1794.0</v>
      </c>
      <c r="T31" s="54">
        <v>136.0</v>
      </c>
      <c r="U31" s="54">
        <v>100.0</v>
      </c>
      <c r="V31" s="54">
        <v>0.0</v>
      </c>
      <c r="W31" s="54">
        <v>0.0</v>
      </c>
      <c r="X31" s="54">
        <v>0.0</v>
      </c>
      <c r="Y31" s="54">
        <v>6000.0</v>
      </c>
      <c r="Z31" s="54">
        <v>171.0</v>
      </c>
      <c r="AA31" s="54">
        <v>0.0</v>
      </c>
      <c r="AB31" s="54">
        <v>4200.0</v>
      </c>
      <c r="AC31" s="54">
        <v>185.0</v>
      </c>
      <c r="AD31" s="54">
        <v>0.0</v>
      </c>
      <c r="AE31" s="54">
        <v>185.0</v>
      </c>
      <c r="AF31" s="54">
        <v>0.0</v>
      </c>
      <c r="AG31" s="54" t="s">
        <v>734</v>
      </c>
      <c r="AH31" s="54" t="b">
        <v>0</v>
      </c>
      <c r="AI31" s="54" t="b">
        <v>0</v>
      </c>
      <c r="AJ31" s="54">
        <v>0.0</v>
      </c>
      <c r="AK31" s="54" t="s">
        <v>735</v>
      </c>
      <c r="AL31" s="54" t="s">
        <v>743</v>
      </c>
      <c r="AM31" s="54" t="b">
        <v>1</v>
      </c>
      <c r="AN31" s="54" t="b">
        <v>1</v>
      </c>
      <c r="AO31" s="54" t="b">
        <v>0</v>
      </c>
      <c r="AP31" s="54">
        <v>252.0</v>
      </c>
      <c r="AQ31" s="54">
        <v>1.0</v>
      </c>
      <c r="AR31" s="54">
        <v>5.0</v>
      </c>
      <c r="AS31" s="54">
        <v>0.0</v>
      </c>
      <c r="AT31" s="54" t="s">
        <v>737</v>
      </c>
      <c r="AU31" s="54">
        <v>4.0</v>
      </c>
      <c r="AV31" s="54" t="s">
        <v>738</v>
      </c>
      <c r="AW31" s="54" t="s">
        <v>744</v>
      </c>
      <c r="AX31" s="54">
        <v>4.0</v>
      </c>
      <c r="AY31" s="54">
        <v>70.0</v>
      </c>
      <c r="AZ31" s="54">
        <v>14.0</v>
      </c>
      <c r="BA31" s="54">
        <v>70.0</v>
      </c>
      <c r="BB31" s="54">
        <v>14.0</v>
      </c>
      <c r="BC31" s="54" t="s">
        <v>802</v>
      </c>
      <c r="BD31" s="53"/>
      <c r="BE31" s="53"/>
    </row>
    <row r="32">
      <c r="A32" s="52">
        <v>31.0</v>
      </c>
      <c r="B32" s="52">
        <v>40.0</v>
      </c>
      <c r="C32" s="52" t="s">
        <v>141</v>
      </c>
      <c r="D32" s="52" t="s">
        <v>142</v>
      </c>
      <c r="E32" s="52" t="s">
        <v>143</v>
      </c>
      <c r="F32" s="52">
        <v>14.4</v>
      </c>
      <c r="G32" s="52">
        <v>0.0</v>
      </c>
      <c r="H32" s="52">
        <v>0.0</v>
      </c>
      <c r="I32" s="52" t="s">
        <v>752</v>
      </c>
      <c r="J32" s="52">
        <v>2002.0</v>
      </c>
      <c r="K32" s="52">
        <v>2.0</v>
      </c>
      <c r="L32" s="52">
        <v>3855.0</v>
      </c>
      <c r="M32" s="52">
        <v>1695.0</v>
      </c>
      <c r="N32" s="52">
        <v>1530.0</v>
      </c>
      <c r="O32" s="52">
        <v>2370.0</v>
      </c>
      <c r="P32" s="52">
        <v>1455.0</v>
      </c>
      <c r="Q32" s="52">
        <v>1435.0</v>
      </c>
      <c r="R32" s="52">
        <v>1020.0</v>
      </c>
      <c r="S32" s="52">
        <v>1496.0</v>
      </c>
      <c r="T32" s="52">
        <v>109.0</v>
      </c>
      <c r="U32" s="52">
        <v>80.0</v>
      </c>
      <c r="V32" s="52">
        <v>0.0</v>
      </c>
      <c r="W32" s="52">
        <v>0.0</v>
      </c>
      <c r="X32" s="52">
        <v>0.0</v>
      </c>
      <c r="Y32" s="52">
        <v>6000.0</v>
      </c>
      <c r="Z32" s="52">
        <v>141.0</v>
      </c>
      <c r="AA32" s="52">
        <v>0.0</v>
      </c>
      <c r="AB32" s="52">
        <v>4200.0</v>
      </c>
      <c r="AC32" s="52">
        <v>185.0</v>
      </c>
      <c r="AD32" s="52">
        <v>0.0</v>
      </c>
      <c r="AE32" s="52">
        <v>185.0</v>
      </c>
      <c r="AF32" s="52">
        <v>0.0</v>
      </c>
      <c r="AG32" s="52" t="s">
        <v>734</v>
      </c>
      <c r="AH32" s="52" t="b">
        <v>0</v>
      </c>
      <c r="AI32" s="52" t="b">
        <v>0</v>
      </c>
      <c r="AJ32" s="52">
        <v>0.0</v>
      </c>
      <c r="AK32" s="52" t="s">
        <v>742</v>
      </c>
      <c r="AL32" s="52" t="s">
        <v>743</v>
      </c>
      <c r="AM32" s="52" t="b">
        <v>1</v>
      </c>
      <c r="AN32" s="52" t="b">
        <v>1</v>
      </c>
      <c r="AO32" s="52" t="b">
        <v>0</v>
      </c>
      <c r="AP32" s="52">
        <v>252.0</v>
      </c>
      <c r="AQ32" s="52">
        <v>1.0</v>
      </c>
      <c r="AR32" s="52">
        <v>5.0</v>
      </c>
      <c r="AS32" s="52">
        <v>0.0</v>
      </c>
      <c r="AT32" s="52" t="s">
        <v>737</v>
      </c>
      <c r="AU32" s="52">
        <v>4.0</v>
      </c>
      <c r="AV32" s="52" t="s">
        <v>738</v>
      </c>
      <c r="AW32" s="52" t="s">
        <v>744</v>
      </c>
      <c r="AX32" s="52">
        <v>4.0</v>
      </c>
      <c r="AY32" s="52">
        <v>65.0</v>
      </c>
      <c r="AZ32" s="52">
        <v>15.0</v>
      </c>
      <c r="BA32" s="52">
        <v>65.0</v>
      </c>
      <c r="BB32" s="52">
        <v>15.0</v>
      </c>
      <c r="BC32" s="52" t="s">
        <v>753</v>
      </c>
      <c r="BD32" s="53"/>
      <c r="BE32" s="53"/>
    </row>
    <row r="33">
      <c r="A33" s="54">
        <v>32.0</v>
      </c>
      <c r="B33" s="54">
        <v>42.0</v>
      </c>
      <c r="C33" s="54" t="s">
        <v>144</v>
      </c>
      <c r="D33" s="54" t="s">
        <v>145</v>
      </c>
      <c r="E33" s="54" t="s">
        <v>146</v>
      </c>
      <c r="F33" s="54">
        <v>36.0</v>
      </c>
      <c r="G33" s="54">
        <v>0.0</v>
      </c>
      <c r="H33" s="54">
        <v>0.0</v>
      </c>
      <c r="I33" s="54" t="s">
        <v>741</v>
      </c>
      <c r="J33" s="54">
        <v>2002.0</v>
      </c>
      <c r="K33" s="54">
        <v>5.0</v>
      </c>
      <c r="L33" s="54">
        <v>4675.0</v>
      </c>
      <c r="M33" s="54">
        <v>1750.0</v>
      </c>
      <c r="N33" s="54">
        <v>1470.0</v>
      </c>
      <c r="O33" s="54">
        <v>2850.0</v>
      </c>
      <c r="P33" s="54">
        <v>1500.0</v>
      </c>
      <c r="Q33" s="54">
        <v>1505.0</v>
      </c>
      <c r="R33" s="54">
        <v>1550.0</v>
      </c>
      <c r="S33" s="54">
        <v>3498.0</v>
      </c>
      <c r="T33" s="54">
        <v>272.0</v>
      </c>
      <c r="U33" s="54">
        <v>200.0</v>
      </c>
      <c r="V33" s="54">
        <v>0.0</v>
      </c>
      <c r="W33" s="54">
        <v>0.0</v>
      </c>
      <c r="X33" s="54">
        <v>0.0</v>
      </c>
      <c r="Y33" s="54">
        <v>6000.0</v>
      </c>
      <c r="Z33" s="54">
        <v>353.0</v>
      </c>
      <c r="AA33" s="54">
        <v>0.0</v>
      </c>
      <c r="AB33" s="54">
        <v>4800.0</v>
      </c>
      <c r="AC33" s="54">
        <v>215.0</v>
      </c>
      <c r="AD33" s="54">
        <v>0.0</v>
      </c>
      <c r="AE33" s="54">
        <v>215.0</v>
      </c>
      <c r="AF33" s="54">
        <v>0.0</v>
      </c>
      <c r="AG33" s="54" t="s">
        <v>734</v>
      </c>
      <c r="AH33" s="54" t="b">
        <v>0</v>
      </c>
      <c r="AI33" s="54" t="b">
        <v>0</v>
      </c>
      <c r="AJ33" s="54">
        <v>0.0</v>
      </c>
      <c r="AK33" s="54" t="s">
        <v>789</v>
      </c>
      <c r="AL33" s="54" t="s">
        <v>794</v>
      </c>
      <c r="AM33" s="54" t="b">
        <v>1</v>
      </c>
      <c r="AN33" s="54" t="b">
        <v>1</v>
      </c>
      <c r="AO33" s="54" t="b">
        <v>0</v>
      </c>
      <c r="AP33" s="54">
        <v>252.0</v>
      </c>
      <c r="AQ33" s="54">
        <v>1.0</v>
      </c>
      <c r="AR33" s="54">
        <v>5.0</v>
      </c>
      <c r="AS33" s="54">
        <v>0.0</v>
      </c>
      <c r="AT33" s="54" t="s">
        <v>749</v>
      </c>
      <c r="AU33" s="54">
        <v>6.0</v>
      </c>
      <c r="AV33" s="54" t="s">
        <v>738</v>
      </c>
      <c r="AW33" s="54" t="s">
        <v>739</v>
      </c>
      <c r="AX33" s="54">
        <v>8.0</v>
      </c>
      <c r="AY33" s="54">
        <v>55.0</v>
      </c>
      <c r="AZ33" s="54">
        <v>17.0</v>
      </c>
      <c r="BA33" s="54">
        <v>55.0</v>
      </c>
      <c r="BB33" s="54">
        <v>17.0</v>
      </c>
      <c r="BC33" s="54" t="s">
        <v>803</v>
      </c>
      <c r="BD33" s="53"/>
      <c r="BE33" s="53"/>
    </row>
    <row r="34">
      <c r="A34" s="52">
        <v>33.0</v>
      </c>
      <c r="B34" s="52">
        <v>45.0</v>
      </c>
      <c r="C34" s="52" t="s">
        <v>147</v>
      </c>
      <c r="D34" s="52" t="s">
        <v>148</v>
      </c>
      <c r="E34" s="52" t="s">
        <v>149</v>
      </c>
      <c r="F34" s="52">
        <v>41.5</v>
      </c>
      <c r="G34" s="52">
        <v>0.0</v>
      </c>
      <c r="H34" s="52">
        <v>0.0</v>
      </c>
      <c r="I34" s="52" t="s">
        <v>741</v>
      </c>
      <c r="J34" s="52">
        <v>2001.0</v>
      </c>
      <c r="K34" s="52">
        <v>6.0</v>
      </c>
      <c r="L34" s="52">
        <v>4765.0</v>
      </c>
      <c r="M34" s="52">
        <v>1760.0</v>
      </c>
      <c r="N34" s="52">
        <v>1510.0</v>
      </c>
      <c r="O34" s="52">
        <v>2850.0</v>
      </c>
      <c r="P34" s="52">
        <v>1505.0</v>
      </c>
      <c r="Q34" s="52">
        <v>1505.0</v>
      </c>
      <c r="R34" s="52">
        <v>1680.0</v>
      </c>
      <c r="S34" s="52">
        <v>2495.0</v>
      </c>
      <c r="T34" s="52">
        <v>280.0</v>
      </c>
      <c r="U34" s="52">
        <v>206.0</v>
      </c>
      <c r="V34" s="52">
        <v>0.0</v>
      </c>
      <c r="W34" s="52">
        <v>0.0</v>
      </c>
      <c r="X34" s="52">
        <v>0.0</v>
      </c>
      <c r="Y34" s="52">
        <v>6400.0</v>
      </c>
      <c r="Z34" s="52">
        <v>407.0</v>
      </c>
      <c r="AA34" s="52">
        <v>0.0</v>
      </c>
      <c r="AB34" s="52">
        <v>3200.0</v>
      </c>
      <c r="AC34" s="52">
        <v>215.0</v>
      </c>
      <c r="AD34" s="52">
        <v>0.0</v>
      </c>
      <c r="AE34" s="52">
        <v>215.0</v>
      </c>
      <c r="AF34" s="52">
        <v>0.0</v>
      </c>
      <c r="AG34" s="52" t="s">
        <v>734</v>
      </c>
      <c r="AH34" s="52" t="b">
        <v>0</v>
      </c>
      <c r="AI34" s="52" t="b">
        <v>0</v>
      </c>
      <c r="AJ34" s="52">
        <v>0.0</v>
      </c>
      <c r="AK34" s="52" t="s">
        <v>789</v>
      </c>
      <c r="AL34" s="52" t="s">
        <v>765</v>
      </c>
      <c r="AM34" s="52" t="b">
        <v>0</v>
      </c>
      <c r="AN34" s="52" t="b">
        <v>0</v>
      </c>
      <c r="AO34" s="52" t="b">
        <v>0</v>
      </c>
      <c r="AP34" s="52">
        <v>216.0</v>
      </c>
      <c r="AQ34" s="52">
        <v>1.0</v>
      </c>
      <c r="AR34" s="52">
        <v>5.0</v>
      </c>
      <c r="AS34" s="52">
        <v>0.0</v>
      </c>
      <c r="AT34" s="52" t="s">
        <v>749</v>
      </c>
      <c r="AU34" s="52">
        <v>6.0</v>
      </c>
      <c r="AV34" s="52" t="s">
        <v>757</v>
      </c>
      <c r="AW34" s="52" t="s">
        <v>800</v>
      </c>
      <c r="AX34" s="52">
        <v>5.0</v>
      </c>
      <c r="AY34" s="52">
        <v>55.0</v>
      </c>
      <c r="AZ34" s="52">
        <v>17.0</v>
      </c>
      <c r="BA34" s="52">
        <v>55.0</v>
      </c>
      <c r="BB34" s="52">
        <v>17.0</v>
      </c>
      <c r="BC34" s="52" t="s">
        <v>804</v>
      </c>
      <c r="BD34" s="53"/>
      <c r="BE34" s="53"/>
    </row>
    <row r="35">
      <c r="A35" s="54">
        <v>34.0</v>
      </c>
      <c r="B35" s="54">
        <v>46.0</v>
      </c>
      <c r="C35" s="54" t="s">
        <v>150</v>
      </c>
      <c r="D35" s="54" t="s">
        <v>151</v>
      </c>
      <c r="E35" s="54" t="s">
        <v>152</v>
      </c>
      <c r="F35" s="54">
        <v>46.0</v>
      </c>
      <c r="G35" s="54">
        <v>0.0</v>
      </c>
      <c r="H35" s="54">
        <v>0.0</v>
      </c>
      <c r="I35" s="54" t="s">
        <v>741</v>
      </c>
      <c r="J35" s="54">
        <v>2001.0</v>
      </c>
      <c r="K35" s="54">
        <v>5.0</v>
      </c>
      <c r="L35" s="54">
        <v>4995.0</v>
      </c>
      <c r="M35" s="54">
        <v>1845.0</v>
      </c>
      <c r="N35" s="54">
        <v>1490.0</v>
      </c>
      <c r="O35" s="54">
        <v>2870.0</v>
      </c>
      <c r="P35" s="54">
        <v>1580.0</v>
      </c>
      <c r="Q35" s="54">
        <v>1560.0</v>
      </c>
      <c r="R35" s="54">
        <v>1810.0</v>
      </c>
      <c r="S35" s="54">
        <v>4494.0</v>
      </c>
      <c r="T35" s="54">
        <v>280.0</v>
      </c>
      <c r="U35" s="54">
        <v>206.0</v>
      </c>
      <c r="V35" s="54">
        <v>0.0</v>
      </c>
      <c r="W35" s="54">
        <v>0.0</v>
      </c>
      <c r="X35" s="54">
        <v>0.0</v>
      </c>
      <c r="Y35" s="54">
        <v>6000.0</v>
      </c>
      <c r="Z35" s="54">
        <v>451.0</v>
      </c>
      <c r="AA35" s="54">
        <v>0.0</v>
      </c>
      <c r="AB35" s="54">
        <v>3600.0</v>
      </c>
      <c r="AC35" s="54">
        <v>225.0</v>
      </c>
      <c r="AD35" s="54">
        <v>0.0</v>
      </c>
      <c r="AE35" s="54">
        <v>225.0</v>
      </c>
      <c r="AF35" s="54">
        <v>0.0</v>
      </c>
      <c r="AG35" s="54" t="s">
        <v>734</v>
      </c>
      <c r="AH35" s="54" t="b">
        <v>0</v>
      </c>
      <c r="AI35" s="54" t="b">
        <v>0</v>
      </c>
      <c r="AJ35" s="54">
        <v>0.0</v>
      </c>
      <c r="AK35" s="54" t="s">
        <v>789</v>
      </c>
      <c r="AL35" s="54" t="s">
        <v>794</v>
      </c>
      <c r="AM35" s="54" t="b">
        <v>1</v>
      </c>
      <c r="AN35" s="54" t="b">
        <v>1</v>
      </c>
      <c r="AO35" s="54" t="b">
        <v>0</v>
      </c>
      <c r="AP35" s="54">
        <v>216.0</v>
      </c>
      <c r="AQ35" s="54">
        <v>1.0</v>
      </c>
      <c r="AR35" s="54">
        <v>5.0</v>
      </c>
      <c r="AS35" s="54">
        <v>0.0</v>
      </c>
      <c r="AT35" s="54" t="s">
        <v>749</v>
      </c>
      <c r="AU35" s="54">
        <v>8.0</v>
      </c>
      <c r="AV35" s="54" t="s">
        <v>738</v>
      </c>
      <c r="AW35" s="54" t="s">
        <v>739</v>
      </c>
      <c r="AX35" s="54">
        <v>5.0</v>
      </c>
      <c r="AY35" s="54">
        <v>55.0</v>
      </c>
      <c r="AZ35" s="54">
        <v>17.0</v>
      </c>
      <c r="BA35" s="54">
        <v>55.0</v>
      </c>
      <c r="BB35" s="54">
        <v>17.0</v>
      </c>
      <c r="BC35" s="54" t="s">
        <v>805</v>
      </c>
      <c r="BD35" s="53"/>
      <c r="BE35" s="53"/>
    </row>
    <row r="36">
      <c r="A36" s="52">
        <v>35.0</v>
      </c>
      <c r="B36" s="52">
        <v>47.0</v>
      </c>
      <c r="C36" s="52" t="s">
        <v>153</v>
      </c>
      <c r="D36" s="52" t="s">
        <v>154</v>
      </c>
      <c r="E36" s="52" t="s">
        <v>155</v>
      </c>
      <c r="F36" s="52">
        <v>9.4</v>
      </c>
      <c r="G36" s="52">
        <v>0.0</v>
      </c>
      <c r="H36" s="52">
        <v>0.0</v>
      </c>
      <c r="I36" s="52" t="s">
        <v>747</v>
      </c>
      <c r="J36" s="52">
        <v>2002.0</v>
      </c>
      <c r="K36" s="52">
        <v>1.0</v>
      </c>
      <c r="L36" s="52">
        <v>3940.0</v>
      </c>
      <c r="M36" s="52">
        <v>1695.0</v>
      </c>
      <c r="N36" s="52">
        <v>1355.0</v>
      </c>
      <c r="O36" s="52">
        <v>2400.0</v>
      </c>
      <c r="P36" s="52">
        <v>1435.0</v>
      </c>
      <c r="Q36" s="52">
        <v>1325.0</v>
      </c>
      <c r="R36" s="52">
        <v>820.0</v>
      </c>
      <c r="S36" s="52">
        <v>995.0</v>
      </c>
      <c r="T36" s="52">
        <v>70.0</v>
      </c>
      <c r="U36" s="52">
        <v>51.0</v>
      </c>
      <c r="V36" s="52">
        <v>0.0</v>
      </c>
      <c r="W36" s="52">
        <v>0.0</v>
      </c>
      <c r="X36" s="52">
        <v>0.0</v>
      </c>
      <c r="Y36" s="52">
        <v>5700.0</v>
      </c>
      <c r="Z36" s="52">
        <v>92.0</v>
      </c>
      <c r="AA36" s="52">
        <v>0.0</v>
      </c>
      <c r="AB36" s="52">
        <v>4800.0</v>
      </c>
      <c r="AC36" s="52">
        <v>165.0</v>
      </c>
      <c r="AD36" s="52">
        <v>0.0</v>
      </c>
      <c r="AE36" s="52">
        <v>165.0</v>
      </c>
      <c r="AF36" s="52">
        <v>0.0</v>
      </c>
      <c r="AG36" s="52" t="s">
        <v>734</v>
      </c>
      <c r="AH36" s="52" t="b">
        <v>0</v>
      </c>
      <c r="AI36" s="52" t="b">
        <v>0</v>
      </c>
      <c r="AJ36" s="52">
        <v>0.0</v>
      </c>
      <c r="AK36" s="52" t="s">
        <v>742</v>
      </c>
      <c r="AL36" s="52" t="s">
        <v>743</v>
      </c>
      <c r="AM36" s="52" t="b">
        <v>0</v>
      </c>
      <c r="AN36" s="52" t="b">
        <v>0</v>
      </c>
      <c r="AO36" s="52" t="b">
        <v>0</v>
      </c>
      <c r="AP36" s="52">
        <v>144.0</v>
      </c>
      <c r="AQ36" s="52">
        <v>0.0</v>
      </c>
      <c r="AR36" s="52">
        <v>2.0</v>
      </c>
      <c r="AS36" s="52">
        <v>0.0</v>
      </c>
      <c r="AT36" s="52" t="s">
        <v>795</v>
      </c>
      <c r="AU36" s="52">
        <v>0.0</v>
      </c>
      <c r="AV36" s="52" t="s">
        <v>738</v>
      </c>
      <c r="AW36" s="52" t="s">
        <v>744</v>
      </c>
      <c r="AX36" s="52">
        <v>5.0</v>
      </c>
      <c r="AY36" s="52">
        <v>65.0</v>
      </c>
      <c r="AZ36" s="52">
        <v>14.0</v>
      </c>
      <c r="BA36" s="52">
        <v>65.0</v>
      </c>
      <c r="BB36" s="52">
        <v>14.0</v>
      </c>
      <c r="BC36" s="52" t="s">
        <v>806</v>
      </c>
      <c r="BD36" s="53"/>
      <c r="BE36" s="53"/>
    </row>
    <row r="37">
      <c r="A37" s="54">
        <v>36.0</v>
      </c>
      <c r="B37" s="54">
        <v>48.0</v>
      </c>
      <c r="C37" s="54" t="s">
        <v>156</v>
      </c>
      <c r="D37" s="54" t="s">
        <v>157</v>
      </c>
      <c r="E37" s="54" t="s">
        <v>158</v>
      </c>
      <c r="F37" s="54">
        <v>21.0</v>
      </c>
      <c r="G37" s="54">
        <v>0.0</v>
      </c>
      <c r="H37" s="54">
        <v>0.0</v>
      </c>
      <c r="I37" s="54" t="s">
        <v>747</v>
      </c>
      <c r="J37" s="54">
        <v>2001.0</v>
      </c>
      <c r="K37" s="54">
        <v>5.0</v>
      </c>
      <c r="L37" s="54">
        <v>4385.0</v>
      </c>
      <c r="M37" s="54">
        <v>1725.0</v>
      </c>
      <c r="N37" s="54">
        <v>1385.0</v>
      </c>
      <c r="O37" s="54">
        <v>2570.0</v>
      </c>
      <c r="P37" s="54">
        <v>1490.0</v>
      </c>
      <c r="Q37" s="54">
        <v>1490.0</v>
      </c>
      <c r="R37" s="54">
        <v>1170.0</v>
      </c>
      <c r="S37" s="54">
        <v>1998.0</v>
      </c>
      <c r="T37" s="54">
        <v>220.0</v>
      </c>
      <c r="U37" s="54">
        <v>162.0</v>
      </c>
      <c r="V37" s="54">
        <v>0.0</v>
      </c>
      <c r="W37" s="54">
        <v>0.0</v>
      </c>
      <c r="X37" s="54">
        <v>0.0</v>
      </c>
      <c r="Y37" s="54">
        <v>8000.0</v>
      </c>
      <c r="Z37" s="54">
        <v>206.0</v>
      </c>
      <c r="AA37" s="54">
        <v>0.0</v>
      </c>
      <c r="AB37" s="54">
        <v>7000.0</v>
      </c>
      <c r="AC37" s="54">
        <v>215.0</v>
      </c>
      <c r="AD37" s="54">
        <v>0.0</v>
      </c>
      <c r="AE37" s="54">
        <v>215.0</v>
      </c>
      <c r="AF37" s="54">
        <v>0.0</v>
      </c>
      <c r="AG37" s="54" t="s">
        <v>734</v>
      </c>
      <c r="AH37" s="54" t="b">
        <v>0</v>
      </c>
      <c r="AI37" s="54" t="b">
        <v>0</v>
      </c>
      <c r="AJ37" s="54">
        <v>0.0</v>
      </c>
      <c r="AK37" s="54" t="s">
        <v>756</v>
      </c>
      <c r="AL37" s="54" t="s">
        <v>754</v>
      </c>
      <c r="AM37" s="54" t="b">
        <v>0</v>
      </c>
      <c r="AN37" s="54" t="b">
        <v>0</v>
      </c>
      <c r="AO37" s="54" t="b">
        <v>0</v>
      </c>
      <c r="AP37" s="54">
        <v>216.0</v>
      </c>
      <c r="AQ37" s="54">
        <v>0.0</v>
      </c>
      <c r="AR37" s="54">
        <v>4.0</v>
      </c>
      <c r="AS37" s="54">
        <v>0.0</v>
      </c>
      <c r="AT37" s="54" t="s">
        <v>737</v>
      </c>
      <c r="AU37" s="54">
        <v>4.0</v>
      </c>
      <c r="AV37" s="54" t="s">
        <v>738</v>
      </c>
      <c r="AW37" s="54" t="s">
        <v>744</v>
      </c>
      <c r="AX37" s="54">
        <v>6.0</v>
      </c>
      <c r="AY37" s="54">
        <v>45.0</v>
      </c>
      <c r="AZ37" s="54">
        <v>17.0</v>
      </c>
      <c r="BA37" s="54">
        <v>45.0</v>
      </c>
      <c r="BB37" s="54">
        <v>17.0</v>
      </c>
      <c r="BC37" s="54" t="s">
        <v>807</v>
      </c>
      <c r="BD37" s="53"/>
      <c r="BE37" s="53"/>
    </row>
    <row r="38">
      <c r="A38" s="52">
        <v>37.0</v>
      </c>
      <c r="B38" s="52">
        <v>49.0</v>
      </c>
      <c r="C38" s="52" t="s">
        <v>159</v>
      </c>
      <c r="D38" s="52" t="s">
        <v>160</v>
      </c>
      <c r="E38" s="52" t="s">
        <v>161</v>
      </c>
      <c r="F38" s="52">
        <v>20.6</v>
      </c>
      <c r="G38" s="52">
        <v>0.0</v>
      </c>
      <c r="H38" s="52">
        <v>0.0</v>
      </c>
      <c r="I38" s="52" t="s">
        <v>747</v>
      </c>
      <c r="J38" s="52">
        <v>2001.0</v>
      </c>
      <c r="K38" s="52">
        <v>5.0</v>
      </c>
      <c r="L38" s="52">
        <v>4135.0</v>
      </c>
      <c r="M38" s="52">
        <v>1695.0</v>
      </c>
      <c r="N38" s="52">
        <v>1430.0</v>
      </c>
      <c r="O38" s="52">
        <v>2570.0</v>
      </c>
      <c r="P38" s="52">
        <v>1470.0</v>
      </c>
      <c r="Q38" s="52">
        <v>1470.0</v>
      </c>
      <c r="R38" s="52">
        <v>1190.0</v>
      </c>
      <c r="S38" s="52">
        <v>1998.0</v>
      </c>
      <c r="T38" s="52">
        <v>215.0</v>
      </c>
      <c r="U38" s="52">
        <v>158.0</v>
      </c>
      <c r="V38" s="52">
        <v>0.0</v>
      </c>
      <c r="W38" s="52">
        <v>0.0</v>
      </c>
      <c r="X38" s="52">
        <v>0.0</v>
      </c>
      <c r="Y38" s="52">
        <v>8000.0</v>
      </c>
      <c r="Z38" s="52">
        <v>202.0</v>
      </c>
      <c r="AA38" s="52">
        <v>0.0</v>
      </c>
      <c r="AB38" s="52">
        <v>7000.0</v>
      </c>
      <c r="AC38" s="52">
        <v>205.0</v>
      </c>
      <c r="AD38" s="52">
        <v>0.0</v>
      </c>
      <c r="AE38" s="52">
        <v>205.0</v>
      </c>
      <c r="AF38" s="52">
        <v>0.0</v>
      </c>
      <c r="AG38" s="52" t="s">
        <v>734</v>
      </c>
      <c r="AH38" s="52" t="b">
        <v>0</v>
      </c>
      <c r="AI38" s="52" t="b">
        <v>0</v>
      </c>
      <c r="AJ38" s="52">
        <v>0.0</v>
      </c>
      <c r="AK38" s="52" t="s">
        <v>756</v>
      </c>
      <c r="AL38" s="52" t="s">
        <v>754</v>
      </c>
      <c r="AM38" s="52" t="b">
        <v>0</v>
      </c>
      <c r="AN38" s="52" t="b">
        <v>0</v>
      </c>
      <c r="AO38" s="52" t="b">
        <v>0</v>
      </c>
      <c r="AP38" s="52">
        <v>216.0</v>
      </c>
      <c r="AQ38" s="52">
        <v>0.0</v>
      </c>
      <c r="AR38" s="52">
        <v>4.0</v>
      </c>
      <c r="AS38" s="52">
        <v>0.0</v>
      </c>
      <c r="AT38" s="52" t="s">
        <v>737</v>
      </c>
      <c r="AU38" s="52">
        <v>4.0</v>
      </c>
      <c r="AV38" s="52" t="s">
        <v>738</v>
      </c>
      <c r="AW38" s="52" t="s">
        <v>744</v>
      </c>
      <c r="AX38" s="52">
        <v>6.0</v>
      </c>
      <c r="AY38" s="52">
        <v>45.0</v>
      </c>
      <c r="AZ38" s="52">
        <v>17.0</v>
      </c>
      <c r="BA38" s="52">
        <v>45.0</v>
      </c>
      <c r="BB38" s="52">
        <v>17.0</v>
      </c>
      <c r="BC38" s="52" t="s">
        <v>807</v>
      </c>
      <c r="BD38" s="53"/>
      <c r="BE38" s="53"/>
    </row>
    <row r="39">
      <c r="A39" s="54">
        <v>38.0</v>
      </c>
      <c r="B39" s="54">
        <v>50.0</v>
      </c>
      <c r="C39" s="54" t="s">
        <v>162</v>
      </c>
      <c r="D39" s="54" t="s">
        <v>163</v>
      </c>
      <c r="E39" s="54" t="s">
        <v>164</v>
      </c>
      <c r="F39" s="54">
        <v>19.0</v>
      </c>
      <c r="G39" s="54">
        <v>0.0</v>
      </c>
      <c r="H39" s="54">
        <v>0.0</v>
      </c>
      <c r="I39" s="54" t="s">
        <v>747</v>
      </c>
      <c r="J39" s="54">
        <v>1999.0</v>
      </c>
      <c r="K39" s="54">
        <v>5.0</v>
      </c>
      <c r="L39" s="54">
        <v>4380.0</v>
      </c>
      <c r="M39" s="54">
        <v>1695.0</v>
      </c>
      <c r="N39" s="54">
        <v>1330.0</v>
      </c>
      <c r="O39" s="54">
        <v>2570.0</v>
      </c>
      <c r="P39" s="54">
        <v>1480.0</v>
      </c>
      <c r="Q39" s="54">
        <v>1485.0</v>
      </c>
      <c r="R39" s="54">
        <v>1080.0</v>
      </c>
      <c r="S39" s="54">
        <v>1797.0</v>
      </c>
      <c r="T39" s="54">
        <v>200.0</v>
      </c>
      <c r="U39" s="54">
        <v>0.0</v>
      </c>
      <c r="V39" s="54">
        <v>0.0</v>
      </c>
      <c r="W39" s="54">
        <v>0.0</v>
      </c>
      <c r="X39" s="54">
        <v>0.0</v>
      </c>
      <c r="Y39" s="54">
        <v>8000.0</v>
      </c>
      <c r="Z39" s="54">
        <v>0.0</v>
      </c>
      <c r="AA39" s="54">
        <v>0.0</v>
      </c>
      <c r="AB39" s="54">
        <v>6200.0</v>
      </c>
      <c r="AC39" s="54">
        <v>215.0</v>
      </c>
      <c r="AD39" s="54">
        <v>0.0</v>
      </c>
      <c r="AE39" s="54">
        <v>215.0</v>
      </c>
      <c r="AF39" s="54">
        <v>0.0</v>
      </c>
      <c r="AG39" s="54" t="s">
        <v>734</v>
      </c>
      <c r="AH39" s="54" t="b">
        <v>0</v>
      </c>
      <c r="AI39" s="54" t="b">
        <v>0</v>
      </c>
      <c r="AJ39" s="54">
        <v>0.0</v>
      </c>
      <c r="AK39" s="54" t="s">
        <v>789</v>
      </c>
      <c r="AL39" s="54" t="s">
        <v>754</v>
      </c>
      <c r="AM39" s="54" t="b">
        <v>0</v>
      </c>
      <c r="AN39" s="54" t="b">
        <v>0</v>
      </c>
      <c r="AO39" s="54" t="b">
        <v>0</v>
      </c>
      <c r="AP39" s="54">
        <v>216.0</v>
      </c>
      <c r="AQ39" s="54">
        <v>0.0</v>
      </c>
      <c r="AR39" s="54">
        <v>4.0</v>
      </c>
      <c r="AS39" s="54">
        <v>0.0</v>
      </c>
      <c r="AT39" s="54" t="s">
        <v>737</v>
      </c>
      <c r="AU39" s="54">
        <v>4.0</v>
      </c>
      <c r="AV39" s="54" t="s">
        <v>738</v>
      </c>
      <c r="AW39" s="54" t="s">
        <v>744</v>
      </c>
      <c r="AX39" s="54">
        <v>5.0</v>
      </c>
      <c r="AY39" s="54">
        <v>45.0</v>
      </c>
      <c r="AZ39" s="54">
        <v>16.0</v>
      </c>
      <c r="BA39" s="54">
        <v>45.0</v>
      </c>
      <c r="BB39" s="54">
        <v>16.0</v>
      </c>
      <c r="BC39" s="54" t="s">
        <v>808</v>
      </c>
      <c r="BD39" s="53"/>
      <c r="BE39" s="53"/>
    </row>
    <row r="40">
      <c r="A40" s="52">
        <v>39.0</v>
      </c>
      <c r="B40" s="52">
        <v>51.0</v>
      </c>
      <c r="C40" s="52" t="s">
        <v>165</v>
      </c>
      <c r="D40" s="52" t="s">
        <v>166</v>
      </c>
      <c r="E40" s="52" t="s">
        <v>167</v>
      </c>
      <c r="F40" s="52">
        <v>22.2</v>
      </c>
      <c r="G40" s="52">
        <v>0.0</v>
      </c>
      <c r="H40" s="52">
        <v>0.0</v>
      </c>
      <c r="I40" s="52" t="s">
        <v>747</v>
      </c>
      <c r="J40" s="52">
        <v>1999.0</v>
      </c>
      <c r="K40" s="52">
        <v>6.0</v>
      </c>
      <c r="L40" s="52">
        <v>4135.0</v>
      </c>
      <c r="M40" s="52">
        <v>1750.0</v>
      </c>
      <c r="N40" s="52">
        <v>1285.0</v>
      </c>
      <c r="O40" s="52">
        <v>2400.0</v>
      </c>
      <c r="P40" s="52">
        <v>1470.0</v>
      </c>
      <c r="Q40" s="52">
        <v>1510.0</v>
      </c>
      <c r="R40" s="52">
        <v>1240.0</v>
      </c>
      <c r="S40" s="52">
        <v>1997.0</v>
      </c>
      <c r="T40" s="52">
        <v>250.0</v>
      </c>
      <c r="U40" s="52">
        <v>184.0</v>
      </c>
      <c r="V40" s="52">
        <v>0.0</v>
      </c>
      <c r="W40" s="52">
        <v>0.0</v>
      </c>
      <c r="X40" s="52">
        <v>0.0</v>
      </c>
      <c r="Y40" s="52">
        <v>8300.0</v>
      </c>
      <c r="Z40" s="52">
        <v>218.0</v>
      </c>
      <c r="AA40" s="52">
        <v>0.0</v>
      </c>
      <c r="AB40" s="52">
        <v>7500.0</v>
      </c>
      <c r="AC40" s="52">
        <v>205.0</v>
      </c>
      <c r="AD40" s="52">
        <v>0.0</v>
      </c>
      <c r="AE40" s="52">
        <v>225.0</v>
      </c>
      <c r="AF40" s="52">
        <v>0.0</v>
      </c>
      <c r="AG40" s="52" t="s">
        <v>734</v>
      </c>
      <c r="AH40" s="52" t="b">
        <v>1</v>
      </c>
      <c r="AI40" s="52" t="b">
        <v>0</v>
      </c>
      <c r="AJ40" s="52">
        <v>0.0</v>
      </c>
      <c r="AK40" s="52" t="s">
        <v>756</v>
      </c>
      <c r="AL40" s="52" t="s">
        <v>736</v>
      </c>
      <c r="AM40" s="52" t="b">
        <v>0</v>
      </c>
      <c r="AN40" s="52" t="b">
        <v>0</v>
      </c>
      <c r="AO40" s="52" t="b">
        <v>0</v>
      </c>
      <c r="AP40" s="52">
        <v>180.0</v>
      </c>
      <c r="AQ40" s="52">
        <v>0.0</v>
      </c>
      <c r="AR40" s="52">
        <v>2.0</v>
      </c>
      <c r="AS40" s="52">
        <v>0.0</v>
      </c>
      <c r="AT40" s="52" t="s">
        <v>737</v>
      </c>
      <c r="AU40" s="52">
        <v>4.0</v>
      </c>
      <c r="AV40" s="52" t="s">
        <v>738</v>
      </c>
      <c r="AW40" s="52" t="s">
        <v>739</v>
      </c>
      <c r="AX40" s="52">
        <v>6.0</v>
      </c>
      <c r="AY40" s="52">
        <v>55.0</v>
      </c>
      <c r="AZ40" s="52">
        <v>16.0</v>
      </c>
      <c r="BA40" s="52">
        <v>50.0</v>
      </c>
      <c r="BB40" s="52">
        <v>16.0</v>
      </c>
      <c r="BC40" s="52" t="s">
        <v>809</v>
      </c>
      <c r="BD40" s="53"/>
      <c r="BE40" s="53"/>
    </row>
    <row r="41">
      <c r="A41" s="54">
        <v>40.0</v>
      </c>
      <c r="B41" s="54">
        <v>52.0</v>
      </c>
      <c r="C41" s="54" t="s">
        <v>168</v>
      </c>
      <c r="D41" s="54" t="s">
        <v>169</v>
      </c>
      <c r="E41" s="54" t="s">
        <v>170</v>
      </c>
      <c r="F41" s="54">
        <v>27.5</v>
      </c>
      <c r="G41" s="54">
        <v>0.0</v>
      </c>
      <c r="H41" s="54">
        <v>0.0</v>
      </c>
      <c r="I41" s="54" t="s">
        <v>747</v>
      </c>
      <c r="J41" s="54">
        <v>2002.0</v>
      </c>
      <c r="K41" s="54">
        <v>4.0</v>
      </c>
      <c r="L41" s="54">
        <v>4845.0</v>
      </c>
      <c r="M41" s="54">
        <v>1800.0</v>
      </c>
      <c r="N41" s="54">
        <v>1615.0</v>
      </c>
      <c r="O41" s="54">
        <v>2830.0</v>
      </c>
      <c r="P41" s="54">
        <v>1565.0</v>
      </c>
      <c r="Q41" s="54">
        <v>1560.0</v>
      </c>
      <c r="R41" s="54">
        <v>1710.0</v>
      </c>
      <c r="S41" s="54">
        <v>2997.0</v>
      </c>
      <c r="T41" s="54">
        <v>210.0</v>
      </c>
      <c r="U41" s="54">
        <v>154.0</v>
      </c>
      <c r="V41" s="54">
        <v>0.0</v>
      </c>
      <c r="W41" s="54">
        <v>0.0</v>
      </c>
      <c r="X41" s="54">
        <v>0.0</v>
      </c>
      <c r="Y41" s="54">
        <v>5800.0</v>
      </c>
      <c r="Z41" s="54">
        <v>270.0</v>
      </c>
      <c r="AA41" s="54">
        <v>0.0</v>
      </c>
      <c r="AB41" s="54">
        <v>5000.0</v>
      </c>
      <c r="AC41" s="54">
        <v>215.0</v>
      </c>
      <c r="AD41" s="54">
        <v>0.0</v>
      </c>
      <c r="AE41" s="54">
        <v>215.0</v>
      </c>
      <c r="AF41" s="54">
        <v>0.0</v>
      </c>
      <c r="AG41" s="54" t="s">
        <v>734</v>
      </c>
      <c r="AH41" s="54" t="b">
        <v>0</v>
      </c>
      <c r="AI41" s="54" t="b">
        <v>0</v>
      </c>
      <c r="AJ41" s="54">
        <v>0.0</v>
      </c>
      <c r="AK41" s="54" t="s">
        <v>735</v>
      </c>
      <c r="AL41" s="54" t="s">
        <v>799</v>
      </c>
      <c r="AM41" s="54" t="b">
        <v>0</v>
      </c>
      <c r="AN41" s="54" t="b">
        <v>0</v>
      </c>
      <c r="AO41" s="54" t="b">
        <v>0</v>
      </c>
      <c r="AP41" s="54">
        <v>252.0</v>
      </c>
      <c r="AQ41" s="54">
        <v>1.0</v>
      </c>
      <c r="AR41" s="54">
        <v>6.0</v>
      </c>
      <c r="AS41" s="54">
        <v>0.0</v>
      </c>
      <c r="AT41" s="54" t="s">
        <v>749</v>
      </c>
      <c r="AU41" s="54">
        <v>6.0</v>
      </c>
      <c r="AV41" s="54" t="s">
        <v>738</v>
      </c>
      <c r="AW41" s="54" t="s">
        <v>744</v>
      </c>
      <c r="AX41" s="54">
        <v>5.0</v>
      </c>
      <c r="AY41" s="54">
        <v>55.0</v>
      </c>
      <c r="AZ41" s="54">
        <v>17.0</v>
      </c>
      <c r="BA41" s="54">
        <v>55.0</v>
      </c>
      <c r="BB41" s="54">
        <v>17.0</v>
      </c>
      <c r="BC41" s="54" t="s">
        <v>810</v>
      </c>
      <c r="BD41" s="53"/>
      <c r="BE41" s="53"/>
    </row>
    <row r="42">
      <c r="A42" s="52">
        <v>41.0</v>
      </c>
      <c r="B42" s="52">
        <v>54.0</v>
      </c>
      <c r="C42" s="52" t="s">
        <v>171</v>
      </c>
      <c r="D42" s="52" t="s">
        <v>172</v>
      </c>
      <c r="E42" s="52" t="s">
        <v>173</v>
      </c>
      <c r="F42" s="52">
        <v>32.0</v>
      </c>
      <c r="G42" s="52">
        <v>0.0</v>
      </c>
      <c r="H42" s="52">
        <v>0.0</v>
      </c>
      <c r="I42" s="52" t="s">
        <v>733</v>
      </c>
      <c r="J42" s="52">
        <v>2002.0</v>
      </c>
      <c r="K42" s="52">
        <v>7.0</v>
      </c>
      <c r="L42" s="52">
        <v>4285.0</v>
      </c>
      <c r="M42" s="52">
        <v>1760.0</v>
      </c>
      <c r="N42" s="52">
        <v>1230.0</v>
      </c>
      <c r="O42" s="52">
        <v>2425.0</v>
      </c>
      <c r="P42" s="52">
        <v>1460.0</v>
      </c>
      <c r="Q42" s="52">
        <v>1460.0</v>
      </c>
      <c r="R42" s="52">
        <v>1270.0</v>
      </c>
      <c r="S42" s="52">
        <v>654.0</v>
      </c>
      <c r="T42" s="52">
        <v>280.0</v>
      </c>
      <c r="U42" s="52">
        <v>206.0</v>
      </c>
      <c r="V42" s="52">
        <v>0.0</v>
      </c>
      <c r="W42" s="52">
        <v>0.0</v>
      </c>
      <c r="X42" s="52">
        <v>0.0</v>
      </c>
      <c r="Y42" s="52">
        <v>6500.0</v>
      </c>
      <c r="Z42" s="52">
        <v>314.0</v>
      </c>
      <c r="AA42" s="52">
        <v>0.0</v>
      </c>
      <c r="AB42" s="52">
        <v>5000.0</v>
      </c>
      <c r="AC42" s="52">
        <v>235.0</v>
      </c>
      <c r="AD42" s="52">
        <v>0.0</v>
      </c>
      <c r="AE42" s="52">
        <v>255.0</v>
      </c>
      <c r="AF42" s="52">
        <v>0.0</v>
      </c>
      <c r="AG42" s="52" t="s">
        <v>734</v>
      </c>
      <c r="AH42" s="52" t="b">
        <v>0</v>
      </c>
      <c r="AI42" s="52" t="b">
        <v>1</v>
      </c>
      <c r="AJ42" s="52">
        <v>0.0</v>
      </c>
      <c r="AK42" s="52" t="s">
        <v>748</v>
      </c>
      <c r="AL42" s="52" t="s">
        <v>736</v>
      </c>
      <c r="AM42" s="52" t="b">
        <v>0</v>
      </c>
      <c r="AN42" s="52" t="b">
        <v>0</v>
      </c>
      <c r="AO42" s="52" t="b">
        <v>0</v>
      </c>
      <c r="AP42" s="52">
        <v>144.0</v>
      </c>
      <c r="AQ42" s="52">
        <v>0.0</v>
      </c>
      <c r="AR42" s="52">
        <v>2.0</v>
      </c>
      <c r="AS42" s="52">
        <v>0.0</v>
      </c>
      <c r="AT42" s="52" t="s">
        <v>769</v>
      </c>
      <c r="AU42" s="52">
        <v>2.0</v>
      </c>
      <c r="AV42" s="52" t="s">
        <v>757</v>
      </c>
      <c r="AW42" s="52" t="s">
        <v>739</v>
      </c>
      <c r="AX42" s="52">
        <v>5.0</v>
      </c>
      <c r="AY42" s="52">
        <v>45.0</v>
      </c>
      <c r="AZ42" s="52">
        <v>17.0</v>
      </c>
      <c r="BA42" s="52">
        <v>40.0</v>
      </c>
      <c r="BB42" s="52">
        <v>17.0</v>
      </c>
      <c r="BC42" s="52" t="s">
        <v>811</v>
      </c>
      <c r="BD42" s="53"/>
      <c r="BE42" s="53"/>
    </row>
    <row r="43">
      <c r="A43" s="54">
        <v>42.0</v>
      </c>
      <c r="B43" s="54">
        <v>56.0</v>
      </c>
      <c r="C43" s="54" t="s">
        <v>174</v>
      </c>
      <c r="D43" s="54" t="s">
        <v>175</v>
      </c>
      <c r="E43" s="54" t="s">
        <v>176</v>
      </c>
      <c r="F43" s="54">
        <v>35.0</v>
      </c>
      <c r="G43" s="54">
        <v>0.0</v>
      </c>
      <c r="H43" s="54">
        <v>0.0</v>
      </c>
      <c r="I43" s="54" t="s">
        <v>776</v>
      </c>
      <c r="J43" s="54">
        <v>2001.0</v>
      </c>
      <c r="K43" s="54">
        <v>6.0</v>
      </c>
      <c r="L43" s="54">
        <v>4680.0</v>
      </c>
      <c r="M43" s="54">
        <v>1695.0</v>
      </c>
      <c r="N43" s="54">
        <v>1485.0</v>
      </c>
      <c r="O43" s="54">
        <v>2650.0</v>
      </c>
      <c r="P43" s="54">
        <v>1465.0</v>
      </c>
      <c r="Q43" s="54">
        <v>1460.0</v>
      </c>
      <c r="R43" s="54">
        <v>1500.0</v>
      </c>
      <c r="S43" s="54">
        <v>1994.0</v>
      </c>
      <c r="T43" s="54">
        <v>280.0</v>
      </c>
      <c r="U43" s="54">
        <v>206.0</v>
      </c>
      <c r="V43" s="54">
        <v>0.0</v>
      </c>
      <c r="W43" s="54">
        <v>0.0</v>
      </c>
      <c r="X43" s="54">
        <v>0.0</v>
      </c>
      <c r="Y43" s="54">
        <v>6500.0</v>
      </c>
      <c r="Z43" s="54">
        <v>343.0</v>
      </c>
      <c r="AA43" s="54">
        <v>0.0</v>
      </c>
      <c r="AB43" s="54">
        <v>5000.0</v>
      </c>
      <c r="AC43" s="54">
        <v>215.0</v>
      </c>
      <c r="AD43" s="54">
        <v>0.0</v>
      </c>
      <c r="AE43" s="54">
        <v>215.0</v>
      </c>
      <c r="AF43" s="54">
        <v>0.0</v>
      </c>
      <c r="AG43" s="54" t="s">
        <v>734</v>
      </c>
      <c r="AH43" s="54" t="b">
        <v>0</v>
      </c>
      <c r="AI43" s="54" t="b">
        <v>0</v>
      </c>
      <c r="AJ43" s="54">
        <v>0.0</v>
      </c>
      <c r="AK43" s="54" t="s">
        <v>789</v>
      </c>
      <c r="AL43" s="54" t="s">
        <v>765</v>
      </c>
      <c r="AM43" s="54" t="b">
        <v>0</v>
      </c>
      <c r="AN43" s="54" t="b">
        <v>0</v>
      </c>
      <c r="AO43" s="54" t="b">
        <v>0</v>
      </c>
      <c r="AP43" s="54">
        <v>216.0</v>
      </c>
      <c r="AQ43" s="54">
        <v>0.0</v>
      </c>
      <c r="AR43" s="54">
        <v>5.0</v>
      </c>
      <c r="AS43" s="54">
        <v>0.0</v>
      </c>
      <c r="AT43" s="54" t="s">
        <v>759</v>
      </c>
      <c r="AU43" s="54">
        <v>4.0</v>
      </c>
      <c r="AV43" s="54" t="s">
        <v>757</v>
      </c>
      <c r="AW43" s="54" t="s">
        <v>800</v>
      </c>
      <c r="AX43" s="54">
        <v>5.0</v>
      </c>
      <c r="AY43" s="54">
        <v>45.0</v>
      </c>
      <c r="AZ43" s="54">
        <v>17.0</v>
      </c>
      <c r="BA43" s="54">
        <v>45.0</v>
      </c>
      <c r="BB43" s="54">
        <v>17.0</v>
      </c>
      <c r="BC43" s="54" t="s">
        <v>812</v>
      </c>
      <c r="BD43" s="53"/>
      <c r="BE43" s="53"/>
    </row>
    <row r="44">
      <c r="A44" s="52">
        <v>43.0</v>
      </c>
      <c r="B44" s="52">
        <v>57.0</v>
      </c>
      <c r="C44" s="52" t="s">
        <v>177</v>
      </c>
      <c r="D44" s="52" t="s">
        <v>178</v>
      </c>
      <c r="E44" s="52" t="s">
        <v>179</v>
      </c>
      <c r="F44" s="52">
        <v>35.0</v>
      </c>
      <c r="G44" s="52">
        <v>0.0</v>
      </c>
      <c r="H44" s="52">
        <v>0.0</v>
      </c>
      <c r="I44" s="52" t="s">
        <v>776</v>
      </c>
      <c r="J44" s="52">
        <v>2001.0</v>
      </c>
      <c r="K44" s="52">
        <v>6.0</v>
      </c>
      <c r="L44" s="52">
        <v>4605.0</v>
      </c>
      <c r="M44" s="52">
        <v>1695.0</v>
      </c>
      <c r="N44" s="52">
        <v>1410.0</v>
      </c>
      <c r="O44" s="52">
        <v>2650.0</v>
      </c>
      <c r="P44" s="52">
        <v>1465.0</v>
      </c>
      <c r="Q44" s="52">
        <v>1465.0</v>
      </c>
      <c r="R44" s="52">
        <v>1470.0</v>
      </c>
      <c r="S44" s="52">
        <v>1994.0</v>
      </c>
      <c r="T44" s="52">
        <v>280.0</v>
      </c>
      <c r="U44" s="52">
        <v>206.0</v>
      </c>
      <c r="V44" s="52">
        <v>0.0</v>
      </c>
      <c r="W44" s="52">
        <v>0.0</v>
      </c>
      <c r="X44" s="52">
        <v>0.0</v>
      </c>
      <c r="Y44" s="52">
        <v>6500.0</v>
      </c>
      <c r="Z44" s="52">
        <v>343.0</v>
      </c>
      <c r="AA44" s="52">
        <v>0.0</v>
      </c>
      <c r="AB44" s="52">
        <v>5000.0</v>
      </c>
      <c r="AC44" s="52">
        <v>215.0</v>
      </c>
      <c r="AD44" s="52">
        <v>0.0</v>
      </c>
      <c r="AE44" s="52">
        <v>215.0</v>
      </c>
      <c r="AF44" s="52">
        <v>0.0</v>
      </c>
      <c r="AG44" s="52" t="s">
        <v>734</v>
      </c>
      <c r="AH44" s="52" t="b">
        <v>0</v>
      </c>
      <c r="AI44" s="52" t="b">
        <v>0</v>
      </c>
      <c r="AJ44" s="52">
        <v>0.0</v>
      </c>
      <c r="AK44" s="52" t="s">
        <v>789</v>
      </c>
      <c r="AL44" s="52" t="s">
        <v>765</v>
      </c>
      <c r="AM44" s="52" t="b">
        <v>0</v>
      </c>
      <c r="AN44" s="52" t="b">
        <v>0</v>
      </c>
      <c r="AO44" s="52" t="b">
        <v>0</v>
      </c>
      <c r="AP44" s="52">
        <v>216.0</v>
      </c>
      <c r="AQ44" s="52">
        <v>0.0</v>
      </c>
      <c r="AR44" s="52">
        <v>5.0</v>
      </c>
      <c r="AS44" s="52">
        <v>0.0</v>
      </c>
      <c r="AT44" s="52" t="s">
        <v>759</v>
      </c>
      <c r="AU44" s="52">
        <v>4.0</v>
      </c>
      <c r="AV44" s="52" t="s">
        <v>757</v>
      </c>
      <c r="AW44" s="52" t="s">
        <v>800</v>
      </c>
      <c r="AX44" s="52">
        <v>5.0</v>
      </c>
      <c r="AY44" s="52">
        <v>45.0</v>
      </c>
      <c r="AZ44" s="52">
        <v>17.0</v>
      </c>
      <c r="BA44" s="52">
        <v>45.0</v>
      </c>
      <c r="BB44" s="52">
        <v>17.0</v>
      </c>
      <c r="BC44" s="52" t="s">
        <v>812</v>
      </c>
      <c r="BD44" s="53"/>
      <c r="BE44" s="53"/>
    </row>
    <row r="45">
      <c r="A45" s="54">
        <v>44.0</v>
      </c>
      <c r="B45" s="54">
        <v>58.0</v>
      </c>
      <c r="C45" s="54" t="s">
        <v>180</v>
      </c>
      <c r="D45" s="54" t="s">
        <v>181</v>
      </c>
      <c r="E45" s="54" t="s">
        <v>182</v>
      </c>
      <c r="F45" s="54">
        <v>31.5</v>
      </c>
      <c r="G45" s="54">
        <v>0.0</v>
      </c>
      <c r="H45" s="54">
        <v>0.0</v>
      </c>
      <c r="I45" s="54" t="s">
        <v>776</v>
      </c>
      <c r="J45" s="54">
        <v>2002.0</v>
      </c>
      <c r="K45" s="54">
        <v>6.0</v>
      </c>
      <c r="L45" s="54">
        <v>4450.0</v>
      </c>
      <c r="M45" s="54">
        <v>1735.0</v>
      </c>
      <c r="N45" s="54">
        <v>1585.0</v>
      </c>
      <c r="O45" s="54">
        <v>2525.0</v>
      </c>
      <c r="P45" s="54">
        <v>1495.0</v>
      </c>
      <c r="Q45" s="54">
        <v>1485.0</v>
      </c>
      <c r="R45" s="54">
        <v>1420.0</v>
      </c>
      <c r="S45" s="54">
        <v>1994.0</v>
      </c>
      <c r="T45" s="54">
        <v>220.0</v>
      </c>
      <c r="U45" s="54">
        <v>162.0</v>
      </c>
      <c r="V45" s="54">
        <v>0.0</v>
      </c>
      <c r="W45" s="54">
        <v>0.0</v>
      </c>
      <c r="X45" s="54">
        <v>0.0</v>
      </c>
      <c r="Y45" s="54">
        <v>5500.0</v>
      </c>
      <c r="Z45" s="54">
        <v>309.0</v>
      </c>
      <c r="AA45" s="54">
        <v>0.0</v>
      </c>
      <c r="AB45" s="54">
        <v>3500.0</v>
      </c>
      <c r="AC45" s="54">
        <v>215.0</v>
      </c>
      <c r="AD45" s="54">
        <v>0.0</v>
      </c>
      <c r="AE45" s="54">
        <v>215.0</v>
      </c>
      <c r="AF45" s="54">
        <v>0.0</v>
      </c>
      <c r="AG45" s="54" t="s">
        <v>734</v>
      </c>
      <c r="AH45" s="54" t="b">
        <v>0</v>
      </c>
      <c r="AI45" s="54" t="b">
        <v>0</v>
      </c>
      <c r="AJ45" s="54">
        <v>0.0</v>
      </c>
      <c r="AK45" s="54" t="s">
        <v>735</v>
      </c>
      <c r="AL45" s="54" t="s">
        <v>799</v>
      </c>
      <c r="AM45" s="54" t="b">
        <v>1</v>
      </c>
      <c r="AN45" s="54" t="b">
        <v>1</v>
      </c>
      <c r="AO45" s="54" t="b">
        <v>0</v>
      </c>
      <c r="AP45" s="54">
        <v>216.0</v>
      </c>
      <c r="AQ45" s="54">
        <v>1.0</v>
      </c>
      <c r="AR45" s="54">
        <v>5.0</v>
      </c>
      <c r="AS45" s="54">
        <v>0.0</v>
      </c>
      <c r="AT45" s="54" t="s">
        <v>759</v>
      </c>
      <c r="AU45" s="54">
        <v>4.0</v>
      </c>
      <c r="AV45" s="54" t="s">
        <v>757</v>
      </c>
      <c r="AW45" s="54" t="s">
        <v>800</v>
      </c>
      <c r="AX45" s="54">
        <v>4.0</v>
      </c>
      <c r="AY45" s="54">
        <v>60.0</v>
      </c>
      <c r="AZ45" s="54">
        <v>16.0</v>
      </c>
      <c r="BA45" s="54">
        <v>60.0</v>
      </c>
      <c r="BB45" s="54">
        <v>16.0</v>
      </c>
      <c r="BC45" s="54" t="s">
        <v>812</v>
      </c>
      <c r="BD45" s="53"/>
      <c r="BE45" s="53"/>
    </row>
    <row r="46">
      <c r="A46" s="52">
        <v>45.0</v>
      </c>
      <c r="B46" s="52">
        <v>60.0</v>
      </c>
      <c r="C46" s="52" t="s">
        <v>183</v>
      </c>
      <c r="D46" s="52" t="s">
        <v>184</v>
      </c>
      <c r="E46" s="52" t="s">
        <v>185</v>
      </c>
      <c r="F46" s="52">
        <v>39.2</v>
      </c>
      <c r="G46" s="52">
        <v>0.0</v>
      </c>
      <c r="H46" s="52">
        <v>0.0</v>
      </c>
      <c r="I46" s="52" t="s">
        <v>776</v>
      </c>
      <c r="J46" s="52">
        <v>2002.0</v>
      </c>
      <c r="K46" s="52">
        <v>8.0</v>
      </c>
      <c r="L46" s="52">
        <v>4405.0</v>
      </c>
      <c r="M46" s="52">
        <v>1730.0</v>
      </c>
      <c r="N46" s="52">
        <v>1435.0</v>
      </c>
      <c r="O46" s="52">
        <v>2525.0</v>
      </c>
      <c r="P46" s="52">
        <v>1490.0</v>
      </c>
      <c r="Q46" s="52">
        <v>1480.0</v>
      </c>
      <c r="R46" s="52">
        <v>1430.0</v>
      </c>
      <c r="S46" s="52">
        <v>1994.0</v>
      </c>
      <c r="T46" s="52">
        <v>280.0</v>
      </c>
      <c r="U46" s="52">
        <v>206.0</v>
      </c>
      <c r="V46" s="52">
        <v>0.0</v>
      </c>
      <c r="W46" s="52">
        <v>0.0</v>
      </c>
      <c r="X46" s="52">
        <v>0.0</v>
      </c>
      <c r="Y46" s="52">
        <v>6400.0</v>
      </c>
      <c r="Z46" s="52">
        <v>384.0</v>
      </c>
      <c r="AA46" s="52">
        <v>0.0</v>
      </c>
      <c r="AB46" s="52">
        <v>4400.0</v>
      </c>
      <c r="AC46" s="52">
        <v>225.0</v>
      </c>
      <c r="AD46" s="52">
        <v>0.0</v>
      </c>
      <c r="AE46" s="52">
        <v>225.0</v>
      </c>
      <c r="AF46" s="52">
        <v>0.0</v>
      </c>
      <c r="AG46" s="52" t="s">
        <v>734</v>
      </c>
      <c r="AH46" s="52" t="b">
        <v>0</v>
      </c>
      <c r="AI46" s="52" t="b">
        <v>0</v>
      </c>
      <c r="AJ46" s="52">
        <v>0.0</v>
      </c>
      <c r="AK46" s="52" t="s">
        <v>748</v>
      </c>
      <c r="AL46" s="52" t="s">
        <v>754</v>
      </c>
      <c r="AM46" s="52" t="b">
        <v>0</v>
      </c>
      <c r="AN46" s="52" t="b">
        <v>0</v>
      </c>
      <c r="AO46" s="52" t="b">
        <v>0</v>
      </c>
      <c r="AP46" s="52">
        <v>180.0</v>
      </c>
      <c r="AQ46" s="52">
        <v>0.0</v>
      </c>
      <c r="AR46" s="52">
        <v>5.0</v>
      </c>
      <c r="AS46" s="52">
        <v>0.0</v>
      </c>
      <c r="AT46" s="52" t="s">
        <v>759</v>
      </c>
      <c r="AU46" s="52">
        <v>4.0</v>
      </c>
      <c r="AV46" s="52" t="s">
        <v>757</v>
      </c>
      <c r="AW46" s="52" t="s">
        <v>800</v>
      </c>
      <c r="AX46" s="52">
        <v>6.0</v>
      </c>
      <c r="AY46" s="52">
        <v>45.0</v>
      </c>
      <c r="AZ46" s="52">
        <v>17.0</v>
      </c>
      <c r="BA46" s="52">
        <v>45.0</v>
      </c>
      <c r="BB46" s="52">
        <v>17.0</v>
      </c>
      <c r="BC46" s="52" t="s">
        <v>812</v>
      </c>
      <c r="BD46" s="53"/>
      <c r="BE46" s="53"/>
    </row>
    <row r="47">
      <c r="A47" s="54">
        <v>46.0</v>
      </c>
      <c r="B47" s="54">
        <v>61.0</v>
      </c>
      <c r="C47" s="54" t="s">
        <v>186</v>
      </c>
      <c r="D47" s="54" t="s">
        <v>187</v>
      </c>
      <c r="E47" s="54" t="s">
        <v>188</v>
      </c>
      <c r="F47" s="54">
        <v>13.0</v>
      </c>
      <c r="G47" s="54">
        <v>0.0</v>
      </c>
      <c r="H47" s="54">
        <v>0.0</v>
      </c>
      <c r="I47" s="54" t="s">
        <v>813</v>
      </c>
      <c r="J47" s="54">
        <v>2001.0</v>
      </c>
      <c r="K47" s="54">
        <v>4.0</v>
      </c>
      <c r="L47" s="54">
        <v>3690.0</v>
      </c>
      <c r="M47" s="54">
        <v>1600.0</v>
      </c>
      <c r="N47" s="54">
        <v>1450.0</v>
      </c>
      <c r="O47" s="54">
        <v>2370.0</v>
      </c>
      <c r="P47" s="54">
        <v>1380.0</v>
      </c>
      <c r="Q47" s="54">
        <v>1360.0</v>
      </c>
      <c r="R47" s="54">
        <v>850.0</v>
      </c>
      <c r="S47" s="54">
        <v>713.0</v>
      </c>
      <c r="T47" s="54">
        <v>120.0</v>
      </c>
      <c r="U47" s="54">
        <v>88.0</v>
      </c>
      <c r="V47" s="54">
        <v>0.0</v>
      </c>
      <c r="W47" s="54">
        <v>0.0</v>
      </c>
      <c r="X47" s="54">
        <v>0.0</v>
      </c>
      <c r="Y47" s="54">
        <v>7200.0</v>
      </c>
      <c r="Z47" s="54">
        <v>127.0</v>
      </c>
      <c r="AA47" s="54">
        <v>0.0</v>
      </c>
      <c r="AB47" s="54">
        <v>4800.0</v>
      </c>
      <c r="AC47" s="54">
        <v>165.0</v>
      </c>
      <c r="AD47" s="54">
        <v>0.0</v>
      </c>
      <c r="AE47" s="54">
        <v>165.0</v>
      </c>
      <c r="AF47" s="54">
        <v>0.0</v>
      </c>
      <c r="AG47" s="54" t="s">
        <v>734</v>
      </c>
      <c r="AH47" s="54" t="b">
        <v>0</v>
      </c>
      <c r="AI47" s="54" t="b">
        <v>0</v>
      </c>
      <c r="AJ47" s="54">
        <v>0.0</v>
      </c>
      <c r="AK47" s="54" t="s">
        <v>735</v>
      </c>
      <c r="AL47" s="54" t="s">
        <v>754</v>
      </c>
      <c r="AM47" s="54" t="b">
        <v>0</v>
      </c>
      <c r="AN47" s="54" t="b">
        <v>0</v>
      </c>
      <c r="AO47" s="54" t="b">
        <v>0</v>
      </c>
      <c r="AP47" s="54">
        <v>108.0</v>
      </c>
      <c r="AQ47" s="54">
        <v>0.0</v>
      </c>
      <c r="AR47" s="54">
        <v>5.0</v>
      </c>
      <c r="AS47" s="54">
        <v>0.0</v>
      </c>
      <c r="AT47" s="54" t="s">
        <v>737</v>
      </c>
      <c r="AU47" s="54">
        <v>4.0</v>
      </c>
      <c r="AV47" s="54" t="s">
        <v>757</v>
      </c>
      <c r="AW47" s="54" t="s">
        <v>800</v>
      </c>
      <c r="AX47" s="54">
        <v>5.0</v>
      </c>
      <c r="AY47" s="54">
        <v>65.0</v>
      </c>
      <c r="AZ47" s="54">
        <v>14.0</v>
      </c>
      <c r="BA47" s="54">
        <v>65.0</v>
      </c>
      <c r="BB47" s="54">
        <v>14.0</v>
      </c>
      <c r="BC47" s="54" t="s">
        <v>814</v>
      </c>
      <c r="BD47" s="53"/>
      <c r="BE47" s="53"/>
    </row>
    <row r="48">
      <c r="A48" s="52">
        <v>47.0</v>
      </c>
      <c r="B48" s="52">
        <v>63.0</v>
      </c>
      <c r="C48" s="52" t="s">
        <v>189</v>
      </c>
      <c r="D48" s="52" t="s">
        <v>190</v>
      </c>
      <c r="E48" s="52" t="s">
        <v>191</v>
      </c>
      <c r="F48" s="52">
        <v>46.5</v>
      </c>
      <c r="G48" s="52">
        <v>0.0</v>
      </c>
      <c r="H48" s="52">
        <v>0.0</v>
      </c>
      <c r="I48" s="52" t="s">
        <v>815</v>
      </c>
      <c r="J48" s="52">
        <v>2002.0</v>
      </c>
      <c r="K48" s="52">
        <v>5.0</v>
      </c>
      <c r="L48" s="52">
        <v>4490.0</v>
      </c>
      <c r="M48" s="52">
        <v>1810.0</v>
      </c>
      <c r="N48" s="52">
        <v>1970.0</v>
      </c>
      <c r="O48" s="52">
        <v>2850.0</v>
      </c>
      <c r="P48" s="52">
        <v>1475.0</v>
      </c>
      <c r="Q48" s="52">
        <v>1475.0</v>
      </c>
      <c r="R48" s="52">
        <v>2340.0</v>
      </c>
      <c r="S48" s="52">
        <v>4965.0</v>
      </c>
      <c r="T48" s="52">
        <v>295.0</v>
      </c>
      <c r="U48" s="52">
        <v>218.0</v>
      </c>
      <c r="V48" s="52">
        <v>0.0</v>
      </c>
      <c r="W48" s="52">
        <v>0.0</v>
      </c>
      <c r="X48" s="52">
        <v>0.0</v>
      </c>
      <c r="Y48" s="52">
        <v>5500.0</v>
      </c>
      <c r="Z48" s="52">
        <v>456.0</v>
      </c>
      <c r="AA48" s="52">
        <v>0.0</v>
      </c>
      <c r="AB48" s="52">
        <v>2.621468E8</v>
      </c>
      <c r="AC48" s="52">
        <v>265.0</v>
      </c>
      <c r="AD48" s="52">
        <v>0.0</v>
      </c>
      <c r="AE48" s="52">
        <v>265.0</v>
      </c>
      <c r="AF48" s="52">
        <v>0.0</v>
      </c>
      <c r="AG48" s="52" t="s">
        <v>816</v>
      </c>
      <c r="AH48" s="52" t="b">
        <v>0</v>
      </c>
      <c r="AI48" s="52" t="b">
        <v>0</v>
      </c>
      <c r="AJ48" s="52">
        <v>0.0</v>
      </c>
      <c r="AK48" s="52" t="s">
        <v>735</v>
      </c>
      <c r="AL48" s="52" t="s">
        <v>799</v>
      </c>
      <c r="AM48" s="52" t="b">
        <v>1</v>
      </c>
      <c r="AN48" s="52" t="b">
        <v>1</v>
      </c>
      <c r="AO48" s="52" t="b">
        <v>0</v>
      </c>
      <c r="AP48" s="52">
        <v>180.0</v>
      </c>
      <c r="AQ48" s="52">
        <v>1.0</v>
      </c>
      <c r="AR48" s="52">
        <v>5.0</v>
      </c>
      <c r="AS48" s="52">
        <v>0.0</v>
      </c>
      <c r="AT48" s="52" t="s">
        <v>749</v>
      </c>
      <c r="AU48" s="52">
        <v>8.0</v>
      </c>
      <c r="AV48" s="52" t="s">
        <v>738</v>
      </c>
      <c r="AW48" s="52" t="s">
        <v>800</v>
      </c>
      <c r="AX48" s="52">
        <v>5.0</v>
      </c>
      <c r="AY48" s="52">
        <v>60.0</v>
      </c>
      <c r="AZ48" s="52">
        <v>18.0</v>
      </c>
      <c r="BA48" s="52">
        <v>60.0</v>
      </c>
      <c r="BB48" s="52">
        <v>18.0</v>
      </c>
      <c r="BC48" s="52">
        <v>113.0</v>
      </c>
      <c r="BD48" s="53"/>
      <c r="BE48" s="53"/>
    </row>
    <row r="49">
      <c r="A49" s="54">
        <v>48.0</v>
      </c>
      <c r="B49" s="54">
        <v>64.0</v>
      </c>
      <c r="C49" s="54" t="s">
        <v>192</v>
      </c>
      <c r="D49" s="54" t="s">
        <v>193</v>
      </c>
      <c r="E49" s="54" t="s">
        <v>194</v>
      </c>
      <c r="F49" s="54">
        <v>45.9</v>
      </c>
      <c r="G49" s="54">
        <v>0.0</v>
      </c>
      <c r="H49" s="54">
        <v>0.0</v>
      </c>
      <c r="I49" s="54" t="s">
        <v>815</v>
      </c>
      <c r="J49" s="54">
        <v>2002.0</v>
      </c>
      <c r="K49" s="54">
        <v>4.0</v>
      </c>
      <c r="L49" s="54">
        <v>4535.0</v>
      </c>
      <c r="M49" s="54">
        <v>1730.0</v>
      </c>
      <c r="N49" s="54">
        <v>1410.0</v>
      </c>
      <c r="O49" s="54">
        <v>2715.0</v>
      </c>
      <c r="P49" s="54">
        <v>1495.0</v>
      </c>
      <c r="Q49" s="54">
        <v>1475.0</v>
      </c>
      <c r="R49" s="54">
        <v>1610.0</v>
      </c>
      <c r="S49" s="54">
        <v>3199.0</v>
      </c>
      <c r="T49" s="54">
        <v>353.0</v>
      </c>
      <c r="U49" s="54">
        <v>260.0</v>
      </c>
      <c r="V49" s="54">
        <v>0.0</v>
      </c>
      <c r="W49" s="54">
        <v>0.0</v>
      </c>
      <c r="X49" s="54">
        <v>0.0</v>
      </c>
      <c r="Y49" s="54">
        <v>6100.0</v>
      </c>
      <c r="Z49" s="54">
        <v>450.0</v>
      </c>
      <c r="AA49" s="54">
        <v>0.0</v>
      </c>
      <c r="AB49" s="54">
        <v>4400.0</v>
      </c>
      <c r="AC49" s="54">
        <v>225.0</v>
      </c>
      <c r="AD49" s="54">
        <v>0.0</v>
      </c>
      <c r="AE49" s="54">
        <v>245.0</v>
      </c>
      <c r="AF49" s="54">
        <v>0.0</v>
      </c>
      <c r="AG49" s="54" t="s">
        <v>816</v>
      </c>
      <c r="AH49" s="54" t="b">
        <v>0</v>
      </c>
      <c r="AI49" s="54" t="b">
        <v>0</v>
      </c>
      <c r="AJ49" s="54">
        <v>0.0</v>
      </c>
      <c r="AK49" s="54" t="s">
        <v>756</v>
      </c>
      <c r="AL49" s="54" t="s">
        <v>765</v>
      </c>
      <c r="AM49" s="54" t="b">
        <v>1</v>
      </c>
      <c r="AN49" s="54" t="b">
        <v>1</v>
      </c>
      <c r="AO49" s="54" t="b">
        <v>0</v>
      </c>
      <c r="AP49" s="54">
        <v>180.0</v>
      </c>
      <c r="AQ49" s="54">
        <v>1.0</v>
      </c>
      <c r="AR49" s="54">
        <v>5.0</v>
      </c>
      <c r="AS49" s="54">
        <v>0.0</v>
      </c>
      <c r="AT49" s="54" t="s">
        <v>749</v>
      </c>
      <c r="AU49" s="54">
        <v>6.0</v>
      </c>
      <c r="AV49" s="54" t="s">
        <v>817</v>
      </c>
      <c r="AW49" s="54" t="s">
        <v>739</v>
      </c>
      <c r="AX49" s="54">
        <v>5.0</v>
      </c>
      <c r="AY49" s="54">
        <v>45.0</v>
      </c>
      <c r="AZ49" s="54">
        <v>17.0</v>
      </c>
      <c r="BA49" s="54">
        <v>40.0</v>
      </c>
      <c r="BB49" s="54">
        <v>17.0</v>
      </c>
      <c r="BC49" s="54">
        <v>112.0</v>
      </c>
      <c r="BD49" s="53"/>
      <c r="BE49" s="53"/>
    </row>
    <row r="50">
      <c r="A50" s="52">
        <v>49.0</v>
      </c>
      <c r="B50" s="52">
        <v>66.0</v>
      </c>
      <c r="C50" s="52" t="s">
        <v>195</v>
      </c>
      <c r="D50" s="52" t="s">
        <v>196</v>
      </c>
      <c r="E50" s="52" t="s">
        <v>197</v>
      </c>
      <c r="F50" s="52">
        <v>81.6</v>
      </c>
      <c r="G50" s="52">
        <v>0.0</v>
      </c>
      <c r="H50" s="52">
        <v>0.0</v>
      </c>
      <c r="I50" s="52" t="s">
        <v>815</v>
      </c>
      <c r="J50" s="52">
        <v>2003.0</v>
      </c>
      <c r="K50" s="52">
        <v>5.0</v>
      </c>
      <c r="L50" s="52">
        <v>5165.0</v>
      </c>
      <c r="M50" s="52">
        <v>1855.0</v>
      </c>
      <c r="N50" s="52">
        <v>1445.0</v>
      </c>
      <c r="O50" s="52">
        <v>3085.0</v>
      </c>
      <c r="P50" s="52">
        <v>1580.0</v>
      </c>
      <c r="Q50" s="52">
        <v>1575.0</v>
      </c>
      <c r="R50" s="52">
        <v>2100.0</v>
      </c>
      <c r="S50" s="52">
        <v>5513.0</v>
      </c>
      <c r="T50" s="52">
        <v>500.0</v>
      </c>
      <c r="U50" s="52">
        <v>368.0</v>
      </c>
      <c r="V50" s="52">
        <v>0.0</v>
      </c>
      <c r="W50" s="52">
        <v>0.0</v>
      </c>
      <c r="X50" s="52">
        <v>0.0</v>
      </c>
      <c r="Y50" s="52">
        <v>5000.0</v>
      </c>
      <c r="Z50" s="52">
        <v>800.0</v>
      </c>
      <c r="AA50" s="52">
        <v>0.0</v>
      </c>
      <c r="AB50" s="52">
        <v>2.293778E8</v>
      </c>
      <c r="AC50" s="52">
        <v>245.0</v>
      </c>
      <c r="AD50" s="52">
        <v>0.0</v>
      </c>
      <c r="AE50" s="52">
        <v>265.0</v>
      </c>
      <c r="AF50" s="52">
        <v>0.0</v>
      </c>
      <c r="AG50" s="52" t="s">
        <v>816</v>
      </c>
      <c r="AH50" s="52" t="b">
        <v>0</v>
      </c>
      <c r="AI50" s="52" t="b">
        <v>0</v>
      </c>
      <c r="AJ50" s="52">
        <v>0.0</v>
      </c>
      <c r="AK50" s="52" t="s">
        <v>756</v>
      </c>
      <c r="AL50" s="52" t="s">
        <v>794</v>
      </c>
      <c r="AM50" s="52" t="b">
        <v>1</v>
      </c>
      <c r="AN50" s="52" t="b">
        <v>1</v>
      </c>
      <c r="AO50" s="52" t="b">
        <v>0</v>
      </c>
      <c r="AP50" s="52">
        <v>216.0</v>
      </c>
      <c r="AQ50" s="52">
        <v>1.0</v>
      </c>
      <c r="AR50" s="52">
        <v>5.0</v>
      </c>
      <c r="AS50" s="52">
        <v>0.0</v>
      </c>
      <c r="AT50" s="52" t="s">
        <v>749</v>
      </c>
      <c r="AU50" s="52">
        <v>12.0</v>
      </c>
      <c r="AV50" s="52" t="s">
        <v>757</v>
      </c>
      <c r="AW50" s="52" t="s">
        <v>739</v>
      </c>
      <c r="AX50" s="52">
        <v>5.0</v>
      </c>
      <c r="AY50" s="52">
        <v>45.0</v>
      </c>
      <c r="AZ50" s="52">
        <v>18.0</v>
      </c>
      <c r="BA50" s="52">
        <v>40.0</v>
      </c>
      <c r="BB50" s="52">
        <v>18.0</v>
      </c>
      <c r="BC50" s="52">
        <v>275.0</v>
      </c>
      <c r="BD50" s="53"/>
      <c r="BE50" s="53"/>
    </row>
    <row r="51">
      <c r="A51" s="54">
        <v>50.0</v>
      </c>
      <c r="B51" s="54">
        <v>67.0</v>
      </c>
      <c r="C51" s="54" t="s">
        <v>198</v>
      </c>
      <c r="D51" s="54" t="s">
        <v>199</v>
      </c>
      <c r="E51" s="54" t="s">
        <v>200</v>
      </c>
      <c r="F51" s="54">
        <v>54.0</v>
      </c>
      <c r="G51" s="54">
        <v>0.0</v>
      </c>
      <c r="H51" s="54">
        <v>0.0</v>
      </c>
      <c r="I51" s="54" t="s">
        <v>815</v>
      </c>
      <c r="J51" s="54">
        <v>2001.0</v>
      </c>
      <c r="K51" s="54">
        <v>6.0</v>
      </c>
      <c r="L51" s="54">
        <v>4993.0</v>
      </c>
      <c r="M51" s="54">
        <v>1857.0</v>
      </c>
      <c r="N51" s="54">
        <v>1422.0</v>
      </c>
      <c r="O51" s="54">
        <v>2885.0</v>
      </c>
      <c r="P51" s="54">
        <v>1577.0</v>
      </c>
      <c r="Q51" s="54">
        <v>1578.0</v>
      </c>
      <c r="R51" s="54">
        <v>1865.0</v>
      </c>
      <c r="S51" s="54">
        <v>5439.0</v>
      </c>
      <c r="T51" s="54">
        <v>354.0</v>
      </c>
      <c r="U51" s="54">
        <v>261.0</v>
      </c>
      <c r="V51" s="54">
        <v>0.0</v>
      </c>
      <c r="W51" s="54">
        <v>0.0</v>
      </c>
      <c r="X51" s="54">
        <v>0.0</v>
      </c>
      <c r="Y51" s="54">
        <v>5500.0</v>
      </c>
      <c r="Z51" s="54">
        <v>530.0</v>
      </c>
      <c r="AA51" s="54">
        <v>0.0</v>
      </c>
      <c r="AB51" s="54">
        <v>2.9491515E8</v>
      </c>
      <c r="AC51" s="54">
        <v>245.0</v>
      </c>
      <c r="AD51" s="54">
        <v>0.0</v>
      </c>
      <c r="AE51" s="54">
        <v>275.0</v>
      </c>
      <c r="AF51" s="54">
        <v>0.0</v>
      </c>
      <c r="AG51" s="54" t="s">
        <v>816</v>
      </c>
      <c r="AH51" s="54" t="b">
        <v>0</v>
      </c>
      <c r="AI51" s="54" t="b">
        <v>0</v>
      </c>
      <c r="AJ51" s="54">
        <v>0.0</v>
      </c>
      <c r="AK51" s="54" t="s">
        <v>789</v>
      </c>
      <c r="AL51" s="54" t="s">
        <v>771</v>
      </c>
      <c r="AM51" s="54" t="b">
        <v>1</v>
      </c>
      <c r="AN51" s="54" t="b">
        <v>1</v>
      </c>
      <c r="AO51" s="54" t="b">
        <v>0</v>
      </c>
      <c r="AP51" s="54">
        <v>180.0</v>
      </c>
      <c r="AQ51" s="54">
        <v>1.0</v>
      </c>
      <c r="AR51" s="54">
        <v>4.0</v>
      </c>
      <c r="AS51" s="54">
        <v>0.0</v>
      </c>
      <c r="AT51" s="54" t="s">
        <v>749</v>
      </c>
      <c r="AU51" s="54">
        <v>8.0</v>
      </c>
      <c r="AV51" s="54" t="s">
        <v>738</v>
      </c>
      <c r="AW51" s="54" t="s">
        <v>739</v>
      </c>
      <c r="AX51" s="54">
        <v>5.0</v>
      </c>
      <c r="AY51" s="54">
        <v>45.0</v>
      </c>
      <c r="AZ51" s="54">
        <v>18.0</v>
      </c>
      <c r="BA51" s="54">
        <v>40.0</v>
      </c>
      <c r="BB51" s="54">
        <v>18.0</v>
      </c>
      <c r="BC51" s="54" t="s">
        <v>763</v>
      </c>
      <c r="BD51" s="53"/>
      <c r="BE51" s="53"/>
    </row>
    <row r="52">
      <c r="A52" s="52">
        <v>51.0</v>
      </c>
      <c r="B52" s="52">
        <v>69.0</v>
      </c>
      <c r="C52" s="52" t="s">
        <v>201</v>
      </c>
      <c r="D52" s="52" t="s">
        <v>202</v>
      </c>
      <c r="E52" s="52" t="s">
        <v>203</v>
      </c>
      <c r="F52" s="52">
        <v>46.9</v>
      </c>
      <c r="G52" s="52">
        <v>0.0</v>
      </c>
      <c r="H52" s="52">
        <v>0.0</v>
      </c>
      <c r="I52" s="52" t="s">
        <v>815</v>
      </c>
      <c r="J52" s="52">
        <v>2002.0</v>
      </c>
      <c r="K52" s="52">
        <v>6.0</v>
      </c>
      <c r="L52" s="52">
        <v>4535.0</v>
      </c>
      <c r="M52" s="52">
        <v>1830.0</v>
      </c>
      <c r="N52" s="52">
        <v>1300.0</v>
      </c>
      <c r="O52" s="52">
        <v>2560.0</v>
      </c>
      <c r="P52" s="52">
        <v>1560.0</v>
      </c>
      <c r="Q52" s="52">
        <v>1535.0</v>
      </c>
      <c r="R52" s="52">
        <v>1840.0</v>
      </c>
      <c r="S52" s="52">
        <v>4965.0</v>
      </c>
      <c r="T52" s="52">
        <v>306.0</v>
      </c>
      <c r="U52" s="52">
        <v>225.0</v>
      </c>
      <c r="V52" s="52">
        <v>0.0</v>
      </c>
      <c r="W52" s="52">
        <v>0.0</v>
      </c>
      <c r="X52" s="52">
        <v>0.0</v>
      </c>
      <c r="Y52" s="52">
        <v>5600.0</v>
      </c>
      <c r="Z52" s="52">
        <v>460.0</v>
      </c>
      <c r="AA52" s="52">
        <v>0.0</v>
      </c>
      <c r="AB52" s="52">
        <v>2.785307E8</v>
      </c>
      <c r="AC52" s="52">
        <v>255.0</v>
      </c>
      <c r="AD52" s="52">
        <v>0.0</v>
      </c>
      <c r="AE52" s="52">
        <v>285.0</v>
      </c>
      <c r="AF52" s="52">
        <v>0.0</v>
      </c>
      <c r="AG52" s="52" t="s">
        <v>816</v>
      </c>
      <c r="AH52" s="52" t="b">
        <v>1</v>
      </c>
      <c r="AI52" s="52" t="b">
        <v>0</v>
      </c>
      <c r="AJ52" s="52">
        <v>0.0</v>
      </c>
      <c r="AK52" s="52" t="s">
        <v>789</v>
      </c>
      <c r="AL52" s="52" t="s">
        <v>771</v>
      </c>
      <c r="AM52" s="52" t="b">
        <v>1</v>
      </c>
      <c r="AN52" s="52" t="b">
        <v>1</v>
      </c>
      <c r="AO52" s="52" t="b">
        <v>0</v>
      </c>
      <c r="AP52" s="52">
        <v>216.0</v>
      </c>
      <c r="AQ52" s="52">
        <v>1.0</v>
      </c>
      <c r="AR52" s="52">
        <v>2.0</v>
      </c>
      <c r="AS52" s="52">
        <v>0.0</v>
      </c>
      <c r="AT52" s="52" t="s">
        <v>749</v>
      </c>
      <c r="AU52" s="52">
        <v>8.0</v>
      </c>
      <c r="AV52" s="52" t="s">
        <v>738</v>
      </c>
      <c r="AW52" s="52" t="s">
        <v>739</v>
      </c>
      <c r="AX52" s="52">
        <v>5.0</v>
      </c>
      <c r="AY52" s="52">
        <v>40.0</v>
      </c>
      <c r="AZ52" s="52">
        <v>18.0</v>
      </c>
      <c r="BA52" s="52">
        <v>35.0</v>
      </c>
      <c r="BB52" s="52">
        <v>18.0</v>
      </c>
      <c r="BC52" s="52">
        <v>113.0</v>
      </c>
      <c r="BD52" s="53"/>
      <c r="BE52" s="53"/>
    </row>
    <row r="53">
      <c r="A53" s="54">
        <v>52.0</v>
      </c>
      <c r="B53" s="54">
        <v>79.0</v>
      </c>
      <c r="C53" s="54" t="s">
        <v>204</v>
      </c>
      <c r="D53" s="54" t="s">
        <v>205</v>
      </c>
      <c r="E53" s="54" t="s">
        <v>206</v>
      </c>
      <c r="F53" s="54">
        <v>12.8</v>
      </c>
      <c r="G53" s="54">
        <v>0.0</v>
      </c>
      <c r="H53" s="54">
        <v>0.0</v>
      </c>
      <c r="I53" s="54" t="s">
        <v>818</v>
      </c>
      <c r="J53" s="54">
        <v>2002.0</v>
      </c>
      <c r="K53" s="54">
        <v>1.0</v>
      </c>
      <c r="L53" s="54">
        <v>3890.0</v>
      </c>
      <c r="M53" s="54">
        <v>1665.0</v>
      </c>
      <c r="N53" s="54">
        <v>1480.0</v>
      </c>
      <c r="O53" s="54">
        <v>2470.0</v>
      </c>
      <c r="P53" s="54">
        <v>1415.0</v>
      </c>
      <c r="Q53" s="54">
        <v>1410.0</v>
      </c>
      <c r="R53" s="54">
        <v>1160.0</v>
      </c>
      <c r="S53" s="54">
        <v>1389.0</v>
      </c>
      <c r="T53" s="54">
        <v>75.0</v>
      </c>
      <c r="U53" s="54">
        <v>55.0</v>
      </c>
      <c r="V53" s="54">
        <v>0.0</v>
      </c>
      <c r="W53" s="54">
        <v>0.0</v>
      </c>
      <c r="X53" s="54">
        <v>0.0</v>
      </c>
      <c r="Y53" s="54">
        <v>5000.0</v>
      </c>
      <c r="Z53" s="54">
        <v>126.0</v>
      </c>
      <c r="AA53" s="54">
        <v>0.0</v>
      </c>
      <c r="AB53" s="54">
        <v>3800.0</v>
      </c>
      <c r="AC53" s="54">
        <v>185.0</v>
      </c>
      <c r="AD53" s="54">
        <v>0.0</v>
      </c>
      <c r="AE53" s="54">
        <v>185.0</v>
      </c>
      <c r="AF53" s="54">
        <v>0.0</v>
      </c>
      <c r="AG53" s="54" t="s">
        <v>816</v>
      </c>
      <c r="AH53" s="54" t="b">
        <v>0</v>
      </c>
      <c r="AI53" s="54" t="b">
        <v>0</v>
      </c>
      <c r="AJ53" s="54">
        <v>0.0</v>
      </c>
      <c r="AK53" s="54" t="s">
        <v>742</v>
      </c>
      <c r="AL53" s="54" t="s">
        <v>743</v>
      </c>
      <c r="AM53" s="54" t="b">
        <v>1</v>
      </c>
      <c r="AN53" s="54" t="b">
        <v>1</v>
      </c>
      <c r="AO53" s="54" t="b">
        <v>0</v>
      </c>
      <c r="AP53" s="54">
        <v>252.0</v>
      </c>
      <c r="AQ53" s="54">
        <v>1.0</v>
      </c>
      <c r="AR53" s="54">
        <v>5.0</v>
      </c>
      <c r="AS53" s="54">
        <v>0.0</v>
      </c>
      <c r="AT53" s="54" t="s">
        <v>737</v>
      </c>
      <c r="AU53" s="54">
        <v>4.0</v>
      </c>
      <c r="AV53" s="54" t="s">
        <v>738</v>
      </c>
      <c r="AW53" s="54" t="s">
        <v>744</v>
      </c>
      <c r="AX53" s="54">
        <v>4.0</v>
      </c>
      <c r="AY53" s="54">
        <v>60.0</v>
      </c>
      <c r="AZ53" s="54">
        <v>14.0</v>
      </c>
      <c r="BA53" s="54">
        <v>60.0</v>
      </c>
      <c r="BB53" s="54">
        <v>14.0</v>
      </c>
      <c r="BC53" s="54" t="s">
        <v>819</v>
      </c>
      <c r="BD53" s="53"/>
      <c r="BE53" s="53"/>
    </row>
    <row r="54">
      <c r="A54" s="52">
        <v>53.0</v>
      </c>
      <c r="B54" s="52">
        <v>82.0</v>
      </c>
      <c r="C54" s="52" t="s">
        <v>207</v>
      </c>
      <c r="D54" s="52" t="s">
        <v>208</v>
      </c>
      <c r="E54" s="52" t="s">
        <v>209</v>
      </c>
      <c r="F54" s="52">
        <v>35.7</v>
      </c>
      <c r="G54" s="52">
        <v>0.0</v>
      </c>
      <c r="H54" s="52">
        <v>0.0</v>
      </c>
      <c r="I54" s="52" t="s">
        <v>820</v>
      </c>
      <c r="J54" s="52">
        <v>2003.0</v>
      </c>
      <c r="K54" s="52">
        <v>2.0</v>
      </c>
      <c r="L54" s="52">
        <v>4815.0</v>
      </c>
      <c r="M54" s="52">
        <v>1850.0</v>
      </c>
      <c r="N54" s="52">
        <v>1530.0</v>
      </c>
      <c r="O54" s="52">
        <v>2760.0</v>
      </c>
      <c r="P54" s="52">
        <v>1585.0</v>
      </c>
      <c r="Q54" s="52">
        <v>1590.0</v>
      </c>
      <c r="R54" s="52">
        <v>1860.0</v>
      </c>
      <c r="S54" s="52">
        <v>2671.0</v>
      </c>
      <c r="T54" s="52">
        <v>250.0</v>
      </c>
      <c r="U54" s="52">
        <v>184.0</v>
      </c>
      <c r="V54" s="52">
        <v>0.0</v>
      </c>
      <c r="W54" s="52">
        <v>0.0</v>
      </c>
      <c r="X54" s="52">
        <v>0.0</v>
      </c>
      <c r="Y54" s="52">
        <v>5800.0</v>
      </c>
      <c r="Z54" s="52">
        <v>350.0</v>
      </c>
      <c r="AA54" s="52">
        <v>0.0</v>
      </c>
      <c r="AB54" s="52">
        <v>2.949138E8</v>
      </c>
      <c r="AC54" s="52">
        <v>225.0</v>
      </c>
      <c r="AD54" s="52">
        <v>0.0</v>
      </c>
      <c r="AE54" s="52">
        <v>225.0</v>
      </c>
      <c r="AF54" s="52">
        <v>0.0</v>
      </c>
      <c r="AG54" s="52" t="s">
        <v>816</v>
      </c>
      <c r="AH54" s="52" t="b">
        <v>0</v>
      </c>
      <c r="AI54" s="52" t="b">
        <v>0</v>
      </c>
      <c r="AJ54" s="52">
        <v>0.0</v>
      </c>
      <c r="AK54" s="52" t="s">
        <v>735</v>
      </c>
      <c r="AL54" s="52" t="s">
        <v>799</v>
      </c>
      <c r="AM54" s="52" t="b">
        <v>1</v>
      </c>
      <c r="AN54" s="52" t="b">
        <v>1</v>
      </c>
      <c r="AO54" s="52" t="b">
        <v>0</v>
      </c>
      <c r="AP54" s="52">
        <v>252.0</v>
      </c>
      <c r="AQ54" s="52">
        <v>1.0</v>
      </c>
      <c r="AR54" s="52">
        <v>5.0</v>
      </c>
      <c r="AS54" s="52">
        <v>0.0</v>
      </c>
      <c r="AT54" s="52" t="s">
        <v>749</v>
      </c>
      <c r="AU54" s="52">
        <v>6.0</v>
      </c>
      <c r="AV54" s="52" t="s">
        <v>757</v>
      </c>
      <c r="AW54" s="52" t="s">
        <v>800</v>
      </c>
      <c r="AX54" s="52">
        <v>5.0</v>
      </c>
      <c r="AY54" s="52">
        <v>55.0</v>
      </c>
      <c r="AZ54" s="52">
        <v>17.0</v>
      </c>
      <c r="BA54" s="52">
        <v>55.0</v>
      </c>
      <c r="BB54" s="52">
        <v>17.0</v>
      </c>
      <c r="BC54" s="52" t="s">
        <v>821</v>
      </c>
      <c r="BD54" s="53"/>
      <c r="BE54" s="53"/>
    </row>
    <row r="55">
      <c r="A55" s="54">
        <v>54.0</v>
      </c>
      <c r="B55" s="54">
        <v>83.0</v>
      </c>
      <c r="C55" s="54" t="s">
        <v>210</v>
      </c>
      <c r="D55" s="54" t="s">
        <v>211</v>
      </c>
      <c r="E55" s="54" t="s">
        <v>212</v>
      </c>
      <c r="F55" s="54">
        <v>28.6</v>
      </c>
      <c r="G55" s="54">
        <v>0.0</v>
      </c>
      <c r="H55" s="54">
        <v>0.0</v>
      </c>
      <c r="I55" s="54" t="s">
        <v>820</v>
      </c>
      <c r="J55" s="54">
        <v>2000.0</v>
      </c>
      <c r="K55" s="54">
        <v>3.0</v>
      </c>
      <c r="L55" s="54">
        <v>4060.0</v>
      </c>
      <c r="M55" s="54">
        <v>1765.0</v>
      </c>
      <c r="N55" s="54">
        <v>1340.0</v>
      </c>
      <c r="O55" s="54">
        <v>2430.0</v>
      </c>
      <c r="P55" s="54">
        <v>1530.0</v>
      </c>
      <c r="Q55" s="54">
        <v>1500.0</v>
      </c>
      <c r="R55" s="54">
        <v>1520.0</v>
      </c>
      <c r="S55" s="54">
        <v>1780.0</v>
      </c>
      <c r="T55" s="54">
        <v>225.0</v>
      </c>
      <c r="U55" s="54">
        <v>165.0</v>
      </c>
      <c r="V55" s="54">
        <v>0.0</v>
      </c>
      <c r="W55" s="54">
        <v>0.0</v>
      </c>
      <c r="X55" s="54">
        <v>0.0</v>
      </c>
      <c r="Y55" s="54">
        <v>5900.0</v>
      </c>
      <c r="Z55" s="54">
        <v>280.0</v>
      </c>
      <c r="AA55" s="54">
        <v>0.0</v>
      </c>
      <c r="AB55" s="54">
        <v>3.604502E8</v>
      </c>
      <c r="AC55" s="54">
        <v>225.0</v>
      </c>
      <c r="AD55" s="54">
        <v>0.0</v>
      </c>
      <c r="AE55" s="54">
        <v>225.0</v>
      </c>
      <c r="AF55" s="54">
        <v>0.0</v>
      </c>
      <c r="AG55" s="54" t="s">
        <v>816</v>
      </c>
      <c r="AH55" s="54" t="b">
        <v>1</v>
      </c>
      <c r="AI55" s="54" t="b">
        <v>0</v>
      </c>
      <c r="AJ55" s="54">
        <v>0.0</v>
      </c>
      <c r="AK55" s="54" t="s">
        <v>735</v>
      </c>
      <c r="AL55" s="54" t="s">
        <v>771</v>
      </c>
      <c r="AM55" s="54" t="b">
        <v>1</v>
      </c>
      <c r="AN55" s="54" t="b">
        <v>1</v>
      </c>
      <c r="AO55" s="54" t="b">
        <v>0</v>
      </c>
      <c r="AP55" s="54">
        <v>216.0</v>
      </c>
      <c r="AQ55" s="54">
        <v>0.0</v>
      </c>
      <c r="AR55" s="54">
        <v>2.0</v>
      </c>
      <c r="AS55" s="54">
        <v>0.0</v>
      </c>
      <c r="AT55" s="54" t="s">
        <v>737</v>
      </c>
      <c r="AU55" s="54">
        <v>4.0</v>
      </c>
      <c r="AV55" s="54" t="s">
        <v>757</v>
      </c>
      <c r="AW55" s="54" t="s">
        <v>800</v>
      </c>
      <c r="AX55" s="54">
        <v>6.0</v>
      </c>
      <c r="AY55" s="54">
        <v>45.0</v>
      </c>
      <c r="AZ55" s="54">
        <v>17.0</v>
      </c>
      <c r="BA55" s="54">
        <v>45.0</v>
      </c>
      <c r="BB55" s="54">
        <v>17.0</v>
      </c>
      <c r="BC55" s="54" t="s">
        <v>822</v>
      </c>
      <c r="BD55" s="53"/>
      <c r="BE55" s="53"/>
    </row>
    <row r="56">
      <c r="A56" s="52">
        <v>55.0</v>
      </c>
      <c r="B56" s="52">
        <v>84.0</v>
      </c>
      <c r="C56" s="52" t="s">
        <v>213</v>
      </c>
      <c r="D56" s="52" t="s">
        <v>214</v>
      </c>
      <c r="E56" s="52" t="s">
        <v>215</v>
      </c>
      <c r="F56" s="52">
        <v>30.6</v>
      </c>
      <c r="G56" s="52">
        <v>0.0</v>
      </c>
      <c r="H56" s="52">
        <v>0.0</v>
      </c>
      <c r="I56" s="52" t="s">
        <v>820</v>
      </c>
      <c r="J56" s="52">
        <v>2002.0</v>
      </c>
      <c r="K56" s="52">
        <v>4.0</v>
      </c>
      <c r="L56" s="52">
        <v>4555.0</v>
      </c>
      <c r="M56" s="52">
        <v>1765.0</v>
      </c>
      <c r="N56" s="52">
        <v>1410.0</v>
      </c>
      <c r="O56" s="52">
        <v>2645.0</v>
      </c>
      <c r="P56" s="52">
        <v>1510.0</v>
      </c>
      <c r="Q56" s="52">
        <v>1505.0</v>
      </c>
      <c r="R56" s="52">
        <v>1660.0</v>
      </c>
      <c r="S56" s="52">
        <v>2976.0</v>
      </c>
      <c r="T56" s="52">
        <v>220.0</v>
      </c>
      <c r="U56" s="52">
        <v>162.0</v>
      </c>
      <c r="V56" s="52">
        <v>0.0</v>
      </c>
      <c r="W56" s="52">
        <v>0.0</v>
      </c>
      <c r="X56" s="52">
        <v>0.0</v>
      </c>
      <c r="Y56" s="52">
        <v>6300.0</v>
      </c>
      <c r="Z56" s="52">
        <v>300.0</v>
      </c>
      <c r="AA56" s="52">
        <v>0.0</v>
      </c>
      <c r="AB56" s="52">
        <v>3200.0</v>
      </c>
      <c r="AC56" s="52">
        <v>235.0</v>
      </c>
      <c r="AD56" s="52">
        <v>0.0</v>
      </c>
      <c r="AE56" s="52">
        <v>235.0</v>
      </c>
      <c r="AF56" s="52">
        <v>0.0</v>
      </c>
      <c r="AG56" s="52" t="s">
        <v>816</v>
      </c>
      <c r="AH56" s="52" t="b">
        <v>0</v>
      </c>
      <c r="AI56" s="52" t="b">
        <v>0</v>
      </c>
      <c r="AJ56" s="52">
        <v>0.0</v>
      </c>
      <c r="AK56" s="52" t="s">
        <v>735</v>
      </c>
      <c r="AL56" s="52" t="s">
        <v>765</v>
      </c>
      <c r="AM56" s="52" t="b">
        <v>1</v>
      </c>
      <c r="AN56" s="52" t="b">
        <v>1</v>
      </c>
      <c r="AO56" s="52" t="b">
        <v>0</v>
      </c>
      <c r="AP56" s="52">
        <v>252.0</v>
      </c>
      <c r="AQ56" s="52">
        <v>1.0</v>
      </c>
      <c r="AR56" s="52">
        <v>5.0</v>
      </c>
      <c r="AS56" s="52">
        <v>0.0</v>
      </c>
      <c r="AT56" s="52" t="s">
        <v>749</v>
      </c>
      <c r="AU56" s="52">
        <v>6.0</v>
      </c>
      <c r="AV56" s="52" t="s">
        <v>738</v>
      </c>
      <c r="AW56" s="52" t="s">
        <v>800</v>
      </c>
      <c r="AX56" s="52">
        <v>5.0</v>
      </c>
      <c r="AY56" s="52">
        <v>45.0</v>
      </c>
      <c r="AZ56" s="52">
        <v>17.0</v>
      </c>
      <c r="BA56" s="52">
        <v>45.0</v>
      </c>
      <c r="BB56" s="52">
        <v>17.0</v>
      </c>
      <c r="BC56" s="52" t="s">
        <v>823</v>
      </c>
      <c r="BD56" s="53"/>
      <c r="BE56" s="53"/>
    </row>
    <row r="57">
      <c r="A57" s="54">
        <v>56.0</v>
      </c>
      <c r="B57" s="54">
        <v>85.0</v>
      </c>
      <c r="C57" s="54" t="s">
        <v>216</v>
      </c>
      <c r="D57" s="54" t="s">
        <v>217</v>
      </c>
      <c r="E57" s="54" t="s">
        <v>218</v>
      </c>
      <c r="F57" s="54">
        <v>16.8</v>
      </c>
      <c r="G57" s="54">
        <v>0.0</v>
      </c>
      <c r="H57" s="54">
        <v>0.0</v>
      </c>
      <c r="I57" s="54" t="s">
        <v>824</v>
      </c>
      <c r="J57" s="54">
        <v>2002.0</v>
      </c>
      <c r="K57" s="54">
        <v>3.0</v>
      </c>
      <c r="L57" s="54">
        <v>3815.0</v>
      </c>
      <c r="M57" s="54">
        <v>1645.0</v>
      </c>
      <c r="N57" s="54">
        <v>1440.0</v>
      </c>
      <c r="O57" s="54">
        <v>2490.0</v>
      </c>
      <c r="P57" s="54">
        <v>1420.0</v>
      </c>
      <c r="Q57" s="54">
        <v>1410.0</v>
      </c>
      <c r="R57" s="54">
        <v>1100.0</v>
      </c>
      <c r="S57" s="54">
        <v>1795.0</v>
      </c>
      <c r="T57" s="54">
        <v>125.0</v>
      </c>
      <c r="U57" s="54">
        <v>92.0</v>
      </c>
      <c r="V57" s="54">
        <v>0.0</v>
      </c>
      <c r="W57" s="54">
        <v>0.0</v>
      </c>
      <c r="X57" s="54">
        <v>0.0</v>
      </c>
      <c r="Y57" s="54">
        <v>6000.0</v>
      </c>
      <c r="Z57" s="54">
        <v>165.0</v>
      </c>
      <c r="AA57" s="54">
        <v>0.0</v>
      </c>
      <c r="AB57" s="54">
        <v>4600.0</v>
      </c>
      <c r="AC57" s="54">
        <v>185.0</v>
      </c>
      <c r="AD57" s="54">
        <v>0.0</v>
      </c>
      <c r="AE57" s="54">
        <v>185.0</v>
      </c>
      <c r="AF57" s="54">
        <v>0.0</v>
      </c>
      <c r="AG57" s="54" t="s">
        <v>816</v>
      </c>
      <c r="AH57" s="54" t="b">
        <v>0</v>
      </c>
      <c r="AI57" s="54" t="b">
        <v>0</v>
      </c>
      <c r="AJ57" s="54">
        <v>0.0</v>
      </c>
      <c r="AK57" s="54" t="s">
        <v>742</v>
      </c>
      <c r="AL57" s="54" t="s">
        <v>743</v>
      </c>
      <c r="AM57" s="54" t="b">
        <v>0</v>
      </c>
      <c r="AN57" s="54" t="b">
        <v>0</v>
      </c>
      <c r="AO57" s="54" t="b">
        <v>0</v>
      </c>
      <c r="AP57" s="54">
        <v>252.0</v>
      </c>
      <c r="AQ57" s="54">
        <v>0.0</v>
      </c>
      <c r="AR57" s="54">
        <v>5.0</v>
      </c>
      <c r="AS57" s="54">
        <v>0.0</v>
      </c>
      <c r="AT57" s="54" t="s">
        <v>737</v>
      </c>
      <c r="AU57" s="54">
        <v>4.0</v>
      </c>
      <c r="AV57" s="54" t="s">
        <v>738</v>
      </c>
      <c r="AW57" s="54" t="s">
        <v>744</v>
      </c>
      <c r="AX57" s="54">
        <v>5.0</v>
      </c>
      <c r="AY57" s="54">
        <v>55.0</v>
      </c>
      <c r="AZ57" s="54">
        <v>15.0</v>
      </c>
      <c r="BA57" s="54">
        <v>55.0</v>
      </c>
      <c r="BB57" s="54">
        <v>15.0</v>
      </c>
      <c r="BC57" s="54" t="s">
        <v>825</v>
      </c>
      <c r="BD57" s="53"/>
      <c r="BE57" s="53"/>
    </row>
    <row r="58">
      <c r="A58" s="52">
        <v>57.0</v>
      </c>
      <c r="B58" s="52">
        <v>86.0</v>
      </c>
      <c r="C58" s="52" t="s">
        <v>219</v>
      </c>
      <c r="D58" s="52" t="s">
        <v>220</v>
      </c>
      <c r="E58" s="52" t="s">
        <v>221</v>
      </c>
      <c r="F58" s="52">
        <v>0.0</v>
      </c>
      <c r="G58" s="52">
        <v>0.0</v>
      </c>
      <c r="H58" s="52">
        <v>0.0</v>
      </c>
      <c r="I58" s="52" t="s">
        <v>826</v>
      </c>
      <c r="J58" s="52">
        <v>2002.0</v>
      </c>
      <c r="K58" s="52">
        <v>3.0</v>
      </c>
      <c r="L58" s="52">
        <v>3655.0</v>
      </c>
      <c r="M58" s="52">
        <v>1690.0</v>
      </c>
      <c r="N58" s="52">
        <v>1425.0</v>
      </c>
      <c r="O58" s="52">
        <v>2465.0</v>
      </c>
      <c r="P58" s="52">
        <v>1455.0</v>
      </c>
      <c r="Q58" s="52">
        <v>1460.0</v>
      </c>
      <c r="R58" s="52">
        <v>1180.0</v>
      </c>
      <c r="S58" s="52">
        <v>1598.0</v>
      </c>
      <c r="T58" s="52">
        <v>163.0</v>
      </c>
      <c r="U58" s="52">
        <v>120.0</v>
      </c>
      <c r="V58" s="52">
        <v>0.0</v>
      </c>
      <c r="W58" s="52">
        <v>0.0</v>
      </c>
      <c r="X58" s="52">
        <v>0.0</v>
      </c>
      <c r="Y58" s="52">
        <v>6000.0</v>
      </c>
      <c r="Z58" s="52">
        <v>219.0</v>
      </c>
      <c r="AA58" s="52">
        <v>0.0</v>
      </c>
      <c r="AB58" s="52">
        <v>4000.0</v>
      </c>
      <c r="AC58" s="52">
        <v>195.0</v>
      </c>
      <c r="AD58" s="52">
        <v>0.0</v>
      </c>
      <c r="AE58" s="52">
        <v>195.0</v>
      </c>
      <c r="AF58" s="52">
        <v>0.0</v>
      </c>
      <c r="AG58" s="52" t="s">
        <v>816</v>
      </c>
      <c r="AH58" s="52" t="b">
        <v>0</v>
      </c>
      <c r="AI58" s="52" t="b">
        <v>0</v>
      </c>
      <c r="AJ58" s="52">
        <v>0.0</v>
      </c>
      <c r="AK58" s="52" t="s">
        <v>735</v>
      </c>
      <c r="AL58" s="52" t="s">
        <v>754</v>
      </c>
      <c r="AM58" s="52" t="b">
        <v>1</v>
      </c>
      <c r="AN58" s="52" t="b">
        <v>1</v>
      </c>
      <c r="AO58" s="52" t="b">
        <v>0</v>
      </c>
      <c r="AP58" s="52">
        <v>216.0</v>
      </c>
      <c r="AQ58" s="52">
        <v>0.0</v>
      </c>
      <c r="AR58" s="52">
        <v>4.0</v>
      </c>
      <c r="AS58" s="52">
        <v>0.0</v>
      </c>
      <c r="AT58" s="52" t="s">
        <v>737</v>
      </c>
      <c r="AU58" s="52">
        <v>4.0</v>
      </c>
      <c r="AV58" s="52" t="s">
        <v>817</v>
      </c>
      <c r="AW58" s="52" t="s">
        <v>744</v>
      </c>
      <c r="AX58" s="52">
        <v>6.0</v>
      </c>
      <c r="AY58" s="52">
        <v>55.0</v>
      </c>
      <c r="AZ58" s="52">
        <v>16.0</v>
      </c>
      <c r="BA58" s="52">
        <v>55.0</v>
      </c>
      <c r="BB58" s="52">
        <v>16.0</v>
      </c>
      <c r="BC58" s="52" t="s">
        <v>827</v>
      </c>
      <c r="BD58" s="53"/>
      <c r="BE58" s="53"/>
    </row>
    <row r="59">
      <c r="A59" s="54">
        <v>58.0</v>
      </c>
      <c r="B59" s="54">
        <v>87.0</v>
      </c>
      <c r="C59" s="54" t="s">
        <v>222</v>
      </c>
      <c r="D59" s="54" t="s">
        <v>223</v>
      </c>
      <c r="E59" s="54" t="s">
        <v>224</v>
      </c>
      <c r="F59" s="54">
        <v>44.6</v>
      </c>
      <c r="G59" s="54">
        <v>0.0</v>
      </c>
      <c r="H59" s="54">
        <v>0.0</v>
      </c>
      <c r="I59" s="54" t="s">
        <v>780</v>
      </c>
      <c r="J59" s="54">
        <v>2002.0</v>
      </c>
      <c r="K59" s="54">
        <v>6.0</v>
      </c>
      <c r="L59" s="54">
        <v>4910.0</v>
      </c>
      <c r="M59" s="54">
        <v>1890.0</v>
      </c>
      <c r="N59" s="54">
        <v>1320.0</v>
      </c>
      <c r="O59" s="54">
        <v>2565.0</v>
      </c>
      <c r="P59" s="54">
        <v>1540.0</v>
      </c>
      <c r="Q59" s="54">
        <v>1540.0</v>
      </c>
      <c r="R59" s="54">
        <v>1560.0</v>
      </c>
      <c r="S59" s="54">
        <v>5665.0</v>
      </c>
      <c r="T59" s="54">
        <v>288.0</v>
      </c>
      <c r="U59" s="54">
        <v>212.0</v>
      </c>
      <c r="V59" s="54">
        <v>0.0</v>
      </c>
      <c r="W59" s="54">
        <v>0.0</v>
      </c>
      <c r="X59" s="54">
        <v>0.0</v>
      </c>
      <c r="Y59" s="54">
        <v>5200.0</v>
      </c>
      <c r="Z59" s="54">
        <v>437.0</v>
      </c>
      <c r="AA59" s="54">
        <v>0.0</v>
      </c>
      <c r="AB59" s="54">
        <v>4000.0</v>
      </c>
      <c r="AC59" s="54">
        <v>245.0</v>
      </c>
      <c r="AD59" s="54">
        <v>0.0</v>
      </c>
      <c r="AE59" s="54">
        <v>245.0</v>
      </c>
      <c r="AF59" s="54">
        <v>0.0</v>
      </c>
      <c r="AG59" s="54" t="s">
        <v>781</v>
      </c>
      <c r="AH59" s="54" t="b">
        <v>0</v>
      </c>
      <c r="AI59" s="54" t="b">
        <v>0</v>
      </c>
      <c r="AJ59" s="54">
        <v>0.0</v>
      </c>
      <c r="AK59" s="54" t="s">
        <v>789</v>
      </c>
      <c r="AL59" s="54" t="s">
        <v>771</v>
      </c>
      <c r="AM59" s="54" t="b">
        <v>0</v>
      </c>
      <c r="AN59" s="54" t="b">
        <v>0</v>
      </c>
      <c r="AO59" s="54" t="b">
        <v>0</v>
      </c>
      <c r="AP59" s="54">
        <v>216.0</v>
      </c>
      <c r="AQ59" s="54">
        <v>1.0</v>
      </c>
      <c r="AR59" s="54">
        <v>4.0</v>
      </c>
      <c r="AS59" s="54">
        <v>0.0</v>
      </c>
      <c r="AT59" s="54" t="s">
        <v>749</v>
      </c>
      <c r="AU59" s="54">
        <v>8.0</v>
      </c>
      <c r="AV59" s="54" t="s">
        <v>738</v>
      </c>
      <c r="AW59" s="54" t="s">
        <v>739</v>
      </c>
      <c r="AX59" s="54">
        <v>4.0</v>
      </c>
      <c r="AY59" s="54">
        <v>50.0</v>
      </c>
      <c r="AZ59" s="54">
        <v>16.0</v>
      </c>
      <c r="BA59" s="54">
        <v>50.0</v>
      </c>
      <c r="BB59" s="54">
        <v>16.0</v>
      </c>
      <c r="BC59" s="54" t="s">
        <v>828</v>
      </c>
      <c r="BD59" s="53"/>
      <c r="BE59" s="53"/>
    </row>
    <row r="60">
      <c r="A60" s="52">
        <v>59.0</v>
      </c>
      <c r="B60" s="52">
        <v>88.0</v>
      </c>
      <c r="C60" s="52" t="s">
        <v>225</v>
      </c>
      <c r="D60" s="52" t="s">
        <v>226</v>
      </c>
      <c r="E60" s="52" t="s">
        <v>227</v>
      </c>
      <c r="F60" s="52">
        <v>24.9</v>
      </c>
      <c r="G60" s="52">
        <v>0.0</v>
      </c>
      <c r="H60" s="52">
        <v>0.0</v>
      </c>
      <c r="I60" s="52" t="s">
        <v>829</v>
      </c>
      <c r="J60" s="52">
        <v>2002.0</v>
      </c>
      <c r="K60" s="52">
        <v>4.0</v>
      </c>
      <c r="L60" s="52">
        <v>4685.0</v>
      </c>
      <c r="M60" s="52">
        <v>1790.0</v>
      </c>
      <c r="N60" s="52">
        <v>1420.0</v>
      </c>
      <c r="O60" s="52">
        <v>2710.0</v>
      </c>
      <c r="P60" s="52">
        <v>1520.0</v>
      </c>
      <c r="Q60" s="52">
        <v>1535.0</v>
      </c>
      <c r="R60" s="52">
        <v>1620.0</v>
      </c>
      <c r="S60" s="52">
        <v>2494.0</v>
      </c>
      <c r="T60" s="52">
        <v>198.0</v>
      </c>
      <c r="U60" s="52">
        <v>145.0</v>
      </c>
      <c r="V60" s="52">
        <v>0.0</v>
      </c>
      <c r="W60" s="52">
        <v>0.0</v>
      </c>
      <c r="X60" s="52">
        <v>0.0</v>
      </c>
      <c r="Y60" s="52">
        <v>6800.0</v>
      </c>
      <c r="Z60" s="52">
        <v>244.0</v>
      </c>
      <c r="AA60" s="52">
        <v>0.0</v>
      </c>
      <c r="AB60" s="52">
        <v>3000.0</v>
      </c>
      <c r="AC60" s="52">
        <v>225.0</v>
      </c>
      <c r="AD60" s="52">
        <v>0.0</v>
      </c>
      <c r="AE60" s="52">
        <v>225.0</v>
      </c>
      <c r="AF60" s="52">
        <v>0.0</v>
      </c>
      <c r="AG60" s="52" t="s">
        <v>786</v>
      </c>
      <c r="AH60" s="52" t="b">
        <v>0</v>
      </c>
      <c r="AI60" s="52" t="b">
        <v>0</v>
      </c>
      <c r="AJ60" s="52">
        <v>0.0</v>
      </c>
      <c r="AK60" s="52" t="s">
        <v>735</v>
      </c>
      <c r="AL60" s="52" t="s">
        <v>765</v>
      </c>
      <c r="AM60" s="52" t="b">
        <v>1</v>
      </c>
      <c r="AN60" s="52" t="b">
        <v>1</v>
      </c>
      <c r="AO60" s="52" t="b">
        <v>0</v>
      </c>
      <c r="AP60" s="52">
        <v>216.0</v>
      </c>
      <c r="AQ60" s="52">
        <v>1.0</v>
      </c>
      <c r="AR60" s="52">
        <v>5.0</v>
      </c>
      <c r="AS60" s="52">
        <v>0.0</v>
      </c>
      <c r="AT60" s="52" t="s">
        <v>749</v>
      </c>
      <c r="AU60" s="52">
        <v>6.0</v>
      </c>
      <c r="AV60" s="52" t="s">
        <v>738</v>
      </c>
      <c r="AW60" s="52" t="s">
        <v>800</v>
      </c>
      <c r="AX60" s="52">
        <v>5.0</v>
      </c>
      <c r="AY60" s="52">
        <v>45.0</v>
      </c>
      <c r="AZ60" s="52">
        <v>17.0</v>
      </c>
      <c r="BA60" s="52">
        <v>45.0</v>
      </c>
      <c r="BB60" s="52">
        <v>17.0</v>
      </c>
      <c r="BC60" s="52" t="s">
        <v>830</v>
      </c>
      <c r="BD60" s="53"/>
      <c r="BE60" s="53"/>
    </row>
    <row r="61">
      <c r="A61" s="54">
        <v>60.0</v>
      </c>
      <c r="B61" s="54">
        <v>89.0</v>
      </c>
      <c r="C61" s="54" t="s">
        <v>228</v>
      </c>
      <c r="D61" s="54" t="s">
        <v>229</v>
      </c>
      <c r="E61" s="54" t="s">
        <v>230</v>
      </c>
      <c r="F61" s="54">
        <v>56.4</v>
      </c>
      <c r="G61" s="54">
        <v>0.0</v>
      </c>
      <c r="H61" s="54">
        <v>0.0</v>
      </c>
      <c r="I61" s="54" t="s">
        <v>829</v>
      </c>
      <c r="J61" s="54">
        <v>2003.0</v>
      </c>
      <c r="K61" s="54">
        <v>5.0</v>
      </c>
      <c r="L61" s="54">
        <v>4880.0</v>
      </c>
      <c r="M61" s="54">
        <v>1820.0</v>
      </c>
      <c r="N61" s="54">
        <v>1445.0</v>
      </c>
      <c r="O61" s="54">
        <v>2910.0</v>
      </c>
      <c r="P61" s="54">
        <v>1540.0</v>
      </c>
      <c r="Q61" s="54">
        <v>1545.0</v>
      </c>
      <c r="R61" s="54">
        <v>1800.0</v>
      </c>
      <c r="S61" s="54">
        <v>4196.0</v>
      </c>
      <c r="T61" s="54">
        <v>406.0</v>
      </c>
      <c r="U61" s="54">
        <v>298.0</v>
      </c>
      <c r="V61" s="54">
        <v>0.0</v>
      </c>
      <c r="W61" s="54">
        <v>0.0</v>
      </c>
      <c r="X61" s="54">
        <v>0.0</v>
      </c>
      <c r="Y61" s="54">
        <v>6100.0</v>
      </c>
      <c r="Z61" s="54">
        <v>553.0</v>
      </c>
      <c r="AA61" s="54">
        <v>0.0</v>
      </c>
      <c r="AB61" s="54">
        <v>3500.0</v>
      </c>
      <c r="AC61" s="54">
        <v>245.0</v>
      </c>
      <c r="AD61" s="54">
        <v>0.0</v>
      </c>
      <c r="AE61" s="54">
        <v>275.0</v>
      </c>
      <c r="AF61" s="54">
        <v>0.0</v>
      </c>
      <c r="AG61" s="54" t="s">
        <v>786</v>
      </c>
      <c r="AH61" s="54" t="b">
        <v>0</v>
      </c>
      <c r="AI61" s="54" t="b">
        <v>0</v>
      </c>
      <c r="AJ61" s="54">
        <v>0.0</v>
      </c>
      <c r="AK61" s="54" t="s">
        <v>756</v>
      </c>
      <c r="AL61" s="54" t="s">
        <v>794</v>
      </c>
      <c r="AM61" s="54" t="b">
        <v>1</v>
      </c>
      <c r="AN61" s="54" t="b">
        <v>1</v>
      </c>
      <c r="AO61" s="54" t="b">
        <v>0</v>
      </c>
      <c r="AP61" s="54">
        <v>180.0</v>
      </c>
      <c r="AQ61" s="54">
        <v>1.0</v>
      </c>
      <c r="AR61" s="54">
        <v>5.0</v>
      </c>
      <c r="AS61" s="54">
        <v>0.0</v>
      </c>
      <c r="AT61" s="54" t="s">
        <v>749</v>
      </c>
      <c r="AU61" s="54">
        <v>8.0</v>
      </c>
      <c r="AV61" s="54" t="s">
        <v>817</v>
      </c>
      <c r="AW61" s="54" t="s">
        <v>739</v>
      </c>
      <c r="AX61" s="54">
        <v>6.0</v>
      </c>
      <c r="AY61" s="54">
        <v>40.0</v>
      </c>
      <c r="AZ61" s="54">
        <v>18.0</v>
      </c>
      <c r="BA61" s="54">
        <v>35.0</v>
      </c>
      <c r="BB61" s="54">
        <v>18.0</v>
      </c>
      <c r="BC61" s="54" t="s">
        <v>831</v>
      </c>
      <c r="BD61" s="53"/>
      <c r="BE61" s="53"/>
    </row>
    <row r="62">
      <c r="A62" s="52">
        <v>61.0</v>
      </c>
      <c r="B62" s="52">
        <v>90.0</v>
      </c>
      <c r="C62" s="52" t="s">
        <v>231</v>
      </c>
      <c r="D62" s="52" t="s">
        <v>232</v>
      </c>
      <c r="E62" s="52" t="s">
        <v>233</v>
      </c>
      <c r="F62" s="52">
        <v>53.5</v>
      </c>
      <c r="G62" s="52">
        <v>0.0</v>
      </c>
      <c r="H62" s="52">
        <v>0.0</v>
      </c>
      <c r="I62" s="52" t="s">
        <v>829</v>
      </c>
      <c r="J62" s="52">
        <v>2002.0</v>
      </c>
      <c r="K62" s="52">
        <v>5.0</v>
      </c>
      <c r="L62" s="52">
        <v>5025.0</v>
      </c>
      <c r="M62" s="52">
        <v>1800.0</v>
      </c>
      <c r="N62" s="52">
        <v>1360.0</v>
      </c>
      <c r="O62" s="52">
        <v>2870.0</v>
      </c>
      <c r="P62" s="52">
        <v>1500.0</v>
      </c>
      <c r="Q62" s="52">
        <v>1500.0</v>
      </c>
      <c r="R62" s="52">
        <v>1770.0</v>
      </c>
      <c r="S62" s="52">
        <v>3996.0</v>
      </c>
      <c r="T62" s="52">
        <v>375.0</v>
      </c>
      <c r="U62" s="52">
        <v>276.0</v>
      </c>
      <c r="V62" s="52">
        <v>0.0</v>
      </c>
      <c r="W62" s="52">
        <v>0.0</v>
      </c>
      <c r="X62" s="52">
        <v>0.0</v>
      </c>
      <c r="Y62" s="52">
        <v>6150.0</v>
      </c>
      <c r="Z62" s="52">
        <v>525.0</v>
      </c>
      <c r="AA62" s="52">
        <v>0.0</v>
      </c>
      <c r="AB62" s="52">
        <v>3600.0</v>
      </c>
      <c r="AC62" s="52">
        <v>255.0</v>
      </c>
      <c r="AD62" s="52">
        <v>0.0</v>
      </c>
      <c r="AE62" s="52">
        <v>255.0</v>
      </c>
      <c r="AF62" s="52">
        <v>0.0</v>
      </c>
      <c r="AG62" s="52" t="s">
        <v>786</v>
      </c>
      <c r="AH62" s="52" t="b">
        <v>0</v>
      </c>
      <c r="AI62" s="52" t="b">
        <v>0</v>
      </c>
      <c r="AJ62" s="52">
        <v>0.0</v>
      </c>
      <c r="AK62" s="52" t="s">
        <v>789</v>
      </c>
      <c r="AL62" s="52" t="s">
        <v>794</v>
      </c>
      <c r="AM62" s="52" t="b">
        <v>1</v>
      </c>
      <c r="AN62" s="52" t="b">
        <v>1</v>
      </c>
      <c r="AO62" s="52" t="b">
        <v>0</v>
      </c>
      <c r="AP62" s="52">
        <v>180.0</v>
      </c>
      <c r="AQ62" s="52">
        <v>1.0</v>
      </c>
      <c r="AR62" s="52">
        <v>5.0</v>
      </c>
      <c r="AS62" s="52">
        <v>0.0</v>
      </c>
      <c r="AT62" s="52" t="s">
        <v>749</v>
      </c>
      <c r="AU62" s="52">
        <v>8.0</v>
      </c>
      <c r="AV62" s="52" t="s">
        <v>817</v>
      </c>
      <c r="AW62" s="52" t="s">
        <v>739</v>
      </c>
      <c r="AX62" s="52">
        <v>5.0</v>
      </c>
      <c r="AY62" s="52">
        <v>40.0</v>
      </c>
      <c r="AZ62" s="52">
        <v>18.0</v>
      </c>
      <c r="BA62" s="52">
        <v>40.0</v>
      </c>
      <c r="BB62" s="52">
        <v>18.0</v>
      </c>
      <c r="BC62" s="52" t="s">
        <v>832</v>
      </c>
      <c r="BD62" s="53"/>
      <c r="BE62" s="53"/>
    </row>
    <row r="63">
      <c r="A63" s="54">
        <v>62.0</v>
      </c>
      <c r="B63" s="54">
        <v>91.0</v>
      </c>
      <c r="C63" s="54" t="s">
        <v>234</v>
      </c>
      <c r="D63" s="54" t="s">
        <v>235</v>
      </c>
      <c r="E63" s="54" t="s">
        <v>236</v>
      </c>
      <c r="F63" s="54">
        <v>25.0</v>
      </c>
      <c r="G63" s="54">
        <v>0.0</v>
      </c>
      <c r="H63" s="54">
        <v>0.0</v>
      </c>
      <c r="I63" s="54" t="s">
        <v>833</v>
      </c>
      <c r="J63" s="54">
        <v>1989.0</v>
      </c>
      <c r="K63" s="54">
        <v>5.0</v>
      </c>
      <c r="L63" s="54">
        <v>4060.0</v>
      </c>
      <c r="M63" s="54">
        <v>1730.0</v>
      </c>
      <c r="N63" s="54">
        <v>1310.0</v>
      </c>
      <c r="O63" s="54">
        <v>2510.0</v>
      </c>
      <c r="P63" s="54">
        <v>1464.0</v>
      </c>
      <c r="Q63" s="54">
        <v>1426.0</v>
      </c>
      <c r="R63" s="54">
        <v>1260.0</v>
      </c>
      <c r="S63" s="54">
        <v>2959.0</v>
      </c>
      <c r="T63" s="54">
        <v>0.0</v>
      </c>
      <c r="U63" s="54">
        <v>152.0</v>
      </c>
      <c r="V63" s="54">
        <v>0.0</v>
      </c>
      <c r="W63" s="54">
        <v>0.0</v>
      </c>
      <c r="X63" s="54">
        <v>0.0</v>
      </c>
      <c r="Y63" s="54">
        <v>6200.0</v>
      </c>
      <c r="Z63" s="54">
        <v>245.0</v>
      </c>
      <c r="AA63" s="54">
        <v>0.0</v>
      </c>
      <c r="AB63" s="54">
        <v>4500.0</v>
      </c>
      <c r="AC63" s="54">
        <v>205.0</v>
      </c>
      <c r="AD63" s="54">
        <v>0.0</v>
      </c>
      <c r="AE63" s="54">
        <v>225.0</v>
      </c>
      <c r="AF63" s="54">
        <v>0.0</v>
      </c>
      <c r="AG63" s="54" t="s">
        <v>788</v>
      </c>
      <c r="AH63" s="54" t="b">
        <v>0</v>
      </c>
      <c r="AI63" s="54" t="b">
        <v>0</v>
      </c>
      <c r="AJ63" s="54">
        <v>0.0</v>
      </c>
      <c r="AK63" s="54" t="s">
        <v>789</v>
      </c>
      <c r="AL63" s="54" t="s">
        <v>754</v>
      </c>
      <c r="AM63" s="54" t="b">
        <v>0</v>
      </c>
      <c r="AN63" s="54" t="b">
        <v>0</v>
      </c>
      <c r="AO63" s="54" t="b">
        <v>0</v>
      </c>
      <c r="AP63" s="54">
        <v>108.0</v>
      </c>
      <c r="AQ63" s="54">
        <v>0.0</v>
      </c>
      <c r="AR63" s="54">
        <v>2.0</v>
      </c>
      <c r="AS63" s="54">
        <v>0.0</v>
      </c>
      <c r="AT63" s="54" t="s">
        <v>749</v>
      </c>
      <c r="AU63" s="54">
        <v>6.0</v>
      </c>
      <c r="AV63" s="54" t="s">
        <v>738</v>
      </c>
      <c r="AW63" s="54" t="s">
        <v>739</v>
      </c>
      <c r="AX63" s="54">
        <v>5.0</v>
      </c>
      <c r="AY63" s="54">
        <v>55.0</v>
      </c>
      <c r="AZ63" s="54">
        <v>16.0</v>
      </c>
      <c r="BA63" s="54">
        <v>50.0</v>
      </c>
      <c r="BB63" s="54">
        <v>16.0</v>
      </c>
      <c r="BC63" s="54" t="s">
        <v>763</v>
      </c>
      <c r="BD63" s="53"/>
      <c r="BE63" s="53"/>
    </row>
    <row r="64">
      <c r="A64" s="52">
        <v>63.0</v>
      </c>
      <c r="B64" s="52">
        <v>92.0</v>
      </c>
      <c r="C64" s="52" t="s">
        <v>237</v>
      </c>
      <c r="D64" s="52" t="s">
        <v>238</v>
      </c>
      <c r="E64" s="52" t="s">
        <v>239</v>
      </c>
      <c r="F64" s="52">
        <v>18.2</v>
      </c>
      <c r="G64" s="52">
        <v>0.0</v>
      </c>
      <c r="H64" s="52">
        <v>0.0</v>
      </c>
      <c r="I64" s="52" t="s">
        <v>833</v>
      </c>
      <c r="J64" s="52">
        <v>1985.0</v>
      </c>
      <c r="K64" s="52">
        <v>2.0</v>
      </c>
      <c r="L64" s="52">
        <v>4270.0</v>
      </c>
      <c r="M64" s="52">
        <v>1630.0</v>
      </c>
      <c r="N64" s="52">
        <v>1290.0</v>
      </c>
      <c r="O64" s="52">
        <v>2250.0</v>
      </c>
      <c r="P64" s="52">
        <v>1324.0</v>
      </c>
      <c r="Q64" s="52">
        <v>1274.0</v>
      </c>
      <c r="R64" s="52">
        <v>1040.0</v>
      </c>
      <c r="S64" s="52">
        <v>1962.0</v>
      </c>
      <c r="T64" s="52">
        <v>0.0</v>
      </c>
      <c r="U64" s="52">
        <v>0.0</v>
      </c>
      <c r="V64" s="52">
        <v>128.0</v>
      </c>
      <c r="W64" s="52">
        <v>0.0</v>
      </c>
      <c r="X64" s="52">
        <v>0.0</v>
      </c>
      <c r="Y64" s="52">
        <v>5300.0</v>
      </c>
      <c r="Z64" s="52">
        <v>0.0</v>
      </c>
      <c r="AA64" s="52">
        <v>0.0</v>
      </c>
      <c r="AB64" s="52">
        <v>4300.0</v>
      </c>
      <c r="AC64" s="52">
        <v>195.0</v>
      </c>
      <c r="AD64" s="52">
        <v>0.0</v>
      </c>
      <c r="AE64" s="52">
        <v>195.0</v>
      </c>
      <c r="AF64" s="52">
        <v>0.0</v>
      </c>
      <c r="AG64" s="52" t="s">
        <v>788</v>
      </c>
      <c r="AH64" s="52" t="b">
        <v>1</v>
      </c>
      <c r="AI64" s="52" t="b">
        <v>0</v>
      </c>
      <c r="AJ64" s="52">
        <v>0.0</v>
      </c>
      <c r="AK64" s="52" t="s">
        <v>742</v>
      </c>
      <c r="AL64" s="52" t="s">
        <v>771</v>
      </c>
      <c r="AM64" s="52" t="b">
        <v>0</v>
      </c>
      <c r="AN64" s="52" t="b">
        <v>0</v>
      </c>
      <c r="AO64" s="52" t="b">
        <v>0</v>
      </c>
      <c r="AP64" s="52">
        <v>180.0</v>
      </c>
      <c r="AQ64" s="52">
        <v>0.0</v>
      </c>
      <c r="AR64" s="52">
        <v>2.0</v>
      </c>
      <c r="AS64" s="52">
        <v>0.0</v>
      </c>
      <c r="AT64" s="52" t="s">
        <v>737</v>
      </c>
      <c r="AU64" s="52">
        <v>4.0</v>
      </c>
      <c r="AV64" s="52" t="s">
        <v>738</v>
      </c>
      <c r="AW64" s="52" t="s">
        <v>739</v>
      </c>
      <c r="AX64" s="52">
        <v>5.0</v>
      </c>
      <c r="AY64" s="52">
        <v>60.0</v>
      </c>
      <c r="AZ64" s="52">
        <v>15.0</v>
      </c>
      <c r="BA64" s="52">
        <v>60.0</v>
      </c>
      <c r="BB64" s="52">
        <v>15.0</v>
      </c>
      <c r="BC64" s="52" t="s">
        <v>763</v>
      </c>
      <c r="BD64" s="53"/>
      <c r="BE64" s="53"/>
    </row>
    <row r="65">
      <c r="A65" s="54">
        <v>64.0</v>
      </c>
      <c r="B65" s="54">
        <v>95.0</v>
      </c>
      <c r="C65" s="54" t="s">
        <v>240</v>
      </c>
      <c r="D65" s="54" t="s">
        <v>241</v>
      </c>
      <c r="E65" s="54" t="s">
        <v>242</v>
      </c>
      <c r="F65" s="54">
        <v>30.6</v>
      </c>
      <c r="G65" s="54">
        <v>0.0</v>
      </c>
      <c r="H65" s="54">
        <v>0.0</v>
      </c>
      <c r="I65" s="54" t="s">
        <v>833</v>
      </c>
      <c r="J65" s="54">
        <v>2002.0</v>
      </c>
      <c r="K65" s="54">
        <v>5.0</v>
      </c>
      <c r="L65" s="54">
        <v>4430.0</v>
      </c>
      <c r="M65" s="54">
        <v>1765.0</v>
      </c>
      <c r="N65" s="54">
        <v>1400.0</v>
      </c>
      <c r="O65" s="54">
        <v>2595.0</v>
      </c>
      <c r="P65" s="54">
        <v>1520.0</v>
      </c>
      <c r="Q65" s="54">
        <v>1510.0</v>
      </c>
      <c r="R65" s="54">
        <v>1420.0</v>
      </c>
      <c r="S65" s="54">
        <v>3179.0</v>
      </c>
      <c r="T65" s="54">
        <v>250.0</v>
      </c>
      <c r="U65" s="54">
        <v>184.0</v>
      </c>
      <c r="V65" s="54">
        <v>0.0</v>
      </c>
      <c r="W65" s="54">
        <v>0.0</v>
      </c>
      <c r="X65" s="54">
        <v>0.0</v>
      </c>
      <c r="Y65" s="54">
        <v>6200.0</v>
      </c>
      <c r="Z65" s="54">
        <v>300.0</v>
      </c>
      <c r="AA65" s="54">
        <v>0.0</v>
      </c>
      <c r="AB65" s="54">
        <v>4800.0</v>
      </c>
      <c r="AC65" s="54">
        <v>225.0</v>
      </c>
      <c r="AD65" s="54">
        <v>0.0</v>
      </c>
      <c r="AE65" s="54">
        <v>225.0</v>
      </c>
      <c r="AF65" s="54">
        <v>0.0</v>
      </c>
      <c r="AG65" s="54" t="s">
        <v>788</v>
      </c>
      <c r="AH65" s="54" t="b">
        <v>0</v>
      </c>
      <c r="AI65" s="54" t="b">
        <v>0</v>
      </c>
      <c r="AJ65" s="54">
        <v>0.0</v>
      </c>
      <c r="AK65" s="54" t="s">
        <v>789</v>
      </c>
      <c r="AL65" s="54" t="s">
        <v>754</v>
      </c>
      <c r="AM65" s="54" t="b">
        <v>0</v>
      </c>
      <c r="AN65" s="54" t="b">
        <v>0</v>
      </c>
      <c r="AO65" s="54" t="b">
        <v>0</v>
      </c>
      <c r="AP65" s="54">
        <v>180.0</v>
      </c>
      <c r="AQ65" s="54">
        <v>0.0</v>
      </c>
      <c r="AR65" s="54">
        <v>5.0</v>
      </c>
      <c r="AS65" s="54">
        <v>0.0</v>
      </c>
      <c r="AT65" s="54" t="s">
        <v>749</v>
      </c>
      <c r="AU65" s="54">
        <v>6.0</v>
      </c>
      <c r="AV65" s="54" t="s">
        <v>738</v>
      </c>
      <c r="AW65" s="54" t="s">
        <v>744</v>
      </c>
      <c r="AX65" s="54">
        <v>6.0</v>
      </c>
      <c r="AY65" s="54">
        <v>45.0</v>
      </c>
      <c r="AZ65" s="54">
        <v>17.0</v>
      </c>
      <c r="BA65" s="54">
        <v>45.0</v>
      </c>
      <c r="BB65" s="54">
        <v>17.0</v>
      </c>
      <c r="BC65" s="54" t="s">
        <v>834</v>
      </c>
      <c r="BD65" s="53"/>
      <c r="BE65" s="53"/>
    </row>
    <row r="66">
      <c r="A66" s="52">
        <v>65.0</v>
      </c>
      <c r="B66" s="52">
        <v>97.0</v>
      </c>
      <c r="C66" s="52" t="s">
        <v>243</v>
      </c>
      <c r="D66" s="52" t="s">
        <v>244</v>
      </c>
      <c r="E66" s="52" t="s">
        <v>245</v>
      </c>
      <c r="F66" s="52">
        <v>29.4</v>
      </c>
      <c r="G66" s="52">
        <v>0.0</v>
      </c>
      <c r="H66" s="52">
        <v>0.0</v>
      </c>
      <c r="I66" s="52" t="s">
        <v>833</v>
      </c>
      <c r="J66" s="52">
        <v>2003.0</v>
      </c>
      <c r="K66" s="52">
        <v>5.0</v>
      </c>
      <c r="L66" s="52">
        <v>4295.0</v>
      </c>
      <c r="M66" s="52">
        <v>1780.0</v>
      </c>
      <c r="N66" s="52">
        <v>1320.0</v>
      </c>
      <c r="O66" s="52">
        <v>2540.0</v>
      </c>
      <c r="P66" s="52">
        <v>1510.0</v>
      </c>
      <c r="Q66" s="52">
        <v>1520.0</v>
      </c>
      <c r="R66" s="52">
        <v>1420.0</v>
      </c>
      <c r="S66" s="52">
        <v>3179.0</v>
      </c>
      <c r="T66" s="52">
        <v>240.0</v>
      </c>
      <c r="U66" s="52">
        <v>176.0</v>
      </c>
      <c r="V66" s="52">
        <v>0.0</v>
      </c>
      <c r="W66" s="52">
        <v>0.0</v>
      </c>
      <c r="X66" s="52">
        <v>0.0</v>
      </c>
      <c r="Y66" s="52">
        <v>6200.0</v>
      </c>
      <c r="Z66" s="52">
        <v>289.0</v>
      </c>
      <c r="AA66" s="52">
        <v>0.0</v>
      </c>
      <c r="AB66" s="52">
        <v>4800.0</v>
      </c>
      <c r="AC66" s="52">
        <v>225.0</v>
      </c>
      <c r="AD66" s="52">
        <v>0.0</v>
      </c>
      <c r="AE66" s="52">
        <v>225.0</v>
      </c>
      <c r="AF66" s="52">
        <v>0.0</v>
      </c>
      <c r="AG66" s="52" t="s">
        <v>788</v>
      </c>
      <c r="AH66" s="52" t="b">
        <v>0</v>
      </c>
      <c r="AI66" s="52" t="b">
        <v>0</v>
      </c>
      <c r="AJ66" s="52">
        <v>0.0</v>
      </c>
      <c r="AK66" s="52" t="s">
        <v>789</v>
      </c>
      <c r="AL66" s="52" t="s">
        <v>754</v>
      </c>
      <c r="AM66" s="52" t="b">
        <v>1</v>
      </c>
      <c r="AN66" s="52" t="b">
        <v>0</v>
      </c>
      <c r="AO66" s="52" t="b">
        <v>0</v>
      </c>
      <c r="AP66" s="52">
        <v>216.0</v>
      </c>
      <c r="AQ66" s="52">
        <v>0.0</v>
      </c>
      <c r="AR66" s="52">
        <v>4.0</v>
      </c>
      <c r="AS66" s="52">
        <v>0.0</v>
      </c>
      <c r="AT66" s="52" t="s">
        <v>749</v>
      </c>
      <c r="AU66" s="52">
        <v>6.0</v>
      </c>
      <c r="AV66" s="52" t="s">
        <v>738</v>
      </c>
      <c r="AW66" s="52" t="s">
        <v>744</v>
      </c>
      <c r="AX66" s="52">
        <v>6.0</v>
      </c>
      <c r="AY66" s="52">
        <v>45.0</v>
      </c>
      <c r="AZ66" s="52">
        <v>17.0</v>
      </c>
      <c r="BA66" s="52">
        <v>45.0</v>
      </c>
      <c r="BB66" s="52">
        <v>17.0</v>
      </c>
      <c r="BC66" s="52" t="s">
        <v>763</v>
      </c>
      <c r="BD66" s="53"/>
      <c r="BE66" s="53"/>
    </row>
    <row r="67">
      <c r="A67" s="54">
        <v>66.0</v>
      </c>
      <c r="B67" s="54">
        <v>98.0</v>
      </c>
      <c r="C67" s="54" t="s">
        <v>246</v>
      </c>
      <c r="D67" s="54" t="s">
        <v>247</v>
      </c>
      <c r="E67" s="54" t="s">
        <v>248</v>
      </c>
      <c r="F67" s="54">
        <v>14.5</v>
      </c>
      <c r="G67" s="54">
        <v>0.0</v>
      </c>
      <c r="H67" s="54">
        <v>0.0</v>
      </c>
      <c r="I67" s="54" t="s">
        <v>835</v>
      </c>
      <c r="J67" s="54">
        <v>2002.0</v>
      </c>
      <c r="K67" s="54">
        <v>3.0</v>
      </c>
      <c r="L67" s="54">
        <v>3690.0</v>
      </c>
      <c r="M67" s="54">
        <v>1620.0</v>
      </c>
      <c r="N67" s="54">
        <v>1370.0</v>
      </c>
      <c r="O67" s="54">
        <v>2385.0</v>
      </c>
      <c r="P67" s="54">
        <v>1400.0</v>
      </c>
      <c r="Q67" s="54">
        <v>1355.0</v>
      </c>
      <c r="R67" s="54">
        <v>960.0</v>
      </c>
      <c r="S67" s="54">
        <v>1587.0</v>
      </c>
      <c r="T67" s="54">
        <v>118.0</v>
      </c>
      <c r="U67" s="54">
        <v>86.0</v>
      </c>
      <c r="V67" s="54">
        <v>0.0</v>
      </c>
      <c r="W67" s="54">
        <v>0.0</v>
      </c>
      <c r="X67" s="54">
        <v>0.0</v>
      </c>
      <c r="Y67" s="54">
        <v>6600.0</v>
      </c>
      <c r="Z67" s="54">
        <v>142.0</v>
      </c>
      <c r="AA67" s="54">
        <v>0.0</v>
      </c>
      <c r="AB67" s="54">
        <v>5200.0</v>
      </c>
      <c r="AC67" s="54">
        <v>185.0</v>
      </c>
      <c r="AD67" s="54">
        <v>0.0</v>
      </c>
      <c r="AE67" s="54">
        <v>185.0</v>
      </c>
      <c r="AF67" s="54">
        <v>0.0</v>
      </c>
      <c r="AG67" s="54" t="s">
        <v>792</v>
      </c>
      <c r="AH67" s="54" t="b">
        <v>0</v>
      </c>
      <c r="AI67" s="54" t="b">
        <v>0</v>
      </c>
      <c r="AJ67" s="54">
        <v>0.0</v>
      </c>
      <c r="AK67" s="54" t="s">
        <v>735</v>
      </c>
      <c r="AL67" s="54" t="s">
        <v>754</v>
      </c>
      <c r="AM67" s="54" t="b">
        <v>0</v>
      </c>
      <c r="AN67" s="54" t="b">
        <v>0</v>
      </c>
      <c r="AO67" s="54" t="b">
        <v>0</v>
      </c>
      <c r="AP67" s="54">
        <v>252.0</v>
      </c>
      <c r="AQ67" s="54">
        <v>0.0</v>
      </c>
      <c r="AR67" s="54">
        <v>5.0</v>
      </c>
      <c r="AS67" s="54">
        <v>0.0</v>
      </c>
      <c r="AT67" s="54" t="s">
        <v>737</v>
      </c>
      <c r="AU67" s="54">
        <v>4.0</v>
      </c>
      <c r="AV67" s="54" t="s">
        <v>738</v>
      </c>
      <c r="AW67" s="54" t="s">
        <v>744</v>
      </c>
      <c r="AX67" s="54">
        <v>5.0</v>
      </c>
      <c r="AY67" s="54">
        <v>55.0</v>
      </c>
      <c r="AZ67" s="54">
        <v>14.0</v>
      </c>
      <c r="BA67" s="54">
        <v>55.0</v>
      </c>
      <c r="BB67" s="54">
        <v>14.0</v>
      </c>
      <c r="BC67" s="54" t="s">
        <v>763</v>
      </c>
      <c r="BD67" s="53"/>
      <c r="BE67" s="53"/>
    </row>
    <row r="68">
      <c r="A68" s="52">
        <v>67.0</v>
      </c>
      <c r="B68" s="52">
        <v>100.0</v>
      </c>
      <c r="C68" s="52" t="s">
        <v>249</v>
      </c>
      <c r="D68" s="52" t="s">
        <v>250</v>
      </c>
      <c r="E68" s="52" t="s">
        <v>251</v>
      </c>
      <c r="F68" s="52">
        <v>19.8</v>
      </c>
      <c r="G68" s="52">
        <v>0.0</v>
      </c>
      <c r="H68" s="52">
        <v>0.0</v>
      </c>
      <c r="I68" s="52" t="s">
        <v>835</v>
      </c>
      <c r="J68" s="52">
        <v>2002.0</v>
      </c>
      <c r="K68" s="52">
        <v>3.0</v>
      </c>
      <c r="L68" s="52">
        <v>3810.0</v>
      </c>
      <c r="M68" s="52">
        <v>1675.0</v>
      </c>
      <c r="N68" s="52">
        <v>1380.0</v>
      </c>
      <c r="O68" s="52">
        <v>2440.0</v>
      </c>
      <c r="P68" s="52">
        <v>1430.0</v>
      </c>
      <c r="Q68" s="52">
        <v>1425.0</v>
      </c>
      <c r="R68" s="52">
        <v>1190.0</v>
      </c>
      <c r="S68" s="52">
        <v>1997.0</v>
      </c>
      <c r="T68" s="52">
        <v>137.0</v>
      </c>
      <c r="U68" s="52">
        <v>100.0</v>
      </c>
      <c r="V68" s="52">
        <v>0.0</v>
      </c>
      <c r="W68" s="52">
        <v>0.0</v>
      </c>
      <c r="X68" s="52">
        <v>0.0</v>
      </c>
      <c r="Y68" s="52">
        <v>6000.0</v>
      </c>
      <c r="Z68" s="52">
        <v>194.0</v>
      </c>
      <c r="AA68" s="52">
        <v>0.0</v>
      </c>
      <c r="AB68" s="52">
        <v>4100.0</v>
      </c>
      <c r="AC68" s="52">
        <v>205.0</v>
      </c>
      <c r="AD68" s="52">
        <v>0.0</v>
      </c>
      <c r="AE68" s="52">
        <v>205.0</v>
      </c>
      <c r="AF68" s="52">
        <v>0.0</v>
      </c>
      <c r="AG68" s="52" t="s">
        <v>792</v>
      </c>
      <c r="AH68" s="52" t="b">
        <v>1</v>
      </c>
      <c r="AI68" s="52" t="b">
        <v>0</v>
      </c>
      <c r="AJ68" s="52">
        <v>0.0</v>
      </c>
      <c r="AK68" s="52" t="s">
        <v>735</v>
      </c>
      <c r="AL68" s="52" t="s">
        <v>743</v>
      </c>
      <c r="AM68" s="52" t="b">
        <v>0</v>
      </c>
      <c r="AN68" s="52" t="b">
        <v>0</v>
      </c>
      <c r="AO68" s="52" t="b">
        <v>0</v>
      </c>
      <c r="AP68" s="52">
        <v>252.0</v>
      </c>
      <c r="AQ68" s="52">
        <v>0.0</v>
      </c>
      <c r="AR68" s="52">
        <v>4.0</v>
      </c>
      <c r="AS68" s="52">
        <v>0.0</v>
      </c>
      <c r="AT68" s="52" t="s">
        <v>737</v>
      </c>
      <c r="AU68" s="52">
        <v>4.0</v>
      </c>
      <c r="AV68" s="52" t="s">
        <v>738</v>
      </c>
      <c r="AW68" s="52" t="s">
        <v>744</v>
      </c>
      <c r="AX68" s="52">
        <v>5.0</v>
      </c>
      <c r="AY68" s="52">
        <v>45.0</v>
      </c>
      <c r="AZ68" s="52">
        <v>16.0</v>
      </c>
      <c r="BA68" s="52">
        <v>45.0</v>
      </c>
      <c r="BB68" s="52">
        <v>16.0</v>
      </c>
      <c r="BC68" s="52" t="s">
        <v>836</v>
      </c>
      <c r="BD68" s="53"/>
      <c r="BE68" s="53"/>
    </row>
    <row r="69">
      <c r="A69" s="54">
        <v>68.0</v>
      </c>
      <c r="B69" s="54">
        <v>103.0</v>
      </c>
      <c r="C69" s="54" t="s">
        <v>252</v>
      </c>
      <c r="D69" s="54" t="s">
        <v>253</v>
      </c>
      <c r="E69" s="54" t="s">
        <v>254</v>
      </c>
      <c r="F69" s="54">
        <v>9.7</v>
      </c>
      <c r="G69" s="54">
        <v>0.0</v>
      </c>
      <c r="H69" s="54">
        <v>0.0</v>
      </c>
      <c r="I69" s="54" t="s">
        <v>837</v>
      </c>
      <c r="J69" s="54">
        <v>2004.0</v>
      </c>
      <c r="K69" s="54">
        <v>2.0</v>
      </c>
      <c r="L69" s="54">
        <v>2540.0</v>
      </c>
      <c r="M69" s="54">
        <v>1535.0</v>
      </c>
      <c r="N69" s="54">
        <v>1550.0</v>
      </c>
      <c r="O69" s="54">
        <v>1810.0</v>
      </c>
      <c r="P69" s="54">
        <v>1275.0</v>
      </c>
      <c r="Q69" s="54">
        <v>1355.0</v>
      </c>
      <c r="R69" s="54">
        <v>770.0</v>
      </c>
      <c r="S69" s="54">
        <v>698.0</v>
      </c>
      <c r="T69" s="54">
        <v>61.0</v>
      </c>
      <c r="U69" s="54">
        <v>45.0</v>
      </c>
      <c r="V69" s="54">
        <v>0.0</v>
      </c>
      <c r="W69" s="54">
        <v>0.0</v>
      </c>
      <c r="X69" s="54">
        <v>0.0</v>
      </c>
      <c r="Y69" s="54">
        <v>5250.0</v>
      </c>
      <c r="Z69" s="54">
        <v>95.0</v>
      </c>
      <c r="AA69" s="54">
        <v>0.0</v>
      </c>
      <c r="AB69" s="54">
        <v>2.62146E8</v>
      </c>
      <c r="AC69" s="54">
        <v>145.0</v>
      </c>
      <c r="AD69" s="54">
        <v>0.0</v>
      </c>
      <c r="AE69" s="54">
        <v>175.0</v>
      </c>
      <c r="AF69" s="54">
        <v>0.0</v>
      </c>
      <c r="AG69" s="54" t="s">
        <v>816</v>
      </c>
      <c r="AH69" s="54" t="b">
        <v>1</v>
      </c>
      <c r="AI69" s="54" t="b">
        <v>0</v>
      </c>
      <c r="AJ69" s="54">
        <v>0.0</v>
      </c>
      <c r="AK69" s="54" t="s">
        <v>742</v>
      </c>
      <c r="AL69" s="54" t="s">
        <v>743</v>
      </c>
      <c r="AM69" s="54" t="b">
        <v>0</v>
      </c>
      <c r="AN69" s="54" t="b">
        <v>0</v>
      </c>
      <c r="AO69" s="54" t="b">
        <v>0</v>
      </c>
      <c r="AP69" s="54">
        <v>252.0</v>
      </c>
      <c r="AQ69" s="54">
        <v>0.0</v>
      </c>
      <c r="AR69" s="54">
        <v>2.0</v>
      </c>
      <c r="AS69" s="54">
        <v>0.0</v>
      </c>
      <c r="AT69" s="54" t="s">
        <v>737</v>
      </c>
      <c r="AU69" s="54">
        <v>3.0</v>
      </c>
      <c r="AV69" s="54" t="s">
        <v>757</v>
      </c>
      <c r="AW69" s="54" t="s">
        <v>778</v>
      </c>
      <c r="AX69" s="54">
        <v>6.0</v>
      </c>
      <c r="AY69" s="54">
        <v>65.0</v>
      </c>
      <c r="AZ69" s="54">
        <v>15.0</v>
      </c>
      <c r="BA69" s="54">
        <v>55.0</v>
      </c>
      <c r="BB69" s="54">
        <v>15.0</v>
      </c>
      <c r="BC69" s="54">
        <v>15.0</v>
      </c>
      <c r="BD69" s="53"/>
      <c r="BE69" s="53"/>
    </row>
    <row r="70">
      <c r="A70" s="52">
        <v>69.0</v>
      </c>
      <c r="B70" s="52">
        <v>105.0</v>
      </c>
      <c r="C70" s="52" t="s">
        <v>255</v>
      </c>
      <c r="D70" s="52" t="s">
        <v>256</v>
      </c>
      <c r="E70" s="52" t="s">
        <v>257</v>
      </c>
      <c r="F70" s="52">
        <v>21.0</v>
      </c>
      <c r="G70" s="52">
        <v>0.0</v>
      </c>
      <c r="H70" s="52">
        <v>0.0</v>
      </c>
      <c r="I70" s="52" t="s">
        <v>741</v>
      </c>
      <c r="J70" s="52">
        <v>2001.0</v>
      </c>
      <c r="K70" s="52">
        <v>3.0</v>
      </c>
      <c r="L70" s="52">
        <v>4565.0</v>
      </c>
      <c r="M70" s="52">
        <v>1760.0</v>
      </c>
      <c r="N70" s="52">
        <v>1480.0</v>
      </c>
      <c r="O70" s="52">
        <v>2680.0</v>
      </c>
      <c r="P70" s="52">
        <v>1520.0</v>
      </c>
      <c r="Q70" s="52">
        <v>1525.0</v>
      </c>
      <c r="R70" s="52">
        <v>1320.0</v>
      </c>
      <c r="S70" s="52">
        <v>1998.0</v>
      </c>
      <c r="T70" s="52">
        <v>204.0</v>
      </c>
      <c r="U70" s="52">
        <v>150.0</v>
      </c>
      <c r="V70" s="52">
        <v>0.0</v>
      </c>
      <c r="W70" s="52">
        <v>0.0</v>
      </c>
      <c r="X70" s="52">
        <v>0.0</v>
      </c>
      <c r="Y70" s="52">
        <v>7200.0</v>
      </c>
      <c r="Z70" s="52">
        <v>206.0</v>
      </c>
      <c r="AA70" s="52">
        <v>0.0</v>
      </c>
      <c r="AB70" s="52">
        <v>5200.0</v>
      </c>
      <c r="AC70" s="52">
        <v>215.0</v>
      </c>
      <c r="AD70" s="52">
        <v>0.0</v>
      </c>
      <c r="AE70" s="52">
        <v>215.0</v>
      </c>
      <c r="AF70" s="52">
        <v>0.0</v>
      </c>
      <c r="AG70" s="52" t="s">
        <v>734</v>
      </c>
      <c r="AH70" s="52" t="b">
        <v>0</v>
      </c>
      <c r="AI70" s="52" t="b">
        <v>0</v>
      </c>
      <c r="AJ70" s="52">
        <v>0.0</v>
      </c>
      <c r="AK70" s="52" t="s">
        <v>735</v>
      </c>
      <c r="AL70" s="52" t="s">
        <v>765</v>
      </c>
      <c r="AM70" s="52" t="b">
        <v>0</v>
      </c>
      <c r="AN70" s="52" t="b">
        <v>0</v>
      </c>
      <c r="AO70" s="52" t="b">
        <v>0</v>
      </c>
      <c r="AP70" s="52">
        <v>216.0</v>
      </c>
      <c r="AQ70" s="52">
        <v>0.0</v>
      </c>
      <c r="AR70" s="52">
        <v>5.0</v>
      </c>
      <c r="AS70" s="52">
        <v>0.0</v>
      </c>
      <c r="AT70" s="52" t="s">
        <v>737</v>
      </c>
      <c r="AU70" s="52">
        <v>4.0</v>
      </c>
      <c r="AV70" s="52" t="s">
        <v>738</v>
      </c>
      <c r="AW70" s="52" t="s">
        <v>744</v>
      </c>
      <c r="AX70" s="52">
        <v>6.0</v>
      </c>
      <c r="AY70" s="52">
        <v>50.0</v>
      </c>
      <c r="AZ70" s="52">
        <v>17.0</v>
      </c>
      <c r="BA70" s="52">
        <v>50.0</v>
      </c>
      <c r="BB70" s="52">
        <v>17.0</v>
      </c>
      <c r="BC70" s="52" t="s">
        <v>838</v>
      </c>
      <c r="BD70" s="53"/>
      <c r="BE70" s="53"/>
    </row>
    <row r="71">
      <c r="A71" s="54">
        <v>70.0</v>
      </c>
      <c r="B71" s="54">
        <v>106.0</v>
      </c>
      <c r="C71" s="54" t="s">
        <v>258</v>
      </c>
      <c r="D71" s="54" t="s">
        <v>259</v>
      </c>
      <c r="E71" s="54" t="s">
        <v>260</v>
      </c>
      <c r="F71" s="54">
        <v>22.5</v>
      </c>
      <c r="G71" s="54">
        <v>0.0</v>
      </c>
      <c r="H71" s="54">
        <v>0.0</v>
      </c>
      <c r="I71" s="54" t="s">
        <v>747</v>
      </c>
      <c r="J71" s="54">
        <v>2001.0</v>
      </c>
      <c r="K71" s="54">
        <v>4.0</v>
      </c>
      <c r="L71" s="54">
        <v>4680.0</v>
      </c>
      <c r="M71" s="54">
        <v>1720.0</v>
      </c>
      <c r="N71" s="54">
        <v>1405.0</v>
      </c>
      <c r="O71" s="54">
        <v>2665.0</v>
      </c>
      <c r="P71" s="54">
        <v>1485.0</v>
      </c>
      <c r="Q71" s="54">
        <v>1485.0</v>
      </c>
      <c r="R71" s="54">
        <v>1330.0</v>
      </c>
      <c r="S71" s="54">
        <v>2156.0</v>
      </c>
      <c r="T71" s="54">
        <v>220.0</v>
      </c>
      <c r="U71" s="54">
        <v>162.0</v>
      </c>
      <c r="V71" s="54">
        <v>0.0</v>
      </c>
      <c r="W71" s="54">
        <v>0.0</v>
      </c>
      <c r="X71" s="54">
        <v>0.0</v>
      </c>
      <c r="Y71" s="54">
        <v>7200.0</v>
      </c>
      <c r="Z71" s="54">
        <v>221.0</v>
      </c>
      <c r="AA71" s="54">
        <v>0.0</v>
      </c>
      <c r="AB71" s="54">
        <v>6700.0</v>
      </c>
      <c r="AC71" s="54">
        <v>205.0</v>
      </c>
      <c r="AD71" s="54">
        <v>0.0</v>
      </c>
      <c r="AE71" s="54">
        <v>205.0</v>
      </c>
      <c r="AF71" s="54">
        <v>0.0</v>
      </c>
      <c r="AG71" s="54" t="s">
        <v>734</v>
      </c>
      <c r="AH71" s="54" t="b">
        <v>0</v>
      </c>
      <c r="AI71" s="54" t="b">
        <v>0</v>
      </c>
      <c r="AJ71" s="54">
        <v>0.0</v>
      </c>
      <c r="AK71" s="54" t="s">
        <v>789</v>
      </c>
      <c r="AL71" s="54" t="s">
        <v>765</v>
      </c>
      <c r="AM71" s="54" t="b">
        <v>0</v>
      </c>
      <c r="AN71" s="54" t="b">
        <v>0</v>
      </c>
      <c r="AO71" s="54" t="b">
        <v>0</v>
      </c>
      <c r="AP71" s="54">
        <v>252.0</v>
      </c>
      <c r="AQ71" s="54">
        <v>0.0</v>
      </c>
      <c r="AR71" s="54">
        <v>5.0</v>
      </c>
      <c r="AS71" s="54">
        <v>0.0</v>
      </c>
      <c r="AT71" s="54" t="s">
        <v>737</v>
      </c>
      <c r="AU71" s="54">
        <v>4.0</v>
      </c>
      <c r="AV71" s="54" t="s">
        <v>738</v>
      </c>
      <c r="AW71" s="54" t="s">
        <v>744</v>
      </c>
      <c r="AX71" s="54">
        <v>5.0</v>
      </c>
      <c r="AY71" s="54">
        <v>50.0</v>
      </c>
      <c r="AZ71" s="54">
        <v>16.0</v>
      </c>
      <c r="BA71" s="54">
        <v>50.0</v>
      </c>
      <c r="BB71" s="54">
        <v>16.0</v>
      </c>
      <c r="BC71" s="54" t="s">
        <v>839</v>
      </c>
      <c r="BD71" s="53"/>
      <c r="BE71" s="53"/>
    </row>
    <row r="72">
      <c r="A72" s="52">
        <v>71.0</v>
      </c>
      <c r="B72" s="52">
        <v>108.0</v>
      </c>
      <c r="C72" s="52" t="s">
        <v>261</v>
      </c>
      <c r="D72" s="52" t="s">
        <v>262</v>
      </c>
      <c r="E72" s="52" t="s">
        <v>263</v>
      </c>
      <c r="F72" s="52">
        <v>21.9</v>
      </c>
      <c r="G72" s="52">
        <v>0.0</v>
      </c>
      <c r="H72" s="52">
        <v>0.0</v>
      </c>
      <c r="I72" s="52" t="s">
        <v>733</v>
      </c>
      <c r="J72" s="52">
        <v>2002.0</v>
      </c>
      <c r="K72" s="52">
        <v>4.0</v>
      </c>
      <c r="L72" s="52">
        <v>4670.0</v>
      </c>
      <c r="M72" s="52">
        <v>1780.0</v>
      </c>
      <c r="N72" s="52">
        <v>1430.0</v>
      </c>
      <c r="O72" s="52">
        <v>2675.0</v>
      </c>
      <c r="P72" s="52">
        <v>1540.0</v>
      </c>
      <c r="Q72" s="52">
        <v>1540.0</v>
      </c>
      <c r="R72" s="52">
        <v>1340.0</v>
      </c>
      <c r="S72" s="52">
        <v>2260.0</v>
      </c>
      <c r="T72" s="52">
        <v>178.0</v>
      </c>
      <c r="U72" s="52">
        <v>131.0</v>
      </c>
      <c r="V72" s="52">
        <v>0.0</v>
      </c>
      <c r="W72" s="52">
        <v>0.0</v>
      </c>
      <c r="X72" s="52">
        <v>0.0</v>
      </c>
      <c r="Y72" s="52">
        <v>6500.0</v>
      </c>
      <c r="Z72" s="52">
        <v>215.0</v>
      </c>
      <c r="AA72" s="52">
        <v>0.0</v>
      </c>
      <c r="AB72" s="52">
        <v>4000.0</v>
      </c>
      <c r="AC72" s="52">
        <v>205.0</v>
      </c>
      <c r="AD72" s="52">
        <v>0.0</v>
      </c>
      <c r="AE72" s="52">
        <v>205.0</v>
      </c>
      <c r="AF72" s="52">
        <v>0.0</v>
      </c>
      <c r="AG72" s="52" t="s">
        <v>734</v>
      </c>
      <c r="AH72" s="52" t="b">
        <v>0</v>
      </c>
      <c r="AI72" s="52" t="b">
        <v>0</v>
      </c>
      <c r="AJ72" s="52">
        <v>0.0</v>
      </c>
      <c r="AK72" s="52" t="s">
        <v>735</v>
      </c>
      <c r="AL72" s="52" t="s">
        <v>765</v>
      </c>
      <c r="AM72" s="52" t="b">
        <v>0</v>
      </c>
      <c r="AN72" s="52" t="b">
        <v>0</v>
      </c>
      <c r="AO72" s="52" t="b">
        <v>0</v>
      </c>
      <c r="AP72" s="52">
        <v>252.0</v>
      </c>
      <c r="AQ72" s="52">
        <v>1.0</v>
      </c>
      <c r="AR72" s="52">
        <v>5.0</v>
      </c>
      <c r="AS72" s="52">
        <v>0.0</v>
      </c>
      <c r="AT72" s="52" t="s">
        <v>737</v>
      </c>
      <c r="AU72" s="52">
        <v>4.0</v>
      </c>
      <c r="AV72" s="52" t="s">
        <v>738</v>
      </c>
      <c r="AW72" s="52" t="s">
        <v>744</v>
      </c>
      <c r="AX72" s="52">
        <v>4.0</v>
      </c>
      <c r="AY72" s="52">
        <v>55.0</v>
      </c>
      <c r="AZ72" s="52">
        <v>16.0</v>
      </c>
      <c r="BA72" s="52">
        <v>55.0</v>
      </c>
      <c r="BB72" s="52">
        <v>16.0</v>
      </c>
      <c r="BC72" s="52" t="s">
        <v>840</v>
      </c>
      <c r="BD72" s="53"/>
      <c r="BE72" s="53"/>
    </row>
    <row r="73">
      <c r="A73" s="54">
        <v>72.0</v>
      </c>
      <c r="B73" s="54">
        <v>109.0</v>
      </c>
      <c r="C73" s="54" t="s">
        <v>264</v>
      </c>
      <c r="D73" s="54" t="s">
        <v>265</v>
      </c>
      <c r="E73" s="54" t="s">
        <v>266</v>
      </c>
      <c r="F73" s="54">
        <v>13.4</v>
      </c>
      <c r="G73" s="54">
        <v>0.0</v>
      </c>
      <c r="H73" s="54">
        <v>0.0</v>
      </c>
      <c r="I73" s="54" t="s">
        <v>747</v>
      </c>
      <c r="J73" s="54">
        <v>2002.0</v>
      </c>
      <c r="K73" s="54">
        <v>2.0</v>
      </c>
      <c r="L73" s="54">
        <v>4055.0</v>
      </c>
      <c r="M73" s="54">
        <v>1685.0</v>
      </c>
      <c r="N73" s="54">
        <v>1740.0</v>
      </c>
      <c r="O73" s="54">
        <v>2740.0</v>
      </c>
      <c r="P73" s="54">
        <v>1460.0</v>
      </c>
      <c r="Q73" s="54">
        <v>1440.0</v>
      </c>
      <c r="R73" s="54">
        <v>1270.0</v>
      </c>
      <c r="S73" s="54">
        <v>1496.0</v>
      </c>
      <c r="T73" s="54">
        <v>90.0</v>
      </c>
      <c r="U73" s="54">
        <v>66.0</v>
      </c>
      <c r="V73" s="54">
        <v>0.0</v>
      </c>
      <c r="W73" s="54">
        <v>0.0</v>
      </c>
      <c r="X73" s="54">
        <v>0.0</v>
      </c>
      <c r="Y73" s="54">
        <v>5500.0</v>
      </c>
      <c r="Z73" s="54">
        <v>131.0</v>
      </c>
      <c r="AA73" s="54">
        <v>0.0</v>
      </c>
      <c r="AB73" s="54">
        <v>2700.0</v>
      </c>
      <c r="AC73" s="54">
        <v>185.0</v>
      </c>
      <c r="AD73" s="54">
        <v>0.0</v>
      </c>
      <c r="AE73" s="54">
        <v>185.0</v>
      </c>
      <c r="AF73" s="54">
        <v>0.0</v>
      </c>
      <c r="AG73" s="54" t="s">
        <v>734</v>
      </c>
      <c r="AH73" s="54" t="b">
        <v>0</v>
      </c>
      <c r="AI73" s="54" t="b">
        <v>0</v>
      </c>
      <c r="AJ73" s="54">
        <v>0.0</v>
      </c>
      <c r="AK73" s="54" t="s">
        <v>742</v>
      </c>
      <c r="AL73" s="54" t="s">
        <v>743</v>
      </c>
      <c r="AM73" s="54" t="b">
        <v>0</v>
      </c>
      <c r="AN73" s="54" t="b">
        <v>0</v>
      </c>
      <c r="AO73" s="54" t="b">
        <v>1</v>
      </c>
      <c r="AP73" s="54">
        <v>252.0</v>
      </c>
      <c r="AQ73" s="54">
        <v>1.0</v>
      </c>
      <c r="AR73" s="54">
        <v>7.0</v>
      </c>
      <c r="AS73" s="54">
        <v>0.0</v>
      </c>
      <c r="AT73" s="54" t="s">
        <v>737</v>
      </c>
      <c r="AU73" s="54">
        <v>4.0</v>
      </c>
      <c r="AV73" s="54" t="s">
        <v>738</v>
      </c>
      <c r="AW73" s="54" t="s">
        <v>744</v>
      </c>
      <c r="AX73" s="54">
        <v>2.0</v>
      </c>
      <c r="AY73" s="54">
        <v>65.0</v>
      </c>
      <c r="AZ73" s="54">
        <v>14.0</v>
      </c>
      <c r="BA73" s="54">
        <v>65.0</v>
      </c>
      <c r="BB73" s="54">
        <v>14.0</v>
      </c>
      <c r="BC73" s="54" t="s">
        <v>841</v>
      </c>
      <c r="BD73" s="53"/>
      <c r="BE73" s="53"/>
    </row>
    <row r="74">
      <c r="A74" s="52">
        <v>73.0</v>
      </c>
      <c r="B74" s="52">
        <v>111.0</v>
      </c>
      <c r="C74" s="52" t="s">
        <v>267</v>
      </c>
      <c r="D74" s="52" t="s">
        <v>268</v>
      </c>
      <c r="E74" s="52" t="s">
        <v>269</v>
      </c>
      <c r="F74" s="52">
        <v>0.0</v>
      </c>
      <c r="G74" s="52">
        <v>0.0</v>
      </c>
      <c r="H74" s="52">
        <v>0.0</v>
      </c>
      <c r="I74" s="52" t="s">
        <v>829</v>
      </c>
      <c r="J74" s="52">
        <v>2002.0</v>
      </c>
      <c r="K74" s="52">
        <v>5.0</v>
      </c>
      <c r="L74" s="52">
        <v>4770.0</v>
      </c>
      <c r="M74" s="52">
        <v>1850.0</v>
      </c>
      <c r="N74" s="52">
        <v>1295.0</v>
      </c>
      <c r="O74" s="52">
        <v>2590.0</v>
      </c>
      <c r="P74" s="52">
        <v>1505.0</v>
      </c>
      <c r="Q74" s="52">
        <v>1495.0</v>
      </c>
      <c r="R74" s="52">
        <v>1710.0</v>
      </c>
      <c r="S74" s="52">
        <v>3996.0</v>
      </c>
      <c r="T74" s="52">
        <v>375.0</v>
      </c>
      <c r="U74" s="52">
        <v>276.0</v>
      </c>
      <c r="V74" s="52">
        <v>0.0</v>
      </c>
      <c r="W74" s="52">
        <v>0.0</v>
      </c>
      <c r="X74" s="52">
        <v>0.0</v>
      </c>
      <c r="Y74" s="52">
        <v>6150.0</v>
      </c>
      <c r="Z74" s="52">
        <v>525.0</v>
      </c>
      <c r="AA74" s="52">
        <v>0.0</v>
      </c>
      <c r="AB74" s="52">
        <v>3600.0</v>
      </c>
      <c r="AC74" s="52">
        <v>255.0</v>
      </c>
      <c r="AD74" s="52">
        <v>0.0</v>
      </c>
      <c r="AE74" s="52">
        <v>285.0</v>
      </c>
      <c r="AF74" s="52">
        <v>0.0</v>
      </c>
      <c r="AG74" s="52" t="s">
        <v>786</v>
      </c>
      <c r="AH74" s="52" t="b">
        <v>0</v>
      </c>
      <c r="AI74" s="52" t="b">
        <v>0</v>
      </c>
      <c r="AJ74" s="52">
        <v>0.0</v>
      </c>
      <c r="AK74" s="52" t="s">
        <v>756</v>
      </c>
      <c r="AL74" s="52" t="s">
        <v>771</v>
      </c>
      <c r="AM74" s="52" t="b">
        <v>1</v>
      </c>
      <c r="AN74" s="52" t="b">
        <v>1</v>
      </c>
      <c r="AO74" s="52" t="b">
        <v>0</v>
      </c>
      <c r="AP74" s="52">
        <v>144.0</v>
      </c>
      <c r="AQ74" s="52">
        <v>1.0</v>
      </c>
      <c r="AR74" s="52">
        <v>4.0</v>
      </c>
      <c r="AS74" s="52">
        <v>0.0</v>
      </c>
      <c r="AT74" s="52" t="s">
        <v>749</v>
      </c>
      <c r="AU74" s="52">
        <v>8.0</v>
      </c>
      <c r="AV74" s="52" t="s">
        <v>817</v>
      </c>
      <c r="AW74" s="52" t="s">
        <v>739</v>
      </c>
      <c r="AX74" s="52">
        <v>5.0</v>
      </c>
      <c r="AY74" s="52">
        <v>35.0</v>
      </c>
      <c r="AZ74" s="52">
        <v>20.0</v>
      </c>
      <c r="BA74" s="52">
        <v>30.0</v>
      </c>
      <c r="BB74" s="52">
        <v>20.0</v>
      </c>
      <c r="BC74" s="52" t="s">
        <v>842</v>
      </c>
      <c r="BD74" s="53"/>
      <c r="BE74" s="53"/>
    </row>
    <row r="75">
      <c r="A75" s="54">
        <v>74.0</v>
      </c>
      <c r="B75" s="54">
        <v>112.0</v>
      </c>
      <c r="C75" s="54" t="s">
        <v>270</v>
      </c>
      <c r="D75" s="54" t="s">
        <v>271</v>
      </c>
      <c r="E75" s="54" t="s">
        <v>272</v>
      </c>
      <c r="F75" s="54">
        <v>44.9</v>
      </c>
      <c r="G75" s="54">
        <v>0.0</v>
      </c>
      <c r="H75" s="54">
        <v>0.0</v>
      </c>
      <c r="I75" s="54" t="s">
        <v>843</v>
      </c>
      <c r="J75" s="54">
        <v>2003.0</v>
      </c>
      <c r="K75" s="54">
        <v>4.0</v>
      </c>
      <c r="L75" s="54">
        <v>4950.0</v>
      </c>
      <c r="M75" s="54">
        <v>1955.0</v>
      </c>
      <c r="N75" s="54">
        <v>1865.0</v>
      </c>
      <c r="O75" s="54">
        <v>2880.0</v>
      </c>
      <c r="P75" s="54">
        <v>1625.0</v>
      </c>
      <c r="Q75" s="54">
        <v>1620.0</v>
      </c>
      <c r="R75" s="54">
        <v>2500.0</v>
      </c>
      <c r="S75" s="54">
        <v>4398.0</v>
      </c>
      <c r="T75" s="54">
        <v>286.0</v>
      </c>
      <c r="U75" s="54">
        <v>210.0</v>
      </c>
      <c r="V75" s="54">
        <v>0.0</v>
      </c>
      <c r="W75" s="54">
        <v>0.0</v>
      </c>
      <c r="X75" s="54">
        <v>0.0</v>
      </c>
      <c r="Y75" s="54">
        <v>5400.0</v>
      </c>
      <c r="Z75" s="54">
        <v>440.0</v>
      </c>
      <c r="AA75" s="54">
        <v>0.0</v>
      </c>
      <c r="AB75" s="54">
        <v>3600.0</v>
      </c>
      <c r="AC75" s="54">
        <v>255.0</v>
      </c>
      <c r="AD75" s="54">
        <v>0.0</v>
      </c>
      <c r="AE75" s="54">
        <v>255.0</v>
      </c>
      <c r="AF75" s="54">
        <v>0.0</v>
      </c>
      <c r="AG75" s="54" t="s">
        <v>786</v>
      </c>
      <c r="AH75" s="54" t="b">
        <v>0</v>
      </c>
      <c r="AI75" s="54" t="b">
        <v>0</v>
      </c>
      <c r="AJ75" s="54">
        <v>0.0</v>
      </c>
      <c r="AK75" s="54" t="s">
        <v>735</v>
      </c>
      <c r="AL75" s="54" t="s">
        <v>799</v>
      </c>
      <c r="AM75" s="54" t="b">
        <v>1</v>
      </c>
      <c r="AN75" s="54" t="b">
        <v>1</v>
      </c>
      <c r="AO75" s="54" t="b">
        <v>0</v>
      </c>
      <c r="AP75" s="54">
        <v>216.0</v>
      </c>
      <c r="AQ75" s="54">
        <v>1.0</v>
      </c>
      <c r="AR75" s="54">
        <v>5.0</v>
      </c>
      <c r="AS75" s="54">
        <v>0.0</v>
      </c>
      <c r="AT75" s="54" t="s">
        <v>749</v>
      </c>
      <c r="AU75" s="54">
        <v>8.0</v>
      </c>
      <c r="AV75" s="54" t="s">
        <v>738</v>
      </c>
      <c r="AW75" s="54" t="s">
        <v>800</v>
      </c>
      <c r="AX75" s="54">
        <v>5.0</v>
      </c>
      <c r="AY75" s="54">
        <v>55.0</v>
      </c>
      <c r="AZ75" s="54">
        <v>19.0</v>
      </c>
      <c r="BA75" s="54">
        <v>55.0</v>
      </c>
      <c r="BB75" s="54">
        <v>19.0</v>
      </c>
      <c r="BC75" s="54" t="s">
        <v>763</v>
      </c>
      <c r="BD75" s="53"/>
      <c r="BE75" s="53"/>
    </row>
    <row r="76">
      <c r="A76" s="52">
        <v>75.0</v>
      </c>
      <c r="B76" s="52">
        <v>113.0</v>
      </c>
      <c r="C76" s="52" t="s">
        <v>273</v>
      </c>
      <c r="D76" s="52" t="s">
        <v>274</v>
      </c>
      <c r="E76" s="52" t="s">
        <v>275</v>
      </c>
      <c r="F76" s="52">
        <v>21.9</v>
      </c>
      <c r="G76" s="52">
        <v>0.0</v>
      </c>
      <c r="H76" s="52">
        <v>0.0</v>
      </c>
      <c r="I76" s="52" t="s">
        <v>733</v>
      </c>
      <c r="J76" s="52">
        <v>2003.0</v>
      </c>
      <c r="K76" s="52">
        <v>4.0</v>
      </c>
      <c r="L76" s="52">
        <v>4670.0</v>
      </c>
      <c r="M76" s="52">
        <v>1780.0</v>
      </c>
      <c r="N76" s="52">
        <v>1445.0</v>
      </c>
      <c r="O76" s="52">
        <v>2675.0</v>
      </c>
      <c r="P76" s="52">
        <v>1540.0</v>
      </c>
      <c r="Q76" s="52">
        <v>1540.0</v>
      </c>
      <c r="R76" s="52">
        <v>1390.0</v>
      </c>
      <c r="S76" s="52">
        <v>2260.0</v>
      </c>
      <c r="T76" s="52">
        <v>178.0</v>
      </c>
      <c r="U76" s="52">
        <v>131.0</v>
      </c>
      <c r="V76" s="52">
        <v>0.0</v>
      </c>
      <c r="W76" s="52">
        <v>0.0</v>
      </c>
      <c r="X76" s="52">
        <v>0.0</v>
      </c>
      <c r="Y76" s="52">
        <v>6500.0</v>
      </c>
      <c r="Z76" s="52">
        <v>215.0</v>
      </c>
      <c r="AA76" s="52">
        <v>0.0</v>
      </c>
      <c r="AB76" s="52">
        <v>4000.0</v>
      </c>
      <c r="AC76" s="52">
        <v>215.0</v>
      </c>
      <c r="AD76" s="52">
        <v>0.0</v>
      </c>
      <c r="AE76" s="52">
        <v>215.0</v>
      </c>
      <c r="AF76" s="52">
        <v>0.0</v>
      </c>
      <c r="AG76" s="52" t="s">
        <v>734</v>
      </c>
      <c r="AH76" s="52" t="b">
        <v>0</v>
      </c>
      <c r="AI76" s="52" t="b">
        <v>0</v>
      </c>
      <c r="AJ76" s="52">
        <v>0.0</v>
      </c>
      <c r="AK76" s="52" t="s">
        <v>735</v>
      </c>
      <c r="AL76" s="52" t="s">
        <v>765</v>
      </c>
      <c r="AM76" s="52" t="b">
        <v>0</v>
      </c>
      <c r="AN76" s="52" t="b">
        <v>0</v>
      </c>
      <c r="AO76" s="52" t="b">
        <v>0</v>
      </c>
      <c r="AP76" s="52">
        <v>252.0</v>
      </c>
      <c r="AQ76" s="52">
        <v>0.0</v>
      </c>
      <c r="AR76" s="52">
        <v>5.0</v>
      </c>
      <c r="AS76" s="52">
        <v>0.0</v>
      </c>
      <c r="AT76" s="52" t="s">
        <v>737</v>
      </c>
      <c r="AU76" s="52">
        <v>4.0</v>
      </c>
      <c r="AV76" s="52" t="s">
        <v>738</v>
      </c>
      <c r="AW76" s="52" t="s">
        <v>744</v>
      </c>
      <c r="AX76" s="52">
        <v>5.0</v>
      </c>
      <c r="AY76" s="52">
        <v>45.0</v>
      </c>
      <c r="AZ76" s="52">
        <v>18.0</v>
      </c>
      <c r="BA76" s="52">
        <v>45.0</v>
      </c>
      <c r="BB76" s="52">
        <v>18.0</v>
      </c>
      <c r="BC76" s="52" t="s">
        <v>840</v>
      </c>
      <c r="BD76" s="53"/>
      <c r="BE76" s="53"/>
    </row>
    <row r="77">
      <c r="A77" s="54">
        <v>76.0</v>
      </c>
      <c r="B77" s="54">
        <v>114.0</v>
      </c>
      <c r="C77" s="54" t="s">
        <v>276</v>
      </c>
      <c r="D77" s="54" t="s">
        <v>277</v>
      </c>
      <c r="E77" s="54" t="s">
        <v>278</v>
      </c>
      <c r="F77" s="54">
        <v>35.7</v>
      </c>
      <c r="G77" s="54">
        <v>0.0</v>
      </c>
      <c r="H77" s="54">
        <v>0.0</v>
      </c>
      <c r="I77" s="54" t="s">
        <v>844</v>
      </c>
      <c r="J77" s="54">
        <v>2003.0</v>
      </c>
      <c r="K77" s="54">
        <v>4.0</v>
      </c>
      <c r="L77" s="54">
        <v>4705.0</v>
      </c>
      <c r="M77" s="54">
        <v>1815.0</v>
      </c>
      <c r="N77" s="54">
        <v>1470.0</v>
      </c>
      <c r="O77" s="54">
        <v>2755.0</v>
      </c>
      <c r="P77" s="54">
        <v>1555.0</v>
      </c>
      <c r="Q77" s="54">
        <v>1555.0</v>
      </c>
      <c r="R77" s="54">
        <v>1720.0</v>
      </c>
      <c r="S77" s="54">
        <v>2521.0</v>
      </c>
      <c r="T77" s="54">
        <v>300.0</v>
      </c>
      <c r="U77" s="54">
        <v>220.0</v>
      </c>
      <c r="V77" s="54">
        <v>0.0</v>
      </c>
      <c r="W77" s="54">
        <v>0.0</v>
      </c>
      <c r="X77" s="54">
        <v>0.0</v>
      </c>
      <c r="Y77" s="54">
        <v>6000.0</v>
      </c>
      <c r="Z77" s="54">
        <v>350.0</v>
      </c>
      <c r="AA77" s="54">
        <v>0.0</v>
      </c>
      <c r="AB77" s="54">
        <v>3.9321785E8</v>
      </c>
      <c r="AC77" s="54">
        <v>235.0</v>
      </c>
      <c r="AD77" s="54">
        <v>0.0</v>
      </c>
      <c r="AE77" s="54">
        <v>235.0</v>
      </c>
      <c r="AF77" s="54">
        <v>0.0</v>
      </c>
      <c r="AG77" s="54" t="s">
        <v>845</v>
      </c>
      <c r="AH77" s="54" t="b">
        <v>0</v>
      </c>
      <c r="AI77" s="54" t="b">
        <v>0</v>
      </c>
      <c r="AJ77" s="54">
        <v>0.0</v>
      </c>
      <c r="AK77" s="54" t="s">
        <v>789</v>
      </c>
      <c r="AL77" s="54" t="s">
        <v>765</v>
      </c>
      <c r="AM77" s="54" t="b">
        <v>1</v>
      </c>
      <c r="AN77" s="54" t="b">
        <v>1</v>
      </c>
      <c r="AO77" s="54" t="b">
        <v>0</v>
      </c>
      <c r="AP77" s="54">
        <v>216.0</v>
      </c>
      <c r="AQ77" s="54">
        <v>1.0</v>
      </c>
      <c r="AR77" s="54">
        <v>5.0</v>
      </c>
      <c r="AS77" s="54">
        <v>0.0</v>
      </c>
      <c r="AT77" s="54" t="s">
        <v>737</v>
      </c>
      <c r="AU77" s="54">
        <v>5.0</v>
      </c>
      <c r="AV77" s="54" t="s">
        <v>757</v>
      </c>
      <c r="AW77" s="54" t="s">
        <v>800</v>
      </c>
      <c r="AX77" s="54">
        <v>5.0</v>
      </c>
      <c r="AY77" s="54">
        <v>40.0</v>
      </c>
      <c r="AZ77" s="54">
        <v>18.0</v>
      </c>
      <c r="BA77" s="54">
        <v>40.0</v>
      </c>
      <c r="BB77" s="54">
        <v>18.0</v>
      </c>
      <c r="BC77" s="54" t="s">
        <v>846</v>
      </c>
      <c r="BD77" s="53"/>
      <c r="BE77" s="53"/>
    </row>
    <row r="78">
      <c r="A78" s="52">
        <v>77.0</v>
      </c>
      <c r="B78" s="52">
        <v>117.0</v>
      </c>
      <c r="C78" s="52" t="s">
        <v>279</v>
      </c>
      <c r="D78" s="52" t="s">
        <v>280</v>
      </c>
      <c r="E78" s="52" t="s">
        <v>281</v>
      </c>
      <c r="F78" s="52">
        <v>35.5</v>
      </c>
      <c r="G78" s="52">
        <v>0.0</v>
      </c>
      <c r="H78" s="52">
        <v>0.0</v>
      </c>
      <c r="I78" s="52" t="s">
        <v>773</v>
      </c>
      <c r="J78" s="52">
        <v>2002.0</v>
      </c>
      <c r="K78" s="52">
        <v>4.0</v>
      </c>
      <c r="L78" s="52">
        <v>4255.0</v>
      </c>
      <c r="M78" s="52">
        <v>1895.0</v>
      </c>
      <c r="N78" s="52">
        <v>1845.0</v>
      </c>
      <c r="O78" s="52">
        <v>2545.0</v>
      </c>
      <c r="P78" s="52">
        <v>1560.0</v>
      </c>
      <c r="Q78" s="52">
        <v>1560.0</v>
      </c>
      <c r="R78" s="52">
        <v>1930.0</v>
      </c>
      <c r="S78" s="52">
        <v>3496.0</v>
      </c>
      <c r="T78" s="52">
        <v>220.0</v>
      </c>
      <c r="U78" s="52">
        <v>162.0</v>
      </c>
      <c r="V78" s="52">
        <v>0.0</v>
      </c>
      <c r="W78" s="52">
        <v>0.0</v>
      </c>
      <c r="X78" s="52">
        <v>0.0</v>
      </c>
      <c r="Y78" s="52">
        <v>5500.0</v>
      </c>
      <c r="Z78" s="52">
        <v>348.0</v>
      </c>
      <c r="AA78" s="52">
        <v>0.0</v>
      </c>
      <c r="AB78" s="52">
        <v>3750.0</v>
      </c>
      <c r="AC78" s="52">
        <v>265.0</v>
      </c>
      <c r="AD78" s="52">
        <v>0.0</v>
      </c>
      <c r="AE78" s="52">
        <v>265.0</v>
      </c>
      <c r="AF78" s="52">
        <v>0.0</v>
      </c>
      <c r="AG78" s="52" t="s">
        <v>734</v>
      </c>
      <c r="AH78" s="52" t="b">
        <v>0</v>
      </c>
      <c r="AI78" s="52" t="b">
        <v>0</v>
      </c>
      <c r="AJ78" s="52">
        <v>0.0</v>
      </c>
      <c r="AK78" s="52" t="s">
        <v>735</v>
      </c>
      <c r="AL78" s="52" t="s">
        <v>799</v>
      </c>
      <c r="AM78" s="52" t="b">
        <v>1</v>
      </c>
      <c r="AN78" s="52" t="b">
        <v>1</v>
      </c>
      <c r="AO78" s="52" t="b">
        <v>0</v>
      </c>
      <c r="AP78" s="52">
        <v>216.0</v>
      </c>
      <c r="AQ78" s="52">
        <v>1.0</v>
      </c>
      <c r="AR78" s="52">
        <v>5.0</v>
      </c>
      <c r="AS78" s="52">
        <v>0.0</v>
      </c>
      <c r="AT78" s="52" t="s">
        <v>749</v>
      </c>
      <c r="AU78" s="52">
        <v>6.0</v>
      </c>
      <c r="AV78" s="52" t="s">
        <v>738</v>
      </c>
      <c r="AW78" s="52" t="s">
        <v>800</v>
      </c>
      <c r="AX78" s="52">
        <v>5.0</v>
      </c>
      <c r="AY78" s="52">
        <v>70.0</v>
      </c>
      <c r="AZ78" s="52">
        <v>16.0</v>
      </c>
      <c r="BA78" s="52">
        <v>70.0</v>
      </c>
      <c r="BB78" s="52">
        <v>16.0</v>
      </c>
      <c r="BC78" s="52" t="s">
        <v>847</v>
      </c>
      <c r="BD78" s="53"/>
      <c r="BE78" s="53"/>
    </row>
    <row r="79">
      <c r="A79" s="54">
        <v>78.0</v>
      </c>
      <c r="B79" s="54">
        <v>119.0</v>
      </c>
      <c r="C79" s="54" t="s">
        <v>282</v>
      </c>
      <c r="D79" s="54" t="s">
        <v>283</v>
      </c>
      <c r="E79" s="54" t="s">
        <v>284</v>
      </c>
      <c r="F79" s="54">
        <v>17.4</v>
      </c>
      <c r="G79" s="54">
        <v>0.0</v>
      </c>
      <c r="H79" s="54">
        <v>0.0</v>
      </c>
      <c r="I79" s="54" t="s">
        <v>752</v>
      </c>
      <c r="J79" s="54">
        <v>2002.0</v>
      </c>
      <c r="K79" s="54">
        <v>4.0</v>
      </c>
      <c r="L79" s="54">
        <v>3895.0</v>
      </c>
      <c r="M79" s="54">
        <v>1695.0</v>
      </c>
      <c r="N79" s="54">
        <v>1235.0</v>
      </c>
      <c r="O79" s="54">
        <v>2450.0</v>
      </c>
      <c r="P79" s="54">
        <v>1475.0</v>
      </c>
      <c r="Q79" s="54">
        <v>1460.0</v>
      </c>
      <c r="R79" s="54">
        <v>980.0</v>
      </c>
      <c r="S79" s="54">
        <v>1794.0</v>
      </c>
      <c r="T79" s="54">
        <v>140.0</v>
      </c>
      <c r="U79" s="54">
        <v>103.0</v>
      </c>
      <c r="V79" s="54">
        <v>0.0</v>
      </c>
      <c r="W79" s="54">
        <v>0.0</v>
      </c>
      <c r="X79" s="54">
        <v>0.0</v>
      </c>
      <c r="Y79" s="54">
        <v>6400.0</v>
      </c>
      <c r="Z79" s="54">
        <v>171.0</v>
      </c>
      <c r="AA79" s="54">
        <v>0.0</v>
      </c>
      <c r="AB79" s="54">
        <v>4400.0</v>
      </c>
      <c r="AC79" s="54">
        <v>185.0</v>
      </c>
      <c r="AD79" s="54">
        <v>0.0</v>
      </c>
      <c r="AE79" s="54">
        <v>215.0</v>
      </c>
      <c r="AF79" s="54">
        <v>0.0</v>
      </c>
      <c r="AG79" s="54" t="s">
        <v>734</v>
      </c>
      <c r="AH79" s="54" t="b">
        <v>1</v>
      </c>
      <c r="AI79" s="54" t="b">
        <v>0</v>
      </c>
      <c r="AJ79" s="54">
        <v>0.0</v>
      </c>
      <c r="AK79" s="54" t="s">
        <v>735</v>
      </c>
      <c r="AL79" s="54" t="s">
        <v>754</v>
      </c>
      <c r="AM79" s="54" t="b">
        <v>0</v>
      </c>
      <c r="AN79" s="54" t="b">
        <v>0</v>
      </c>
      <c r="AO79" s="54" t="b">
        <v>0</v>
      </c>
      <c r="AP79" s="54">
        <v>252.0</v>
      </c>
      <c r="AQ79" s="54">
        <v>0.0</v>
      </c>
      <c r="AR79" s="54">
        <v>2.0</v>
      </c>
      <c r="AS79" s="54">
        <v>0.0</v>
      </c>
      <c r="AT79" s="54" t="s">
        <v>737</v>
      </c>
      <c r="AU79" s="54">
        <v>4.0</v>
      </c>
      <c r="AV79" s="54" t="s">
        <v>738</v>
      </c>
      <c r="AW79" s="54" t="s">
        <v>750</v>
      </c>
      <c r="AX79" s="54">
        <v>6.0</v>
      </c>
      <c r="AY79" s="54">
        <v>55.0</v>
      </c>
      <c r="AZ79" s="54">
        <v>15.0</v>
      </c>
      <c r="BA79" s="54">
        <v>45.0</v>
      </c>
      <c r="BB79" s="54">
        <v>16.0</v>
      </c>
      <c r="BC79" s="54" t="s">
        <v>802</v>
      </c>
      <c r="BD79" s="53"/>
      <c r="BE79" s="53"/>
    </row>
    <row r="80">
      <c r="A80" s="52">
        <v>79.0</v>
      </c>
      <c r="B80" s="52">
        <v>120.0</v>
      </c>
      <c r="C80" s="52" t="s">
        <v>285</v>
      </c>
      <c r="D80" s="52" t="s">
        <v>286</v>
      </c>
      <c r="E80" s="52" t="s">
        <v>287</v>
      </c>
      <c r="F80" s="52">
        <v>14.4</v>
      </c>
      <c r="G80" s="52">
        <v>0.0</v>
      </c>
      <c r="H80" s="52">
        <v>0.0</v>
      </c>
      <c r="I80" s="52" t="s">
        <v>752</v>
      </c>
      <c r="J80" s="52">
        <v>2002.0</v>
      </c>
      <c r="K80" s="52">
        <v>2.0</v>
      </c>
      <c r="L80" s="52">
        <v>3880.0</v>
      </c>
      <c r="M80" s="52">
        <v>1690.0</v>
      </c>
      <c r="N80" s="52">
        <v>1700.0</v>
      </c>
      <c r="O80" s="52">
        <v>2500.0</v>
      </c>
      <c r="P80" s="52">
        <v>1440.0</v>
      </c>
      <c r="Q80" s="52">
        <v>1420.0</v>
      </c>
      <c r="R80" s="52">
        <v>1060.0</v>
      </c>
      <c r="S80" s="52">
        <v>1496.0</v>
      </c>
      <c r="T80" s="52">
        <v>109.0</v>
      </c>
      <c r="U80" s="52">
        <v>80.0</v>
      </c>
      <c r="V80" s="52">
        <v>0.0</v>
      </c>
      <c r="W80" s="52">
        <v>0.0</v>
      </c>
      <c r="X80" s="52">
        <v>0.0</v>
      </c>
      <c r="Y80" s="52">
        <v>6000.0</v>
      </c>
      <c r="Z80" s="52">
        <v>141.0</v>
      </c>
      <c r="AA80" s="52">
        <v>0.0</v>
      </c>
      <c r="AB80" s="52">
        <v>4200.0</v>
      </c>
      <c r="AC80" s="52">
        <v>175.0</v>
      </c>
      <c r="AD80" s="52">
        <v>0.0</v>
      </c>
      <c r="AE80" s="52">
        <v>175.0</v>
      </c>
      <c r="AF80" s="52">
        <v>0.0</v>
      </c>
      <c r="AG80" s="52" t="s">
        <v>734</v>
      </c>
      <c r="AH80" s="52" t="b">
        <v>0</v>
      </c>
      <c r="AI80" s="52" t="b">
        <v>0</v>
      </c>
      <c r="AJ80" s="52">
        <v>0.0</v>
      </c>
      <c r="AK80" s="52" t="s">
        <v>742</v>
      </c>
      <c r="AL80" s="52" t="s">
        <v>743</v>
      </c>
      <c r="AM80" s="52" t="b">
        <v>1</v>
      </c>
      <c r="AN80" s="52" t="b">
        <v>1</v>
      </c>
      <c r="AO80" s="52" t="b">
        <v>0</v>
      </c>
      <c r="AP80" s="52">
        <v>252.0</v>
      </c>
      <c r="AQ80" s="52">
        <v>1.0</v>
      </c>
      <c r="AR80" s="52">
        <v>5.0</v>
      </c>
      <c r="AS80" s="52">
        <v>0.0</v>
      </c>
      <c r="AT80" s="52" t="s">
        <v>737</v>
      </c>
      <c r="AU80" s="52">
        <v>4.0</v>
      </c>
      <c r="AV80" s="52" t="s">
        <v>738</v>
      </c>
      <c r="AW80" s="52" t="s">
        <v>744</v>
      </c>
      <c r="AX80" s="52">
        <v>4.0</v>
      </c>
      <c r="AY80" s="52">
        <v>65.0</v>
      </c>
      <c r="AZ80" s="52">
        <v>14.0</v>
      </c>
      <c r="BA80" s="52">
        <v>65.0</v>
      </c>
      <c r="BB80" s="52">
        <v>14.0</v>
      </c>
      <c r="BC80" s="52" t="s">
        <v>753</v>
      </c>
      <c r="BD80" s="53"/>
      <c r="BE80" s="53"/>
    </row>
    <row r="81">
      <c r="A81" s="54">
        <v>80.0</v>
      </c>
      <c r="B81" s="54">
        <v>121.0</v>
      </c>
      <c r="C81" s="54" t="s">
        <v>288</v>
      </c>
      <c r="D81" s="54" t="s">
        <v>289</v>
      </c>
      <c r="E81" s="54" t="s">
        <v>290</v>
      </c>
      <c r="F81" s="54">
        <v>35.7</v>
      </c>
      <c r="G81" s="54">
        <v>0.0</v>
      </c>
      <c r="H81" s="54">
        <v>0.0</v>
      </c>
      <c r="I81" s="54" t="s">
        <v>848</v>
      </c>
      <c r="J81" s="54">
        <v>2002.0</v>
      </c>
      <c r="K81" s="54">
        <v>3.0</v>
      </c>
      <c r="L81" s="54">
        <v>4830.0</v>
      </c>
      <c r="M81" s="54">
        <v>1795.0</v>
      </c>
      <c r="N81" s="54">
        <v>1475.0</v>
      </c>
      <c r="O81" s="54">
        <v>2705.0</v>
      </c>
      <c r="P81" s="54">
        <v>1520.0</v>
      </c>
      <c r="Q81" s="54">
        <v>1520.0</v>
      </c>
      <c r="R81" s="54">
        <v>1560.0</v>
      </c>
      <c r="S81" s="54">
        <v>2290.0</v>
      </c>
      <c r="T81" s="54">
        <v>250.0</v>
      </c>
      <c r="U81" s="54">
        <v>184.0</v>
      </c>
      <c r="V81" s="54">
        <v>0.0</v>
      </c>
      <c r="W81" s="54">
        <v>0.0</v>
      </c>
      <c r="X81" s="54">
        <v>0.0</v>
      </c>
      <c r="Y81" s="54">
        <v>5300.0</v>
      </c>
      <c r="Z81" s="54">
        <v>350.0</v>
      </c>
      <c r="AA81" s="54">
        <v>0.0</v>
      </c>
      <c r="AB81" s="54">
        <v>1900.0</v>
      </c>
      <c r="AC81" s="54">
        <v>225.0</v>
      </c>
      <c r="AD81" s="54">
        <v>0.0</v>
      </c>
      <c r="AE81" s="54">
        <v>225.0</v>
      </c>
      <c r="AF81" s="54">
        <v>0.0</v>
      </c>
      <c r="AG81" s="54" t="s">
        <v>845</v>
      </c>
      <c r="AH81" s="54" t="b">
        <v>0</v>
      </c>
      <c r="AI81" s="54" t="b">
        <v>0</v>
      </c>
      <c r="AJ81" s="54">
        <v>0.0</v>
      </c>
      <c r="AK81" s="54" t="s">
        <v>789</v>
      </c>
      <c r="AL81" s="54" t="s">
        <v>765</v>
      </c>
      <c r="AM81" s="54" t="b">
        <v>1</v>
      </c>
      <c r="AN81" s="54" t="b">
        <v>1</v>
      </c>
      <c r="AO81" s="54" t="b">
        <v>0</v>
      </c>
      <c r="AP81" s="54">
        <v>216.0</v>
      </c>
      <c r="AQ81" s="54">
        <v>0.0</v>
      </c>
      <c r="AR81" s="54">
        <v>5.0</v>
      </c>
      <c r="AS81" s="54">
        <v>0.0</v>
      </c>
      <c r="AT81" s="54" t="s">
        <v>737</v>
      </c>
      <c r="AU81" s="54">
        <v>4.0</v>
      </c>
      <c r="AV81" s="54" t="s">
        <v>757</v>
      </c>
      <c r="AW81" s="54" t="s">
        <v>744</v>
      </c>
      <c r="AX81" s="54">
        <v>5.0</v>
      </c>
      <c r="AY81" s="54">
        <v>45.0</v>
      </c>
      <c r="AZ81" s="54">
        <v>17.0</v>
      </c>
      <c r="BA81" s="54">
        <v>45.0</v>
      </c>
      <c r="BB81" s="54">
        <v>17.0</v>
      </c>
      <c r="BC81" s="54" t="s">
        <v>849</v>
      </c>
      <c r="BD81" s="53"/>
      <c r="BE81" s="53"/>
    </row>
    <row r="82">
      <c r="A82" s="52">
        <v>81.0</v>
      </c>
      <c r="B82" s="52">
        <v>122.0</v>
      </c>
      <c r="C82" s="52" t="s">
        <v>291</v>
      </c>
      <c r="D82" s="52" t="s">
        <v>292</v>
      </c>
      <c r="E82" s="52" t="s">
        <v>293</v>
      </c>
      <c r="F82" s="52">
        <v>40.8</v>
      </c>
      <c r="G82" s="52">
        <v>0.0</v>
      </c>
      <c r="H82" s="52">
        <v>0.0</v>
      </c>
      <c r="I82" s="52" t="s">
        <v>850</v>
      </c>
      <c r="J82" s="52">
        <v>2002.0</v>
      </c>
      <c r="K82" s="52">
        <v>5.0</v>
      </c>
      <c r="L82" s="52">
        <v>4995.0</v>
      </c>
      <c r="M82" s="52">
        <v>1905.0</v>
      </c>
      <c r="N82" s="52">
        <v>1420.0</v>
      </c>
      <c r="O82" s="52">
        <v>2850.0</v>
      </c>
      <c r="P82" s="52">
        <v>1595.0</v>
      </c>
      <c r="Q82" s="52">
        <v>1580.0</v>
      </c>
      <c r="R82" s="52">
        <v>1810.0</v>
      </c>
      <c r="S82" s="52">
        <v>4564.0</v>
      </c>
      <c r="T82" s="52">
        <v>304.0</v>
      </c>
      <c r="U82" s="52">
        <v>224.0</v>
      </c>
      <c r="V82" s="52">
        <v>0.0</v>
      </c>
      <c r="W82" s="52">
        <v>0.0</v>
      </c>
      <c r="X82" s="52">
        <v>0.0</v>
      </c>
      <c r="Y82" s="52">
        <v>6000.0</v>
      </c>
      <c r="Z82" s="52">
        <v>400.0</v>
      </c>
      <c r="AA82" s="52">
        <v>0.0</v>
      </c>
      <c r="AB82" s="52">
        <v>4400.0</v>
      </c>
      <c r="AC82" s="52">
        <v>235.0</v>
      </c>
      <c r="AD82" s="52">
        <v>0.0</v>
      </c>
      <c r="AE82" s="52">
        <v>235.0</v>
      </c>
      <c r="AF82" s="52">
        <v>0.0</v>
      </c>
      <c r="AG82" s="52" t="s">
        <v>781</v>
      </c>
      <c r="AH82" s="52" t="b">
        <v>0</v>
      </c>
      <c r="AI82" s="52" t="b">
        <v>0</v>
      </c>
      <c r="AJ82" s="52">
        <v>0.0</v>
      </c>
      <c r="AK82" s="52" t="s">
        <v>735</v>
      </c>
      <c r="AL82" s="52" t="s">
        <v>794</v>
      </c>
      <c r="AM82" s="52" t="b">
        <v>1</v>
      </c>
      <c r="AN82" s="52" t="b">
        <v>0</v>
      </c>
      <c r="AO82" s="52" t="b">
        <v>0</v>
      </c>
      <c r="AP82" s="52">
        <v>216.0</v>
      </c>
      <c r="AQ82" s="52">
        <v>1.0</v>
      </c>
      <c r="AR82" s="52">
        <v>5.0</v>
      </c>
      <c r="AS82" s="52">
        <v>0.0</v>
      </c>
      <c r="AT82" s="52" t="s">
        <v>749</v>
      </c>
      <c r="AU82" s="52">
        <v>8.0</v>
      </c>
      <c r="AV82" s="52" t="s">
        <v>738</v>
      </c>
      <c r="AW82" s="52" t="s">
        <v>744</v>
      </c>
      <c r="AX82" s="52">
        <v>4.0</v>
      </c>
      <c r="AY82" s="52">
        <v>55.0</v>
      </c>
      <c r="AZ82" s="52">
        <v>17.0</v>
      </c>
      <c r="BA82" s="52">
        <v>55.0</v>
      </c>
      <c r="BB82" s="52">
        <v>17.0</v>
      </c>
      <c r="BC82" s="52" t="s">
        <v>851</v>
      </c>
      <c r="BD82" s="53"/>
      <c r="BE82" s="53"/>
    </row>
    <row r="83">
      <c r="A83" s="54">
        <v>82.0</v>
      </c>
      <c r="B83" s="54">
        <v>123.0</v>
      </c>
      <c r="C83" s="54" t="s">
        <v>294</v>
      </c>
      <c r="D83" s="54" t="s">
        <v>295</v>
      </c>
      <c r="E83" s="54" t="s">
        <v>296</v>
      </c>
      <c r="F83" s="54">
        <v>18.4</v>
      </c>
      <c r="G83" s="54">
        <v>0.0</v>
      </c>
      <c r="H83" s="54">
        <v>0.0</v>
      </c>
      <c r="I83" s="54" t="s">
        <v>752</v>
      </c>
      <c r="J83" s="54">
        <v>2002.0</v>
      </c>
      <c r="K83" s="54">
        <v>3.0</v>
      </c>
      <c r="L83" s="54">
        <v>4365.0</v>
      </c>
      <c r="M83" s="54">
        <v>1775.0</v>
      </c>
      <c r="N83" s="54">
        <v>1605.0</v>
      </c>
      <c r="O83" s="54">
        <v>2600.0</v>
      </c>
      <c r="P83" s="54">
        <v>1505.0</v>
      </c>
      <c r="Q83" s="54">
        <v>1485.0</v>
      </c>
      <c r="R83" s="54">
        <v>1270.0</v>
      </c>
      <c r="S83" s="54">
        <v>1795.0</v>
      </c>
      <c r="T83" s="54">
        <v>190.0</v>
      </c>
      <c r="U83" s="54">
        <v>140.0</v>
      </c>
      <c r="V83" s="54">
        <v>0.0</v>
      </c>
      <c r="W83" s="54">
        <v>0.0</v>
      </c>
      <c r="X83" s="54">
        <v>0.0</v>
      </c>
      <c r="Y83" s="54">
        <v>7600.0</v>
      </c>
      <c r="Z83" s="54">
        <v>180.0</v>
      </c>
      <c r="AA83" s="54">
        <v>0.0</v>
      </c>
      <c r="AB83" s="54">
        <v>6800.0</v>
      </c>
      <c r="AC83" s="54">
        <v>215.0</v>
      </c>
      <c r="AD83" s="54">
        <v>0.0</v>
      </c>
      <c r="AE83" s="54">
        <v>215.0</v>
      </c>
      <c r="AF83" s="54">
        <v>0.0</v>
      </c>
      <c r="AG83" s="54" t="s">
        <v>734</v>
      </c>
      <c r="AH83" s="54" t="b">
        <v>0</v>
      </c>
      <c r="AI83" s="54" t="b">
        <v>0</v>
      </c>
      <c r="AJ83" s="54">
        <v>0.0</v>
      </c>
      <c r="AK83" s="54" t="s">
        <v>735</v>
      </c>
      <c r="AL83" s="54" t="s">
        <v>743</v>
      </c>
      <c r="AM83" s="54" t="b">
        <v>0</v>
      </c>
      <c r="AN83" s="54" t="b">
        <v>0</v>
      </c>
      <c r="AO83" s="54" t="b">
        <v>0</v>
      </c>
      <c r="AP83" s="54">
        <v>216.0</v>
      </c>
      <c r="AQ83" s="54">
        <v>0.0</v>
      </c>
      <c r="AR83" s="54">
        <v>5.0</v>
      </c>
      <c r="AS83" s="54">
        <v>0.0</v>
      </c>
      <c r="AT83" s="54" t="s">
        <v>737</v>
      </c>
      <c r="AU83" s="54">
        <v>4.0</v>
      </c>
      <c r="AV83" s="54" t="s">
        <v>738</v>
      </c>
      <c r="AW83" s="54" t="s">
        <v>744</v>
      </c>
      <c r="AX83" s="54">
        <v>6.0</v>
      </c>
      <c r="AY83" s="54">
        <v>50.0</v>
      </c>
      <c r="AZ83" s="54">
        <v>17.0</v>
      </c>
      <c r="BA83" s="54">
        <v>50.0</v>
      </c>
      <c r="BB83" s="54">
        <v>17.0</v>
      </c>
      <c r="BC83" s="54" t="s">
        <v>852</v>
      </c>
      <c r="BD83" s="53"/>
      <c r="BE83" s="53"/>
    </row>
    <row r="84">
      <c r="A84" s="52">
        <v>83.0</v>
      </c>
      <c r="B84" s="52">
        <v>124.0</v>
      </c>
      <c r="C84" s="52" t="s">
        <v>297</v>
      </c>
      <c r="D84" s="52" t="s">
        <v>298</v>
      </c>
      <c r="E84" s="52" t="s">
        <v>299</v>
      </c>
      <c r="F84" s="52">
        <v>34.6</v>
      </c>
      <c r="G84" s="52">
        <v>0.0</v>
      </c>
      <c r="H84" s="52">
        <v>0.0</v>
      </c>
      <c r="I84" s="52" t="s">
        <v>780</v>
      </c>
      <c r="J84" s="52">
        <v>2002.0</v>
      </c>
      <c r="K84" s="52">
        <v>4.0</v>
      </c>
      <c r="L84" s="52">
        <v>4805.0</v>
      </c>
      <c r="M84" s="52">
        <v>1960.0</v>
      </c>
      <c r="N84" s="52">
        <v>1930.0</v>
      </c>
      <c r="O84" s="52">
        <v>2820.0</v>
      </c>
      <c r="P84" s="52">
        <v>1655.0</v>
      </c>
      <c r="Q84" s="52">
        <v>1655.0</v>
      </c>
      <c r="R84" s="52">
        <v>2140.0</v>
      </c>
      <c r="S84" s="52">
        <v>4295.0</v>
      </c>
      <c r="T84" s="52">
        <v>193.0</v>
      </c>
      <c r="U84" s="52">
        <v>142.0</v>
      </c>
      <c r="V84" s="52">
        <v>0.0</v>
      </c>
      <c r="W84" s="52">
        <v>0.0</v>
      </c>
      <c r="X84" s="52">
        <v>0.0</v>
      </c>
      <c r="Y84" s="52">
        <v>4400.0</v>
      </c>
      <c r="Z84" s="52">
        <v>339.0</v>
      </c>
      <c r="AA84" s="52">
        <v>0.0</v>
      </c>
      <c r="AB84" s="52">
        <v>2800.0</v>
      </c>
      <c r="AC84" s="52">
        <v>215.0</v>
      </c>
      <c r="AD84" s="52">
        <v>0.0</v>
      </c>
      <c r="AE84" s="52">
        <v>215.0</v>
      </c>
      <c r="AF84" s="52">
        <v>0.0</v>
      </c>
      <c r="AG84" s="52" t="s">
        <v>781</v>
      </c>
      <c r="AH84" s="52" t="b">
        <v>0</v>
      </c>
      <c r="AI84" s="52" t="b">
        <v>0</v>
      </c>
      <c r="AJ84" s="52">
        <v>0.0</v>
      </c>
      <c r="AK84" s="52" t="s">
        <v>735</v>
      </c>
      <c r="AL84" s="52" t="s">
        <v>799</v>
      </c>
      <c r="AM84" s="52" t="b">
        <v>0</v>
      </c>
      <c r="AN84" s="52" t="b">
        <v>0</v>
      </c>
      <c r="AO84" s="52" t="b">
        <v>0</v>
      </c>
      <c r="AP84" s="52">
        <v>252.0</v>
      </c>
      <c r="AQ84" s="52">
        <v>1.0</v>
      </c>
      <c r="AR84" s="52">
        <v>7.0</v>
      </c>
      <c r="AS84" s="52">
        <v>0.0</v>
      </c>
      <c r="AT84" s="52" t="s">
        <v>749</v>
      </c>
      <c r="AU84" s="52">
        <v>6.0</v>
      </c>
      <c r="AV84" s="52" t="s">
        <v>738</v>
      </c>
      <c r="AW84" s="52" t="s">
        <v>800</v>
      </c>
      <c r="AX84" s="52">
        <v>4.0</v>
      </c>
      <c r="AY84" s="52">
        <v>70.0</v>
      </c>
      <c r="AZ84" s="52">
        <v>16.0</v>
      </c>
      <c r="BA84" s="52">
        <v>70.0</v>
      </c>
      <c r="BB84" s="52">
        <v>16.0</v>
      </c>
      <c r="BC84" s="52" t="s">
        <v>853</v>
      </c>
      <c r="BD84" s="53"/>
      <c r="BE84" s="53"/>
    </row>
    <row r="85">
      <c r="A85" s="54">
        <v>84.0</v>
      </c>
      <c r="B85" s="54">
        <v>126.0</v>
      </c>
      <c r="C85" s="54" t="s">
        <v>300</v>
      </c>
      <c r="D85" s="54" t="s">
        <v>301</v>
      </c>
      <c r="E85" s="54" t="s">
        <v>302</v>
      </c>
      <c r="F85" s="54">
        <v>19.2</v>
      </c>
      <c r="G85" s="54">
        <v>0.0</v>
      </c>
      <c r="H85" s="54">
        <v>0.0</v>
      </c>
      <c r="I85" s="54" t="s">
        <v>854</v>
      </c>
      <c r="J85" s="54">
        <v>2002.0</v>
      </c>
      <c r="K85" s="54">
        <v>3.0</v>
      </c>
      <c r="L85" s="54">
        <v>4330.0</v>
      </c>
      <c r="M85" s="54">
        <v>1750.0</v>
      </c>
      <c r="N85" s="54">
        <v>1600.0</v>
      </c>
      <c r="O85" s="54">
        <v>2615.0</v>
      </c>
      <c r="P85" s="54">
        <v>1480.0</v>
      </c>
      <c r="Q85" s="54">
        <v>1480.0</v>
      </c>
      <c r="R85" s="54">
        <v>1460.0</v>
      </c>
      <c r="S85" s="54">
        <v>1996.0</v>
      </c>
      <c r="T85" s="54">
        <v>141.0</v>
      </c>
      <c r="U85" s="54">
        <v>104.0</v>
      </c>
      <c r="V85" s="54">
        <v>0.0</v>
      </c>
      <c r="W85" s="54">
        <v>0.0</v>
      </c>
      <c r="X85" s="54">
        <v>0.0</v>
      </c>
      <c r="Y85" s="54">
        <v>5700.0</v>
      </c>
      <c r="Z85" s="54">
        <v>188.0</v>
      </c>
      <c r="AA85" s="54">
        <v>0.0</v>
      </c>
      <c r="AB85" s="54">
        <v>4150.0</v>
      </c>
      <c r="AC85" s="54">
        <v>205.0</v>
      </c>
      <c r="AD85" s="54">
        <v>0.0</v>
      </c>
      <c r="AE85" s="54">
        <v>205.0</v>
      </c>
      <c r="AF85" s="54">
        <v>0.0</v>
      </c>
      <c r="AG85" s="54" t="s">
        <v>781</v>
      </c>
      <c r="AH85" s="54" t="b">
        <v>0</v>
      </c>
      <c r="AI85" s="54" t="b">
        <v>0</v>
      </c>
      <c r="AJ85" s="54">
        <v>0.0</v>
      </c>
      <c r="AK85" s="54" t="s">
        <v>742</v>
      </c>
      <c r="AL85" s="54" t="s">
        <v>771</v>
      </c>
      <c r="AM85" s="54" t="b">
        <v>1</v>
      </c>
      <c r="AN85" s="54" t="b">
        <v>0</v>
      </c>
      <c r="AO85" s="54" t="b">
        <v>0</v>
      </c>
      <c r="AP85" s="54">
        <v>252.0</v>
      </c>
      <c r="AQ85" s="54">
        <v>1.0</v>
      </c>
      <c r="AR85" s="54">
        <v>5.0</v>
      </c>
      <c r="AS85" s="54">
        <v>0.0</v>
      </c>
      <c r="AT85" s="54" t="s">
        <v>737</v>
      </c>
      <c r="AU85" s="54">
        <v>4.0</v>
      </c>
      <c r="AV85" s="54" t="s">
        <v>738</v>
      </c>
      <c r="AW85" s="54" t="s">
        <v>744</v>
      </c>
      <c r="AX85" s="54">
        <v>4.0</v>
      </c>
      <c r="AY85" s="54">
        <v>55.0</v>
      </c>
      <c r="AZ85" s="54">
        <v>16.0</v>
      </c>
      <c r="BA85" s="54">
        <v>55.0</v>
      </c>
      <c r="BB85" s="54">
        <v>16.0</v>
      </c>
      <c r="BC85" s="54" t="s">
        <v>855</v>
      </c>
      <c r="BD85" s="53"/>
      <c r="BE85" s="53"/>
    </row>
    <row r="86">
      <c r="A86" s="52">
        <v>85.0</v>
      </c>
      <c r="B86" s="52">
        <v>127.0</v>
      </c>
      <c r="C86" s="52" t="s">
        <v>303</v>
      </c>
      <c r="D86" s="52" t="s">
        <v>304</v>
      </c>
      <c r="E86" s="52" t="s">
        <v>305</v>
      </c>
      <c r="F86" s="52">
        <v>67.7</v>
      </c>
      <c r="G86" s="52">
        <v>0.0</v>
      </c>
      <c r="H86" s="52">
        <v>0.0</v>
      </c>
      <c r="I86" s="52" t="s">
        <v>856</v>
      </c>
      <c r="J86" s="52">
        <v>1996.0</v>
      </c>
      <c r="K86" s="52">
        <v>7.0</v>
      </c>
      <c r="L86" s="52">
        <v>4490.0</v>
      </c>
      <c r="M86" s="52">
        <v>1980.0</v>
      </c>
      <c r="N86" s="52">
        <v>1190.0</v>
      </c>
      <c r="O86" s="52">
        <v>2443.0</v>
      </c>
      <c r="P86" s="52">
        <v>1515.0</v>
      </c>
      <c r="Q86" s="52">
        <v>1540.0</v>
      </c>
      <c r="R86" s="52">
        <v>1590.0</v>
      </c>
      <c r="S86" s="52">
        <v>7993.0</v>
      </c>
      <c r="T86" s="52">
        <v>450.0</v>
      </c>
      <c r="U86" s="52">
        <v>331.0</v>
      </c>
      <c r="V86" s="52">
        <v>0.0</v>
      </c>
      <c r="W86" s="52">
        <v>450.0</v>
      </c>
      <c r="X86" s="52">
        <v>0.0</v>
      </c>
      <c r="Y86" s="52">
        <v>5200.0</v>
      </c>
      <c r="Z86" s="52">
        <v>664.0</v>
      </c>
      <c r="AA86" s="52">
        <v>490.0</v>
      </c>
      <c r="AB86" s="52">
        <v>3700.0</v>
      </c>
      <c r="AC86" s="52">
        <v>275.0</v>
      </c>
      <c r="AD86" s="52">
        <v>0.0</v>
      </c>
      <c r="AE86" s="52">
        <v>335.0</v>
      </c>
      <c r="AF86" s="52">
        <v>0.0</v>
      </c>
      <c r="AG86" s="52" t="s">
        <v>781</v>
      </c>
      <c r="AH86" s="52" t="b">
        <v>0</v>
      </c>
      <c r="AI86" s="52" t="b">
        <v>0</v>
      </c>
      <c r="AJ86" s="52">
        <v>0.0</v>
      </c>
      <c r="AK86" s="52" t="s">
        <v>748</v>
      </c>
      <c r="AL86" s="52" t="s">
        <v>736</v>
      </c>
      <c r="AM86" s="52" t="b">
        <v>0</v>
      </c>
      <c r="AN86" s="52" t="b">
        <v>0</v>
      </c>
      <c r="AO86" s="52" t="b">
        <v>0</v>
      </c>
      <c r="AP86" s="52">
        <v>144.0</v>
      </c>
      <c r="AQ86" s="52">
        <v>0.0</v>
      </c>
      <c r="AR86" s="52">
        <v>2.0</v>
      </c>
      <c r="AS86" s="52">
        <v>0.0</v>
      </c>
      <c r="AT86" s="52" t="s">
        <v>749</v>
      </c>
      <c r="AU86" s="52">
        <v>10.0</v>
      </c>
      <c r="AV86" s="52" t="s">
        <v>738</v>
      </c>
      <c r="AW86" s="52" t="s">
        <v>739</v>
      </c>
      <c r="AX86" s="52">
        <v>6.0</v>
      </c>
      <c r="AY86" s="52">
        <v>35.0</v>
      </c>
      <c r="AZ86" s="52">
        <v>18.0</v>
      </c>
      <c r="BA86" s="52">
        <v>30.0</v>
      </c>
      <c r="BB86" s="52">
        <v>18.0</v>
      </c>
      <c r="BC86" s="52" t="s">
        <v>763</v>
      </c>
      <c r="BD86" s="53"/>
      <c r="BE86" s="53"/>
    </row>
    <row r="87">
      <c r="A87" s="54">
        <v>86.0</v>
      </c>
      <c r="B87" s="54">
        <v>129.0</v>
      </c>
      <c r="C87" s="54" t="s">
        <v>306</v>
      </c>
      <c r="D87" s="54" t="s">
        <v>307</v>
      </c>
      <c r="E87" s="54" t="s">
        <v>308</v>
      </c>
      <c r="F87" s="54">
        <v>6.1</v>
      </c>
      <c r="G87" s="54">
        <v>0.0</v>
      </c>
      <c r="H87" s="54">
        <v>0.0</v>
      </c>
      <c r="I87" s="54" t="s">
        <v>747</v>
      </c>
      <c r="J87" s="54">
        <v>1991.0</v>
      </c>
      <c r="K87" s="54">
        <v>2.0</v>
      </c>
      <c r="L87" s="54">
        <v>3295.0</v>
      </c>
      <c r="M87" s="54">
        <v>1395.0</v>
      </c>
      <c r="N87" s="54">
        <v>1175.0</v>
      </c>
      <c r="O87" s="54">
        <v>2280.0</v>
      </c>
      <c r="P87" s="54">
        <v>1210.0</v>
      </c>
      <c r="Q87" s="54">
        <v>1210.0</v>
      </c>
      <c r="R87" s="54">
        <v>760.0</v>
      </c>
      <c r="S87" s="54">
        <v>656.0</v>
      </c>
      <c r="T87" s="54">
        <v>64.0</v>
      </c>
      <c r="U87" s="54">
        <v>47.0</v>
      </c>
      <c r="V87" s="54">
        <v>0.0</v>
      </c>
      <c r="W87" s="54">
        <v>0.0</v>
      </c>
      <c r="X87" s="54">
        <v>0.0</v>
      </c>
      <c r="Y87" s="54">
        <v>8100.0</v>
      </c>
      <c r="Z87" s="54">
        <v>60.0</v>
      </c>
      <c r="AA87" s="54">
        <v>0.0</v>
      </c>
      <c r="AB87" s="54">
        <v>7000.0</v>
      </c>
      <c r="AC87" s="54">
        <v>155.0</v>
      </c>
      <c r="AD87" s="54">
        <v>0.0</v>
      </c>
      <c r="AE87" s="54">
        <v>165.0</v>
      </c>
      <c r="AF87" s="54">
        <v>0.0</v>
      </c>
      <c r="AG87" s="54" t="s">
        <v>734</v>
      </c>
      <c r="AH87" s="54" t="b">
        <v>1</v>
      </c>
      <c r="AI87" s="54" t="b">
        <v>0</v>
      </c>
      <c r="AJ87" s="54">
        <v>0.0</v>
      </c>
      <c r="AK87" s="54" t="s">
        <v>742</v>
      </c>
      <c r="AL87" s="54" t="s">
        <v>754</v>
      </c>
      <c r="AM87" s="54" t="b">
        <v>0</v>
      </c>
      <c r="AN87" s="54" t="b">
        <v>0</v>
      </c>
      <c r="AO87" s="54" t="b">
        <v>0</v>
      </c>
      <c r="AP87" s="54">
        <v>252.0</v>
      </c>
      <c r="AQ87" s="54">
        <v>0.0</v>
      </c>
      <c r="AR87" s="54">
        <v>2.0</v>
      </c>
      <c r="AS87" s="54">
        <v>0.0</v>
      </c>
      <c r="AT87" s="54" t="s">
        <v>737</v>
      </c>
      <c r="AU87" s="54">
        <v>3.0</v>
      </c>
      <c r="AV87" s="54" t="s">
        <v>738</v>
      </c>
      <c r="AW87" s="54" t="s">
        <v>750</v>
      </c>
      <c r="AX87" s="54">
        <v>5.0</v>
      </c>
      <c r="AY87" s="54">
        <v>65.0</v>
      </c>
      <c r="AZ87" s="54">
        <v>13.0</v>
      </c>
      <c r="BA87" s="54">
        <v>60.0</v>
      </c>
      <c r="BB87" s="54">
        <v>14.0</v>
      </c>
      <c r="BC87" s="54" t="s">
        <v>857</v>
      </c>
      <c r="BD87" s="53"/>
      <c r="BE87" s="53"/>
    </row>
    <row r="88">
      <c r="A88" s="52">
        <v>87.0</v>
      </c>
      <c r="B88" s="52">
        <v>130.0</v>
      </c>
      <c r="C88" s="52" t="s">
        <v>309</v>
      </c>
      <c r="D88" s="52" t="s">
        <v>310</v>
      </c>
      <c r="E88" s="52" t="s">
        <v>311</v>
      </c>
      <c r="F88" s="52">
        <v>11.2</v>
      </c>
      <c r="G88" s="52">
        <v>0.0</v>
      </c>
      <c r="H88" s="52">
        <v>0.0</v>
      </c>
      <c r="I88" s="52" t="s">
        <v>813</v>
      </c>
      <c r="J88" s="52">
        <v>2002.0</v>
      </c>
      <c r="K88" s="52">
        <v>2.0</v>
      </c>
      <c r="L88" s="52">
        <v>3395.0</v>
      </c>
      <c r="M88" s="52">
        <v>1475.0</v>
      </c>
      <c r="N88" s="52">
        <v>1245.0</v>
      </c>
      <c r="O88" s="52">
        <v>2230.0</v>
      </c>
      <c r="P88" s="52">
        <v>1300.0</v>
      </c>
      <c r="Q88" s="52">
        <v>1290.0</v>
      </c>
      <c r="R88" s="52">
        <v>830.0</v>
      </c>
      <c r="S88" s="52">
        <v>659.0</v>
      </c>
      <c r="T88" s="52">
        <v>64.0</v>
      </c>
      <c r="U88" s="52">
        <v>47.0</v>
      </c>
      <c r="V88" s="52">
        <v>0.0</v>
      </c>
      <c r="W88" s="52">
        <v>0.0</v>
      </c>
      <c r="X88" s="52">
        <v>0.0</v>
      </c>
      <c r="Y88" s="52">
        <v>6000.0</v>
      </c>
      <c r="Z88" s="52">
        <v>110.0</v>
      </c>
      <c r="AA88" s="52">
        <v>0.0</v>
      </c>
      <c r="AB88" s="52">
        <v>3200.0</v>
      </c>
      <c r="AC88" s="52">
        <v>165.0</v>
      </c>
      <c r="AD88" s="52">
        <v>0.0</v>
      </c>
      <c r="AE88" s="52">
        <v>165.0</v>
      </c>
      <c r="AF88" s="52">
        <v>0.0</v>
      </c>
      <c r="AG88" s="52" t="s">
        <v>734</v>
      </c>
      <c r="AH88" s="52" t="b">
        <v>1</v>
      </c>
      <c r="AI88" s="52" t="b">
        <v>0</v>
      </c>
      <c r="AJ88" s="52">
        <v>0.0</v>
      </c>
      <c r="AK88" s="52" t="s">
        <v>742</v>
      </c>
      <c r="AL88" s="52" t="s">
        <v>743</v>
      </c>
      <c r="AM88" s="52" t="b">
        <v>0</v>
      </c>
      <c r="AN88" s="52" t="b">
        <v>0</v>
      </c>
      <c r="AO88" s="52" t="b">
        <v>0</v>
      </c>
      <c r="AP88" s="52">
        <v>252.0</v>
      </c>
      <c r="AQ88" s="52">
        <v>0.0</v>
      </c>
      <c r="AR88" s="52">
        <v>2.0</v>
      </c>
      <c r="AS88" s="52">
        <v>0.0</v>
      </c>
      <c r="AT88" s="52" t="s">
        <v>737</v>
      </c>
      <c r="AU88" s="52">
        <v>4.0</v>
      </c>
      <c r="AV88" s="52" t="s">
        <v>757</v>
      </c>
      <c r="AW88" s="52" t="s">
        <v>744</v>
      </c>
      <c r="AX88" s="52">
        <v>5.0</v>
      </c>
      <c r="AY88" s="52">
        <v>50.0</v>
      </c>
      <c r="AZ88" s="52">
        <v>15.0</v>
      </c>
      <c r="BA88" s="52">
        <v>50.0</v>
      </c>
      <c r="BB88" s="52">
        <v>15.0</v>
      </c>
      <c r="BC88" s="52" t="s">
        <v>858</v>
      </c>
      <c r="BD88" s="53"/>
      <c r="BE88" s="53"/>
    </row>
    <row r="89">
      <c r="A89" s="54">
        <v>88.0</v>
      </c>
      <c r="B89" s="54">
        <v>132.0</v>
      </c>
      <c r="C89" s="54" t="s">
        <v>312</v>
      </c>
      <c r="D89" s="54" t="s">
        <v>313</v>
      </c>
      <c r="E89" s="54" t="s">
        <v>314</v>
      </c>
      <c r="F89" s="54">
        <v>20.4</v>
      </c>
      <c r="G89" s="54">
        <v>0.0</v>
      </c>
      <c r="H89" s="54">
        <v>0.0</v>
      </c>
      <c r="I89" s="54" t="s">
        <v>791</v>
      </c>
      <c r="J89" s="54">
        <v>2002.0</v>
      </c>
      <c r="K89" s="54">
        <v>3.0</v>
      </c>
      <c r="L89" s="54">
        <v>3810.0</v>
      </c>
      <c r="M89" s="54">
        <v>1670.0</v>
      </c>
      <c r="N89" s="54">
        <v>1410.0</v>
      </c>
      <c r="O89" s="54">
        <v>2475.0</v>
      </c>
      <c r="P89" s="54">
        <v>1420.0</v>
      </c>
      <c r="Q89" s="54">
        <v>1395.0</v>
      </c>
      <c r="R89" s="54">
        <v>1100.0</v>
      </c>
      <c r="S89" s="54">
        <v>1998.0</v>
      </c>
      <c r="T89" s="54">
        <v>169.0</v>
      </c>
      <c r="U89" s="54">
        <v>124.0</v>
      </c>
      <c r="V89" s="54">
        <v>0.0</v>
      </c>
      <c r="W89" s="54">
        <v>0.0</v>
      </c>
      <c r="X89" s="54">
        <v>0.0</v>
      </c>
      <c r="Y89" s="54">
        <v>6250.0</v>
      </c>
      <c r="Z89" s="54">
        <v>200.0</v>
      </c>
      <c r="AA89" s="54">
        <v>0.0</v>
      </c>
      <c r="AB89" s="54">
        <v>5400.0</v>
      </c>
      <c r="AC89" s="54">
        <v>195.0</v>
      </c>
      <c r="AD89" s="54">
        <v>0.0</v>
      </c>
      <c r="AE89" s="54">
        <v>195.0</v>
      </c>
      <c r="AF89" s="54">
        <v>0.0</v>
      </c>
      <c r="AG89" s="54" t="s">
        <v>792</v>
      </c>
      <c r="AH89" s="54" t="b">
        <v>0</v>
      </c>
      <c r="AI89" s="54" t="b">
        <v>0</v>
      </c>
      <c r="AJ89" s="54">
        <v>0.0</v>
      </c>
      <c r="AK89" s="54" t="s">
        <v>789</v>
      </c>
      <c r="AL89" s="54" t="s">
        <v>754</v>
      </c>
      <c r="AM89" s="54" t="b">
        <v>0</v>
      </c>
      <c r="AN89" s="54" t="b">
        <v>0</v>
      </c>
      <c r="AO89" s="54" t="b">
        <v>0</v>
      </c>
      <c r="AP89" s="54">
        <v>180.0</v>
      </c>
      <c r="AQ89" s="54">
        <v>0.0</v>
      </c>
      <c r="AR89" s="54">
        <v>5.0</v>
      </c>
      <c r="AS89" s="54">
        <v>0.0</v>
      </c>
      <c r="AT89" s="54" t="s">
        <v>737</v>
      </c>
      <c r="AU89" s="54">
        <v>4.0</v>
      </c>
      <c r="AV89" s="54" t="s">
        <v>738</v>
      </c>
      <c r="AW89" s="54" t="s">
        <v>744</v>
      </c>
      <c r="AX89" s="54">
        <v>5.0</v>
      </c>
      <c r="AY89" s="54">
        <v>45.0</v>
      </c>
      <c r="AZ89" s="54">
        <v>16.0</v>
      </c>
      <c r="BA89" s="54">
        <v>45.0</v>
      </c>
      <c r="BB89" s="54">
        <v>16.0</v>
      </c>
      <c r="BC89" s="54" t="s">
        <v>859</v>
      </c>
      <c r="BD89" s="53"/>
      <c r="BE89" s="53"/>
    </row>
    <row r="90">
      <c r="A90" s="52">
        <v>89.0</v>
      </c>
      <c r="B90" s="52">
        <v>133.0</v>
      </c>
      <c r="C90" s="52" t="s">
        <v>315</v>
      </c>
      <c r="D90" s="52" t="s">
        <v>316</v>
      </c>
      <c r="E90" s="52" t="s">
        <v>317</v>
      </c>
      <c r="F90" s="52">
        <v>51.8</v>
      </c>
      <c r="G90" s="52">
        <v>0.0</v>
      </c>
      <c r="H90" s="52">
        <v>0.0</v>
      </c>
      <c r="I90" s="52" t="s">
        <v>780</v>
      </c>
      <c r="J90" s="52">
        <v>2002.0</v>
      </c>
      <c r="K90" s="52">
        <v>6.0</v>
      </c>
      <c r="L90" s="52">
        <v>4555.0</v>
      </c>
      <c r="M90" s="52">
        <v>1870.0</v>
      </c>
      <c r="N90" s="52">
        <v>1230.0</v>
      </c>
      <c r="O90" s="52">
        <v>2655.0</v>
      </c>
      <c r="P90" s="52">
        <v>1575.0</v>
      </c>
      <c r="Q90" s="52">
        <v>1575.0</v>
      </c>
      <c r="R90" s="52">
        <v>1470.0</v>
      </c>
      <c r="S90" s="52">
        <v>5665.0</v>
      </c>
      <c r="T90" s="52">
        <v>355.0</v>
      </c>
      <c r="U90" s="52">
        <v>261.0</v>
      </c>
      <c r="V90" s="52">
        <v>0.0</v>
      </c>
      <c r="W90" s="52">
        <v>0.0</v>
      </c>
      <c r="X90" s="52">
        <v>0.0</v>
      </c>
      <c r="Y90" s="52">
        <v>5200.0</v>
      </c>
      <c r="Z90" s="52">
        <v>509.0</v>
      </c>
      <c r="AA90" s="52">
        <v>0.0</v>
      </c>
      <c r="AB90" s="52">
        <v>4000.0</v>
      </c>
      <c r="AC90" s="52">
        <v>245.0</v>
      </c>
      <c r="AD90" s="52">
        <v>0.0</v>
      </c>
      <c r="AE90" s="52">
        <v>275.0</v>
      </c>
      <c r="AF90" s="52">
        <v>0.0</v>
      </c>
      <c r="AG90" s="52" t="s">
        <v>781</v>
      </c>
      <c r="AH90" s="52" t="b">
        <v>0</v>
      </c>
      <c r="AI90" s="52" t="b">
        <v>1</v>
      </c>
      <c r="AJ90" s="52">
        <v>0.0</v>
      </c>
      <c r="AK90" s="52" t="s">
        <v>756</v>
      </c>
      <c r="AL90" s="52" t="s">
        <v>736</v>
      </c>
      <c r="AM90" s="52" t="b">
        <v>1</v>
      </c>
      <c r="AN90" s="52" t="b">
        <v>0</v>
      </c>
      <c r="AO90" s="52" t="b">
        <v>0</v>
      </c>
      <c r="AP90" s="52">
        <v>180.0</v>
      </c>
      <c r="AQ90" s="52">
        <v>0.0</v>
      </c>
      <c r="AR90" s="52">
        <v>2.0</v>
      </c>
      <c r="AS90" s="52">
        <v>0.0</v>
      </c>
      <c r="AT90" s="52" t="s">
        <v>749</v>
      </c>
      <c r="AU90" s="52">
        <v>8.0</v>
      </c>
      <c r="AV90" s="52" t="s">
        <v>738</v>
      </c>
      <c r="AW90" s="52" t="s">
        <v>739</v>
      </c>
      <c r="AX90" s="52">
        <v>6.0</v>
      </c>
      <c r="AY90" s="52">
        <v>45.0</v>
      </c>
      <c r="AZ90" s="52">
        <v>17.0</v>
      </c>
      <c r="BA90" s="52">
        <v>40.0</v>
      </c>
      <c r="BB90" s="52">
        <v>18.0</v>
      </c>
      <c r="BC90" s="52" t="s">
        <v>828</v>
      </c>
      <c r="BD90" s="53"/>
      <c r="BE90" s="53"/>
    </row>
    <row r="91">
      <c r="A91" s="54">
        <v>90.0</v>
      </c>
      <c r="B91" s="54">
        <v>137.0</v>
      </c>
      <c r="C91" s="54" t="s">
        <v>318</v>
      </c>
      <c r="D91" s="54" t="s">
        <v>319</v>
      </c>
      <c r="E91" s="54" t="s">
        <v>320</v>
      </c>
      <c r="F91" s="54">
        <v>29.5</v>
      </c>
      <c r="G91" s="54">
        <v>0.0</v>
      </c>
      <c r="H91" s="54">
        <v>0.0</v>
      </c>
      <c r="I91" s="54" t="s">
        <v>776</v>
      </c>
      <c r="J91" s="54">
        <v>2001.0</v>
      </c>
      <c r="K91" s="54">
        <v>4.0</v>
      </c>
      <c r="L91" s="54">
        <v>4720.0</v>
      </c>
      <c r="M91" s="54">
        <v>1745.0</v>
      </c>
      <c r="N91" s="54">
        <v>1550.0</v>
      </c>
      <c r="O91" s="54">
        <v>2650.0</v>
      </c>
      <c r="P91" s="54">
        <v>1470.0</v>
      </c>
      <c r="Q91" s="54">
        <v>1465.0</v>
      </c>
      <c r="R91" s="54">
        <v>1580.0</v>
      </c>
      <c r="S91" s="54">
        <v>2999.0</v>
      </c>
      <c r="T91" s="54">
        <v>220.0</v>
      </c>
      <c r="U91" s="54">
        <v>162.0</v>
      </c>
      <c r="V91" s="54">
        <v>0.0</v>
      </c>
      <c r="W91" s="54">
        <v>0.0</v>
      </c>
      <c r="X91" s="54">
        <v>0.0</v>
      </c>
      <c r="Y91" s="54">
        <v>6000.0</v>
      </c>
      <c r="Z91" s="54">
        <v>289.0</v>
      </c>
      <c r="AA91" s="54">
        <v>0.0</v>
      </c>
      <c r="AB91" s="54">
        <v>4400.0</v>
      </c>
      <c r="AC91" s="54">
        <v>215.0</v>
      </c>
      <c r="AD91" s="54">
        <v>0.0</v>
      </c>
      <c r="AE91" s="54">
        <v>215.0</v>
      </c>
      <c r="AF91" s="54">
        <v>0.0</v>
      </c>
      <c r="AG91" s="54" t="s">
        <v>734</v>
      </c>
      <c r="AH91" s="54" t="b">
        <v>0</v>
      </c>
      <c r="AI91" s="54" t="b">
        <v>0</v>
      </c>
      <c r="AJ91" s="54">
        <v>0.0</v>
      </c>
      <c r="AK91" s="54" t="s">
        <v>735</v>
      </c>
      <c r="AL91" s="54" t="s">
        <v>765</v>
      </c>
      <c r="AM91" s="54" t="b">
        <v>0</v>
      </c>
      <c r="AN91" s="54" t="b">
        <v>0</v>
      </c>
      <c r="AO91" s="54" t="b">
        <v>0</v>
      </c>
      <c r="AP91" s="54">
        <v>252.0</v>
      </c>
      <c r="AQ91" s="54">
        <v>1.0</v>
      </c>
      <c r="AR91" s="54">
        <v>5.0</v>
      </c>
      <c r="AS91" s="54">
        <v>0.0</v>
      </c>
      <c r="AT91" s="54" t="s">
        <v>759</v>
      </c>
      <c r="AU91" s="54">
        <v>6.0</v>
      </c>
      <c r="AV91" s="54" t="s">
        <v>738</v>
      </c>
      <c r="AW91" s="54" t="s">
        <v>800</v>
      </c>
      <c r="AX91" s="54">
        <v>4.0</v>
      </c>
      <c r="AY91" s="54">
        <v>60.0</v>
      </c>
      <c r="AZ91" s="54">
        <v>16.0</v>
      </c>
      <c r="BA91" s="54">
        <v>60.0</v>
      </c>
      <c r="BB91" s="54">
        <v>16.0</v>
      </c>
      <c r="BC91" s="54" t="s">
        <v>860</v>
      </c>
      <c r="BD91" s="53"/>
      <c r="BE91" s="53"/>
    </row>
    <row r="92">
      <c r="A92" s="52">
        <v>91.0</v>
      </c>
      <c r="B92" s="52">
        <v>144.0</v>
      </c>
      <c r="C92" s="52" t="s">
        <v>321</v>
      </c>
      <c r="D92" s="52" t="s">
        <v>322</v>
      </c>
      <c r="E92" s="52" t="s">
        <v>323</v>
      </c>
      <c r="F92" s="52">
        <v>29.0</v>
      </c>
      <c r="G92" s="52">
        <v>0.0</v>
      </c>
      <c r="H92" s="52">
        <v>0.0</v>
      </c>
      <c r="I92" s="52" t="s">
        <v>835</v>
      </c>
      <c r="J92" s="52">
        <v>2002.0</v>
      </c>
      <c r="K92" s="52">
        <v>4.0</v>
      </c>
      <c r="L92" s="52">
        <v>4615.0</v>
      </c>
      <c r="M92" s="52">
        <v>1810.0</v>
      </c>
      <c r="N92" s="52">
        <v>1365.0</v>
      </c>
      <c r="O92" s="52">
        <v>2700.0</v>
      </c>
      <c r="P92" s="52">
        <v>1510.0</v>
      </c>
      <c r="Q92" s="52">
        <v>1520.0</v>
      </c>
      <c r="R92" s="52">
        <v>1500.0</v>
      </c>
      <c r="S92" s="52">
        <v>2946.0</v>
      </c>
      <c r="T92" s="52">
        <v>206.0</v>
      </c>
      <c r="U92" s="52">
        <v>152.0</v>
      </c>
      <c r="V92" s="52">
        <v>0.0</v>
      </c>
      <c r="W92" s="52">
        <v>0.0</v>
      </c>
      <c r="X92" s="52">
        <v>0.0</v>
      </c>
      <c r="Y92" s="52">
        <v>6000.0</v>
      </c>
      <c r="Z92" s="52">
        <v>285.0</v>
      </c>
      <c r="AA92" s="52">
        <v>0.0</v>
      </c>
      <c r="AB92" s="52">
        <v>3750.0</v>
      </c>
      <c r="AC92" s="52">
        <v>215.0</v>
      </c>
      <c r="AD92" s="52">
        <v>0.0</v>
      </c>
      <c r="AE92" s="52">
        <v>215.0</v>
      </c>
      <c r="AF92" s="52">
        <v>0.0</v>
      </c>
      <c r="AG92" s="52" t="s">
        <v>792</v>
      </c>
      <c r="AH92" s="52" t="b">
        <v>0</v>
      </c>
      <c r="AI92" s="52" t="b">
        <v>0</v>
      </c>
      <c r="AJ92" s="52">
        <v>0.0</v>
      </c>
      <c r="AK92" s="52" t="s">
        <v>735</v>
      </c>
      <c r="AL92" s="52" t="s">
        <v>771</v>
      </c>
      <c r="AM92" s="52" t="b">
        <v>1</v>
      </c>
      <c r="AN92" s="52" t="b">
        <v>1</v>
      </c>
      <c r="AO92" s="52" t="b">
        <v>0</v>
      </c>
      <c r="AP92" s="52">
        <v>252.0</v>
      </c>
      <c r="AQ92" s="52">
        <v>1.0</v>
      </c>
      <c r="AR92" s="52">
        <v>4.0</v>
      </c>
      <c r="AS92" s="52">
        <v>0.0</v>
      </c>
      <c r="AT92" s="52" t="s">
        <v>749</v>
      </c>
      <c r="AU92" s="52">
        <v>6.0</v>
      </c>
      <c r="AV92" s="52" t="s">
        <v>738</v>
      </c>
      <c r="AW92" s="52" t="s">
        <v>744</v>
      </c>
      <c r="AX92" s="52">
        <v>4.0</v>
      </c>
      <c r="AY92" s="52">
        <v>55.0</v>
      </c>
      <c r="AZ92" s="52">
        <v>16.0</v>
      </c>
      <c r="BA92" s="52">
        <v>55.0</v>
      </c>
      <c r="BB92" s="52">
        <v>16.0</v>
      </c>
      <c r="BC92" s="52" t="s">
        <v>861</v>
      </c>
      <c r="BD92" s="53"/>
      <c r="BE92" s="53"/>
    </row>
    <row r="93">
      <c r="A93" s="54">
        <v>92.0</v>
      </c>
      <c r="B93" s="54">
        <v>146.0</v>
      </c>
      <c r="C93" s="54" t="s">
        <v>324</v>
      </c>
      <c r="D93" s="54" t="s">
        <v>325</v>
      </c>
      <c r="E93" s="54" t="s">
        <v>326</v>
      </c>
      <c r="F93" s="54">
        <v>35.7</v>
      </c>
      <c r="G93" s="54">
        <v>0.0</v>
      </c>
      <c r="H93" s="54">
        <v>0.0</v>
      </c>
      <c r="I93" s="54" t="s">
        <v>844</v>
      </c>
      <c r="J93" s="54">
        <v>2003.0</v>
      </c>
      <c r="K93" s="54">
        <v>4.0</v>
      </c>
      <c r="L93" s="54">
        <v>4615.0</v>
      </c>
      <c r="M93" s="54">
        <v>1815.0</v>
      </c>
      <c r="N93" s="54">
        <v>1430.0</v>
      </c>
      <c r="O93" s="54">
        <v>2715.0</v>
      </c>
      <c r="P93" s="54">
        <v>1555.0</v>
      </c>
      <c r="Q93" s="54">
        <v>1555.0</v>
      </c>
      <c r="R93" s="54">
        <v>1650.0</v>
      </c>
      <c r="S93" s="54">
        <v>2521.0</v>
      </c>
      <c r="T93" s="54">
        <v>300.0</v>
      </c>
      <c r="U93" s="54">
        <v>220.0</v>
      </c>
      <c r="V93" s="54">
        <v>0.0</v>
      </c>
      <c r="W93" s="54">
        <v>0.0</v>
      </c>
      <c r="X93" s="54">
        <v>0.0</v>
      </c>
      <c r="Y93" s="54">
        <v>6000.0</v>
      </c>
      <c r="Z93" s="54">
        <v>350.0</v>
      </c>
      <c r="AA93" s="54">
        <v>0.0</v>
      </c>
      <c r="AB93" s="54">
        <v>3.9321785E8</v>
      </c>
      <c r="AC93" s="54">
        <v>235.0</v>
      </c>
      <c r="AD93" s="54">
        <v>0.0</v>
      </c>
      <c r="AE93" s="54">
        <v>235.0</v>
      </c>
      <c r="AF93" s="54">
        <v>0.0</v>
      </c>
      <c r="AG93" s="54" t="s">
        <v>845</v>
      </c>
      <c r="AH93" s="54" t="b">
        <v>0</v>
      </c>
      <c r="AI93" s="54" t="b">
        <v>0</v>
      </c>
      <c r="AJ93" s="54">
        <v>0.0</v>
      </c>
      <c r="AK93" s="54" t="s">
        <v>789</v>
      </c>
      <c r="AL93" s="54" t="s">
        <v>765</v>
      </c>
      <c r="AM93" s="54" t="b">
        <v>1</v>
      </c>
      <c r="AN93" s="54" t="b">
        <v>1</v>
      </c>
      <c r="AO93" s="54" t="b">
        <v>0</v>
      </c>
      <c r="AP93" s="54">
        <v>216.0</v>
      </c>
      <c r="AQ93" s="54">
        <v>1.0</v>
      </c>
      <c r="AR93" s="54">
        <v>5.0</v>
      </c>
      <c r="AS93" s="54">
        <v>0.0</v>
      </c>
      <c r="AT93" s="54" t="s">
        <v>737</v>
      </c>
      <c r="AU93" s="54">
        <v>5.0</v>
      </c>
      <c r="AV93" s="54" t="s">
        <v>757</v>
      </c>
      <c r="AW93" s="54" t="s">
        <v>800</v>
      </c>
      <c r="AX93" s="54">
        <v>5.0</v>
      </c>
      <c r="AY93" s="54">
        <v>40.0</v>
      </c>
      <c r="AZ93" s="54">
        <v>18.0</v>
      </c>
      <c r="BA93" s="54">
        <v>40.0</v>
      </c>
      <c r="BB93" s="54">
        <v>18.0</v>
      </c>
      <c r="BC93" s="54" t="s">
        <v>846</v>
      </c>
      <c r="BD93" s="53"/>
      <c r="BE93" s="53"/>
    </row>
    <row r="94">
      <c r="A94" s="52">
        <v>93.0</v>
      </c>
      <c r="B94" s="52">
        <v>148.0</v>
      </c>
      <c r="C94" s="52" t="s">
        <v>327</v>
      </c>
      <c r="D94" s="52" t="s">
        <v>328</v>
      </c>
      <c r="E94" s="52" t="s">
        <v>329</v>
      </c>
      <c r="F94" s="52">
        <v>25.0</v>
      </c>
      <c r="G94" s="52">
        <v>0.0</v>
      </c>
      <c r="H94" s="52">
        <v>0.0</v>
      </c>
      <c r="I94" s="52" t="s">
        <v>862</v>
      </c>
      <c r="J94" s="52">
        <v>2002.0</v>
      </c>
      <c r="K94" s="52">
        <v>4.0</v>
      </c>
      <c r="L94" s="52">
        <v>4395.0</v>
      </c>
      <c r="M94" s="52">
        <v>1760.0</v>
      </c>
      <c r="N94" s="52">
        <v>1330.0</v>
      </c>
      <c r="O94" s="52">
        <v>2530.0</v>
      </c>
      <c r="P94" s="52">
        <v>1490.0</v>
      </c>
      <c r="Q94" s="52">
        <v>1490.0</v>
      </c>
      <c r="R94" s="52">
        <v>1370.0</v>
      </c>
      <c r="S94" s="52">
        <v>2656.0</v>
      </c>
      <c r="T94" s="52">
        <v>175.0</v>
      </c>
      <c r="U94" s="52">
        <v>129.0</v>
      </c>
      <c r="V94" s="52">
        <v>0.0</v>
      </c>
      <c r="W94" s="52">
        <v>0.0</v>
      </c>
      <c r="X94" s="52">
        <v>0.0</v>
      </c>
      <c r="Y94" s="52">
        <v>6000.0</v>
      </c>
      <c r="Z94" s="52">
        <v>245.0</v>
      </c>
      <c r="AA94" s="52">
        <v>0.0</v>
      </c>
      <c r="AB94" s="52">
        <v>4000.0</v>
      </c>
      <c r="AC94" s="52">
        <v>215.0</v>
      </c>
      <c r="AD94" s="52">
        <v>0.0</v>
      </c>
      <c r="AE94" s="52">
        <v>215.0</v>
      </c>
      <c r="AF94" s="52">
        <v>0.0</v>
      </c>
      <c r="AG94" s="52" t="s">
        <v>863</v>
      </c>
      <c r="AH94" s="52" t="b">
        <v>0</v>
      </c>
      <c r="AI94" s="52" t="b">
        <v>0</v>
      </c>
      <c r="AJ94" s="52">
        <v>0.0</v>
      </c>
      <c r="AK94" s="52" t="s">
        <v>735</v>
      </c>
      <c r="AL94" s="52" t="s">
        <v>771</v>
      </c>
      <c r="AM94" s="52" t="b">
        <v>1</v>
      </c>
      <c r="AN94" s="52" t="b">
        <v>0</v>
      </c>
      <c r="AO94" s="52" t="b">
        <v>0</v>
      </c>
      <c r="AP94" s="52">
        <v>216.0</v>
      </c>
      <c r="AQ94" s="52">
        <v>0.0</v>
      </c>
      <c r="AR94" s="52">
        <v>4.0</v>
      </c>
      <c r="AS94" s="52">
        <v>0.0</v>
      </c>
      <c r="AT94" s="52" t="s">
        <v>749</v>
      </c>
      <c r="AU94" s="52">
        <v>6.0</v>
      </c>
      <c r="AV94" s="52" t="s">
        <v>738</v>
      </c>
      <c r="AW94" s="52" t="s">
        <v>744</v>
      </c>
      <c r="AX94" s="52">
        <v>6.0</v>
      </c>
      <c r="AY94" s="52">
        <v>45.0</v>
      </c>
      <c r="AZ94" s="52">
        <v>17.0</v>
      </c>
      <c r="BA94" s="52">
        <v>45.0</v>
      </c>
      <c r="BB94" s="52">
        <v>17.0</v>
      </c>
      <c r="BC94" s="52" t="s">
        <v>864</v>
      </c>
      <c r="BD94" s="53"/>
      <c r="BE94" s="53"/>
    </row>
    <row r="95">
      <c r="A95" s="54">
        <v>94.0</v>
      </c>
      <c r="B95" s="54">
        <v>151.0</v>
      </c>
      <c r="C95" s="54" t="s">
        <v>330</v>
      </c>
      <c r="D95" s="54" t="s">
        <v>331</v>
      </c>
      <c r="E95" s="54" t="s">
        <v>332</v>
      </c>
      <c r="F95" s="54">
        <v>40.1</v>
      </c>
      <c r="G95" s="54">
        <v>0.0</v>
      </c>
      <c r="H95" s="54">
        <v>0.0</v>
      </c>
      <c r="I95" s="54" t="s">
        <v>865</v>
      </c>
      <c r="J95" s="54">
        <v>2002.0</v>
      </c>
      <c r="K95" s="54">
        <v>6.0</v>
      </c>
      <c r="L95" s="54">
        <v>3925.0</v>
      </c>
      <c r="M95" s="54">
        <v>1715.0</v>
      </c>
      <c r="N95" s="54">
        <v>1204.0</v>
      </c>
      <c r="O95" s="54">
        <v>2361.0</v>
      </c>
      <c r="P95" s="54">
        <v>1448.0</v>
      </c>
      <c r="Q95" s="54">
        <v>1492.0</v>
      </c>
      <c r="R95" s="54">
        <v>1060.0</v>
      </c>
      <c r="S95" s="54">
        <v>3605.0</v>
      </c>
      <c r="T95" s="54">
        <v>350.0</v>
      </c>
      <c r="U95" s="54">
        <v>0.0</v>
      </c>
      <c r="V95" s="54">
        <v>0.0</v>
      </c>
      <c r="W95" s="54">
        <v>0.0</v>
      </c>
      <c r="X95" s="54">
        <v>0.0</v>
      </c>
      <c r="Y95" s="54">
        <v>7500.0</v>
      </c>
      <c r="Z95" s="54">
        <v>393.0</v>
      </c>
      <c r="AA95" s="54">
        <v>0.0</v>
      </c>
      <c r="AB95" s="54">
        <v>5750.0</v>
      </c>
      <c r="AC95" s="54">
        <v>225.0</v>
      </c>
      <c r="AD95" s="54">
        <v>0.0</v>
      </c>
      <c r="AE95" s="54">
        <v>225.0</v>
      </c>
      <c r="AF95" s="54">
        <v>0.0</v>
      </c>
      <c r="AG95" s="54" t="s">
        <v>786</v>
      </c>
      <c r="AH95" s="54" t="b">
        <v>1</v>
      </c>
      <c r="AI95" s="54" t="b">
        <v>0</v>
      </c>
      <c r="AJ95" s="54">
        <v>0.0</v>
      </c>
      <c r="AK95" s="54" t="s">
        <v>748</v>
      </c>
      <c r="AL95" s="54" t="s">
        <v>736</v>
      </c>
      <c r="AM95" s="54" t="b">
        <v>0</v>
      </c>
      <c r="AN95" s="54" t="b">
        <v>0</v>
      </c>
      <c r="AO95" s="54" t="b">
        <v>0</v>
      </c>
      <c r="AP95" s="54">
        <v>72.0</v>
      </c>
      <c r="AQ95" s="54">
        <v>0.0</v>
      </c>
      <c r="AR95" s="54">
        <v>2.0</v>
      </c>
      <c r="AS95" s="54">
        <v>0.0</v>
      </c>
      <c r="AT95" s="54" t="s">
        <v>737</v>
      </c>
      <c r="AU95" s="54">
        <v>6.0</v>
      </c>
      <c r="AV95" s="54" t="s">
        <v>738</v>
      </c>
      <c r="AW95" s="54" t="s">
        <v>739</v>
      </c>
      <c r="AX95" s="54">
        <v>5.0</v>
      </c>
      <c r="AY95" s="54">
        <v>50.0</v>
      </c>
      <c r="AZ95" s="54">
        <v>16.0</v>
      </c>
      <c r="BA95" s="54">
        <v>50.0</v>
      </c>
      <c r="BB95" s="54">
        <v>16.0</v>
      </c>
      <c r="BC95" s="54" t="s">
        <v>763</v>
      </c>
      <c r="BD95" s="53"/>
      <c r="BE95" s="53"/>
    </row>
    <row r="96">
      <c r="A96" s="52">
        <v>95.0</v>
      </c>
      <c r="B96" s="52">
        <v>152.0</v>
      </c>
      <c r="C96" s="52" t="s">
        <v>333</v>
      </c>
      <c r="D96" s="52" t="s">
        <v>334</v>
      </c>
      <c r="E96" s="52" t="s">
        <v>335</v>
      </c>
      <c r="F96" s="52">
        <v>6.4</v>
      </c>
      <c r="G96" s="52">
        <v>0.0</v>
      </c>
      <c r="H96" s="52">
        <v>0.0</v>
      </c>
      <c r="I96" s="52" t="s">
        <v>741</v>
      </c>
      <c r="J96" s="52">
        <v>2002.0</v>
      </c>
      <c r="K96" s="52">
        <v>1.0</v>
      </c>
      <c r="L96" s="52">
        <v>3395.0</v>
      </c>
      <c r="M96" s="52">
        <v>1475.0</v>
      </c>
      <c r="N96" s="52">
        <v>1590.0</v>
      </c>
      <c r="O96" s="52">
        <v>2360.0</v>
      </c>
      <c r="P96" s="52">
        <v>1295.0</v>
      </c>
      <c r="Q96" s="52">
        <v>1290.0</v>
      </c>
      <c r="R96" s="52">
        <v>850.0</v>
      </c>
      <c r="S96" s="52">
        <v>658.0</v>
      </c>
      <c r="T96" s="52">
        <v>54.0</v>
      </c>
      <c r="U96" s="52">
        <v>40.0</v>
      </c>
      <c r="V96" s="52">
        <v>0.0</v>
      </c>
      <c r="W96" s="52">
        <v>0.0</v>
      </c>
      <c r="X96" s="52">
        <v>0.0</v>
      </c>
      <c r="Y96" s="52">
        <v>6500.0</v>
      </c>
      <c r="Z96" s="52">
        <v>63.0</v>
      </c>
      <c r="AA96" s="52">
        <v>0.0</v>
      </c>
      <c r="AB96" s="52">
        <v>3500.0</v>
      </c>
      <c r="AC96" s="52">
        <v>155.0</v>
      </c>
      <c r="AD96" s="52">
        <v>0.0</v>
      </c>
      <c r="AE96" s="52">
        <v>155.0</v>
      </c>
      <c r="AF96" s="52">
        <v>0.0</v>
      </c>
      <c r="AG96" s="52" t="s">
        <v>734</v>
      </c>
      <c r="AH96" s="52" t="b">
        <v>0</v>
      </c>
      <c r="AI96" s="52" t="b">
        <v>0</v>
      </c>
      <c r="AJ96" s="52">
        <v>0.0</v>
      </c>
      <c r="AK96" s="52" t="s">
        <v>742</v>
      </c>
      <c r="AL96" s="52" t="s">
        <v>743</v>
      </c>
      <c r="AM96" s="52" t="b">
        <v>0</v>
      </c>
      <c r="AN96" s="52" t="b">
        <v>0</v>
      </c>
      <c r="AO96" s="52" t="b">
        <v>0</v>
      </c>
      <c r="AP96" s="52">
        <v>252.0</v>
      </c>
      <c r="AQ96" s="52">
        <v>1.0</v>
      </c>
      <c r="AR96" s="52">
        <v>4.0</v>
      </c>
      <c r="AS96" s="52">
        <v>0.0</v>
      </c>
      <c r="AT96" s="52" t="s">
        <v>737</v>
      </c>
      <c r="AU96" s="52">
        <v>3.0</v>
      </c>
      <c r="AV96" s="52" t="s">
        <v>738</v>
      </c>
      <c r="AW96" s="52" t="s">
        <v>744</v>
      </c>
      <c r="AX96" s="52">
        <v>4.0</v>
      </c>
      <c r="AY96" s="52">
        <v>65.0</v>
      </c>
      <c r="AZ96" s="52">
        <v>13.0</v>
      </c>
      <c r="BA96" s="52">
        <v>65.0</v>
      </c>
      <c r="BB96" s="52">
        <v>13.0</v>
      </c>
      <c r="BC96" s="52" t="s">
        <v>866</v>
      </c>
      <c r="BD96" s="53"/>
      <c r="BE96" s="53"/>
    </row>
    <row r="97">
      <c r="A97" s="54">
        <v>96.0</v>
      </c>
      <c r="B97" s="54">
        <v>153.0</v>
      </c>
      <c r="C97" s="54" t="s">
        <v>336</v>
      </c>
      <c r="D97" s="54" t="s">
        <v>337</v>
      </c>
      <c r="E97" s="54" t="s">
        <v>338</v>
      </c>
      <c r="F97" s="54">
        <v>18.4</v>
      </c>
      <c r="G97" s="54">
        <v>0.0</v>
      </c>
      <c r="H97" s="54">
        <v>0.0</v>
      </c>
      <c r="I97" s="54" t="s">
        <v>752</v>
      </c>
      <c r="J97" s="54">
        <v>2002.0</v>
      </c>
      <c r="K97" s="54">
        <v>4.0</v>
      </c>
      <c r="L97" s="54">
        <v>4340.0</v>
      </c>
      <c r="M97" s="54">
        <v>1735.0</v>
      </c>
      <c r="N97" s="54">
        <v>1305.0</v>
      </c>
      <c r="O97" s="54">
        <v>2600.0</v>
      </c>
      <c r="P97" s="54">
        <v>1490.0</v>
      </c>
      <c r="Q97" s="54">
        <v>1480.0</v>
      </c>
      <c r="R97" s="54">
        <v>1140.0</v>
      </c>
      <c r="S97" s="54">
        <v>1795.0</v>
      </c>
      <c r="T97" s="54">
        <v>190.0</v>
      </c>
      <c r="U97" s="54">
        <v>140.0</v>
      </c>
      <c r="V97" s="54">
        <v>0.0</v>
      </c>
      <c r="W97" s="54">
        <v>0.0</v>
      </c>
      <c r="X97" s="54">
        <v>0.0</v>
      </c>
      <c r="Y97" s="54">
        <v>7600.0</v>
      </c>
      <c r="Z97" s="54">
        <v>180.0</v>
      </c>
      <c r="AA97" s="54">
        <v>0.0</v>
      </c>
      <c r="AB97" s="54">
        <v>6800.0</v>
      </c>
      <c r="AC97" s="54">
        <v>205.0</v>
      </c>
      <c r="AD97" s="54">
        <v>0.0</v>
      </c>
      <c r="AE97" s="54">
        <v>205.0</v>
      </c>
      <c r="AF97" s="54">
        <v>0.0</v>
      </c>
      <c r="AG97" s="54" t="s">
        <v>734</v>
      </c>
      <c r="AH97" s="54" t="b">
        <v>0</v>
      </c>
      <c r="AI97" s="54" t="b">
        <v>0</v>
      </c>
      <c r="AJ97" s="54">
        <v>0.0</v>
      </c>
      <c r="AK97" s="54" t="s">
        <v>789</v>
      </c>
      <c r="AL97" s="54" t="s">
        <v>771</v>
      </c>
      <c r="AM97" s="54" t="b">
        <v>0</v>
      </c>
      <c r="AN97" s="54" t="b">
        <v>0</v>
      </c>
      <c r="AO97" s="54" t="b">
        <v>0</v>
      </c>
      <c r="AP97" s="54">
        <v>252.0</v>
      </c>
      <c r="AQ97" s="54">
        <v>0.0</v>
      </c>
      <c r="AR97" s="54">
        <v>4.0</v>
      </c>
      <c r="AS97" s="54">
        <v>0.0</v>
      </c>
      <c r="AT97" s="54" t="s">
        <v>737</v>
      </c>
      <c r="AU97" s="54">
        <v>4.0</v>
      </c>
      <c r="AV97" s="54" t="s">
        <v>738</v>
      </c>
      <c r="AW97" s="54" t="s">
        <v>744</v>
      </c>
      <c r="AX97" s="54">
        <v>6.0</v>
      </c>
      <c r="AY97" s="54">
        <v>50.0</v>
      </c>
      <c r="AZ97" s="54">
        <v>16.0</v>
      </c>
      <c r="BA97" s="54">
        <v>50.0</v>
      </c>
      <c r="BB97" s="54">
        <v>16.0</v>
      </c>
      <c r="BC97" s="54" t="s">
        <v>852</v>
      </c>
      <c r="BD97" s="53"/>
      <c r="BE97" s="53"/>
    </row>
    <row r="98">
      <c r="A98" s="52">
        <v>97.0</v>
      </c>
      <c r="B98" s="52">
        <v>154.0</v>
      </c>
      <c r="C98" s="52" t="s">
        <v>339</v>
      </c>
      <c r="D98" s="52" t="s">
        <v>340</v>
      </c>
      <c r="E98" s="52" t="s">
        <v>341</v>
      </c>
      <c r="F98" s="52">
        <v>0.0</v>
      </c>
      <c r="G98" s="52">
        <v>0.0</v>
      </c>
      <c r="H98" s="52">
        <v>0.0</v>
      </c>
      <c r="I98" s="52" t="s">
        <v>865</v>
      </c>
      <c r="J98" s="52">
        <v>2002.0</v>
      </c>
      <c r="K98" s="52">
        <v>7.0</v>
      </c>
      <c r="L98" s="52">
        <v>4280.0</v>
      </c>
      <c r="M98" s="52">
        <v>1865.0</v>
      </c>
      <c r="N98" s="52">
        <v>1220.0</v>
      </c>
      <c r="O98" s="52">
        <v>2566.0</v>
      </c>
      <c r="P98" s="52">
        <v>1464.0</v>
      </c>
      <c r="Q98" s="52">
        <v>1470.0</v>
      </c>
      <c r="R98" s="52">
        <v>1100.0</v>
      </c>
      <c r="S98" s="52">
        <v>4475.0</v>
      </c>
      <c r="T98" s="52">
        <v>420.0</v>
      </c>
      <c r="U98" s="52">
        <v>0.0</v>
      </c>
      <c r="V98" s="52">
        <v>0.0</v>
      </c>
      <c r="W98" s="52">
        <v>0.0</v>
      </c>
      <c r="X98" s="52">
        <v>0.0</v>
      </c>
      <c r="Y98" s="52">
        <v>6750.0</v>
      </c>
      <c r="Z98" s="52">
        <v>515.0</v>
      </c>
      <c r="AA98" s="52">
        <v>0.0</v>
      </c>
      <c r="AB98" s="52">
        <v>5500.0</v>
      </c>
      <c r="AC98" s="52">
        <v>225.0</v>
      </c>
      <c r="AD98" s="52">
        <v>0.0</v>
      </c>
      <c r="AE98" s="52">
        <v>255.0</v>
      </c>
      <c r="AF98" s="52">
        <v>0.0</v>
      </c>
      <c r="AG98" s="52" t="s">
        <v>786</v>
      </c>
      <c r="AH98" s="52" t="b">
        <v>0</v>
      </c>
      <c r="AI98" s="52" t="b">
        <v>0</v>
      </c>
      <c r="AJ98" s="52">
        <v>0.0</v>
      </c>
      <c r="AK98" s="52" t="s">
        <v>748</v>
      </c>
      <c r="AL98" s="52" t="s">
        <v>736</v>
      </c>
      <c r="AM98" s="52" t="b">
        <v>0</v>
      </c>
      <c r="AN98" s="52" t="b">
        <v>0</v>
      </c>
      <c r="AO98" s="52" t="b">
        <v>0</v>
      </c>
      <c r="AP98" s="52">
        <v>108.0</v>
      </c>
      <c r="AQ98" s="52">
        <v>0.0</v>
      </c>
      <c r="AR98" s="52">
        <v>4.0</v>
      </c>
      <c r="AS98" s="52">
        <v>0.0</v>
      </c>
      <c r="AT98" s="52" t="s">
        <v>749</v>
      </c>
      <c r="AU98" s="52">
        <v>8.0</v>
      </c>
      <c r="AV98" s="52" t="s">
        <v>738</v>
      </c>
      <c r="AW98" s="52" t="s">
        <v>739</v>
      </c>
      <c r="AX98" s="52">
        <v>5.0</v>
      </c>
      <c r="AY98" s="52">
        <v>35.0</v>
      </c>
      <c r="AZ98" s="52">
        <v>18.0</v>
      </c>
      <c r="BA98" s="52">
        <v>35.0</v>
      </c>
      <c r="BB98" s="52">
        <v>18.0</v>
      </c>
      <c r="BC98" s="52" t="s">
        <v>867</v>
      </c>
      <c r="BD98" s="53"/>
      <c r="BE98" s="53"/>
    </row>
    <row r="99">
      <c r="A99" s="54">
        <v>98.0</v>
      </c>
      <c r="B99" s="54">
        <v>155.0</v>
      </c>
      <c r="C99" s="54" t="s">
        <v>342</v>
      </c>
      <c r="D99" s="54" t="s">
        <v>343</v>
      </c>
      <c r="E99" s="54" t="s">
        <v>344</v>
      </c>
      <c r="F99" s="54">
        <v>20.6</v>
      </c>
      <c r="G99" s="54">
        <v>0.0</v>
      </c>
      <c r="H99" s="54">
        <v>0.0</v>
      </c>
      <c r="I99" s="54" t="s">
        <v>868</v>
      </c>
      <c r="J99" s="54">
        <v>2000.0</v>
      </c>
      <c r="K99" s="54">
        <v>6.0</v>
      </c>
      <c r="L99" s="54">
        <v>3630.0</v>
      </c>
      <c r="M99" s="54">
        <v>1740.0</v>
      </c>
      <c r="N99" s="54">
        <v>1110.0</v>
      </c>
      <c r="O99" s="54">
        <v>2375.0</v>
      </c>
      <c r="P99" s="54">
        <v>1420.0</v>
      </c>
      <c r="Q99" s="54">
        <v>1480.0</v>
      </c>
      <c r="R99" s="54">
        <v>710.0</v>
      </c>
      <c r="S99" s="54">
        <v>1998.0</v>
      </c>
      <c r="T99" s="54">
        <v>200.0</v>
      </c>
      <c r="U99" s="54">
        <v>0.0</v>
      </c>
      <c r="V99" s="54">
        <v>0.0</v>
      </c>
      <c r="W99" s="54">
        <v>0.0</v>
      </c>
      <c r="X99" s="54">
        <v>0.0</v>
      </c>
      <c r="Y99" s="54">
        <v>7300.0</v>
      </c>
      <c r="Z99" s="54">
        <v>0.0</v>
      </c>
      <c r="AA99" s="54">
        <v>0.0</v>
      </c>
      <c r="AB99" s="54">
        <v>6400.0</v>
      </c>
      <c r="AC99" s="54">
        <v>195.0</v>
      </c>
      <c r="AD99" s="54">
        <v>0.0</v>
      </c>
      <c r="AE99" s="54">
        <v>205.0</v>
      </c>
      <c r="AF99" s="54">
        <v>0.0</v>
      </c>
      <c r="AG99" s="54" t="s">
        <v>734</v>
      </c>
      <c r="AH99" s="54" t="b">
        <v>0</v>
      </c>
      <c r="AI99" s="54" t="b">
        <v>0</v>
      </c>
      <c r="AJ99" s="54">
        <v>0.0</v>
      </c>
      <c r="AK99" s="54" t="s">
        <v>748</v>
      </c>
      <c r="AL99" s="54" t="s">
        <v>736</v>
      </c>
      <c r="AM99" s="54" t="b">
        <v>0</v>
      </c>
      <c r="AN99" s="54" t="b">
        <v>0</v>
      </c>
      <c r="AO99" s="54" t="b">
        <v>0</v>
      </c>
      <c r="AP99" s="54">
        <v>72.0</v>
      </c>
      <c r="AQ99" s="54">
        <v>0.0</v>
      </c>
      <c r="AR99" s="54">
        <v>2.0</v>
      </c>
      <c r="AS99" s="54">
        <v>0.0</v>
      </c>
      <c r="AT99" s="54" t="s">
        <v>737</v>
      </c>
      <c r="AU99" s="54">
        <v>4.0</v>
      </c>
      <c r="AV99" s="54" t="s">
        <v>738</v>
      </c>
      <c r="AW99" s="54" t="s">
        <v>750</v>
      </c>
      <c r="AX99" s="54">
        <v>5.0</v>
      </c>
      <c r="AY99" s="54">
        <v>50.0</v>
      </c>
      <c r="AZ99" s="54">
        <v>15.0</v>
      </c>
      <c r="BA99" s="54">
        <v>50.0</v>
      </c>
      <c r="BB99" s="54">
        <v>15.0</v>
      </c>
      <c r="BC99" s="54" t="s">
        <v>869</v>
      </c>
      <c r="BD99" s="53"/>
      <c r="BE99" s="53"/>
    </row>
    <row r="100">
      <c r="A100" s="52">
        <v>99.0</v>
      </c>
      <c r="B100" s="52">
        <v>156.0</v>
      </c>
      <c r="C100" s="52" t="s">
        <v>345</v>
      </c>
      <c r="D100" s="52" t="s">
        <v>346</v>
      </c>
      <c r="E100" s="52" t="s">
        <v>347</v>
      </c>
      <c r="F100" s="52">
        <v>44.0</v>
      </c>
      <c r="G100" s="52">
        <v>0.0</v>
      </c>
      <c r="H100" s="52">
        <v>0.0</v>
      </c>
      <c r="I100" s="52" t="s">
        <v>752</v>
      </c>
      <c r="J100" s="52">
        <v>2002.0</v>
      </c>
      <c r="K100" s="52">
        <v>2.0</v>
      </c>
      <c r="L100" s="52">
        <v>4890.0</v>
      </c>
      <c r="M100" s="52">
        <v>1940.0</v>
      </c>
      <c r="N100" s="52">
        <v>1890.0</v>
      </c>
      <c r="O100" s="52">
        <v>2850.0</v>
      </c>
      <c r="P100" s="52">
        <v>1620.0</v>
      </c>
      <c r="Q100" s="52">
        <v>1615.0</v>
      </c>
      <c r="R100" s="52">
        <v>2550.0</v>
      </c>
      <c r="S100" s="52">
        <v>4163.0</v>
      </c>
      <c r="T100" s="52">
        <v>196.0</v>
      </c>
      <c r="U100" s="52">
        <v>144.0</v>
      </c>
      <c r="V100" s="52">
        <v>0.0</v>
      </c>
      <c r="W100" s="52">
        <v>0.0</v>
      </c>
      <c r="X100" s="52">
        <v>0.0</v>
      </c>
      <c r="Y100" s="52">
        <v>3200.0</v>
      </c>
      <c r="Z100" s="52">
        <v>431.0</v>
      </c>
      <c r="AA100" s="52">
        <v>0.0</v>
      </c>
      <c r="AB100" s="52">
        <v>2.097164E8</v>
      </c>
      <c r="AC100" s="52">
        <v>275.0</v>
      </c>
      <c r="AD100" s="52">
        <v>0.0</v>
      </c>
      <c r="AE100" s="52">
        <v>275.0</v>
      </c>
      <c r="AF100" s="52">
        <v>0.0</v>
      </c>
      <c r="AG100" s="52" t="s">
        <v>734</v>
      </c>
      <c r="AH100" s="52" t="b">
        <v>0</v>
      </c>
      <c r="AI100" s="52" t="b">
        <v>0</v>
      </c>
      <c r="AJ100" s="52">
        <v>0.0</v>
      </c>
      <c r="AK100" s="52" t="s">
        <v>742</v>
      </c>
      <c r="AL100" s="52" t="s">
        <v>799</v>
      </c>
      <c r="AM100" s="52" t="b">
        <v>1</v>
      </c>
      <c r="AN100" s="52" t="b">
        <v>1</v>
      </c>
      <c r="AO100" s="52" t="b">
        <v>0</v>
      </c>
      <c r="AP100" s="52">
        <v>252.0</v>
      </c>
      <c r="AQ100" s="52">
        <v>1.0</v>
      </c>
      <c r="AR100" s="52">
        <v>5.0</v>
      </c>
      <c r="AS100" s="52">
        <v>0.0</v>
      </c>
      <c r="AT100" s="52" t="s">
        <v>737</v>
      </c>
      <c r="AU100" s="52">
        <v>6.0</v>
      </c>
      <c r="AV100" s="52" t="s">
        <v>757</v>
      </c>
      <c r="AW100" s="52" t="s">
        <v>800</v>
      </c>
      <c r="AX100" s="52">
        <v>5.0</v>
      </c>
      <c r="AY100" s="52">
        <v>65.0</v>
      </c>
      <c r="AZ100" s="52">
        <v>17.0</v>
      </c>
      <c r="BA100" s="52">
        <v>65.0</v>
      </c>
      <c r="BB100" s="52">
        <v>17.0</v>
      </c>
      <c r="BC100" s="52" t="s">
        <v>870</v>
      </c>
      <c r="BD100" s="53"/>
      <c r="BE100" s="53"/>
    </row>
    <row r="101">
      <c r="A101" s="54">
        <v>100.0</v>
      </c>
      <c r="B101" s="54">
        <v>157.0</v>
      </c>
      <c r="C101" s="54" t="s">
        <v>348</v>
      </c>
      <c r="D101" s="54" t="s">
        <v>349</v>
      </c>
      <c r="E101" s="54" t="s">
        <v>350</v>
      </c>
      <c r="F101" s="54">
        <v>36.0</v>
      </c>
      <c r="G101" s="54">
        <v>0.0</v>
      </c>
      <c r="H101" s="54">
        <v>0.0</v>
      </c>
      <c r="I101" s="54" t="s">
        <v>741</v>
      </c>
      <c r="J101" s="54">
        <v>2002.0</v>
      </c>
      <c r="K101" s="54">
        <v>3.0</v>
      </c>
      <c r="L101" s="54">
        <v>4795.0</v>
      </c>
      <c r="M101" s="54">
        <v>1795.0</v>
      </c>
      <c r="N101" s="54">
        <v>1920.0</v>
      </c>
      <c r="O101" s="54">
        <v>2950.0</v>
      </c>
      <c r="P101" s="54">
        <v>1535.0</v>
      </c>
      <c r="Q101" s="54">
        <v>1540.0</v>
      </c>
      <c r="R101" s="54">
        <v>2040.0</v>
      </c>
      <c r="S101" s="54">
        <v>3498.0</v>
      </c>
      <c r="T101" s="54">
        <v>240.0</v>
      </c>
      <c r="U101" s="54">
        <v>177.0</v>
      </c>
      <c r="V101" s="54">
        <v>0.0</v>
      </c>
      <c r="W101" s="54">
        <v>0.0</v>
      </c>
      <c r="X101" s="54">
        <v>0.0</v>
      </c>
      <c r="Y101" s="54">
        <v>6000.0</v>
      </c>
      <c r="Z101" s="54">
        <v>353.0</v>
      </c>
      <c r="AA101" s="54">
        <v>0.0</v>
      </c>
      <c r="AB101" s="54">
        <v>3200.0</v>
      </c>
      <c r="AC101" s="54">
        <v>215.0</v>
      </c>
      <c r="AD101" s="54">
        <v>0.0</v>
      </c>
      <c r="AE101" s="54">
        <v>215.0</v>
      </c>
      <c r="AF101" s="54">
        <v>0.0</v>
      </c>
      <c r="AG101" s="54" t="s">
        <v>734</v>
      </c>
      <c r="AH101" s="54" t="b">
        <v>0</v>
      </c>
      <c r="AI101" s="54" t="b">
        <v>0</v>
      </c>
      <c r="AJ101" s="54">
        <v>0.0</v>
      </c>
      <c r="AK101" s="54" t="s">
        <v>735</v>
      </c>
      <c r="AL101" s="54" t="s">
        <v>799</v>
      </c>
      <c r="AM101" s="54" t="b">
        <v>1</v>
      </c>
      <c r="AN101" s="54" t="b">
        <v>1</v>
      </c>
      <c r="AO101" s="54" t="b">
        <v>0</v>
      </c>
      <c r="AP101" s="54">
        <v>252.0</v>
      </c>
      <c r="AQ101" s="54">
        <v>1.0</v>
      </c>
      <c r="AR101" s="54">
        <v>7.0</v>
      </c>
      <c r="AS101" s="54">
        <v>0.0</v>
      </c>
      <c r="AT101" s="54" t="s">
        <v>749</v>
      </c>
      <c r="AU101" s="54">
        <v>6.0</v>
      </c>
      <c r="AV101" s="54" t="s">
        <v>738</v>
      </c>
      <c r="AW101" s="54" t="s">
        <v>739</v>
      </c>
      <c r="AX101" s="54">
        <v>5.0</v>
      </c>
      <c r="AY101" s="54">
        <v>65.0</v>
      </c>
      <c r="AZ101" s="54">
        <v>16.0</v>
      </c>
      <c r="BA101" s="54">
        <v>65.0</v>
      </c>
      <c r="BB101" s="54">
        <v>16.0</v>
      </c>
      <c r="BC101" s="54" t="s">
        <v>871</v>
      </c>
      <c r="BD101" s="53"/>
      <c r="BE101" s="53"/>
    </row>
    <row r="102">
      <c r="A102" s="52">
        <v>101.0</v>
      </c>
      <c r="B102" s="52">
        <v>158.0</v>
      </c>
      <c r="C102" s="52" t="s">
        <v>351</v>
      </c>
      <c r="D102" s="52" t="s">
        <v>352</v>
      </c>
      <c r="E102" s="52" t="s">
        <v>353</v>
      </c>
      <c r="F102" s="52">
        <v>45.0</v>
      </c>
      <c r="G102" s="52">
        <v>0.0</v>
      </c>
      <c r="H102" s="52">
        <v>0.0</v>
      </c>
      <c r="I102" s="52" t="s">
        <v>741</v>
      </c>
      <c r="J102" s="52">
        <v>2002.0</v>
      </c>
      <c r="K102" s="52">
        <v>7.0</v>
      </c>
      <c r="L102" s="52">
        <v>4600.0</v>
      </c>
      <c r="M102" s="52">
        <v>1785.0</v>
      </c>
      <c r="N102" s="52">
        <v>1335.0</v>
      </c>
      <c r="O102" s="52">
        <v>2665.0</v>
      </c>
      <c r="P102" s="52">
        <v>1480.0</v>
      </c>
      <c r="Q102" s="52">
        <v>1490.0</v>
      </c>
      <c r="R102" s="52">
        <v>1470.0</v>
      </c>
      <c r="S102" s="52">
        <v>2568.0</v>
      </c>
      <c r="T102" s="52">
        <v>400.0</v>
      </c>
      <c r="U102" s="52">
        <v>0.0</v>
      </c>
      <c r="V102" s="52">
        <v>0.0</v>
      </c>
      <c r="W102" s="52">
        <v>0.0</v>
      </c>
      <c r="X102" s="52">
        <v>0.0</v>
      </c>
      <c r="Y102" s="52">
        <v>6800.0</v>
      </c>
      <c r="Z102" s="52">
        <v>0.0</v>
      </c>
      <c r="AA102" s="52">
        <v>0.0</v>
      </c>
      <c r="AB102" s="52">
        <v>5600.0</v>
      </c>
      <c r="AC102" s="52">
        <v>275.0</v>
      </c>
      <c r="AD102" s="52">
        <v>0.0</v>
      </c>
      <c r="AE102" s="52">
        <v>275.0</v>
      </c>
      <c r="AF102" s="52">
        <v>0.0</v>
      </c>
      <c r="AG102" s="52" t="s">
        <v>734</v>
      </c>
      <c r="AH102" s="52" t="b">
        <v>0</v>
      </c>
      <c r="AI102" s="52" t="b">
        <v>0</v>
      </c>
      <c r="AJ102" s="52">
        <v>3.0</v>
      </c>
      <c r="AK102" s="52" t="s">
        <v>748</v>
      </c>
      <c r="AL102" s="52" t="s">
        <v>754</v>
      </c>
      <c r="AM102" s="52" t="b">
        <v>0</v>
      </c>
      <c r="AN102" s="52" t="b">
        <v>0</v>
      </c>
      <c r="AO102" s="52" t="b">
        <v>0</v>
      </c>
      <c r="AP102" s="52">
        <v>36.0</v>
      </c>
      <c r="AQ102" s="52">
        <v>0.0</v>
      </c>
      <c r="AR102" s="52">
        <v>4.0</v>
      </c>
      <c r="AS102" s="52">
        <v>0.0</v>
      </c>
      <c r="AT102" s="52" t="s">
        <v>737</v>
      </c>
      <c r="AU102" s="52">
        <v>6.0</v>
      </c>
      <c r="AV102" s="52" t="s">
        <v>757</v>
      </c>
      <c r="AW102" s="52" t="s">
        <v>800</v>
      </c>
      <c r="AX102" s="52">
        <v>6.0</v>
      </c>
      <c r="AY102" s="52">
        <v>35.0</v>
      </c>
      <c r="AZ102" s="52">
        <v>18.0</v>
      </c>
      <c r="BA102" s="52">
        <v>35.0</v>
      </c>
      <c r="BB102" s="52">
        <v>18.0</v>
      </c>
      <c r="BC102" s="52" t="s">
        <v>872</v>
      </c>
      <c r="BD102" s="53"/>
      <c r="BE102" s="53"/>
    </row>
    <row r="103">
      <c r="A103" s="54">
        <v>102.0</v>
      </c>
      <c r="B103" s="54">
        <v>159.0</v>
      </c>
      <c r="C103" s="54" t="s">
        <v>354</v>
      </c>
      <c r="D103" s="54" t="s">
        <v>355</v>
      </c>
      <c r="E103" s="54" t="s">
        <v>356</v>
      </c>
      <c r="F103" s="54">
        <v>0.0</v>
      </c>
      <c r="G103" s="54">
        <v>0.0</v>
      </c>
      <c r="H103" s="54">
        <v>0.0</v>
      </c>
      <c r="I103" s="54" t="s">
        <v>741</v>
      </c>
      <c r="J103" s="54">
        <v>2002.0</v>
      </c>
      <c r="K103" s="54">
        <v>7.0</v>
      </c>
      <c r="L103" s="54">
        <v>4445.0</v>
      </c>
      <c r="M103" s="54">
        <v>1695.0</v>
      </c>
      <c r="N103" s="54">
        <v>1265.0</v>
      </c>
      <c r="O103" s="54">
        <v>2525.0</v>
      </c>
      <c r="P103" s="54">
        <v>0.0</v>
      </c>
      <c r="Q103" s="54">
        <v>0.0</v>
      </c>
      <c r="R103" s="54">
        <v>1210.0</v>
      </c>
      <c r="S103" s="54">
        <v>1998.0</v>
      </c>
      <c r="T103" s="54">
        <v>282.0</v>
      </c>
      <c r="U103" s="54">
        <v>0.0</v>
      </c>
      <c r="V103" s="54">
        <v>0.0</v>
      </c>
      <c r="W103" s="54">
        <v>0.0</v>
      </c>
      <c r="X103" s="54">
        <v>0.0</v>
      </c>
      <c r="Y103" s="54">
        <v>0.0</v>
      </c>
      <c r="Z103" s="54">
        <v>0.0</v>
      </c>
      <c r="AA103" s="54">
        <v>0.0</v>
      </c>
      <c r="AB103" s="54">
        <v>0.0</v>
      </c>
      <c r="AC103" s="54">
        <v>225.0</v>
      </c>
      <c r="AD103" s="54">
        <v>0.0</v>
      </c>
      <c r="AE103" s="54">
        <v>245.0</v>
      </c>
      <c r="AF103" s="54">
        <v>0.0</v>
      </c>
      <c r="AG103" s="54" t="s">
        <v>734</v>
      </c>
      <c r="AH103" s="54" t="b">
        <v>0</v>
      </c>
      <c r="AI103" s="54" t="b">
        <v>0</v>
      </c>
      <c r="AJ103" s="54">
        <v>3.0</v>
      </c>
      <c r="AK103" s="54" t="s">
        <v>748</v>
      </c>
      <c r="AL103" s="54" t="s">
        <v>754</v>
      </c>
      <c r="AM103" s="54" t="b">
        <v>0</v>
      </c>
      <c r="AN103" s="54" t="b">
        <v>0</v>
      </c>
      <c r="AO103" s="54" t="b">
        <v>0</v>
      </c>
      <c r="AP103" s="54">
        <v>72.0</v>
      </c>
      <c r="AQ103" s="54">
        <v>0.0</v>
      </c>
      <c r="AR103" s="54">
        <v>4.0</v>
      </c>
      <c r="AS103" s="54">
        <v>0.0</v>
      </c>
      <c r="AT103" s="54" t="s">
        <v>737</v>
      </c>
      <c r="AU103" s="54">
        <v>4.0</v>
      </c>
      <c r="AV103" s="54" t="s">
        <v>757</v>
      </c>
      <c r="AW103" s="54" t="s">
        <v>739</v>
      </c>
      <c r="AX103" s="54">
        <v>6.0</v>
      </c>
      <c r="AY103" s="54">
        <v>45.0</v>
      </c>
      <c r="AZ103" s="54">
        <v>17.0</v>
      </c>
      <c r="BA103" s="54">
        <v>40.0</v>
      </c>
      <c r="BB103" s="54">
        <v>17.0</v>
      </c>
      <c r="BC103" s="54" t="s">
        <v>873</v>
      </c>
      <c r="BD103" s="53"/>
      <c r="BE103" s="53"/>
    </row>
    <row r="104">
      <c r="A104" s="52">
        <v>103.0</v>
      </c>
      <c r="B104" s="52">
        <v>160.0</v>
      </c>
      <c r="C104" s="52" t="s">
        <v>357</v>
      </c>
      <c r="D104" s="52" t="s">
        <v>358</v>
      </c>
      <c r="E104" s="52" t="s">
        <v>359</v>
      </c>
      <c r="F104" s="52">
        <v>20.4</v>
      </c>
      <c r="G104" s="52">
        <v>0.0</v>
      </c>
      <c r="H104" s="52">
        <v>0.0</v>
      </c>
      <c r="I104" s="52" t="s">
        <v>741</v>
      </c>
      <c r="J104" s="52">
        <v>2001.0</v>
      </c>
      <c r="K104" s="52">
        <v>3.0</v>
      </c>
      <c r="L104" s="52">
        <v>4410.0</v>
      </c>
      <c r="M104" s="52">
        <v>1695.0</v>
      </c>
      <c r="N104" s="52">
        <v>1500.0</v>
      </c>
      <c r="O104" s="52">
        <v>2535.0</v>
      </c>
      <c r="P104" s="52">
        <v>1470.0</v>
      </c>
      <c r="Q104" s="52">
        <v>1455.0</v>
      </c>
      <c r="R104" s="52">
        <v>1270.0</v>
      </c>
      <c r="S104" s="52">
        <v>1998.0</v>
      </c>
      <c r="T104" s="52">
        <v>150.0</v>
      </c>
      <c r="U104" s="52">
        <v>110.0</v>
      </c>
      <c r="V104" s="52">
        <v>0.0</v>
      </c>
      <c r="W104" s="52">
        <v>0.0</v>
      </c>
      <c r="X104" s="52">
        <v>0.0</v>
      </c>
      <c r="Y104" s="52">
        <v>6000.0</v>
      </c>
      <c r="Z104" s="52">
        <v>200.0</v>
      </c>
      <c r="AA104" s="52">
        <v>0.0</v>
      </c>
      <c r="AB104" s="52">
        <v>4000.0</v>
      </c>
      <c r="AC104" s="52">
        <v>185.0</v>
      </c>
      <c r="AD104" s="52">
        <v>0.0</v>
      </c>
      <c r="AE104" s="52">
        <v>185.0</v>
      </c>
      <c r="AF104" s="52">
        <v>0.0</v>
      </c>
      <c r="AG104" s="52" t="s">
        <v>734</v>
      </c>
      <c r="AH104" s="52" t="b">
        <v>0</v>
      </c>
      <c r="AI104" s="52" t="b">
        <v>0</v>
      </c>
      <c r="AJ104" s="52">
        <v>0.0</v>
      </c>
      <c r="AK104" s="52" t="s">
        <v>735</v>
      </c>
      <c r="AL104" s="52" t="s">
        <v>765</v>
      </c>
      <c r="AM104" s="52" t="b">
        <v>0</v>
      </c>
      <c r="AN104" s="52" t="b">
        <v>0</v>
      </c>
      <c r="AO104" s="52" t="b">
        <v>0</v>
      </c>
      <c r="AP104" s="52">
        <v>216.0</v>
      </c>
      <c r="AQ104" s="52">
        <v>1.0</v>
      </c>
      <c r="AR104" s="52">
        <v>5.0</v>
      </c>
      <c r="AS104" s="52">
        <v>0.0</v>
      </c>
      <c r="AT104" s="52" t="s">
        <v>737</v>
      </c>
      <c r="AU104" s="52">
        <v>4.0</v>
      </c>
      <c r="AV104" s="52" t="s">
        <v>738</v>
      </c>
      <c r="AW104" s="52" t="s">
        <v>744</v>
      </c>
      <c r="AX104" s="52">
        <v>6.0</v>
      </c>
      <c r="AY104" s="52">
        <v>65.0</v>
      </c>
      <c r="AZ104" s="52">
        <v>15.0</v>
      </c>
      <c r="BA104" s="52">
        <v>65.0</v>
      </c>
      <c r="BB104" s="52">
        <v>15.0</v>
      </c>
      <c r="BC104" s="52" t="s">
        <v>874</v>
      </c>
      <c r="BD104" s="53"/>
      <c r="BE104" s="53"/>
    </row>
    <row r="105">
      <c r="A105" s="54">
        <v>104.0</v>
      </c>
      <c r="B105" s="54">
        <v>161.0</v>
      </c>
      <c r="C105" s="54" t="s">
        <v>360</v>
      </c>
      <c r="D105" s="54" t="s">
        <v>361</v>
      </c>
      <c r="E105" s="54" t="s">
        <v>362</v>
      </c>
      <c r="F105" s="54">
        <v>14.7</v>
      </c>
      <c r="G105" s="54">
        <v>0.0</v>
      </c>
      <c r="H105" s="54">
        <v>0.0</v>
      </c>
      <c r="I105" s="54" t="s">
        <v>875</v>
      </c>
      <c r="J105" s="54">
        <v>2002.0</v>
      </c>
      <c r="K105" s="54">
        <v>3.0</v>
      </c>
      <c r="L105" s="54">
        <v>3735.0</v>
      </c>
      <c r="M105" s="54">
        <v>1620.0</v>
      </c>
      <c r="N105" s="54">
        <v>1360.0</v>
      </c>
      <c r="O105" s="54">
        <v>2385.0</v>
      </c>
      <c r="P105" s="54">
        <v>1415.0</v>
      </c>
      <c r="Q105" s="54">
        <v>1365.0</v>
      </c>
      <c r="R105" s="54">
        <v>960.0</v>
      </c>
      <c r="S105" s="54">
        <v>1587.0</v>
      </c>
      <c r="T105" s="54">
        <v>120.0</v>
      </c>
      <c r="U105" s="54">
        <v>87.0</v>
      </c>
      <c r="V105" s="54">
        <v>0.0</v>
      </c>
      <c r="W105" s="54">
        <v>0.0</v>
      </c>
      <c r="X105" s="54">
        <v>0.0</v>
      </c>
      <c r="Y105" s="54">
        <v>6600.0</v>
      </c>
      <c r="Z105" s="54">
        <v>145.0</v>
      </c>
      <c r="AA105" s="54">
        <v>0.0</v>
      </c>
      <c r="AB105" s="54">
        <v>5200.0</v>
      </c>
      <c r="AC105" s="54">
        <v>185.0</v>
      </c>
      <c r="AD105" s="54">
        <v>0.0</v>
      </c>
      <c r="AE105" s="54">
        <v>185.0</v>
      </c>
      <c r="AF105" s="54">
        <v>0.0</v>
      </c>
      <c r="AG105" s="54" t="s">
        <v>792</v>
      </c>
      <c r="AH105" s="54" t="b">
        <v>0</v>
      </c>
      <c r="AI105" s="54" t="b">
        <v>0</v>
      </c>
      <c r="AJ105" s="54">
        <v>0.0</v>
      </c>
      <c r="AK105" s="54" t="s">
        <v>735</v>
      </c>
      <c r="AL105" s="54" t="s">
        <v>743</v>
      </c>
      <c r="AM105" s="54" t="b">
        <v>0</v>
      </c>
      <c r="AN105" s="54" t="b">
        <v>0</v>
      </c>
      <c r="AO105" s="54" t="b">
        <v>0</v>
      </c>
      <c r="AP105" s="54">
        <v>252.0</v>
      </c>
      <c r="AQ105" s="54">
        <v>0.0</v>
      </c>
      <c r="AR105" s="54">
        <v>5.0</v>
      </c>
      <c r="AS105" s="54">
        <v>0.0</v>
      </c>
      <c r="AT105" s="54" t="s">
        <v>737</v>
      </c>
      <c r="AU105" s="54">
        <v>4.0</v>
      </c>
      <c r="AV105" s="54" t="s">
        <v>738</v>
      </c>
      <c r="AW105" s="54" t="s">
        <v>744</v>
      </c>
      <c r="AX105" s="54">
        <v>5.0</v>
      </c>
      <c r="AY105" s="54">
        <v>55.0</v>
      </c>
      <c r="AZ105" s="54">
        <v>14.0</v>
      </c>
      <c r="BA105" s="54">
        <v>55.0</v>
      </c>
      <c r="BB105" s="54">
        <v>14.0</v>
      </c>
      <c r="BC105" s="54" t="s">
        <v>876</v>
      </c>
      <c r="BD105" s="53"/>
      <c r="BE105" s="53"/>
    </row>
    <row r="106">
      <c r="A106" s="52">
        <v>105.0</v>
      </c>
      <c r="B106" s="52">
        <v>163.0</v>
      </c>
      <c r="C106" s="52" t="s">
        <v>363</v>
      </c>
      <c r="D106" s="52" t="s">
        <v>364</v>
      </c>
      <c r="E106" s="52" t="s">
        <v>365</v>
      </c>
      <c r="F106" s="52">
        <v>37.0</v>
      </c>
      <c r="G106" s="52">
        <v>0.0</v>
      </c>
      <c r="H106" s="52">
        <v>0.0</v>
      </c>
      <c r="I106" s="52" t="s">
        <v>741</v>
      </c>
      <c r="J106" s="52">
        <v>2002.0</v>
      </c>
      <c r="K106" s="52">
        <v>6.0</v>
      </c>
      <c r="L106" s="52">
        <v>4310.0</v>
      </c>
      <c r="M106" s="52">
        <v>1815.0</v>
      </c>
      <c r="N106" s="52">
        <v>1315.0</v>
      </c>
      <c r="O106" s="52">
        <v>2650.0</v>
      </c>
      <c r="P106" s="52">
        <v>1535.0</v>
      </c>
      <c r="Q106" s="52">
        <v>1545.0</v>
      </c>
      <c r="R106" s="52">
        <v>1440.0</v>
      </c>
      <c r="S106" s="52">
        <v>3498.0</v>
      </c>
      <c r="T106" s="52">
        <v>280.0</v>
      </c>
      <c r="U106" s="52">
        <v>206.0</v>
      </c>
      <c r="V106" s="52">
        <v>0.0</v>
      </c>
      <c r="W106" s="52">
        <v>0.0</v>
      </c>
      <c r="X106" s="52">
        <v>0.0</v>
      </c>
      <c r="Y106" s="52">
        <v>6200.0</v>
      </c>
      <c r="Z106" s="52">
        <v>363.0</v>
      </c>
      <c r="AA106" s="52">
        <v>0.0</v>
      </c>
      <c r="AB106" s="52">
        <v>4800.0</v>
      </c>
      <c r="AC106" s="52">
        <v>225.0</v>
      </c>
      <c r="AD106" s="52">
        <v>0.0</v>
      </c>
      <c r="AE106" s="52">
        <v>245.0</v>
      </c>
      <c r="AF106" s="52">
        <v>0.0</v>
      </c>
      <c r="AG106" s="52" t="s">
        <v>734</v>
      </c>
      <c r="AH106" s="52" t="b">
        <v>0</v>
      </c>
      <c r="AI106" s="52" t="b">
        <v>0</v>
      </c>
      <c r="AJ106" s="52">
        <v>0.0</v>
      </c>
      <c r="AK106" s="52" t="s">
        <v>756</v>
      </c>
      <c r="AL106" s="52" t="s">
        <v>754</v>
      </c>
      <c r="AM106" s="52" t="b">
        <v>1</v>
      </c>
      <c r="AN106" s="52" t="b">
        <v>1</v>
      </c>
      <c r="AO106" s="52" t="b">
        <v>0</v>
      </c>
      <c r="AP106" s="52">
        <v>180.0</v>
      </c>
      <c r="AQ106" s="52">
        <v>0.0</v>
      </c>
      <c r="AR106" s="52">
        <v>2.0</v>
      </c>
      <c r="AS106" s="52">
        <v>0.0</v>
      </c>
      <c r="AT106" s="52" t="s">
        <v>749</v>
      </c>
      <c r="AU106" s="52">
        <v>6.0</v>
      </c>
      <c r="AV106" s="52" t="s">
        <v>738</v>
      </c>
      <c r="AW106" s="52" t="s">
        <v>739</v>
      </c>
      <c r="AX106" s="52">
        <v>6.0</v>
      </c>
      <c r="AY106" s="52">
        <v>45.0</v>
      </c>
      <c r="AZ106" s="52">
        <v>18.0</v>
      </c>
      <c r="BA106" s="52">
        <v>45.0</v>
      </c>
      <c r="BB106" s="52">
        <v>18.0</v>
      </c>
      <c r="BC106" s="52" t="s">
        <v>803</v>
      </c>
      <c r="BD106" s="53"/>
      <c r="BE106" s="53"/>
    </row>
    <row r="107">
      <c r="A107" s="54">
        <v>106.0</v>
      </c>
      <c r="B107" s="54">
        <v>166.0</v>
      </c>
      <c r="C107" s="54" t="s">
        <v>366</v>
      </c>
      <c r="D107" s="54" t="s">
        <v>367</v>
      </c>
      <c r="E107" s="54" t="s">
        <v>368</v>
      </c>
      <c r="F107" s="54">
        <v>0.0</v>
      </c>
      <c r="G107" s="54">
        <v>0.0</v>
      </c>
      <c r="H107" s="54">
        <v>0.0</v>
      </c>
      <c r="I107" s="54" t="s">
        <v>877</v>
      </c>
      <c r="J107" s="54">
        <v>1973.0</v>
      </c>
      <c r="K107" s="54">
        <v>2.0</v>
      </c>
      <c r="L107" s="54">
        <v>4220.0</v>
      </c>
      <c r="M107" s="54">
        <v>1620.0</v>
      </c>
      <c r="N107" s="54">
        <v>1410.0</v>
      </c>
      <c r="O107" s="54">
        <v>2500.0</v>
      </c>
      <c r="P107" s="54">
        <v>1375.0</v>
      </c>
      <c r="Q107" s="54">
        <v>1362.0</v>
      </c>
      <c r="R107" s="54">
        <v>1080.0</v>
      </c>
      <c r="S107" s="54">
        <v>1990.0</v>
      </c>
      <c r="T107" s="54">
        <v>0.0</v>
      </c>
      <c r="U107" s="54">
        <v>125.0</v>
      </c>
      <c r="V107" s="54">
        <v>0.0</v>
      </c>
      <c r="W107" s="54">
        <v>170.0</v>
      </c>
      <c r="X107" s="54">
        <v>0.0</v>
      </c>
      <c r="Y107" s="54">
        <v>5800.0</v>
      </c>
      <c r="Z107" s="54">
        <v>245.0</v>
      </c>
      <c r="AA107" s="54">
        <v>0.0</v>
      </c>
      <c r="AB107" s="54">
        <v>4000.0</v>
      </c>
      <c r="AC107" s="54">
        <v>185.0</v>
      </c>
      <c r="AD107" s="54">
        <v>0.0</v>
      </c>
      <c r="AE107" s="54">
        <v>185.0</v>
      </c>
      <c r="AF107" s="54">
        <v>0.0</v>
      </c>
      <c r="AG107" s="54" t="s">
        <v>816</v>
      </c>
      <c r="AH107" s="54" t="b">
        <v>0</v>
      </c>
      <c r="AI107" s="54" t="b">
        <v>0</v>
      </c>
      <c r="AJ107" s="54">
        <v>0.0</v>
      </c>
      <c r="AK107" s="54" t="s">
        <v>735</v>
      </c>
      <c r="AL107" s="54" t="s">
        <v>754</v>
      </c>
      <c r="AM107" s="54" t="b">
        <v>0</v>
      </c>
      <c r="AN107" s="54" t="b">
        <v>0</v>
      </c>
      <c r="AO107" s="54" t="b">
        <v>0</v>
      </c>
      <c r="AP107" s="54">
        <v>108.0</v>
      </c>
      <c r="AQ107" s="54">
        <v>0.0</v>
      </c>
      <c r="AR107" s="54">
        <v>5.0</v>
      </c>
      <c r="AS107" s="54">
        <v>0.0</v>
      </c>
      <c r="AT107" s="54" t="s">
        <v>737</v>
      </c>
      <c r="AU107" s="54">
        <v>4.0</v>
      </c>
      <c r="AV107" s="54" t="s">
        <v>757</v>
      </c>
      <c r="AW107" s="54" t="s">
        <v>739</v>
      </c>
      <c r="AX107" s="54">
        <v>4.0</v>
      </c>
      <c r="AY107" s="54">
        <v>70.0</v>
      </c>
      <c r="AZ107" s="54">
        <v>13.0</v>
      </c>
      <c r="BA107" s="54">
        <v>70.0</v>
      </c>
      <c r="BB107" s="54">
        <v>13.0</v>
      </c>
      <c r="BC107" s="54" t="s">
        <v>878</v>
      </c>
      <c r="BD107" s="53"/>
      <c r="BE107" s="53"/>
    </row>
    <row r="108">
      <c r="A108" s="52">
        <v>107.0</v>
      </c>
      <c r="B108" s="52">
        <v>167.0</v>
      </c>
      <c r="C108" s="52" t="s">
        <v>369</v>
      </c>
      <c r="D108" s="52" t="s">
        <v>370</v>
      </c>
      <c r="E108" s="52" t="s">
        <v>371</v>
      </c>
      <c r="F108" s="52">
        <v>15.0</v>
      </c>
      <c r="G108" s="52">
        <v>0.0</v>
      </c>
      <c r="H108" s="52">
        <v>0.0</v>
      </c>
      <c r="I108" s="52" t="s">
        <v>791</v>
      </c>
      <c r="J108" s="52">
        <v>1974.0</v>
      </c>
      <c r="K108" s="52">
        <v>4.0</v>
      </c>
      <c r="L108" s="52">
        <v>3850.0</v>
      </c>
      <c r="M108" s="52">
        <v>1550.0</v>
      </c>
      <c r="N108" s="52">
        <v>1120.0</v>
      </c>
      <c r="O108" s="52">
        <v>2100.0</v>
      </c>
      <c r="P108" s="52">
        <v>1315.0</v>
      </c>
      <c r="Q108" s="52">
        <v>1346.0</v>
      </c>
      <c r="R108" s="52">
        <v>710.0</v>
      </c>
      <c r="S108" s="52">
        <v>1605.0</v>
      </c>
      <c r="T108" s="52">
        <v>0.0</v>
      </c>
      <c r="U108" s="52">
        <v>0.0</v>
      </c>
      <c r="V108" s="52">
        <v>0.0</v>
      </c>
      <c r="W108" s="52">
        <v>0.0</v>
      </c>
      <c r="X108" s="52">
        <v>126.0</v>
      </c>
      <c r="Y108" s="52">
        <v>6250.0</v>
      </c>
      <c r="Z108" s="52">
        <v>0.0</v>
      </c>
      <c r="AA108" s="52">
        <v>0.0</v>
      </c>
      <c r="AB108" s="52">
        <v>5000.0</v>
      </c>
      <c r="AC108" s="52">
        <v>165.0</v>
      </c>
      <c r="AD108" s="52">
        <v>0.0</v>
      </c>
      <c r="AE108" s="52">
        <v>165.0</v>
      </c>
      <c r="AF108" s="52">
        <v>0.0</v>
      </c>
      <c r="AG108" s="52" t="s">
        <v>792</v>
      </c>
      <c r="AH108" s="52" t="b">
        <v>0</v>
      </c>
      <c r="AI108" s="52" t="b">
        <v>0</v>
      </c>
      <c r="AJ108" s="52">
        <v>1.0</v>
      </c>
      <c r="AK108" s="52" t="s">
        <v>735</v>
      </c>
      <c r="AL108" s="52" t="s">
        <v>736</v>
      </c>
      <c r="AM108" s="52" t="b">
        <v>0</v>
      </c>
      <c r="AN108" s="52" t="b">
        <v>0</v>
      </c>
      <c r="AO108" s="52" t="b">
        <v>0</v>
      </c>
      <c r="AP108" s="52">
        <v>72.0</v>
      </c>
      <c r="AQ108" s="52">
        <v>0.0</v>
      </c>
      <c r="AR108" s="52">
        <v>2.0</v>
      </c>
      <c r="AS108" s="52">
        <v>0.0</v>
      </c>
      <c r="AT108" s="52" t="s">
        <v>737</v>
      </c>
      <c r="AU108" s="52">
        <v>4.0</v>
      </c>
      <c r="AV108" s="52" t="s">
        <v>738</v>
      </c>
      <c r="AW108" s="52" t="s">
        <v>778</v>
      </c>
      <c r="AX108" s="52">
        <v>5.0</v>
      </c>
      <c r="AY108" s="52">
        <v>82.0</v>
      </c>
      <c r="AZ108" s="52">
        <v>13.0</v>
      </c>
      <c r="BA108" s="52">
        <v>82.0</v>
      </c>
      <c r="BB108" s="52">
        <v>13.0</v>
      </c>
      <c r="BC108" s="52" t="s">
        <v>879</v>
      </c>
      <c r="BD108" s="53"/>
      <c r="BE108" s="53"/>
    </row>
    <row r="109">
      <c r="A109" s="54">
        <v>108.0</v>
      </c>
      <c r="B109" s="54">
        <v>168.0</v>
      </c>
      <c r="C109" s="54" t="s">
        <v>372</v>
      </c>
      <c r="D109" s="54" t="s">
        <v>373</v>
      </c>
      <c r="E109" s="54" t="s">
        <v>374</v>
      </c>
      <c r="F109" s="54">
        <v>4.0</v>
      </c>
      <c r="G109" s="54">
        <v>0.0</v>
      </c>
      <c r="H109" s="54">
        <v>0.0</v>
      </c>
      <c r="I109" s="54" t="s">
        <v>875</v>
      </c>
      <c r="J109" s="54">
        <v>1981.0</v>
      </c>
      <c r="K109" s="54">
        <v>1.0</v>
      </c>
      <c r="L109" s="54">
        <v>3830.0</v>
      </c>
      <c r="M109" s="54">
        <v>1480.0</v>
      </c>
      <c r="N109" s="54">
        <v>1600.0</v>
      </c>
      <c r="O109" s="54">
        <v>2400.0</v>
      </c>
      <c r="P109" s="54">
        <v>1260.0</v>
      </c>
      <c r="Q109" s="54">
        <v>1260.0</v>
      </c>
      <c r="R109" s="54">
        <v>590.0</v>
      </c>
      <c r="S109" s="54">
        <v>602.0</v>
      </c>
      <c r="T109" s="54">
        <v>0.0</v>
      </c>
      <c r="U109" s="54">
        <v>0.0</v>
      </c>
      <c r="V109" s="54">
        <v>29.0</v>
      </c>
      <c r="W109" s="54">
        <v>0.0</v>
      </c>
      <c r="X109" s="54">
        <v>0.0</v>
      </c>
      <c r="Y109" s="54">
        <v>5750.0</v>
      </c>
      <c r="Z109" s="54">
        <v>0.0</v>
      </c>
      <c r="AA109" s="54">
        <v>0.0</v>
      </c>
      <c r="AB109" s="54">
        <v>3500.0</v>
      </c>
      <c r="AC109" s="54">
        <v>125.0</v>
      </c>
      <c r="AD109" s="54">
        <v>0.0</v>
      </c>
      <c r="AE109" s="54">
        <v>125.0</v>
      </c>
      <c r="AF109" s="54">
        <v>0.0</v>
      </c>
      <c r="AG109" s="54" t="s">
        <v>792</v>
      </c>
      <c r="AH109" s="54" t="b">
        <v>0</v>
      </c>
      <c r="AI109" s="54" t="b">
        <v>0</v>
      </c>
      <c r="AJ109" s="54">
        <v>1.0</v>
      </c>
      <c r="AK109" s="54" t="s">
        <v>777</v>
      </c>
      <c r="AL109" s="54" t="s">
        <v>743</v>
      </c>
      <c r="AM109" s="54" t="b">
        <v>0</v>
      </c>
      <c r="AN109" s="54" t="b">
        <v>0</v>
      </c>
      <c r="AO109" s="54" t="b">
        <v>0</v>
      </c>
      <c r="AP109" s="54">
        <v>180.0</v>
      </c>
      <c r="AQ109" s="54">
        <v>0.0</v>
      </c>
      <c r="AR109" s="54">
        <v>4.0</v>
      </c>
      <c r="AS109" s="54">
        <v>0.0</v>
      </c>
      <c r="AT109" s="54" t="s">
        <v>759</v>
      </c>
      <c r="AU109" s="54">
        <v>2.0</v>
      </c>
      <c r="AV109" s="54" t="s">
        <v>738</v>
      </c>
      <c r="AW109" s="54" t="s">
        <v>744</v>
      </c>
      <c r="AX109" s="54">
        <v>4.0</v>
      </c>
      <c r="AY109" s="54">
        <v>0.0</v>
      </c>
      <c r="AZ109" s="54">
        <v>15.0</v>
      </c>
      <c r="BA109" s="54">
        <v>0.0</v>
      </c>
      <c r="BB109" s="54">
        <v>15.0</v>
      </c>
      <c r="BC109" s="54" t="s">
        <v>880</v>
      </c>
      <c r="BD109" s="53"/>
      <c r="BE109" s="53"/>
    </row>
    <row r="110">
      <c r="A110" s="52">
        <v>109.0</v>
      </c>
      <c r="B110" s="52">
        <v>170.0</v>
      </c>
      <c r="C110" s="52" t="s">
        <v>375</v>
      </c>
      <c r="D110" s="52" t="s">
        <v>376</v>
      </c>
      <c r="E110" s="52" t="s">
        <v>377</v>
      </c>
      <c r="F110" s="52">
        <v>0.0</v>
      </c>
      <c r="G110" s="52">
        <v>0.0</v>
      </c>
      <c r="H110" s="52">
        <v>0.0</v>
      </c>
      <c r="I110" s="52" t="s">
        <v>783</v>
      </c>
      <c r="J110" s="52">
        <v>2003.0</v>
      </c>
      <c r="K110" s="52">
        <v>8.0</v>
      </c>
      <c r="L110" s="52">
        <v>4247.0</v>
      </c>
      <c r="M110" s="52">
        <v>1770.0</v>
      </c>
      <c r="N110" s="52">
        <v>1438.0</v>
      </c>
      <c r="O110" s="52">
        <v>2615.0</v>
      </c>
      <c r="P110" s="52">
        <v>0.0</v>
      </c>
      <c r="Q110" s="52">
        <v>0.0</v>
      </c>
      <c r="R110" s="52">
        <v>1230.0</v>
      </c>
      <c r="S110" s="52">
        <v>1998.0</v>
      </c>
      <c r="T110" s="52">
        <v>0.0</v>
      </c>
      <c r="U110" s="52">
        <v>0.0</v>
      </c>
      <c r="V110" s="52">
        <v>0.0</v>
      </c>
      <c r="W110" s="52">
        <v>300.0</v>
      </c>
      <c r="X110" s="52">
        <v>0.0</v>
      </c>
      <c r="Y110" s="52">
        <v>6500.0</v>
      </c>
      <c r="Z110" s="52">
        <v>550.0</v>
      </c>
      <c r="AA110" s="52">
        <v>0.0</v>
      </c>
      <c r="AB110" s="52">
        <v>4000.0</v>
      </c>
      <c r="AC110" s="52">
        <v>225.0</v>
      </c>
      <c r="AD110" s="52">
        <v>650.0</v>
      </c>
      <c r="AE110" s="52">
        <v>225.0</v>
      </c>
      <c r="AF110" s="52">
        <v>650.0</v>
      </c>
      <c r="AG110" s="52" t="s">
        <v>781</v>
      </c>
      <c r="AH110" s="52" t="b">
        <v>0</v>
      </c>
      <c r="AI110" s="52" t="b">
        <v>0</v>
      </c>
      <c r="AJ110" s="52">
        <v>0.0</v>
      </c>
      <c r="AK110" s="52" t="s">
        <v>761</v>
      </c>
      <c r="AL110" s="52" t="s">
        <v>762</v>
      </c>
      <c r="AM110" s="52" t="b">
        <v>0</v>
      </c>
      <c r="AN110" s="52" t="b">
        <v>0</v>
      </c>
      <c r="AO110" s="52" t="b">
        <v>0</v>
      </c>
      <c r="AP110" s="52">
        <v>108.0</v>
      </c>
      <c r="AQ110" s="52">
        <v>0.0</v>
      </c>
      <c r="AR110" s="52">
        <v>2.0</v>
      </c>
      <c r="AS110" s="52">
        <v>0.0</v>
      </c>
      <c r="AT110" s="52" t="s">
        <v>737</v>
      </c>
      <c r="AU110" s="52">
        <v>4.0</v>
      </c>
      <c r="AV110" s="52" t="s">
        <v>757</v>
      </c>
      <c r="AW110" s="52" t="s">
        <v>800</v>
      </c>
      <c r="AX110" s="52">
        <v>6.0</v>
      </c>
      <c r="AY110" s="52">
        <v>0.0</v>
      </c>
      <c r="AZ110" s="52">
        <v>18.0</v>
      </c>
      <c r="BA110" s="52">
        <v>0.0</v>
      </c>
      <c r="BB110" s="52">
        <v>18.0</v>
      </c>
      <c r="BC110" s="52" t="s">
        <v>881</v>
      </c>
      <c r="BD110" s="53"/>
      <c r="BE110" s="53"/>
    </row>
    <row r="111">
      <c r="A111" s="54">
        <v>110.0</v>
      </c>
      <c r="B111" s="54">
        <v>172.0</v>
      </c>
      <c r="C111" s="54" t="s">
        <v>378</v>
      </c>
      <c r="D111" s="54" t="s">
        <v>379</v>
      </c>
      <c r="E111" s="54" t="s">
        <v>380</v>
      </c>
      <c r="F111" s="54">
        <v>31.0</v>
      </c>
      <c r="G111" s="54">
        <v>0.0</v>
      </c>
      <c r="H111" s="54">
        <v>0.0</v>
      </c>
      <c r="I111" s="54" t="s">
        <v>752</v>
      </c>
      <c r="J111" s="54">
        <v>1997.0</v>
      </c>
      <c r="K111" s="54">
        <v>6.0</v>
      </c>
      <c r="L111" s="54">
        <v>4170.0</v>
      </c>
      <c r="M111" s="54">
        <v>1695.0</v>
      </c>
      <c r="N111" s="54">
        <v>1235.0</v>
      </c>
      <c r="O111" s="54">
        <v>2400.0</v>
      </c>
      <c r="P111" s="54">
        <v>1470.0</v>
      </c>
      <c r="Q111" s="54">
        <v>1450.0</v>
      </c>
      <c r="R111" s="54">
        <v>1270.0</v>
      </c>
      <c r="S111" s="54">
        <v>1998.0</v>
      </c>
      <c r="T111" s="54">
        <v>245.0</v>
      </c>
      <c r="U111" s="54">
        <v>0.0</v>
      </c>
      <c r="V111" s="54">
        <v>0.0</v>
      </c>
      <c r="W111" s="54">
        <v>0.0</v>
      </c>
      <c r="X111" s="54">
        <v>0.0</v>
      </c>
      <c r="Y111" s="54">
        <v>6000.0</v>
      </c>
      <c r="Z111" s="54">
        <v>0.0</v>
      </c>
      <c r="AA111" s="54">
        <v>0.0</v>
      </c>
      <c r="AB111" s="54">
        <v>4000.0</v>
      </c>
      <c r="AC111" s="54">
        <v>195.0</v>
      </c>
      <c r="AD111" s="54">
        <v>0.0</v>
      </c>
      <c r="AE111" s="54">
        <v>225.0</v>
      </c>
      <c r="AF111" s="54">
        <v>0.0</v>
      </c>
      <c r="AG111" s="54" t="s">
        <v>734</v>
      </c>
      <c r="AH111" s="54" t="b">
        <v>0</v>
      </c>
      <c r="AI111" s="54" t="b">
        <v>1</v>
      </c>
      <c r="AJ111" s="54">
        <v>0.0</v>
      </c>
      <c r="AK111" s="54" t="s">
        <v>756</v>
      </c>
      <c r="AL111" s="54" t="s">
        <v>736</v>
      </c>
      <c r="AM111" s="54" t="b">
        <v>0</v>
      </c>
      <c r="AN111" s="54" t="b">
        <v>0</v>
      </c>
      <c r="AO111" s="54" t="b">
        <v>0</v>
      </c>
      <c r="AP111" s="54">
        <v>180.0</v>
      </c>
      <c r="AQ111" s="54">
        <v>0.0</v>
      </c>
      <c r="AR111" s="54">
        <v>2.0</v>
      </c>
      <c r="AS111" s="54">
        <v>0.0</v>
      </c>
      <c r="AT111" s="54" t="s">
        <v>737</v>
      </c>
      <c r="AU111" s="54">
        <v>4.0</v>
      </c>
      <c r="AV111" s="54" t="s">
        <v>757</v>
      </c>
      <c r="AW111" s="54" t="s">
        <v>750</v>
      </c>
      <c r="AX111" s="54">
        <v>5.0</v>
      </c>
      <c r="AY111" s="54">
        <v>55.0</v>
      </c>
      <c r="AZ111" s="54">
        <v>15.0</v>
      </c>
      <c r="BA111" s="54">
        <v>50.0</v>
      </c>
      <c r="BB111" s="54">
        <v>15.0</v>
      </c>
      <c r="BC111" s="54" t="s">
        <v>882</v>
      </c>
      <c r="BD111" s="53"/>
      <c r="BE111" s="53"/>
    </row>
    <row r="112">
      <c r="A112" s="52">
        <v>111.0</v>
      </c>
      <c r="B112" s="52">
        <v>173.0</v>
      </c>
      <c r="C112" s="52" t="s">
        <v>381</v>
      </c>
      <c r="D112" s="52" t="s">
        <v>382</v>
      </c>
      <c r="E112" s="52" t="s">
        <v>383</v>
      </c>
      <c r="F112" s="52">
        <v>60.0</v>
      </c>
      <c r="G112" s="52">
        <v>0.0</v>
      </c>
      <c r="H112" s="52">
        <v>0.0</v>
      </c>
      <c r="I112" s="52" t="s">
        <v>752</v>
      </c>
      <c r="J112" s="52">
        <v>2003.0</v>
      </c>
      <c r="K112" s="52">
        <v>8.0</v>
      </c>
      <c r="L112" s="52">
        <v>4520.0</v>
      </c>
      <c r="M112" s="52">
        <v>1910.0</v>
      </c>
      <c r="N112" s="52">
        <v>1150.0</v>
      </c>
      <c r="O112" s="52">
        <v>2550.0</v>
      </c>
      <c r="P112" s="52">
        <v>1600.0</v>
      </c>
      <c r="Q112" s="52">
        <v>1580.0</v>
      </c>
      <c r="R112" s="52">
        <v>1100.0</v>
      </c>
      <c r="S112" s="52">
        <v>5163.0</v>
      </c>
      <c r="T112" s="52">
        <v>500.0</v>
      </c>
      <c r="U112" s="52">
        <v>0.0</v>
      </c>
      <c r="V112" s="52">
        <v>0.0</v>
      </c>
      <c r="W112" s="52">
        <v>0.0</v>
      </c>
      <c r="X112" s="52">
        <v>0.0</v>
      </c>
      <c r="Y112" s="52">
        <v>7200.0</v>
      </c>
      <c r="Z112" s="52">
        <v>0.0</v>
      </c>
      <c r="AA112" s="52">
        <v>0.0</v>
      </c>
      <c r="AB112" s="52">
        <v>5200.0</v>
      </c>
      <c r="AC112" s="52">
        <v>330.0</v>
      </c>
      <c r="AD112" s="52">
        <v>0.0</v>
      </c>
      <c r="AE112" s="52">
        <v>330.0</v>
      </c>
      <c r="AF112" s="52">
        <v>0.0</v>
      </c>
      <c r="AG112" s="52" t="s">
        <v>734</v>
      </c>
      <c r="AH112" s="52" t="b">
        <v>0</v>
      </c>
      <c r="AI112" s="52" t="b">
        <v>0</v>
      </c>
      <c r="AJ112" s="52">
        <v>0.0</v>
      </c>
      <c r="AK112" s="52" t="s">
        <v>761</v>
      </c>
      <c r="AL112" s="52" t="s">
        <v>762</v>
      </c>
      <c r="AM112" s="52" t="b">
        <v>0</v>
      </c>
      <c r="AN112" s="52" t="b">
        <v>0</v>
      </c>
      <c r="AO112" s="52" t="b">
        <v>0</v>
      </c>
      <c r="AP112" s="52">
        <v>72.0</v>
      </c>
      <c r="AQ112" s="52">
        <v>0.0</v>
      </c>
      <c r="AR112" s="52">
        <v>1.0</v>
      </c>
      <c r="AS112" s="52">
        <v>0.0</v>
      </c>
      <c r="AT112" s="52" t="s">
        <v>749</v>
      </c>
      <c r="AU112" s="52">
        <v>8.0</v>
      </c>
      <c r="AV112" s="52" t="s">
        <v>738</v>
      </c>
      <c r="AW112" s="52" t="s">
        <v>739</v>
      </c>
      <c r="AX112" s="52">
        <v>6.0</v>
      </c>
      <c r="AY112" s="52">
        <v>40.0</v>
      </c>
      <c r="AZ112" s="52">
        <v>18.0</v>
      </c>
      <c r="BA112" s="52">
        <v>40.0</v>
      </c>
      <c r="BB112" s="52">
        <v>18.0</v>
      </c>
      <c r="BC112" s="52" t="s">
        <v>797</v>
      </c>
      <c r="BD112" s="53"/>
      <c r="BE112" s="53"/>
    </row>
    <row r="113">
      <c r="A113" s="54">
        <v>112.0</v>
      </c>
      <c r="B113" s="54">
        <v>174.0</v>
      </c>
      <c r="C113" s="54" t="s">
        <v>384</v>
      </c>
      <c r="D113" s="54" t="s">
        <v>385</v>
      </c>
      <c r="E113" s="54" t="s">
        <v>386</v>
      </c>
      <c r="F113" s="54">
        <v>15.2</v>
      </c>
      <c r="G113" s="54">
        <v>0.0</v>
      </c>
      <c r="H113" s="54">
        <v>0.0</v>
      </c>
      <c r="I113" s="54" t="s">
        <v>752</v>
      </c>
      <c r="J113" s="54">
        <v>1984.0</v>
      </c>
      <c r="K113" s="54">
        <v>3.0</v>
      </c>
      <c r="L113" s="54">
        <v>4205.0</v>
      </c>
      <c r="M113" s="54">
        <v>1625.0</v>
      </c>
      <c r="N113" s="54">
        <v>1335.0</v>
      </c>
      <c r="O113" s="54">
        <v>2400.0</v>
      </c>
      <c r="P113" s="54">
        <v>1355.0</v>
      </c>
      <c r="Q113" s="54">
        <v>1345.0</v>
      </c>
      <c r="R113" s="54">
        <v>925.0</v>
      </c>
      <c r="S113" s="54">
        <v>1587.0</v>
      </c>
      <c r="T113" s="54">
        <v>130.0</v>
      </c>
      <c r="U113" s="54">
        <v>0.0</v>
      </c>
      <c r="V113" s="54">
        <v>0.0</v>
      </c>
      <c r="W113" s="54">
        <v>0.0</v>
      </c>
      <c r="X113" s="54">
        <v>0.0</v>
      </c>
      <c r="Y113" s="54">
        <v>6600.0</v>
      </c>
      <c r="Z113" s="54">
        <v>0.0</v>
      </c>
      <c r="AA113" s="54">
        <v>0.0</v>
      </c>
      <c r="AB113" s="54">
        <v>5200.0</v>
      </c>
      <c r="AC113" s="54">
        <v>185.0</v>
      </c>
      <c r="AD113" s="54">
        <v>0.0</v>
      </c>
      <c r="AE113" s="54">
        <v>185.0</v>
      </c>
      <c r="AF113" s="54">
        <v>0.0</v>
      </c>
      <c r="AG113" s="54" t="s">
        <v>734</v>
      </c>
      <c r="AH113" s="54" t="b">
        <v>0</v>
      </c>
      <c r="AI113" s="54" t="b">
        <v>1</v>
      </c>
      <c r="AJ113" s="54">
        <v>1.0</v>
      </c>
      <c r="AK113" s="54" t="s">
        <v>735</v>
      </c>
      <c r="AL113" s="54" t="s">
        <v>754</v>
      </c>
      <c r="AM113" s="54" t="b">
        <v>0</v>
      </c>
      <c r="AN113" s="54" t="b">
        <v>0</v>
      </c>
      <c r="AO113" s="54" t="b">
        <v>0</v>
      </c>
      <c r="AP113" s="54">
        <v>216.0</v>
      </c>
      <c r="AQ113" s="54">
        <v>0.0</v>
      </c>
      <c r="AR113" s="54">
        <v>5.0</v>
      </c>
      <c r="AS113" s="54">
        <v>1.0</v>
      </c>
      <c r="AT113" s="54" t="s">
        <v>737</v>
      </c>
      <c r="AU113" s="54">
        <v>4.0</v>
      </c>
      <c r="AV113" s="54" t="s">
        <v>738</v>
      </c>
      <c r="AW113" s="54" t="s">
        <v>739</v>
      </c>
      <c r="AX113" s="54">
        <v>5.0</v>
      </c>
      <c r="AY113" s="54">
        <v>70.0</v>
      </c>
      <c r="AZ113" s="54">
        <v>13.0</v>
      </c>
      <c r="BA113" s="54">
        <v>70.0</v>
      </c>
      <c r="BB113" s="54">
        <v>13.0</v>
      </c>
      <c r="BC113" s="54" t="s">
        <v>883</v>
      </c>
      <c r="BD113" s="53"/>
      <c r="BE113" s="53"/>
    </row>
    <row r="114">
      <c r="A114" s="52">
        <v>113.0</v>
      </c>
      <c r="B114" s="52">
        <v>175.0</v>
      </c>
      <c r="C114" s="52" t="s">
        <v>387</v>
      </c>
      <c r="D114" s="52" t="s">
        <v>388</v>
      </c>
      <c r="E114" s="52" t="s">
        <v>389</v>
      </c>
      <c r="F114" s="52">
        <v>31.0</v>
      </c>
      <c r="G114" s="52">
        <v>0.0</v>
      </c>
      <c r="H114" s="52">
        <v>0.0</v>
      </c>
      <c r="I114" s="52" t="s">
        <v>752</v>
      </c>
      <c r="J114" s="52">
        <v>1994.0</v>
      </c>
      <c r="K114" s="52">
        <v>7.0</v>
      </c>
      <c r="L114" s="52">
        <v>4420.0</v>
      </c>
      <c r="M114" s="52">
        <v>1750.0</v>
      </c>
      <c r="N114" s="52">
        <v>1305.0</v>
      </c>
      <c r="O114" s="52">
        <v>2535.0</v>
      </c>
      <c r="P114" s="52">
        <v>1510.0</v>
      </c>
      <c r="Q114" s="52">
        <v>1485.0</v>
      </c>
      <c r="R114" s="52">
        <v>1380.0</v>
      </c>
      <c r="S114" s="52">
        <v>1998.0</v>
      </c>
      <c r="T114" s="52">
        <v>255.0</v>
      </c>
      <c r="U114" s="52">
        <v>0.0</v>
      </c>
      <c r="V114" s="52">
        <v>0.0</v>
      </c>
      <c r="W114" s="52">
        <v>0.0</v>
      </c>
      <c r="X114" s="52">
        <v>0.0</v>
      </c>
      <c r="Y114" s="52">
        <v>6000.0</v>
      </c>
      <c r="Z114" s="52">
        <v>0.0</v>
      </c>
      <c r="AA114" s="52">
        <v>0.0</v>
      </c>
      <c r="AB114" s="52">
        <v>4000.0</v>
      </c>
      <c r="AC114" s="52">
        <v>215.0</v>
      </c>
      <c r="AD114" s="52">
        <v>0.0</v>
      </c>
      <c r="AE114" s="52">
        <v>215.0</v>
      </c>
      <c r="AF114" s="52">
        <v>0.0</v>
      </c>
      <c r="AG114" s="52" t="s">
        <v>734</v>
      </c>
      <c r="AH114" s="52" t="b">
        <v>0</v>
      </c>
      <c r="AI114" s="52" t="b">
        <v>0</v>
      </c>
      <c r="AJ114" s="52">
        <v>0.0</v>
      </c>
      <c r="AK114" s="52" t="s">
        <v>789</v>
      </c>
      <c r="AL114" s="52" t="s">
        <v>754</v>
      </c>
      <c r="AM114" s="52" t="b">
        <v>0</v>
      </c>
      <c r="AN114" s="52" t="b">
        <v>0</v>
      </c>
      <c r="AO114" s="52" t="b">
        <v>0</v>
      </c>
      <c r="AP114" s="52">
        <v>216.0</v>
      </c>
      <c r="AQ114" s="52">
        <v>0.0</v>
      </c>
      <c r="AR114" s="52">
        <v>5.0</v>
      </c>
      <c r="AS114" s="52">
        <v>0.0</v>
      </c>
      <c r="AT114" s="52" t="s">
        <v>737</v>
      </c>
      <c r="AU114" s="52">
        <v>4.0</v>
      </c>
      <c r="AV114" s="52" t="s">
        <v>757</v>
      </c>
      <c r="AW114" s="52" t="s">
        <v>800</v>
      </c>
      <c r="AX114" s="52">
        <v>5.0</v>
      </c>
      <c r="AY114" s="52">
        <v>50.0</v>
      </c>
      <c r="AZ114" s="52">
        <v>16.0</v>
      </c>
      <c r="BA114" s="52">
        <v>50.0</v>
      </c>
      <c r="BB114" s="52">
        <v>16.0</v>
      </c>
      <c r="BC114" s="52" t="s">
        <v>882</v>
      </c>
      <c r="BD114" s="53"/>
      <c r="BE114" s="53"/>
    </row>
    <row r="115">
      <c r="A115" s="54">
        <v>114.0</v>
      </c>
      <c r="B115" s="54">
        <v>176.0</v>
      </c>
      <c r="C115" s="54" t="s">
        <v>390</v>
      </c>
      <c r="D115" s="54" t="s">
        <v>391</v>
      </c>
      <c r="E115" s="54" t="s">
        <v>392</v>
      </c>
      <c r="F115" s="54">
        <v>28.0</v>
      </c>
      <c r="G115" s="54">
        <v>0.0</v>
      </c>
      <c r="H115" s="54">
        <v>0.0</v>
      </c>
      <c r="I115" s="54" t="s">
        <v>741</v>
      </c>
      <c r="J115" s="54">
        <v>1998.0</v>
      </c>
      <c r="K115" s="54">
        <v>7.0</v>
      </c>
      <c r="L115" s="54">
        <v>4520.0</v>
      </c>
      <c r="M115" s="54">
        <v>1695.0</v>
      </c>
      <c r="N115" s="54">
        <v>1290.0</v>
      </c>
      <c r="O115" s="54">
        <v>2475.0</v>
      </c>
      <c r="P115" s="54">
        <v>1465.0</v>
      </c>
      <c r="Q115" s="54">
        <v>1460.0</v>
      </c>
      <c r="R115" s="54">
        <v>1240.0</v>
      </c>
      <c r="S115" s="54">
        <v>1998.0</v>
      </c>
      <c r="T115" s="54">
        <v>205.0</v>
      </c>
      <c r="U115" s="54">
        <v>0.0</v>
      </c>
      <c r="V115" s="54">
        <v>0.0</v>
      </c>
      <c r="W115" s="54">
        <v>0.0</v>
      </c>
      <c r="X115" s="54">
        <v>0.0</v>
      </c>
      <c r="Y115" s="54">
        <v>6000.0</v>
      </c>
      <c r="Z115" s="54">
        <v>0.0</v>
      </c>
      <c r="AA115" s="54">
        <v>0.0</v>
      </c>
      <c r="AB115" s="54">
        <v>4000.0</v>
      </c>
      <c r="AC115" s="54">
        <v>205.0</v>
      </c>
      <c r="AD115" s="54">
        <v>0.0</v>
      </c>
      <c r="AE115" s="54">
        <v>205.0</v>
      </c>
      <c r="AF115" s="54">
        <v>0.0</v>
      </c>
      <c r="AG115" s="54" t="s">
        <v>734</v>
      </c>
      <c r="AH115" s="54" t="b">
        <v>0</v>
      </c>
      <c r="AI115" s="54" t="b">
        <v>1</v>
      </c>
      <c r="AJ115" s="54">
        <v>1.0</v>
      </c>
      <c r="AK115" s="54" t="s">
        <v>789</v>
      </c>
      <c r="AL115" s="54" t="s">
        <v>771</v>
      </c>
      <c r="AM115" s="54" t="b">
        <v>0</v>
      </c>
      <c r="AN115" s="54" t="b">
        <v>0</v>
      </c>
      <c r="AO115" s="54" t="b">
        <v>0</v>
      </c>
      <c r="AP115" s="54">
        <v>216.0</v>
      </c>
      <c r="AQ115" s="54">
        <v>0.0</v>
      </c>
      <c r="AR115" s="54">
        <v>4.0</v>
      </c>
      <c r="AS115" s="54">
        <v>0.0</v>
      </c>
      <c r="AT115" s="54" t="s">
        <v>737</v>
      </c>
      <c r="AU115" s="54">
        <v>4.0</v>
      </c>
      <c r="AV115" s="54" t="s">
        <v>757</v>
      </c>
      <c r="AW115" s="54" t="s">
        <v>739</v>
      </c>
      <c r="AX115" s="54">
        <v>5.0</v>
      </c>
      <c r="AY115" s="54">
        <v>60.0</v>
      </c>
      <c r="AZ115" s="54">
        <v>15.0</v>
      </c>
      <c r="BA115" s="54">
        <v>60.0</v>
      </c>
      <c r="BB115" s="54">
        <v>15.0</v>
      </c>
      <c r="BC115" s="54" t="s">
        <v>873</v>
      </c>
      <c r="BD115" s="53"/>
      <c r="BE115" s="53"/>
    </row>
    <row r="116">
      <c r="A116" s="52">
        <v>115.0</v>
      </c>
      <c r="B116" s="52">
        <v>177.0</v>
      </c>
      <c r="C116" s="52" t="s">
        <v>393</v>
      </c>
      <c r="D116" s="52" t="s">
        <v>394</v>
      </c>
      <c r="E116" s="52" t="s">
        <v>395</v>
      </c>
      <c r="F116" s="52">
        <v>28.0</v>
      </c>
      <c r="G116" s="52">
        <v>0.0</v>
      </c>
      <c r="H116" s="52">
        <v>0.0</v>
      </c>
      <c r="I116" s="52" t="s">
        <v>741</v>
      </c>
      <c r="J116" s="52">
        <v>1991.0</v>
      </c>
      <c r="K116" s="52">
        <v>7.0</v>
      </c>
      <c r="L116" s="52">
        <v>4470.0</v>
      </c>
      <c r="M116" s="52">
        <v>1690.0</v>
      </c>
      <c r="N116" s="52">
        <v>1290.0</v>
      </c>
      <c r="O116" s="52">
        <v>2475.0</v>
      </c>
      <c r="P116" s="52">
        <v>1465.0</v>
      </c>
      <c r="Q116" s="52">
        <v>1460.0</v>
      </c>
      <c r="R116" s="52">
        <v>1150.0</v>
      </c>
      <c r="S116" s="52">
        <v>1998.0</v>
      </c>
      <c r="T116" s="52">
        <v>205.0</v>
      </c>
      <c r="U116" s="52">
        <v>0.0</v>
      </c>
      <c r="V116" s="52">
        <v>0.0</v>
      </c>
      <c r="W116" s="52">
        <v>0.0</v>
      </c>
      <c r="X116" s="52">
        <v>0.0</v>
      </c>
      <c r="Y116" s="52">
        <v>6000.0</v>
      </c>
      <c r="Z116" s="52">
        <v>0.0</v>
      </c>
      <c r="AA116" s="52">
        <v>0.0</v>
      </c>
      <c r="AB116" s="52">
        <v>4000.0</v>
      </c>
      <c r="AC116" s="52">
        <v>205.0</v>
      </c>
      <c r="AD116" s="52">
        <v>0.0</v>
      </c>
      <c r="AE116" s="52">
        <v>205.0</v>
      </c>
      <c r="AF116" s="52">
        <v>0.0</v>
      </c>
      <c r="AG116" s="52" t="s">
        <v>734</v>
      </c>
      <c r="AH116" s="52" t="b">
        <v>0</v>
      </c>
      <c r="AI116" s="52" t="b">
        <v>0</v>
      </c>
      <c r="AJ116" s="52">
        <v>1.0</v>
      </c>
      <c r="AK116" s="52" t="s">
        <v>789</v>
      </c>
      <c r="AL116" s="52" t="s">
        <v>771</v>
      </c>
      <c r="AM116" s="52" t="b">
        <v>0</v>
      </c>
      <c r="AN116" s="52" t="b">
        <v>0</v>
      </c>
      <c r="AO116" s="52" t="b">
        <v>0</v>
      </c>
      <c r="AP116" s="52">
        <v>216.0</v>
      </c>
      <c r="AQ116" s="52">
        <v>0.0</v>
      </c>
      <c r="AR116" s="52">
        <v>4.0</v>
      </c>
      <c r="AS116" s="52">
        <v>0.0</v>
      </c>
      <c r="AT116" s="52" t="s">
        <v>737</v>
      </c>
      <c r="AU116" s="52">
        <v>4.0</v>
      </c>
      <c r="AV116" s="52" t="s">
        <v>757</v>
      </c>
      <c r="AW116" s="52" t="s">
        <v>739</v>
      </c>
      <c r="AX116" s="52">
        <v>5.0</v>
      </c>
      <c r="AY116" s="52">
        <v>60.0</v>
      </c>
      <c r="AZ116" s="52">
        <v>15.0</v>
      </c>
      <c r="BA116" s="52">
        <v>60.0</v>
      </c>
      <c r="BB116" s="52">
        <v>15.0</v>
      </c>
      <c r="BC116" s="52" t="s">
        <v>873</v>
      </c>
      <c r="BD116" s="53"/>
      <c r="BE116" s="53"/>
    </row>
    <row r="117">
      <c r="A117" s="54">
        <v>116.0</v>
      </c>
      <c r="B117" s="54">
        <v>179.0</v>
      </c>
      <c r="C117" s="54" t="s">
        <v>396</v>
      </c>
      <c r="D117" s="54" t="s">
        <v>397</v>
      </c>
      <c r="E117" s="54" t="s">
        <v>398</v>
      </c>
      <c r="F117" s="54">
        <v>36.0</v>
      </c>
      <c r="G117" s="54">
        <v>0.0</v>
      </c>
      <c r="H117" s="54">
        <v>0.0</v>
      </c>
      <c r="I117" s="54" t="s">
        <v>741</v>
      </c>
      <c r="J117" s="54">
        <v>1994.0</v>
      </c>
      <c r="K117" s="54">
        <v>7.0</v>
      </c>
      <c r="L117" s="54">
        <v>4545.0</v>
      </c>
      <c r="M117" s="54">
        <v>1755.0</v>
      </c>
      <c r="N117" s="54">
        <v>1355.0</v>
      </c>
      <c r="O117" s="54">
        <v>2615.0</v>
      </c>
      <c r="P117" s="54">
        <v>1480.0</v>
      </c>
      <c r="Q117" s="54">
        <v>1480.0</v>
      </c>
      <c r="R117" s="54">
        <v>1500.0</v>
      </c>
      <c r="S117" s="54">
        <v>2568.0</v>
      </c>
      <c r="T117" s="54">
        <v>280.0</v>
      </c>
      <c r="U117" s="54">
        <v>0.0</v>
      </c>
      <c r="V117" s="54">
        <v>0.0</v>
      </c>
      <c r="W117" s="54">
        <v>0.0</v>
      </c>
      <c r="X117" s="54">
        <v>0.0</v>
      </c>
      <c r="Y117" s="54">
        <v>6800.0</v>
      </c>
      <c r="Z117" s="54">
        <v>0.0</v>
      </c>
      <c r="AA117" s="54">
        <v>0.0</v>
      </c>
      <c r="AB117" s="54">
        <v>4400.0</v>
      </c>
      <c r="AC117" s="54">
        <v>245.0</v>
      </c>
      <c r="AD117" s="54">
        <v>0.0</v>
      </c>
      <c r="AE117" s="54">
        <v>245.0</v>
      </c>
      <c r="AF117" s="54">
        <v>0.0</v>
      </c>
      <c r="AG117" s="54" t="s">
        <v>734</v>
      </c>
      <c r="AH117" s="54" t="b">
        <v>0</v>
      </c>
      <c r="AI117" s="54" t="b">
        <v>0</v>
      </c>
      <c r="AJ117" s="54">
        <v>1.0</v>
      </c>
      <c r="AK117" s="54" t="s">
        <v>756</v>
      </c>
      <c r="AL117" s="54" t="s">
        <v>754</v>
      </c>
      <c r="AM117" s="54" t="b">
        <v>0</v>
      </c>
      <c r="AN117" s="54" t="b">
        <v>0</v>
      </c>
      <c r="AO117" s="54" t="b">
        <v>0</v>
      </c>
      <c r="AP117" s="54">
        <v>144.0</v>
      </c>
      <c r="AQ117" s="54">
        <v>0.0</v>
      </c>
      <c r="AR117" s="54">
        <v>4.0</v>
      </c>
      <c r="AS117" s="54">
        <v>0.0</v>
      </c>
      <c r="AT117" s="54" t="s">
        <v>737</v>
      </c>
      <c r="AU117" s="54">
        <v>6.0</v>
      </c>
      <c r="AV117" s="54" t="s">
        <v>757</v>
      </c>
      <c r="AW117" s="54" t="s">
        <v>800</v>
      </c>
      <c r="AX117" s="54">
        <v>5.0</v>
      </c>
      <c r="AY117" s="54">
        <v>45.0</v>
      </c>
      <c r="AZ117" s="54">
        <v>17.0</v>
      </c>
      <c r="BA117" s="54">
        <v>45.0</v>
      </c>
      <c r="BB117" s="54">
        <v>17.0</v>
      </c>
      <c r="BC117" s="54" t="s">
        <v>872</v>
      </c>
      <c r="BD117" s="53"/>
      <c r="BE117" s="53"/>
    </row>
    <row r="118">
      <c r="A118" s="52">
        <v>117.0</v>
      </c>
      <c r="B118" s="52">
        <v>180.0</v>
      </c>
      <c r="C118" s="52" t="s">
        <v>399</v>
      </c>
      <c r="D118" s="52" t="s">
        <v>400</v>
      </c>
      <c r="E118" s="52" t="s">
        <v>401</v>
      </c>
      <c r="F118" s="52">
        <v>40.0</v>
      </c>
      <c r="G118" s="52">
        <v>0.0</v>
      </c>
      <c r="H118" s="52">
        <v>0.0</v>
      </c>
      <c r="I118" s="52" t="s">
        <v>741</v>
      </c>
      <c r="J118" s="52">
        <v>2002.0</v>
      </c>
      <c r="K118" s="52">
        <v>7.0</v>
      </c>
      <c r="L118" s="52">
        <v>4600.0</v>
      </c>
      <c r="M118" s="52">
        <v>1785.0</v>
      </c>
      <c r="N118" s="52">
        <v>1360.0</v>
      </c>
      <c r="O118" s="52">
        <v>2665.0</v>
      </c>
      <c r="P118" s="52">
        <v>1480.0</v>
      </c>
      <c r="Q118" s="52">
        <v>1490.0</v>
      </c>
      <c r="R118" s="52">
        <v>1560.0</v>
      </c>
      <c r="S118" s="52">
        <v>2568.0</v>
      </c>
      <c r="T118" s="52">
        <v>280.0</v>
      </c>
      <c r="U118" s="52">
        <v>206.0</v>
      </c>
      <c r="V118" s="52">
        <v>0.0</v>
      </c>
      <c r="W118" s="52">
        <v>0.0</v>
      </c>
      <c r="X118" s="52">
        <v>0.0</v>
      </c>
      <c r="Y118" s="52">
        <v>6800.0</v>
      </c>
      <c r="Z118" s="52">
        <v>392.0</v>
      </c>
      <c r="AA118" s="52">
        <v>0.0</v>
      </c>
      <c r="AB118" s="52">
        <v>4400.0</v>
      </c>
      <c r="AC118" s="52">
        <v>245.0</v>
      </c>
      <c r="AD118" s="52">
        <v>0.0</v>
      </c>
      <c r="AE118" s="52">
        <v>245.0</v>
      </c>
      <c r="AF118" s="52">
        <v>0.0</v>
      </c>
      <c r="AG118" s="52" t="s">
        <v>734</v>
      </c>
      <c r="AH118" s="52" t="b">
        <v>0</v>
      </c>
      <c r="AI118" s="52" t="b">
        <v>0</v>
      </c>
      <c r="AJ118" s="52">
        <v>0.0</v>
      </c>
      <c r="AK118" s="52" t="s">
        <v>748</v>
      </c>
      <c r="AL118" s="52" t="s">
        <v>754</v>
      </c>
      <c r="AM118" s="52" t="b">
        <v>0</v>
      </c>
      <c r="AN118" s="52" t="b">
        <v>0</v>
      </c>
      <c r="AO118" s="52" t="b">
        <v>0</v>
      </c>
      <c r="AP118" s="52">
        <v>108.0</v>
      </c>
      <c r="AQ118" s="52">
        <v>0.0</v>
      </c>
      <c r="AR118" s="52">
        <v>4.0</v>
      </c>
      <c r="AS118" s="52">
        <v>0.0</v>
      </c>
      <c r="AT118" s="52" t="s">
        <v>737</v>
      </c>
      <c r="AU118" s="52">
        <v>6.0</v>
      </c>
      <c r="AV118" s="52" t="s">
        <v>757</v>
      </c>
      <c r="AW118" s="52" t="s">
        <v>800</v>
      </c>
      <c r="AX118" s="52">
        <v>6.0</v>
      </c>
      <c r="AY118" s="52">
        <v>40.0</v>
      </c>
      <c r="AZ118" s="52">
        <v>18.0</v>
      </c>
      <c r="BA118" s="52">
        <v>40.0</v>
      </c>
      <c r="BB118" s="52">
        <v>18.0</v>
      </c>
      <c r="BC118" s="52" t="s">
        <v>872</v>
      </c>
      <c r="BD118" s="53"/>
      <c r="BE118" s="53"/>
    </row>
    <row r="119">
      <c r="A119" s="54">
        <v>118.0</v>
      </c>
      <c r="B119" s="54">
        <v>181.0</v>
      </c>
      <c r="C119" s="54" t="s">
        <v>402</v>
      </c>
      <c r="D119" s="54" t="s">
        <v>403</v>
      </c>
      <c r="E119" s="54" t="s">
        <v>404</v>
      </c>
      <c r="F119" s="54">
        <v>75.0</v>
      </c>
      <c r="G119" s="54">
        <v>0.0</v>
      </c>
      <c r="H119" s="54">
        <v>0.0</v>
      </c>
      <c r="I119" s="54" t="s">
        <v>741</v>
      </c>
      <c r="J119" s="54">
        <v>2003.0</v>
      </c>
      <c r="K119" s="54">
        <v>8.0</v>
      </c>
      <c r="L119" s="54">
        <v>4600.0</v>
      </c>
      <c r="M119" s="54">
        <v>1885.0</v>
      </c>
      <c r="N119" s="54">
        <v>1165.0</v>
      </c>
      <c r="O119" s="54">
        <v>2665.0</v>
      </c>
      <c r="P119" s="54">
        <v>1555.0</v>
      </c>
      <c r="Q119" s="54">
        <v>1555.0</v>
      </c>
      <c r="R119" s="54">
        <v>1080.0</v>
      </c>
      <c r="S119" s="54">
        <v>2987.0</v>
      </c>
      <c r="T119" s="54">
        <v>485.0</v>
      </c>
      <c r="U119" s="54">
        <v>0.0</v>
      </c>
      <c r="V119" s="54">
        <v>0.0</v>
      </c>
      <c r="W119" s="54">
        <v>0.0</v>
      </c>
      <c r="X119" s="54">
        <v>0.0</v>
      </c>
      <c r="Y119" s="54">
        <v>5600.0</v>
      </c>
      <c r="Z119" s="54">
        <v>0.0</v>
      </c>
      <c r="AA119" s="54">
        <v>0.0</v>
      </c>
      <c r="AB119" s="54">
        <v>4000.0</v>
      </c>
      <c r="AC119" s="54">
        <v>330.0</v>
      </c>
      <c r="AD119" s="54">
        <v>0.0</v>
      </c>
      <c r="AE119" s="54">
        <v>330.0</v>
      </c>
      <c r="AF119" s="54">
        <v>0.0</v>
      </c>
      <c r="AG119" s="54" t="s">
        <v>734</v>
      </c>
      <c r="AH119" s="54" t="b">
        <v>0</v>
      </c>
      <c r="AI119" s="54" t="b">
        <v>0</v>
      </c>
      <c r="AJ119" s="54">
        <v>0.0</v>
      </c>
      <c r="AK119" s="54" t="s">
        <v>761</v>
      </c>
      <c r="AL119" s="54" t="s">
        <v>762</v>
      </c>
      <c r="AM119" s="54" t="b">
        <v>0</v>
      </c>
      <c r="AN119" s="54" t="b">
        <v>0</v>
      </c>
      <c r="AO119" s="54" t="b">
        <v>0</v>
      </c>
      <c r="AP119" s="54">
        <v>72.0</v>
      </c>
      <c r="AQ119" s="54">
        <v>0.0</v>
      </c>
      <c r="AR119" s="54">
        <v>1.0</v>
      </c>
      <c r="AS119" s="54">
        <v>0.0</v>
      </c>
      <c r="AT119" s="54" t="s">
        <v>749</v>
      </c>
      <c r="AU119" s="54">
        <v>6.0</v>
      </c>
      <c r="AV119" s="54" t="s">
        <v>757</v>
      </c>
      <c r="AW119" s="54" t="s">
        <v>739</v>
      </c>
      <c r="AX119" s="54">
        <v>6.0</v>
      </c>
      <c r="AY119" s="54">
        <v>40.0</v>
      </c>
      <c r="AZ119" s="54">
        <v>18.0</v>
      </c>
      <c r="BA119" s="54">
        <v>40.0</v>
      </c>
      <c r="BB119" s="54">
        <v>18.0</v>
      </c>
      <c r="BC119" s="54" t="s">
        <v>884</v>
      </c>
      <c r="BD119" s="53"/>
      <c r="BE119" s="53"/>
    </row>
    <row r="120">
      <c r="A120" s="52">
        <v>119.0</v>
      </c>
      <c r="B120" s="52">
        <v>183.0</v>
      </c>
      <c r="C120" s="52" t="s">
        <v>405</v>
      </c>
      <c r="D120" s="52" t="s">
        <v>406</v>
      </c>
      <c r="E120" s="52" t="s">
        <v>407</v>
      </c>
      <c r="F120" s="52">
        <v>0.0</v>
      </c>
      <c r="G120" s="52">
        <v>0.0</v>
      </c>
      <c r="H120" s="52">
        <v>0.0</v>
      </c>
      <c r="I120" s="52" t="s">
        <v>776</v>
      </c>
      <c r="J120" s="52">
        <v>2003.0</v>
      </c>
      <c r="K120" s="52">
        <v>8.0</v>
      </c>
      <c r="L120" s="52">
        <v>4405.0</v>
      </c>
      <c r="M120" s="52">
        <v>1770.0</v>
      </c>
      <c r="N120" s="52">
        <v>1390.0</v>
      </c>
      <c r="O120" s="52">
        <v>2535.0</v>
      </c>
      <c r="P120" s="52">
        <v>1540.0</v>
      </c>
      <c r="Q120" s="52">
        <v>1552.0</v>
      </c>
      <c r="R120" s="52">
        <v>1230.0</v>
      </c>
      <c r="S120" s="52">
        <v>1994.0</v>
      </c>
      <c r="T120" s="52">
        <v>0.0</v>
      </c>
      <c r="U120" s="52">
        <v>0.0</v>
      </c>
      <c r="V120" s="52">
        <v>0.0</v>
      </c>
      <c r="W120" s="52">
        <v>380.0</v>
      </c>
      <c r="X120" s="52">
        <v>0.0</v>
      </c>
      <c r="Y120" s="52">
        <v>5500.0</v>
      </c>
      <c r="Z120" s="52">
        <v>0.0</v>
      </c>
      <c r="AA120" s="52">
        <v>400.0</v>
      </c>
      <c r="AB120" s="52">
        <v>4000.0</v>
      </c>
      <c r="AC120" s="52">
        <v>225.0</v>
      </c>
      <c r="AD120" s="52">
        <v>650.0</v>
      </c>
      <c r="AE120" s="52">
        <v>225.0</v>
      </c>
      <c r="AF120" s="52">
        <v>650.0</v>
      </c>
      <c r="AG120" s="52" t="s">
        <v>734</v>
      </c>
      <c r="AH120" s="52" t="b">
        <v>0</v>
      </c>
      <c r="AI120" s="52" t="b">
        <v>0</v>
      </c>
      <c r="AJ120" s="52">
        <v>0.0</v>
      </c>
      <c r="AK120" s="52" t="s">
        <v>761</v>
      </c>
      <c r="AL120" s="52" t="s">
        <v>762</v>
      </c>
      <c r="AM120" s="52" t="b">
        <v>0</v>
      </c>
      <c r="AN120" s="52" t="b">
        <v>0</v>
      </c>
      <c r="AO120" s="52" t="b">
        <v>0</v>
      </c>
      <c r="AP120" s="52">
        <v>108.0</v>
      </c>
      <c r="AQ120" s="52">
        <v>0.0</v>
      </c>
      <c r="AR120" s="52">
        <v>2.0</v>
      </c>
      <c r="AS120" s="52">
        <v>0.0</v>
      </c>
      <c r="AT120" s="52" t="s">
        <v>759</v>
      </c>
      <c r="AU120" s="52">
        <v>4.0</v>
      </c>
      <c r="AV120" s="52" t="s">
        <v>757</v>
      </c>
      <c r="AW120" s="52" t="s">
        <v>800</v>
      </c>
      <c r="AX120" s="52">
        <v>6.0</v>
      </c>
      <c r="AY120" s="52">
        <v>0.0</v>
      </c>
      <c r="AZ120" s="52">
        <v>18.0</v>
      </c>
      <c r="BA120" s="52">
        <v>0.0</v>
      </c>
      <c r="BB120" s="52">
        <v>18.0</v>
      </c>
      <c r="BC120" s="52" t="s">
        <v>812</v>
      </c>
      <c r="BD120" s="53"/>
      <c r="BE120" s="53"/>
    </row>
    <row r="121">
      <c r="A121" s="54">
        <v>120.0</v>
      </c>
      <c r="B121" s="54">
        <v>184.0</v>
      </c>
      <c r="C121" s="54" t="s">
        <v>408</v>
      </c>
      <c r="D121" s="54" t="s">
        <v>409</v>
      </c>
      <c r="E121" s="54" t="s">
        <v>410</v>
      </c>
      <c r="F121" s="54">
        <v>31.0</v>
      </c>
      <c r="G121" s="54">
        <v>0.0</v>
      </c>
      <c r="H121" s="54">
        <v>0.0</v>
      </c>
      <c r="I121" s="54" t="s">
        <v>747</v>
      </c>
      <c r="J121" s="54">
        <v>1997.0</v>
      </c>
      <c r="K121" s="54">
        <v>7.0</v>
      </c>
      <c r="L121" s="54">
        <v>4430.0</v>
      </c>
      <c r="M121" s="54">
        <v>1810.0</v>
      </c>
      <c r="N121" s="54">
        <v>1160.0</v>
      </c>
      <c r="O121" s="54">
        <v>2530.0</v>
      </c>
      <c r="P121" s="54">
        <v>1510.0</v>
      </c>
      <c r="Q121" s="54">
        <v>1530.0</v>
      </c>
      <c r="R121" s="54">
        <v>1270.0</v>
      </c>
      <c r="S121" s="54">
        <v>3179.0</v>
      </c>
      <c r="T121" s="54">
        <v>280.0</v>
      </c>
      <c r="U121" s="54">
        <v>0.0</v>
      </c>
      <c r="V121" s="54">
        <v>0.0</v>
      </c>
      <c r="W121" s="54">
        <v>0.0</v>
      </c>
      <c r="X121" s="54">
        <v>0.0</v>
      </c>
      <c r="Y121" s="54">
        <v>7300.0</v>
      </c>
      <c r="Z121" s="54">
        <v>0.0</v>
      </c>
      <c r="AA121" s="54">
        <v>0.0</v>
      </c>
      <c r="AB121" s="54">
        <v>5300.0</v>
      </c>
      <c r="AC121" s="54">
        <v>215.0</v>
      </c>
      <c r="AD121" s="54">
        <v>0.0</v>
      </c>
      <c r="AE121" s="54">
        <v>245.0</v>
      </c>
      <c r="AF121" s="54">
        <v>0.0</v>
      </c>
      <c r="AG121" s="54" t="s">
        <v>734</v>
      </c>
      <c r="AH121" s="54" t="b">
        <v>0</v>
      </c>
      <c r="AI121" s="54" t="b">
        <v>1</v>
      </c>
      <c r="AJ121" s="54">
        <v>0.0</v>
      </c>
      <c r="AK121" s="54" t="s">
        <v>748</v>
      </c>
      <c r="AL121" s="54" t="s">
        <v>736</v>
      </c>
      <c r="AM121" s="54" t="b">
        <v>0</v>
      </c>
      <c r="AN121" s="54" t="b">
        <v>0</v>
      </c>
      <c r="AO121" s="54" t="b">
        <v>0</v>
      </c>
      <c r="AP121" s="54">
        <v>144.0</v>
      </c>
      <c r="AQ121" s="54">
        <v>0.0</v>
      </c>
      <c r="AR121" s="54">
        <v>2.0</v>
      </c>
      <c r="AS121" s="54">
        <v>0.0</v>
      </c>
      <c r="AT121" s="54" t="s">
        <v>749</v>
      </c>
      <c r="AU121" s="54">
        <v>6.0</v>
      </c>
      <c r="AV121" s="54" t="s">
        <v>738</v>
      </c>
      <c r="AW121" s="54" t="s">
        <v>750</v>
      </c>
      <c r="AX121" s="54">
        <v>6.0</v>
      </c>
      <c r="AY121" s="54">
        <v>45.0</v>
      </c>
      <c r="AZ121" s="54">
        <v>16.0</v>
      </c>
      <c r="BA121" s="54">
        <v>40.0</v>
      </c>
      <c r="BB121" s="54">
        <v>17.0</v>
      </c>
      <c r="BC121" s="54" t="s">
        <v>751</v>
      </c>
      <c r="BD121" s="53"/>
      <c r="BE121" s="53"/>
    </row>
    <row r="122">
      <c r="A122" s="52">
        <v>121.0</v>
      </c>
      <c r="B122" s="52">
        <v>186.0</v>
      </c>
      <c r="C122" s="52" t="s">
        <v>411</v>
      </c>
      <c r="D122" s="52" t="s">
        <v>412</v>
      </c>
      <c r="E122" s="52" t="s">
        <v>413</v>
      </c>
      <c r="F122" s="52">
        <v>40.0</v>
      </c>
      <c r="G122" s="52">
        <v>0.0</v>
      </c>
      <c r="H122" s="52">
        <v>0.0</v>
      </c>
      <c r="I122" s="52" t="s">
        <v>747</v>
      </c>
      <c r="J122" s="52">
        <v>2003.0</v>
      </c>
      <c r="K122" s="52">
        <v>8.0</v>
      </c>
      <c r="L122" s="52">
        <v>4430.0</v>
      </c>
      <c r="M122" s="52">
        <v>1910.0</v>
      </c>
      <c r="N122" s="52">
        <v>1225.0</v>
      </c>
      <c r="O122" s="52">
        <v>2530.0</v>
      </c>
      <c r="P122" s="52">
        <v>1600.0</v>
      </c>
      <c r="Q122" s="52">
        <v>1585.0</v>
      </c>
      <c r="R122" s="52">
        <v>1170.0</v>
      </c>
      <c r="S122" s="52">
        <v>3499.0</v>
      </c>
      <c r="T122" s="52">
        <v>480.0</v>
      </c>
      <c r="U122" s="52">
        <v>0.0</v>
      </c>
      <c r="V122" s="52">
        <v>0.0</v>
      </c>
      <c r="W122" s="52">
        <v>0.0</v>
      </c>
      <c r="X122" s="52">
        <v>0.0</v>
      </c>
      <c r="Y122" s="52">
        <v>0.0</v>
      </c>
      <c r="Z122" s="52">
        <v>0.0</v>
      </c>
      <c r="AA122" s="52">
        <v>0.0</v>
      </c>
      <c r="AB122" s="52">
        <v>0.0</v>
      </c>
      <c r="AC122" s="52">
        <v>325.0</v>
      </c>
      <c r="AD122" s="52">
        <v>0.0</v>
      </c>
      <c r="AE122" s="52">
        <v>330.0</v>
      </c>
      <c r="AF122" s="52">
        <v>0.0</v>
      </c>
      <c r="AG122" s="52" t="s">
        <v>734</v>
      </c>
      <c r="AH122" s="52" t="b">
        <v>0</v>
      </c>
      <c r="AI122" s="52" t="b">
        <v>0</v>
      </c>
      <c r="AJ122" s="52">
        <v>0.0</v>
      </c>
      <c r="AK122" s="52" t="s">
        <v>761</v>
      </c>
      <c r="AL122" s="52" t="s">
        <v>762</v>
      </c>
      <c r="AM122" s="52" t="b">
        <v>0</v>
      </c>
      <c r="AN122" s="52" t="b">
        <v>0</v>
      </c>
      <c r="AO122" s="52" t="b">
        <v>0</v>
      </c>
      <c r="AP122" s="52">
        <v>72.0</v>
      </c>
      <c r="AQ122" s="52">
        <v>0.0</v>
      </c>
      <c r="AR122" s="52">
        <v>1.0</v>
      </c>
      <c r="AS122" s="52">
        <v>0.0</v>
      </c>
      <c r="AT122" s="52" t="s">
        <v>749</v>
      </c>
      <c r="AU122" s="52">
        <v>6.0</v>
      </c>
      <c r="AV122" s="52" t="s">
        <v>738</v>
      </c>
      <c r="AW122" s="52" t="s">
        <v>750</v>
      </c>
      <c r="AX122" s="52">
        <v>6.0</v>
      </c>
      <c r="AY122" s="52">
        <v>35.0</v>
      </c>
      <c r="AZ122" s="52">
        <v>18.0</v>
      </c>
      <c r="BA122" s="52">
        <v>40.0</v>
      </c>
      <c r="BB122" s="52">
        <v>18.0</v>
      </c>
      <c r="BC122" s="52" t="s">
        <v>751</v>
      </c>
      <c r="BD122" s="53"/>
      <c r="BE122" s="53"/>
    </row>
    <row r="123">
      <c r="A123" s="54">
        <v>122.0</v>
      </c>
      <c r="B123" s="54">
        <v>187.0</v>
      </c>
      <c r="C123" s="54" t="s">
        <v>414</v>
      </c>
      <c r="D123" s="54" t="s">
        <v>415</v>
      </c>
      <c r="E123" s="54" t="s">
        <v>416</v>
      </c>
      <c r="F123" s="54">
        <v>16.3</v>
      </c>
      <c r="G123" s="54">
        <v>0.0</v>
      </c>
      <c r="H123" s="54">
        <v>0.0</v>
      </c>
      <c r="I123" s="54" t="s">
        <v>747</v>
      </c>
      <c r="J123" s="54">
        <v>1998.0</v>
      </c>
      <c r="K123" s="54">
        <v>4.0</v>
      </c>
      <c r="L123" s="54">
        <v>4185.0</v>
      </c>
      <c r="M123" s="54">
        <v>1695.0</v>
      </c>
      <c r="N123" s="54">
        <v>1360.0</v>
      </c>
      <c r="O123" s="54">
        <v>2620.0</v>
      </c>
      <c r="P123" s="54">
        <v>1480.0</v>
      </c>
      <c r="Q123" s="54">
        <v>1480.0</v>
      </c>
      <c r="R123" s="54">
        <v>1060.0</v>
      </c>
      <c r="S123" s="54">
        <v>1595.0</v>
      </c>
      <c r="T123" s="54">
        <v>185.0</v>
      </c>
      <c r="U123" s="54">
        <v>136.0</v>
      </c>
      <c r="V123" s="54">
        <v>0.0</v>
      </c>
      <c r="W123" s="54">
        <v>0.0</v>
      </c>
      <c r="X123" s="54">
        <v>0.0</v>
      </c>
      <c r="Y123" s="54">
        <v>8200.0</v>
      </c>
      <c r="Z123" s="54">
        <v>160.0</v>
      </c>
      <c r="AA123" s="54">
        <v>0.0</v>
      </c>
      <c r="AB123" s="54">
        <v>7500.0</v>
      </c>
      <c r="AC123" s="54">
        <v>195.0</v>
      </c>
      <c r="AD123" s="54">
        <v>0.0</v>
      </c>
      <c r="AE123" s="54">
        <v>195.0</v>
      </c>
      <c r="AF123" s="54">
        <v>0.0</v>
      </c>
      <c r="AG123" s="54" t="s">
        <v>734</v>
      </c>
      <c r="AH123" s="54" t="b">
        <v>0</v>
      </c>
      <c r="AI123" s="54" t="b">
        <v>0</v>
      </c>
      <c r="AJ123" s="54">
        <v>0.0</v>
      </c>
      <c r="AK123" s="54" t="s">
        <v>789</v>
      </c>
      <c r="AL123" s="54" t="s">
        <v>754</v>
      </c>
      <c r="AM123" s="54" t="b">
        <v>0</v>
      </c>
      <c r="AN123" s="54" t="b">
        <v>0</v>
      </c>
      <c r="AO123" s="54" t="b">
        <v>0</v>
      </c>
      <c r="AP123" s="54">
        <v>216.0</v>
      </c>
      <c r="AQ123" s="54">
        <v>0.0</v>
      </c>
      <c r="AR123" s="54">
        <v>4.0</v>
      </c>
      <c r="AS123" s="54">
        <v>0.0</v>
      </c>
      <c r="AT123" s="54" t="s">
        <v>737</v>
      </c>
      <c r="AU123" s="54">
        <v>4.0</v>
      </c>
      <c r="AV123" s="54" t="s">
        <v>738</v>
      </c>
      <c r="AW123" s="54" t="s">
        <v>744</v>
      </c>
      <c r="AX123" s="54">
        <v>5.0</v>
      </c>
      <c r="AY123" s="54">
        <v>55.0</v>
      </c>
      <c r="AZ123" s="54">
        <v>15.0</v>
      </c>
      <c r="BA123" s="54">
        <v>55.0</v>
      </c>
      <c r="BB123" s="54">
        <v>15.0</v>
      </c>
      <c r="BC123" s="54" t="s">
        <v>885</v>
      </c>
      <c r="BD123" s="53"/>
      <c r="BE123" s="53"/>
    </row>
    <row r="124">
      <c r="A124" s="52">
        <v>123.0</v>
      </c>
      <c r="B124" s="52">
        <v>188.0</v>
      </c>
      <c r="C124" s="52" t="s">
        <v>417</v>
      </c>
      <c r="D124" s="52" t="s">
        <v>418</v>
      </c>
      <c r="E124" s="52" t="s">
        <v>419</v>
      </c>
      <c r="F124" s="52">
        <v>28.0</v>
      </c>
      <c r="G124" s="52">
        <v>0.0</v>
      </c>
      <c r="H124" s="52">
        <v>0.0</v>
      </c>
      <c r="I124" s="52" t="s">
        <v>733</v>
      </c>
      <c r="J124" s="52">
        <v>1989.0</v>
      </c>
      <c r="K124" s="52">
        <v>7.0</v>
      </c>
      <c r="L124" s="52">
        <v>4335.0</v>
      </c>
      <c r="M124" s="52">
        <v>1690.0</v>
      </c>
      <c r="N124" s="52">
        <v>1270.0</v>
      </c>
      <c r="O124" s="52">
        <v>2430.0</v>
      </c>
      <c r="P124" s="52">
        <v>1450.0</v>
      </c>
      <c r="Q124" s="52">
        <v>1440.0</v>
      </c>
      <c r="R124" s="52">
        <v>1230.0</v>
      </c>
      <c r="S124" s="52">
        <v>654.0</v>
      </c>
      <c r="T124" s="52">
        <v>215.0</v>
      </c>
      <c r="U124" s="52">
        <v>0.0</v>
      </c>
      <c r="V124" s="52">
        <v>0.0</v>
      </c>
      <c r="W124" s="52">
        <v>0.0</v>
      </c>
      <c r="X124" s="52">
        <v>0.0</v>
      </c>
      <c r="Y124" s="52">
        <v>6500.0</v>
      </c>
      <c r="Z124" s="52">
        <v>0.0</v>
      </c>
      <c r="AA124" s="52">
        <v>0.0</v>
      </c>
      <c r="AB124" s="52">
        <v>4000.0</v>
      </c>
      <c r="AC124" s="52">
        <v>205.0</v>
      </c>
      <c r="AD124" s="52">
        <v>0.0</v>
      </c>
      <c r="AE124" s="52">
        <v>205.0</v>
      </c>
      <c r="AF124" s="52">
        <v>0.0</v>
      </c>
      <c r="AG124" s="52" t="s">
        <v>734</v>
      </c>
      <c r="AH124" s="52" t="b">
        <v>0</v>
      </c>
      <c r="AI124" s="52" t="b">
        <v>1</v>
      </c>
      <c r="AJ124" s="52">
        <v>1.0</v>
      </c>
      <c r="AK124" s="52" t="s">
        <v>756</v>
      </c>
      <c r="AL124" s="52" t="s">
        <v>736</v>
      </c>
      <c r="AM124" s="52" t="b">
        <v>0</v>
      </c>
      <c r="AN124" s="52" t="b">
        <v>0</v>
      </c>
      <c r="AO124" s="52" t="b">
        <v>0</v>
      </c>
      <c r="AP124" s="52">
        <v>144.0</v>
      </c>
      <c r="AQ124" s="52">
        <v>0.0</v>
      </c>
      <c r="AR124" s="52">
        <v>2.0</v>
      </c>
      <c r="AS124" s="52">
        <v>0.0</v>
      </c>
      <c r="AT124" s="52" t="s">
        <v>769</v>
      </c>
      <c r="AU124" s="52">
        <v>2.0</v>
      </c>
      <c r="AV124" s="52" t="s">
        <v>757</v>
      </c>
      <c r="AW124" s="52" t="s">
        <v>739</v>
      </c>
      <c r="AX124" s="52">
        <v>5.0</v>
      </c>
      <c r="AY124" s="52">
        <v>55.0</v>
      </c>
      <c r="AZ124" s="52">
        <v>16.0</v>
      </c>
      <c r="BA124" s="52">
        <v>55.0</v>
      </c>
      <c r="BB124" s="52">
        <v>16.0</v>
      </c>
      <c r="BC124" s="52" t="s">
        <v>886</v>
      </c>
      <c r="BD124" s="53"/>
      <c r="BE124" s="53"/>
    </row>
    <row r="125">
      <c r="A125" s="54">
        <v>124.0</v>
      </c>
      <c r="B125" s="54">
        <v>189.0</v>
      </c>
      <c r="C125" s="54" t="s">
        <v>420</v>
      </c>
      <c r="D125" s="54" t="s">
        <v>421</v>
      </c>
      <c r="E125" s="54" t="s">
        <v>422</v>
      </c>
      <c r="F125" s="54">
        <v>0.0</v>
      </c>
      <c r="G125" s="54">
        <v>0.0</v>
      </c>
      <c r="H125" s="54">
        <v>0.0</v>
      </c>
      <c r="I125" s="54" t="s">
        <v>773</v>
      </c>
      <c r="J125" s="54">
        <v>2003.0</v>
      </c>
      <c r="K125" s="54">
        <v>8.0</v>
      </c>
      <c r="L125" s="54">
        <v>4360.0</v>
      </c>
      <c r="M125" s="54">
        <v>1770.0</v>
      </c>
      <c r="N125" s="54">
        <v>1450.0</v>
      </c>
      <c r="O125" s="54">
        <v>2600.0</v>
      </c>
      <c r="P125" s="54">
        <v>1550.0</v>
      </c>
      <c r="Q125" s="54">
        <v>1550.0</v>
      </c>
      <c r="R125" s="54">
        <v>1320.0</v>
      </c>
      <c r="S125" s="54">
        <v>1996.0</v>
      </c>
      <c r="T125" s="54">
        <v>0.0</v>
      </c>
      <c r="U125" s="54">
        <v>0.0</v>
      </c>
      <c r="V125" s="54">
        <v>0.0</v>
      </c>
      <c r="W125" s="54">
        <v>270.0</v>
      </c>
      <c r="X125" s="54">
        <v>0.0</v>
      </c>
      <c r="Y125" s="54">
        <v>4000.0</v>
      </c>
      <c r="Z125" s="54">
        <v>535.0</v>
      </c>
      <c r="AA125" s="54">
        <v>0.0</v>
      </c>
      <c r="AB125" s="54">
        <v>3250.0</v>
      </c>
      <c r="AC125" s="54">
        <v>225.0</v>
      </c>
      <c r="AD125" s="54">
        <v>650.0</v>
      </c>
      <c r="AE125" s="54">
        <v>225.0</v>
      </c>
      <c r="AF125" s="54">
        <v>650.0</v>
      </c>
      <c r="AG125" s="54" t="s">
        <v>734</v>
      </c>
      <c r="AH125" s="54" t="b">
        <v>0</v>
      </c>
      <c r="AI125" s="54" t="b">
        <v>0</v>
      </c>
      <c r="AJ125" s="54">
        <v>0.0</v>
      </c>
      <c r="AK125" s="54" t="s">
        <v>761</v>
      </c>
      <c r="AL125" s="54" t="s">
        <v>762</v>
      </c>
      <c r="AM125" s="54" t="b">
        <v>0</v>
      </c>
      <c r="AN125" s="54" t="b">
        <v>0</v>
      </c>
      <c r="AO125" s="54" t="b">
        <v>0</v>
      </c>
      <c r="AP125" s="54">
        <v>108.0</v>
      </c>
      <c r="AQ125" s="54">
        <v>0.0</v>
      </c>
      <c r="AR125" s="54">
        <v>2.0</v>
      </c>
      <c r="AS125" s="54">
        <v>0.0</v>
      </c>
      <c r="AT125" s="54" t="s">
        <v>737</v>
      </c>
      <c r="AU125" s="54">
        <v>4.0</v>
      </c>
      <c r="AV125" s="54" t="s">
        <v>757</v>
      </c>
      <c r="AW125" s="54" t="s">
        <v>800</v>
      </c>
      <c r="AX125" s="54">
        <v>5.0</v>
      </c>
      <c r="AY125" s="54">
        <v>0.0</v>
      </c>
      <c r="AZ125" s="54">
        <v>18.0</v>
      </c>
      <c r="BA125" s="54">
        <v>0.0</v>
      </c>
      <c r="BB125" s="54">
        <v>18.0</v>
      </c>
      <c r="BC125" s="54" t="s">
        <v>887</v>
      </c>
      <c r="BD125" s="53"/>
      <c r="BE125" s="53"/>
    </row>
    <row r="126">
      <c r="A126" s="52">
        <v>125.0</v>
      </c>
      <c r="B126" s="52">
        <v>190.0</v>
      </c>
      <c r="C126" s="52" t="s">
        <v>423</v>
      </c>
      <c r="D126" s="52" t="s">
        <v>424</v>
      </c>
      <c r="E126" s="52" t="s">
        <v>425</v>
      </c>
      <c r="F126" s="52">
        <v>0.0</v>
      </c>
      <c r="G126" s="52">
        <v>0.0</v>
      </c>
      <c r="H126" s="52">
        <v>0.0</v>
      </c>
      <c r="I126" s="52" t="s">
        <v>835</v>
      </c>
      <c r="J126" s="52">
        <v>2000.0</v>
      </c>
      <c r="K126" s="52">
        <v>8.0</v>
      </c>
      <c r="L126" s="52">
        <v>4005.0</v>
      </c>
      <c r="M126" s="52">
        <v>1770.0</v>
      </c>
      <c r="N126" s="52">
        <v>1370.0</v>
      </c>
      <c r="O126" s="52">
        <v>2468.0</v>
      </c>
      <c r="P126" s="52">
        <v>0.0</v>
      </c>
      <c r="Q126" s="52">
        <v>0.0</v>
      </c>
      <c r="R126" s="52">
        <v>1230.0</v>
      </c>
      <c r="S126" s="52">
        <v>1998.0</v>
      </c>
      <c r="T126" s="52">
        <v>0.0</v>
      </c>
      <c r="U126" s="52">
        <v>0.0</v>
      </c>
      <c r="V126" s="52">
        <v>0.0</v>
      </c>
      <c r="W126" s="52">
        <v>300.0</v>
      </c>
      <c r="X126" s="52">
        <v>0.0</v>
      </c>
      <c r="Y126" s="52">
        <v>5250.0</v>
      </c>
      <c r="Z126" s="52">
        <v>535.0</v>
      </c>
      <c r="AA126" s="52">
        <v>0.0</v>
      </c>
      <c r="AB126" s="52">
        <v>3500.0</v>
      </c>
      <c r="AC126" s="52">
        <v>200.0</v>
      </c>
      <c r="AD126" s="52">
        <v>650.0</v>
      </c>
      <c r="AE126" s="52">
        <v>200.0</v>
      </c>
      <c r="AF126" s="52">
        <v>650.0</v>
      </c>
      <c r="AG126" s="52" t="s">
        <v>792</v>
      </c>
      <c r="AH126" s="52" t="b">
        <v>0</v>
      </c>
      <c r="AI126" s="52" t="b">
        <v>0</v>
      </c>
      <c r="AJ126" s="52">
        <v>0.0</v>
      </c>
      <c r="AK126" s="52" t="s">
        <v>761</v>
      </c>
      <c r="AL126" s="52" t="s">
        <v>762</v>
      </c>
      <c r="AM126" s="52" t="b">
        <v>0</v>
      </c>
      <c r="AN126" s="52" t="b">
        <v>0</v>
      </c>
      <c r="AO126" s="52" t="b">
        <v>0</v>
      </c>
      <c r="AP126" s="52">
        <v>108.0</v>
      </c>
      <c r="AQ126" s="52">
        <v>0.0</v>
      </c>
      <c r="AR126" s="52">
        <v>2.0</v>
      </c>
      <c r="AS126" s="52">
        <v>0.0</v>
      </c>
      <c r="AT126" s="52" t="s">
        <v>737</v>
      </c>
      <c r="AU126" s="52">
        <v>4.0</v>
      </c>
      <c r="AV126" s="52" t="s">
        <v>757</v>
      </c>
      <c r="AW126" s="52" t="s">
        <v>800</v>
      </c>
      <c r="AX126" s="52">
        <v>6.0</v>
      </c>
      <c r="AY126" s="52">
        <v>0.0</v>
      </c>
      <c r="AZ126" s="52">
        <v>18.0</v>
      </c>
      <c r="BA126" s="52">
        <v>0.0</v>
      </c>
      <c r="BB126" s="52">
        <v>18.0</v>
      </c>
      <c r="BC126" s="52" t="s">
        <v>888</v>
      </c>
      <c r="BD126" s="53"/>
      <c r="BE126" s="53"/>
    </row>
    <row r="127">
      <c r="A127" s="54">
        <v>126.0</v>
      </c>
      <c r="B127" s="54">
        <v>193.0</v>
      </c>
      <c r="C127" s="54" t="s">
        <v>426</v>
      </c>
      <c r="D127" s="54" t="s">
        <v>427</v>
      </c>
      <c r="E127" s="54" t="s">
        <v>428</v>
      </c>
      <c r="F127" s="54">
        <v>0.0</v>
      </c>
      <c r="G127" s="54">
        <v>8.15</v>
      </c>
      <c r="H127" s="54">
        <v>11.4</v>
      </c>
      <c r="I127" s="54" t="s">
        <v>889</v>
      </c>
      <c r="J127" s="54">
        <v>1965.0</v>
      </c>
      <c r="K127" s="54">
        <v>7.0</v>
      </c>
      <c r="L127" s="54">
        <v>3962.0</v>
      </c>
      <c r="M127" s="54">
        <v>1779.0</v>
      </c>
      <c r="N127" s="54">
        <v>1245.0</v>
      </c>
      <c r="O127" s="54">
        <v>2286.0</v>
      </c>
      <c r="P127" s="54">
        <v>1442.0</v>
      </c>
      <c r="Q127" s="54">
        <v>1473.0</v>
      </c>
      <c r="R127" s="54">
        <v>975.0</v>
      </c>
      <c r="S127" s="54">
        <v>6998.0</v>
      </c>
      <c r="T127" s="54">
        <v>485.0</v>
      </c>
      <c r="U127" s="54">
        <v>0.0</v>
      </c>
      <c r="V127" s="54">
        <v>0.0</v>
      </c>
      <c r="W127" s="54">
        <v>0.0</v>
      </c>
      <c r="X127" s="54">
        <v>0.0</v>
      </c>
      <c r="Y127" s="54">
        <v>6500.0</v>
      </c>
      <c r="Z127" s="54">
        <v>0.0</v>
      </c>
      <c r="AA127" s="54">
        <v>480.0</v>
      </c>
      <c r="AB127" s="54">
        <v>3500.0</v>
      </c>
      <c r="AC127" s="54">
        <v>0.0</v>
      </c>
      <c r="AD127" s="54">
        <v>0.0</v>
      </c>
      <c r="AE127" s="54">
        <v>0.0</v>
      </c>
      <c r="AF127" s="54">
        <v>0.0</v>
      </c>
      <c r="AG127" s="54" t="s">
        <v>781</v>
      </c>
      <c r="AH127" s="54" t="b">
        <v>1</v>
      </c>
      <c r="AI127" s="54" t="b">
        <v>0</v>
      </c>
      <c r="AJ127" s="54">
        <v>0.0</v>
      </c>
      <c r="AK127" s="54" t="s">
        <v>756</v>
      </c>
      <c r="AL127" s="54" t="s">
        <v>736</v>
      </c>
      <c r="AM127" s="54" t="b">
        <v>0</v>
      </c>
      <c r="AN127" s="54" t="b">
        <v>0</v>
      </c>
      <c r="AO127" s="54" t="b">
        <v>0</v>
      </c>
      <c r="AP127" s="54">
        <v>36.0</v>
      </c>
      <c r="AQ127" s="54">
        <v>0.0</v>
      </c>
      <c r="AR127" s="54">
        <v>2.0</v>
      </c>
      <c r="AS127" s="54">
        <v>0.0</v>
      </c>
      <c r="AT127" s="54" t="s">
        <v>749</v>
      </c>
      <c r="AU127" s="54">
        <v>8.0</v>
      </c>
      <c r="AV127" s="54" t="s">
        <v>738</v>
      </c>
      <c r="AW127" s="54" t="s">
        <v>739</v>
      </c>
      <c r="AX127" s="54">
        <v>4.0</v>
      </c>
      <c r="AY127" s="54">
        <v>0.0</v>
      </c>
      <c r="AZ127" s="54">
        <v>15.0</v>
      </c>
      <c r="BA127" s="54">
        <v>0.0</v>
      </c>
      <c r="BB127" s="54">
        <v>15.0</v>
      </c>
      <c r="BC127" s="54" t="s">
        <v>763</v>
      </c>
      <c r="BD127" s="53"/>
      <c r="BE127" s="53"/>
    </row>
    <row r="128">
      <c r="A128" s="52">
        <v>127.0</v>
      </c>
      <c r="B128" s="52">
        <v>194.0</v>
      </c>
      <c r="C128" s="52" t="s">
        <v>429</v>
      </c>
      <c r="D128" s="52" t="s">
        <v>430</v>
      </c>
      <c r="E128" s="52" t="s">
        <v>431</v>
      </c>
      <c r="F128" s="52">
        <v>0.0</v>
      </c>
      <c r="G128" s="52">
        <v>0.0</v>
      </c>
      <c r="H128" s="52">
        <v>0.0</v>
      </c>
      <c r="I128" s="52" t="s">
        <v>890</v>
      </c>
      <c r="J128" s="52">
        <v>2003.0</v>
      </c>
      <c r="K128" s="52">
        <v>7.0</v>
      </c>
      <c r="L128" s="52">
        <v>3200.0</v>
      </c>
      <c r="M128" s="52">
        <v>1575.0</v>
      </c>
      <c r="N128" s="52">
        <v>1090.0</v>
      </c>
      <c r="O128" s="52">
        <v>2225.0</v>
      </c>
      <c r="P128" s="52">
        <v>1336.0</v>
      </c>
      <c r="Q128" s="52">
        <v>1336.0</v>
      </c>
      <c r="R128" s="52">
        <v>460.0</v>
      </c>
      <c r="S128" s="52">
        <v>1795.0</v>
      </c>
      <c r="T128" s="52">
        <v>0.0</v>
      </c>
      <c r="U128" s="52">
        <v>0.0</v>
      </c>
      <c r="V128" s="52">
        <v>0.0</v>
      </c>
      <c r="W128" s="52">
        <v>230.0</v>
      </c>
      <c r="X128" s="52">
        <v>0.0</v>
      </c>
      <c r="Y128" s="52">
        <v>8600.0</v>
      </c>
      <c r="Z128" s="52">
        <v>0.0</v>
      </c>
      <c r="AA128" s="52">
        <v>155.0</v>
      </c>
      <c r="AB128" s="52">
        <v>7200.0</v>
      </c>
      <c r="AC128" s="52">
        <v>185.0</v>
      </c>
      <c r="AD128" s="52">
        <v>0.0</v>
      </c>
      <c r="AE128" s="52">
        <v>215.0</v>
      </c>
      <c r="AF128" s="52">
        <v>0.0</v>
      </c>
      <c r="AG128" s="52" t="s">
        <v>786</v>
      </c>
      <c r="AH128" s="52" t="b">
        <v>1</v>
      </c>
      <c r="AI128" s="52" t="b">
        <v>0</v>
      </c>
      <c r="AJ128" s="52">
        <v>0.0</v>
      </c>
      <c r="AK128" s="52" t="s">
        <v>748</v>
      </c>
      <c r="AL128" s="52" t="s">
        <v>736</v>
      </c>
      <c r="AM128" s="52" t="b">
        <v>0</v>
      </c>
      <c r="AN128" s="52" t="b">
        <v>0</v>
      </c>
      <c r="AO128" s="52" t="b">
        <v>0</v>
      </c>
      <c r="AP128" s="52">
        <v>36.0</v>
      </c>
      <c r="AQ128" s="52">
        <v>0.0</v>
      </c>
      <c r="AR128" s="52">
        <v>2.0</v>
      </c>
      <c r="AS128" s="52">
        <v>0.0</v>
      </c>
      <c r="AT128" s="52" t="s">
        <v>737</v>
      </c>
      <c r="AU128" s="52">
        <v>4.0</v>
      </c>
      <c r="AV128" s="52" t="s">
        <v>738</v>
      </c>
      <c r="AW128" s="52" t="s">
        <v>739</v>
      </c>
      <c r="AX128" s="52">
        <v>6.0</v>
      </c>
      <c r="AY128" s="52">
        <v>55.0</v>
      </c>
      <c r="AZ128" s="52">
        <v>13.0</v>
      </c>
      <c r="BA128" s="52">
        <v>50.0</v>
      </c>
      <c r="BB128" s="52">
        <v>13.0</v>
      </c>
      <c r="BC128" s="52" t="s">
        <v>891</v>
      </c>
      <c r="BD128" s="53"/>
      <c r="BE128" s="53"/>
    </row>
    <row r="129">
      <c r="A129" s="54">
        <v>128.0</v>
      </c>
      <c r="B129" s="54">
        <v>197.0</v>
      </c>
      <c r="C129" s="54" t="s">
        <v>432</v>
      </c>
      <c r="D129" s="54" t="s">
        <v>433</v>
      </c>
      <c r="E129" s="54" t="s">
        <v>434</v>
      </c>
      <c r="F129" s="54">
        <v>15.6</v>
      </c>
      <c r="G129" s="54">
        <v>0.0</v>
      </c>
      <c r="H129" s="54">
        <v>0.0</v>
      </c>
      <c r="I129" s="54" t="s">
        <v>892</v>
      </c>
      <c r="J129" s="54">
        <v>1972.0</v>
      </c>
      <c r="K129" s="54">
        <v>3.0</v>
      </c>
      <c r="L129" s="54">
        <v>4000.0</v>
      </c>
      <c r="M129" s="54">
        <v>1635.0</v>
      </c>
      <c r="N129" s="54">
        <v>1080.0</v>
      </c>
      <c r="O129" s="54">
        <v>2340.0</v>
      </c>
      <c r="P129" s="54">
        <v>1375.0</v>
      </c>
      <c r="Q129" s="54">
        <v>1385.0</v>
      </c>
      <c r="R129" s="54">
        <v>730.0</v>
      </c>
      <c r="S129" s="54">
        <v>1558.0</v>
      </c>
      <c r="T129" s="54">
        <v>0.0</v>
      </c>
      <c r="U129" s="54">
        <v>0.0</v>
      </c>
      <c r="V129" s="54">
        <v>0.0</v>
      </c>
      <c r="W129" s="54">
        <v>126.0</v>
      </c>
      <c r="X129" s="54">
        <v>0.0</v>
      </c>
      <c r="Y129" s="54">
        <v>6500.0</v>
      </c>
      <c r="Z129" s="54">
        <v>0.0</v>
      </c>
      <c r="AA129" s="54">
        <v>113.0</v>
      </c>
      <c r="AB129" s="54">
        <v>5500.0</v>
      </c>
      <c r="AC129" s="54">
        <v>175.0</v>
      </c>
      <c r="AD129" s="54">
        <v>0.0</v>
      </c>
      <c r="AE129" s="54">
        <v>185.0</v>
      </c>
      <c r="AF129" s="54">
        <v>0.0</v>
      </c>
      <c r="AG129" s="54" t="s">
        <v>786</v>
      </c>
      <c r="AH129" s="54" t="b">
        <v>0</v>
      </c>
      <c r="AI129" s="54" t="b">
        <v>0</v>
      </c>
      <c r="AJ129" s="54">
        <v>2.0</v>
      </c>
      <c r="AK129" s="54" t="s">
        <v>735</v>
      </c>
      <c r="AL129" s="54" t="s">
        <v>736</v>
      </c>
      <c r="AM129" s="54" t="b">
        <v>0</v>
      </c>
      <c r="AN129" s="54" t="b">
        <v>0</v>
      </c>
      <c r="AO129" s="54" t="b">
        <v>0</v>
      </c>
      <c r="AP129" s="54">
        <v>144.0</v>
      </c>
      <c r="AQ129" s="54">
        <v>0.0</v>
      </c>
      <c r="AR129" s="54">
        <v>2.0</v>
      </c>
      <c r="AS129" s="54">
        <v>0.0</v>
      </c>
      <c r="AT129" s="54" t="s">
        <v>737</v>
      </c>
      <c r="AU129" s="54">
        <v>4.0</v>
      </c>
      <c r="AV129" s="54" t="s">
        <v>738</v>
      </c>
      <c r="AW129" s="54" t="s">
        <v>750</v>
      </c>
      <c r="AX129" s="54">
        <v>5.0</v>
      </c>
      <c r="AY129" s="54">
        <v>70.0</v>
      </c>
      <c r="AZ129" s="54">
        <v>13.0</v>
      </c>
      <c r="BA129" s="54">
        <v>70.0</v>
      </c>
      <c r="BB129" s="54">
        <v>13.0</v>
      </c>
      <c r="BC129" s="54" t="s">
        <v>763</v>
      </c>
      <c r="BD129" s="53"/>
      <c r="BE129" s="53"/>
    </row>
    <row r="130">
      <c r="A130" s="52">
        <v>129.0</v>
      </c>
      <c r="B130" s="52">
        <v>198.0</v>
      </c>
      <c r="C130" s="52" t="s">
        <v>435</v>
      </c>
      <c r="D130" s="52" t="s">
        <v>436</v>
      </c>
      <c r="E130" s="52" t="s">
        <v>437</v>
      </c>
      <c r="F130" s="52">
        <v>0.0</v>
      </c>
      <c r="G130" s="52">
        <v>0.0</v>
      </c>
      <c r="H130" s="52">
        <v>0.0</v>
      </c>
      <c r="I130" s="52" t="s">
        <v>893</v>
      </c>
      <c r="J130" s="52">
        <v>1966.0</v>
      </c>
      <c r="K130" s="52">
        <v>2.0</v>
      </c>
      <c r="L130" s="52">
        <v>3050.0</v>
      </c>
      <c r="M130" s="52">
        <v>1410.0</v>
      </c>
      <c r="N130" s="52">
        <v>1350.0</v>
      </c>
      <c r="O130" s="52">
        <v>2030.0</v>
      </c>
      <c r="P130" s="52">
        <v>1210.0</v>
      </c>
      <c r="Q130" s="52">
        <v>1180.0</v>
      </c>
      <c r="R130" s="52">
        <v>635.0</v>
      </c>
      <c r="S130" s="52">
        <v>1275.0</v>
      </c>
      <c r="T130" s="52">
        <v>0.0</v>
      </c>
      <c r="U130" s="52">
        <v>0.0</v>
      </c>
      <c r="V130" s="52">
        <v>0.0</v>
      </c>
      <c r="W130" s="52">
        <v>76.0</v>
      </c>
      <c r="X130" s="52">
        <v>0.0</v>
      </c>
      <c r="Y130" s="52">
        <v>6000.0</v>
      </c>
      <c r="Z130" s="52">
        <v>0.0</v>
      </c>
      <c r="AA130" s="52">
        <v>79.0</v>
      </c>
      <c r="AB130" s="52">
        <v>3000.0</v>
      </c>
      <c r="AC130" s="52">
        <v>145.0</v>
      </c>
      <c r="AD130" s="52">
        <v>0.0</v>
      </c>
      <c r="AE130" s="52">
        <v>145.0</v>
      </c>
      <c r="AF130" s="52">
        <v>0.0</v>
      </c>
      <c r="AG130" s="52" t="s">
        <v>786</v>
      </c>
      <c r="AH130" s="52" t="b">
        <v>0</v>
      </c>
      <c r="AI130" s="52" t="b">
        <v>0</v>
      </c>
      <c r="AJ130" s="52">
        <v>0.0</v>
      </c>
      <c r="AK130" s="52" t="s">
        <v>742</v>
      </c>
      <c r="AL130" s="52" t="s">
        <v>754</v>
      </c>
      <c r="AM130" s="52" t="b">
        <v>0</v>
      </c>
      <c r="AN130" s="52" t="b">
        <v>0</v>
      </c>
      <c r="AO130" s="52" t="b">
        <v>0</v>
      </c>
      <c r="AP130" s="52">
        <v>180.0</v>
      </c>
      <c r="AQ130" s="52">
        <v>0.0</v>
      </c>
      <c r="AR130" s="52">
        <v>4.0</v>
      </c>
      <c r="AS130" s="52">
        <v>0.0</v>
      </c>
      <c r="AT130" s="52" t="s">
        <v>737</v>
      </c>
      <c r="AU130" s="52">
        <v>4.0</v>
      </c>
      <c r="AV130" s="52" t="s">
        <v>738</v>
      </c>
      <c r="AW130" s="52" t="s">
        <v>744</v>
      </c>
      <c r="AX130" s="52">
        <v>4.0</v>
      </c>
      <c r="AY130" s="52">
        <v>0.0</v>
      </c>
      <c r="AZ130" s="52">
        <v>10.0</v>
      </c>
      <c r="BA130" s="52">
        <v>0.0</v>
      </c>
      <c r="BB130" s="52">
        <v>10.0</v>
      </c>
      <c r="BC130" s="52" t="s">
        <v>763</v>
      </c>
      <c r="BD130" s="53"/>
      <c r="BE130" s="53"/>
    </row>
    <row r="131">
      <c r="A131" s="54">
        <v>130.0</v>
      </c>
      <c r="B131" s="54">
        <v>199.0</v>
      </c>
      <c r="C131" s="54" t="s">
        <v>438</v>
      </c>
      <c r="D131" s="54" t="s">
        <v>439</v>
      </c>
      <c r="E131" s="54" t="s">
        <v>440</v>
      </c>
      <c r="F131" s="54">
        <v>3.1</v>
      </c>
      <c r="G131" s="54">
        <v>0.0</v>
      </c>
      <c r="H131" s="54">
        <v>0.0</v>
      </c>
      <c r="I131" s="54" t="s">
        <v>894</v>
      </c>
      <c r="J131" s="54">
        <v>1965.0</v>
      </c>
      <c r="K131" s="54">
        <v>1.0</v>
      </c>
      <c r="L131" s="54">
        <v>2970.0</v>
      </c>
      <c r="M131" s="54">
        <v>1320.0</v>
      </c>
      <c r="N131" s="54">
        <v>1335.0</v>
      </c>
      <c r="O131" s="54">
        <v>1840.0</v>
      </c>
      <c r="P131" s="54">
        <v>1121.0</v>
      </c>
      <c r="Q131" s="54">
        <v>1135.0</v>
      </c>
      <c r="R131" s="54">
        <v>520.0</v>
      </c>
      <c r="S131" s="54">
        <v>499.0</v>
      </c>
      <c r="T131" s="54">
        <v>0.0</v>
      </c>
      <c r="U131" s="54">
        <v>0.0</v>
      </c>
      <c r="V131" s="54">
        <v>18.0</v>
      </c>
      <c r="W131" s="54">
        <v>18.0</v>
      </c>
      <c r="X131" s="54">
        <v>0.0</v>
      </c>
      <c r="Y131" s="54">
        <v>4400.0</v>
      </c>
      <c r="Z131" s="54">
        <v>30.0</v>
      </c>
      <c r="AA131" s="54">
        <v>22.0</v>
      </c>
      <c r="AB131" s="54">
        <v>3500.0</v>
      </c>
      <c r="AC131" s="54">
        <v>125.0</v>
      </c>
      <c r="AD131" s="54">
        <v>0.0</v>
      </c>
      <c r="AE131" s="54">
        <v>125.0</v>
      </c>
      <c r="AF131" s="54">
        <v>0.0</v>
      </c>
      <c r="AG131" s="54" t="s">
        <v>788</v>
      </c>
      <c r="AH131" s="54" t="b">
        <v>0</v>
      </c>
      <c r="AI131" s="54" t="b">
        <v>0</v>
      </c>
      <c r="AJ131" s="54">
        <v>0.0</v>
      </c>
      <c r="AK131" s="54" t="s">
        <v>777</v>
      </c>
      <c r="AL131" s="54" t="s">
        <v>743</v>
      </c>
      <c r="AM131" s="54" t="b">
        <v>0</v>
      </c>
      <c r="AN131" s="54" t="b">
        <v>0</v>
      </c>
      <c r="AO131" s="54" t="b">
        <v>0</v>
      </c>
      <c r="AP131" s="54">
        <v>216.0</v>
      </c>
      <c r="AQ131" s="54">
        <v>0.0</v>
      </c>
      <c r="AR131" s="54">
        <v>4.0</v>
      </c>
      <c r="AS131" s="54">
        <v>0.0</v>
      </c>
      <c r="AT131" s="54" t="s">
        <v>737</v>
      </c>
      <c r="AU131" s="54">
        <v>2.0</v>
      </c>
      <c r="AV131" s="54" t="s">
        <v>738</v>
      </c>
      <c r="AW131" s="54" t="s">
        <v>778</v>
      </c>
      <c r="AX131" s="54">
        <v>4.0</v>
      </c>
      <c r="AY131" s="54">
        <v>0.0</v>
      </c>
      <c r="AZ131" s="54">
        <v>12.0</v>
      </c>
      <c r="BA131" s="54">
        <v>0.0</v>
      </c>
      <c r="BB131" s="54">
        <v>12.0</v>
      </c>
      <c r="BC131" s="54" t="s">
        <v>763</v>
      </c>
      <c r="BD131" s="53"/>
      <c r="BE131" s="53"/>
    </row>
    <row r="132">
      <c r="A132" s="52">
        <v>131.0</v>
      </c>
      <c r="B132" s="52">
        <v>200.0</v>
      </c>
      <c r="C132" s="52" t="s">
        <v>441</v>
      </c>
      <c r="D132" s="52" t="s">
        <v>442</v>
      </c>
      <c r="E132" s="52" t="s">
        <v>443</v>
      </c>
      <c r="F132" s="52">
        <v>23.0</v>
      </c>
      <c r="G132" s="52">
        <v>0.0</v>
      </c>
      <c r="H132" s="52">
        <v>0.0</v>
      </c>
      <c r="I132" s="52" t="s">
        <v>787</v>
      </c>
      <c r="J132" s="52">
        <v>1982.0</v>
      </c>
      <c r="K132" s="52">
        <v>4.0</v>
      </c>
      <c r="L132" s="52">
        <v>3915.0</v>
      </c>
      <c r="M132" s="52">
        <v>1850.0</v>
      </c>
      <c r="N132" s="52">
        <v>1245.0</v>
      </c>
      <c r="O132" s="52">
        <v>2440.0</v>
      </c>
      <c r="P132" s="52">
        <v>1508.0</v>
      </c>
      <c r="Q132" s="52">
        <v>1490.0</v>
      </c>
      <c r="R132" s="52">
        <v>1170.0</v>
      </c>
      <c r="S132" s="52">
        <v>1995.0</v>
      </c>
      <c r="T132" s="52">
        <v>0.0</v>
      </c>
      <c r="U132" s="52">
        <v>151.0</v>
      </c>
      <c r="V132" s="52">
        <v>0.0</v>
      </c>
      <c r="W132" s="52">
        <v>205.0</v>
      </c>
      <c r="X132" s="52">
        <v>0.0</v>
      </c>
      <c r="Y132" s="52">
        <v>7000.0</v>
      </c>
      <c r="Z132" s="52">
        <v>234.0</v>
      </c>
      <c r="AA132" s="52">
        <v>0.0</v>
      </c>
      <c r="AB132" s="52">
        <v>5000.0</v>
      </c>
      <c r="AC132" s="52">
        <v>205.0</v>
      </c>
      <c r="AD132" s="52">
        <v>0.0</v>
      </c>
      <c r="AE132" s="52">
        <v>225.0</v>
      </c>
      <c r="AF132" s="52">
        <v>0.0</v>
      </c>
      <c r="AG132" s="52" t="s">
        <v>788</v>
      </c>
      <c r="AH132" s="52" t="b">
        <v>0</v>
      </c>
      <c r="AI132" s="52" t="b">
        <v>0</v>
      </c>
      <c r="AJ132" s="52">
        <v>0.0</v>
      </c>
      <c r="AK132" s="52" t="s">
        <v>789</v>
      </c>
      <c r="AL132" s="52" t="s">
        <v>736</v>
      </c>
      <c r="AM132" s="52" t="b">
        <v>0</v>
      </c>
      <c r="AN132" s="52" t="b">
        <v>0</v>
      </c>
      <c r="AO132" s="52" t="b">
        <v>0</v>
      </c>
      <c r="AP132" s="52">
        <v>72.0</v>
      </c>
      <c r="AQ132" s="52">
        <v>0.0</v>
      </c>
      <c r="AR132" s="52">
        <v>2.0</v>
      </c>
      <c r="AS132" s="52">
        <v>0.0</v>
      </c>
      <c r="AT132" s="52" t="s">
        <v>737</v>
      </c>
      <c r="AU132" s="52">
        <v>4.0</v>
      </c>
      <c r="AV132" s="52" t="s">
        <v>817</v>
      </c>
      <c r="AW132" s="52" t="s">
        <v>750</v>
      </c>
      <c r="AX132" s="52">
        <v>5.0</v>
      </c>
      <c r="AY132" s="52">
        <v>55.0</v>
      </c>
      <c r="AZ132" s="52">
        <v>16.0</v>
      </c>
      <c r="BA132" s="52">
        <v>50.0</v>
      </c>
      <c r="BB132" s="52">
        <v>16.0</v>
      </c>
      <c r="BC132" s="52" t="s">
        <v>895</v>
      </c>
      <c r="BD132" s="53"/>
      <c r="BE132" s="53"/>
    </row>
    <row r="133">
      <c r="A133" s="54">
        <v>132.0</v>
      </c>
      <c r="B133" s="54">
        <v>201.0</v>
      </c>
      <c r="C133" s="54" t="s">
        <v>444</v>
      </c>
      <c r="D133" s="54" t="s">
        <v>445</v>
      </c>
      <c r="E133" s="54" t="s">
        <v>446</v>
      </c>
      <c r="F133" s="54">
        <v>18.0</v>
      </c>
      <c r="G133" s="54">
        <v>6.45</v>
      </c>
      <c r="H133" s="54">
        <v>6.45</v>
      </c>
      <c r="I133" s="54" t="s">
        <v>741</v>
      </c>
      <c r="J133" s="54">
        <v>1970.0</v>
      </c>
      <c r="K133" s="54">
        <v>3.0</v>
      </c>
      <c r="L133" s="54">
        <v>4330.0</v>
      </c>
      <c r="M133" s="54">
        <v>1665.0</v>
      </c>
      <c r="N133" s="54">
        <v>1370.0</v>
      </c>
      <c r="O133" s="54">
        <v>2570.0</v>
      </c>
      <c r="P133" s="54">
        <v>1370.0</v>
      </c>
      <c r="Q133" s="54">
        <v>1365.0</v>
      </c>
      <c r="R133" s="54">
        <v>1100.0</v>
      </c>
      <c r="S133" s="54">
        <v>1989.0</v>
      </c>
      <c r="T133" s="54">
        <v>160.0</v>
      </c>
      <c r="U133" s="54">
        <v>0.0</v>
      </c>
      <c r="V133" s="54">
        <v>0.0</v>
      </c>
      <c r="W133" s="54">
        <v>0.0</v>
      </c>
      <c r="X133" s="54">
        <v>0.0</v>
      </c>
      <c r="Y133" s="54">
        <v>7000.0</v>
      </c>
      <c r="Z133" s="54">
        <v>0.0</v>
      </c>
      <c r="AA133" s="54">
        <v>0.0</v>
      </c>
      <c r="AB133" s="54">
        <v>5600.0</v>
      </c>
      <c r="AC133" s="54">
        <v>165.0</v>
      </c>
      <c r="AD133" s="54">
        <v>0.0</v>
      </c>
      <c r="AE133" s="54">
        <v>165.0</v>
      </c>
      <c r="AF133" s="54">
        <v>0.0</v>
      </c>
      <c r="AG133" s="54" t="s">
        <v>734</v>
      </c>
      <c r="AH133" s="54" t="b">
        <v>0</v>
      </c>
      <c r="AI133" s="54" t="b">
        <v>0</v>
      </c>
      <c r="AJ133" s="54">
        <v>2.0</v>
      </c>
      <c r="AK133" s="54" t="s">
        <v>742</v>
      </c>
      <c r="AL133" s="54" t="s">
        <v>754</v>
      </c>
      <c r="AM133" s="54" t="b">
        <v>0</v>
      </c>
      <c r="AN133" s="54" t="b">
        <v>0</v>
      </c>
      <c r="AO133" s="54" t="b">
        <v>0</v>
      </c>
      <c r="AP133" s="54">
        <v>108.0</v>
      </c>
      <c r="AQ133" s="54">
        <v>0.0</v>
      </c>
      <c r="AR133" s="54">
        <v>5.0</v>
      </c>
      <c r="AS133" s="54">
        <v>1.0</v>
      </c>
      <c r="AT133" s="54" t="s">
        <v>737</v>
      </c>
      <c r="AU133" s="54">
        <v>6.0</v>
      </c>
      <c r="AV133" s="54" t="s">
        <v>738</v>
      </c>
      <c r="AW133" s="54" t="s">
        <v>739</v>
      </c>
      <c r="AX133" s="54">
        <v>5.0</v>
      </c>
      <c r="AY133" s="54">
        <v>0.0</v>
      </c>
      <c r="AZ133" s="54">
        <v>14.0</v>
      </c>
      <c r="BA133" s="54">
        <v>0.0</v>
      </c>
      <c r="BB133" s="54">
        <v>14.0</v>
      </c>
      <c r="BC133" s="54" t="s">
        <v>896</v>
      </c>
      <c r="BD133" s="53"/>
      <c r="BE133" s="53"/>
    </row>
    <row r="134">
      <c r="A134" s="52">
        <v>133.0</v>
      </c>
      <c r="B134" s="52">
        <v>203.0</v>
      </c>
      <c r="C134" s="52" t="s">
        <v>447</v>
      </c>
      <c r="D134" s="52" t="s">
        <v>448</v>
      </c>
      <c r="E134" s="52" t="s">
        <v>449</v>
      </c>
      <c r="F134" s="52">
        <v>40.2</v>
      </c>
      <c r="G134" s="52">
        <v>0.0</v>
      </c>
      <c r="H134" s="52">
        <v>0.0</v>
      </c>
      <c r="I134" s="52" t="s">
        <v>776</v>
      </c>
      <c r="J134" s="52">
        <v>2002.0</v>
      </c>
      <c r="K134" s="52">
        <v>6.0</v>
      </c>
      <c r="L134" s="52">
        <v>4415.0</v>
      </c>
      <c r="M134" s="52">
        <v>1740.0</v>
      </c>
      <c r="N134" s="52">
        <v>1425.0</v>
      </c>
      <c r="O134" s="52">
        <v>2525.0</v>
      </c>
      <c r="P134" s="52">
        <v>1490.0</v>
      </c>
      <c r="Q134" s="52">
        <v>1485.0</v>
      </c>
      <c r="R134" s="52">
        <v>1440.0</v>
      </c>
      <c r="S134" s="52">
        <v>1994.0</v>
      </c>
      <c r="T134" s="52">
        <v>280.0</v>
      </c>
      <c r="U134" s="52">
        <v>206.0</v>
      </c>
      <c r="V134" s="52">
        <v>0.0</v>
      </c>
      <c r="W134" s="52">
        <v>0.0</v>
      </c>
      <c r="X134" s="52">
        <v>0.0</v>
      </c>
      <c r="Y134" s="52">
        <v>6000.0</v>
      </c>
      <c r="Z134" s="52">
        <v>394.0</v>
      </c>
      <c r="AA134" s="52">
        <v>0.0</v>
      </c>
      <c r="AB134" s="52">
        <v>4400.0</v>
      </c>
      <c r="AC134" s="52">
        <v>225.0</v>
      </c>
      <c r="AD134" s="52">
        <v>0.0</v>
      </c>
      <c r="AE134" s="52">
        <v>225.0</v>
      </c>
      <c r="AF134" s="52">
        <v>0.0</v>
      </c>
      <c r="AG134" s="52" t="s">
        <v>734</v>
      </c>
      <c r="AH134" s="52" t="b">
        <v>0</v>
      </c>
      <c r="AI134" s="52" t="b">
        <v>0</v>
      </c>
      <c r="AJ134" s="52">
        <v>0.0</v>
      </c>
      <c r="AK134" s="52" t="s">
        <v>748</v>
      </c>
      <c r="AL134" s="52" t="s">
        <v>754</v>
      </c>
      <c r="AM134" s="52" t="b">
        <v>0</v>
      </c>
      <c r="AN134" s="52" t="b">
        <v>0</v>
      </c>
      <c r="AO134" s="52" t="b">
        <v>0</v>
      </c>
      <c r="AP134" s="52">
        <v>180.0</v>
      </c>
      <c r="AQ134" s="52">
        <v>0.0</v>
      </c>
      <c r="AR134" s="52">
        <v>5.0</v>
      </c>
      <c r="AS134" s="52">
        <v>0.0</v>
      </c>
      <c r="AT134" s="52" t="s">
        <v>759</v>
      </c>
      <c r="AU134" s="52">
        <v>4.0</v>
      </c>
      <c r="AV134" s="52" t="s">
        <v>757</v>
      </c>
      <c r="AW134" s="52" t="s">
        <v>800</v>
      </c>
      <c r="AX134" s="52">
        <v>6.0</v>
      </c>
      <c r="AY134" s="52">
        <v>45.0</v>
      </c>
      <c r="AZ134" s="52">
        <v>17.0</v>
      </c>
      <c r="BA134" s="52">
        <v>45.0</v>
      </c>
      <c r="BB134" s="52">
        <v>17.0</v>
      </c>
      <c r="BC134" s="52" t="s">
        <v>812</v>
      </c>
      <c r="BD134" s="53"/>
      <c r="BE134" s="53"/>
    </row>
    <row r="135">
      <c r="A135" s="54">
        <v>134.0</v>
      </c>
      <c r="B135" s="54">
        <v>206.0</v>
      </c>
      <c r="C135" s="54" t="s">
        <v>450</v>
      </c>
      <c r="D135" s="54" t="s">
        <v>451</v>
      </c>
      <c r="E135" s="54" t="s">
        <v>452</v>
      </c>
      <c r="F135" s="54">
        <v>0.0</v>
      </c>
      <c r="G135" s="54">
        <v>6.7</v>
      </c>
      <c r="H135" s="54">
        <v>6.7</v>
      </c>
      <c r="I135" s="54" t="s">
        <v>897</v>
      </c>
      <c r="J135" s="54">
        <v>1964.0</v>
      </c>
      <c r="K135" s="54">
        <v>4.0</v>
      </c>
      <c r="L135" s="54">
        <v>4572.0</v>
      </c>
      <c r="M135" s="54">
        <v>1676.0</v>
      </c>
      <c r="N135" s="54">
        <v>1320.0</v>
      </c>
      <c r="O135" s="54">
        <v>2490.0</v>
      </c>
      <c r="P135" s="54">
        <v>1370.0</v>
      </c>
      <c r="Q135" s="54">
        <v>1360.0</v>
      </c>
      <c r="R135" s="54">
        <v>1467.0</v>
      </c>
      <c r="S135" s="54">
        <v>3995.0</v>
      </c>
      <c r="T135" s="54">
        <v>0.0</v>
      </c>
      <c r="U135" s="54">
        <v>0.0</v>
      </c>
      <c r="V135" s="54">
        <v>0.0</v>
      </c>
      <c r="W135" s="54">
        <v>314.0</v>
      </c>
      <c r="X135" s="54">
        <v>0.0</v>
      </c>
      <c r="Y135" s="54">
        <v>5750.0</v>
      </c>
      <c r="Z135" s="54">
        <v>0.0</v>
      </c>
      <c r="AA135" s="54">
        <v>280.0</v>
      </c>
      <c r="AB135" s="54">
        <v>4500.0</v>
      </c>
      <c r="AC135" s="54">
        <v>0.0</v>
      </c>
      <c r="AD135" s="54">
        <v>0.0</v>
      </c>
      <c r="AE135" s="54">
        <v>0.0</v>
      </c>
      <c r="AF135" s="54">
        <v>0.0</v>
      </c>
      <c r="AG135" s="54" t="s">
        <v>786</v>
      </c>
      <c r="AH135" s="54" t="b">
        <v>0</v>
      </c>
      <c r="AI135" s="54" t="b">
        <v>0</v>
      </c>
      <c r="AJ135" s="54">
        <v>1.0</v>
      </c>
      <c r="AK135" s="54" t="s">
        <v>735</v>
      </c>
      <c r="AL135" s="54" t="s">
        <v>754</v>
      </c>
      <c r="AM135" s="54" t="b">
        <v>0</v>
      </c>
      <c r="AN135" s="54" t="b">
        <v>0</v>
      </c>
      <c r="AO135" s="54" t="b">
        <v>0</v>
      </c>
      <c r="AP135" s="54">
        <v>72.0</v>
      </c>
      <c r="AQ135" s="54">
        <v>0.0</v>
      </c>
      <c r="AR135" s="54">
        <v>4.0</v>
      </c>
      <c r="AS135" s="54">
        <v>0.0</v>
      </c>
      <c r="AT135" s="54" t="s">
        <v>737</v>
      </c>
      <c r="AU135" s="54">
        <v>6.0</v>
      </c>
      <c r="AV135" s="54" t="s">
        <v>738</v>
      </c>
      <c r="AW135" s="54" t="s">
        <v>739</v>
      </c>
      <c r="AX135" s="54">
        <v>5.0</v>
      </c>
      <c r="AY135" s="54">
        <v>0.0</v>
      </c>
      <c r="AZ135" s="54">
        <v>15.0</v>
      </c>
      <c r="BA135" s="54">
        <v>0.0</v>
      </c>
      <c r="BB135" s="54">
        <v>15.0</v>
      </c>
      <c r="BC135" s="54" t="s">
        <v>763</v>
      </c>
      <c r="BD135" s="53"/>
      <c r="BE135" s="53"/>
    </row>
    <row r="136">
      <c r="A136" s="52">
        <v>135.0</v>
      </c>
      <c r="B136" s="52">
        <v>208.0</v>
      </c>
      <c r="C136" s="52" t="s">
        <v>453</v>
      </c>
      <c r="D136" s="52" t="s">
        <v>454</v>
      </c>
      <c r="E136" s="52" t="s">
        <v>455</v>
      </c>
      <c r="F136" s="52">
        <v>0.0</v>
      </c>
      <c r="G136" s="52">
        <v>0.0</v>
      </c>
      <c r="H136" s="52">
        <v>0.0</v>
      </c>
      <c r="I136" s="52" t="s">
        <v>898</v>
      </c>
      <c r="J136" s="52">
        <v>1981.0</v>
      </c>
      <c r="K136" s="52">
        <v>2.0</v>
      </c>
      <c r="L136" s="52">
        <v>4267.0</v>
      </c>
      <c r="M136" s="52">
        <v>1990.0</v>
      </c>
      <c r="N136" s="52">
        <v>1140.0</v>
      </c>
      <c r="O136" s="52">
        <v>2408.0</v>
      </c>
      <c r="P136" s="52">
        <v>1590.0</v>
      </c>
      <c r="Q136" s="52">
        <v>1588.0</v>
      </c>
      <c r="R136" s="52">
        <v>1244.0</v>
      </c>
      <c r="S136" s="52">
        <v>2849.0</v>
      </c>
      <c r="T136" s="52">
        <v>0.0</v>
      </c>
      <c r="U136" s="52">
        <v>0.0</v>
      </c>
      <c r="V136" s="52">
        <v>130.0</v>
      </c>
      <c r="W136" s="52">
        <v>130.0</v>
      </c>
      <c r="X136" s="52">
        <v>0.0</v>
      </c>
      <c r="Y136" s="52">
        <v>5500.0</v>
      </c>
      <c r="Z136" s="52">
        <v>0.0</v>
      </c>
      <c r="AA136" s="52">
        <v>153.0</v>
      </c>
      <c r="AB136" s="52">
        <v>2750.0</v>
      </c>
      <c r="AC136" s="52">
        <v>195.0</v>
      </c>
      <c r="AD136" s="52">
        <v>0.0</v>
      </c>
      <c r="AE136" s="52">
        <v>235.0</v>
      </c>
      <c r="AF136" s="52">
        <v>0.0</v>
      </c>
      <c r="AG136" s="52" t="s">
        <v>781</v>
      </c>
      <c r="AH136" s="52" t="b">
        <v>0</v>
      </c>
      <c r="AI136" s="52" t="b">
        <v>0</v>
      </c>
      <c r="AJ136" s="52">
        <v>0.0</v>
      </c>
      <c r="AK136" s="52" t="s">
        <v>742</v>
      </c>
      <c r="AL136" s="52" t="s">
        <v>771</v>
      </c>
      <c r="AM136" s="52" t="b">
        <v>0</v>
      </c>
      <c r="AN136" s="52" t="b">
        <v>0</v>
      </c>
      <c r="AO136" s="52" t="b">
        <v>0</v>
      </c>
      <c r="AP136" s="52">
        <v>36.0</v>
      </c>
      <c r="AQ136" s="52">
        <v>0.0</v>
      </c>
      <c r="AR136" s="52">
        <v>2.0</v>
      </c>
      <c r="AS136" s="52">
        <v>0.0</v>
      </c>
      <c r="AT136" s="52" t="s">
        <v>749</v>
      </c>
      <c r="AU136" s="52">
        <v>6.0</v>
      </c>
      <c r="AV136" s="52" t="s">
        <v>738</v>
      </c>
      <c r="AW136" s="52" t="s">
        <v>778</v>
      </c>
      <c r="AX136" s="52">
        <v>5.0</v>
      </c>
      <c r="AY136" s="52">
        <v>60.0</v>
      </c>
      <c r="AZ136" s="52">
        <v>14.0</v>
      </c>
      <c r="BA136" s="52">
        <v>60.0</v>
      </c>
      <c r="BB136" s="52">
        <v>15.0</v>
      </c>
      <c r="BC136" s="52" t="s">
        <v>763</v>
      </c>
      <c r="BD136" s="53"/>
      <c r="BE136" s="53"/>
    </row>
    <row r="137">
      <c r="A137" s="54">
        <v>136.0</v>
      </c>
      <c r="B137" s="54">
        <v>209.0</v>
      </c>
      <c r="C137" s="54" t="s">
        <v>456</v>
      </c>
      <c r="D137" s="54" t="s">
        <v>457</v>
      </c>
      <c r="E137" s="54" t="s">
        <v>458</v>
      </c>
      <c r="F137" s="54">
        <v>19.4</v>
      </c>
      <c r="G137" s="54">
        <v>0.0</v>
      </c>
      <c r="H137" s="54">
        <v>0.0</v>
      </c>
      <c r="I137" s="54" t="s">
        <v>892</v>
      </c>
      <c r="J137" s="54">
        <v>1978.0</v>
      </c>
      <c r="K137" s="54">
        <v>4.0</v>
      </c>
      <c r="L137" s="54">
        <v>4220.0</v>
      </c>
      <c r="M137" s="54">
        <v>1860.0</v>
      </c>
      <c r="N137" s="54">
        <v>1110.0</v>
      </c>
      <c r="O137" s="54">
        <v>2438.0</v>
      </c>
      <c r="P137" s="54">
        <v>1511.0</v>
      </c>
      <c r="Q137" s="54">
        <v>1536.0</v>
      </c>
      <c r="R137" s="54">
        <v>1070.0</v>
      </c>
      <c r="S137" s="54">
        <v>1973.0</v>
      </c>
      <c r="T137" s="54">
        <v>0.0</v>
      </c>
      <c r="U137" s="54">
        <v>0.0</v>
      </c>
      <c r="V137" s="54">
        <v>160.0</v>
      </c>
      <c r="W137" s="54">
        <v>160.0</v>
      </c>
      <c r="X137" s="54">
        <v>0.0</v>
      </c>
      <c r="Y137" s="54">
        <v>6200.0</v>
      </c>
      <c r="Z137" s="54">
        <v>0.0</v>
      </c>
      <c r="AA137" s="54">
        <v>140.0</v>
      </c>
      <c r="AB137" s="54">
        <v>4900.0</v>
      </c>
      <c r="AC137" s="54">
        <v>195.0</v>
      </c>
      <c r="AD137" s="54">
        <v>0.0</v>
      </c>
      <c r="AE137" s="54">
        <v>205.0</v>
      </c>
      <c r="AF137" s="54">
        <v>0.0</v>
      </c>
      <c r="AG137" s="54" t="s">
        <v>786</v>
      </c>
      <c r="AH137" s="54" t="b">
        <v>0</v>
      </c>
      <c r="AI137" s="54" t="b">
        <v>1</v>
      </c>
      <c r="AJ137" s="54">
        <v>1.0</v>
      </c>
      <c r="AK137" s="54" t="s">
        <v>735</v>
      </c>
      <c r="AL137" s="54" t="s">
        <v>736</v>
      </c>
      <c r="AM137" s="54" t="b">
        <v>0</v>
      </c>
      <c r="AN137" s="54" t="b">
        <v>0</v>
      </c>
      <c r="AO137" s="54" t="b">
        <v>0</v>
      </c>
      <c r="AP137" s="54">
        <v>144.0</v>
      </c>
      <c r="AQ137" s="54">
        <v>0.0</v>
      </c>
      <c r="AR137" s="54">
        <v>2.0</v>
      </c>
      <c r="AS137" s="54">
        <v>0.0</v>
      </c>
      <c r="AT137" s="54" t="s">
        <v>737</v>
      </c>
      <c r="AU137" s="54">
        <v>4.0</v>
      </c>
      <c r="AV137" s="54" t="s">
        <v>738</v>
      </c>
      <c r="AW137" s="54" t="s">
        <v>750</v>
      </c>
      <c r="AX137" s="54">
        <v>5.0</v>
      </c>
      <c r="AY137" s="54">
        <v>60.0</v>
      </c>
      <c r="AZ137" s="54">
        <v>14.0</v>
      </c>
      <c r="BA137" s="54">
        <v>70.0</v>
      </c>
      <c r="BB137" s="54">
        <v>14.0</v>
      </c>
      <c r="BC137" s="54" t="s">
        <v>899</v>
      </c>
      <c r="BD137" s="53"/>
      <c r="BE137" s="53"/>
    </row>
    <row r="138">
      <c r="A138" s="52">
        <v>137.0</v>
      </c>
      <c r="B138" s="52">
        <v>211.0</v>
      </c>
      <c r="C138" s="52" t="s">
        <v>459</v>
      </c>
      <c r="D138" s="52" t="s">
        <v>460</v>
      </c>
      <c r="E138" s="52" t="s">
        <v>461</v>
      </c>
      <c r="F138" s="52">
        <v>17.7</v>
      </c>
      <c r="G138" s="52">
        <v>0.0</v>
      </c>
      <c r="H138" s="52">
        <v>0.0</v>
      </c>
      <c r="I138" s="52" t="s">
        <v>892</v>
      </c>
      <c r="J138" s="52">
        <v>2003.0</v>
      </c>
      <c r="K138" s="52">
        <v>4.0</v>
      </c>
      <c r="L138" s="52">
        <v>3785.0</v>
      </c>
      <c r="M138" s="52">
        <v>1719.0</v>
      </c>
      <c r="N138" s="52">
        <v>1143.0</v>
      </c>
      <c r="O138" s="52">
        <v>2300.0</v>
      </c>
      <c r="P138" s="52">
        <v>1457.0</v>
      </c>
      <c r="Q138" s="52">
        <v>1503.0</v>
      </c>
      <c r="R138" s="52">
        <v>806.0</v>
      </c>
      <c r="S138" s="52">
        <v>1796.0</v>
      </c>
      <c r="T138" s="52">
        <v>156.0</v>
      </c>
      <c r="U138" s="52">
        <v>116.0</v>
      </c>
      <c r="V138" s="52">
        <v>0.0</v>
      </c>
      <c r="W138" s="52">
        <v>0.0</v>
      </c>
      <c r="X138" s="52">
        <v>0.0</v>
      </c>
      <c r="Y138" s="52">
        <v>7000.0</v>
      </c>
      <c r="Z138" s="52">
        <v>174.0</v>
      </c>
      <c r="AA138" s="52">
        <v>0.0</v>
      </c>
      <c r="AB138" s="52">
        <v>4500.0</v>
      </c>
      <c r="AC138" s="52">
        <v>175.0</v>
      </c>
      <c r="AD138" s="52">
        <v>0.0</v>
      </c>
      <c r="AE138" s="52">
        <v>225.0</v>
      </c>
      <c r="AF138" s="52">
        <v>0.0</v>
      </c>
      <c r="AG138" s="52" t="s">
        <v>786</v>
      </c>
      <c r="AH138" s="52" t="b">
        <v>1</v>
      </c>
      <c r="AI138" s="52" t="b">
        <v>0</v>
      </c>
      <c r="AJ138" s="52">
        <v>0.0</v>
      </c>
      <c r="AK138" s="52" t="s">
        <v>789</v>
      </c>
      <c r="AL138" s="52" t="s">
        <v>736</v>
      </c>
      <c r="AM138" s="52" t="b">
        <v>0</v>
      </c>
      <c r="AN138" s="52" t="b">
        <v>0</v>
      </c>
      <c r="AO138" s="52" t="b">
        <v>0</v>
      </c>
      <c r="AP138" s="52">
        <v>180.0</v>
      </c>
      <c r="AQ138" s="52">
        <v>0.0</v>
      </c>
      <c r="AR138" s="52">
        <v>2.0</v>
      </c>
      <c r="AS138" s="52">
        <v>0.0</v>
      </c>
      <c r="AT138" s="52" t="s">
        <v>737</v>
      </c>
      <c r="AU138" s="52">
        <v>4.0</v>
      </c>
      <c r="AV138" s="52" t="s">
        <v>738</v>
      </c>
      <c r="AW138" s="52" t="s">
        <v>750</v>
      </c>
      <c r="AX138" s="52">
        <v>5.0</v>
      </c>
      <c r="AY138" s="52">
        <v>55.0</v>
      </c>
      <c r="AZ138" s="52">
        <v>16.0</v>
      </c>
      <c r="BA138" s="52">
        <v>45.0</v>
      </c>
      <c r="BB138" s="52">
        <v>17.0</v>
      </c>
      <c r="BC138" s="52" t="s">
        <v>900</v>
      </c>
      <c r="BD138" s="53"/>
      <c r="BE138" s="53"/>
    </row>
    <row r="139">
      <c r="A139" s="54">
        <v>138.0</v>
      </c>
      <c r="B139" s="54">
        <v>212.0</v>
      </c>
      <c r="C139" s="54" t="s">
        <v>462</v>
      </c>
      <c r="D139" s="54" t="s">
        <v>463</v>
      </c>
      <c r="E139" s="54" t="s">
        <v>464</v>
      </c>
      <c r="F139" s="54">
        <v>50.0</v>
      </c>
      <c r="G139" s="54">
        <v>0.0</v>
      </c>
      <c r="H139" s="54">
        <v>0.0</v>
      </c>
      <c r="I139" s="54" t="s">
        <v>901</v>
      </c>
      <c r="J139" s="54">
        <v>1973.0</v>
      </c>
      <c r="K139" s="54">
        <v>6.0</v>
      </c>
      <c r="L139" s="54">
        <v>4270.0</v>
      </c>
      <c r="M139" s="54">
        <v>1900.0</v>
      </c>
      <c r="N139" s="54">
        <v>1100.0</v>
      </c>
      <c r="O139" s="54">
        <v>2515.0</v>
      </c>
      <c r="P139" s="54">
        <v>1450.0</v>
      </c>
      <c r="Q139" s="54">
        <v>1460.0</v>
      </c>
      <c r="R139" s="54">
        <v>1455.0</v>
      </c>
      <c r="S139" s="54">
        <v>5763.0</v>
      </c>
      <c r="T139" s="54">
        <v>0.0</v>
      </c>
      <c r="U139" s="54">
        <v>0.0</v>
      </c>
      <c r="V139" s="54">
        <v>0.0</v>
      </c>
      <c r="W139" s="54">
        <v>350.0</v>
      </c>
      <c r="X139" s="54">
        <v>0.0</v>
      </c>
      <c r="Y139" s="54">
        <v>6000.0</v>
      </c>
      <c r="Z139" s="54">
        <v>0.0</v>
      </c>
      <c r="AA139" s="54">
        <v>0.0</v>
      </c>
      <c r="AB139" s="54">
        <v>4000.0</v>
      </c>
      <c r="AC139" s="54">
        <v>225.0</v>
      </c>
      <c r="AD139" s="54">
        <v>0.0</v>
      </c>
      <c r="AE139" s="54">
        <v>285.0</v>
      </c>
      <c r="AF139" s="54">
        <v>0.0</v>
      </c>
      <c r="AG139" s="54" t="s">
        <v>788</v>
      </c>
      <c r="AH139" s="54" t="b">
        <v>0</v>
      </c>
      <c r="AI139" s="54" t="b">
        <v>1</v>
      </c>
      <c r="AJ139" s="54">
        <v>0.0</v>
      </c>
      <c r="AK139" s="54" t="s">
        <v>789</v>
      </c>
      <c r="AL139" s="54" t="s">
        <v>736</v>
      </c>
      <c r="AM139" s="54" t="b">
        <v>0</v>
      </c>
      <c r="AN139" s="54" t="b">
        <v>0</v>
      </c>
      <c r="AO139" s="54" t="b">
        <v>0</v>
      </c>
      <c r="AP139" s="54">
        <v>36.0</v>
      </c>
      <c r="AQ139" s="54">
        <v>0.0</v>
      </c>
      <c r="AR139" s="54">
        <v>2.0</v>
      </c>
      <c r="AS139" s="54">
        <v>1.0</v>
      </c>
      <c r="AT139" s="54" t="s">
        <v>749</v>
      </c>
      <c r="AU139" s="54">
        <v>8.0</v>
      </c>
      <c r="AV139" s="54" t="s">
        <v>738</v>
      </c>
      <c r="AW139" s="54" t="s">
        <v>750</v>
      </c>
      <c r="AX139" s="54">
        <v>5.0</v>
      </c>
      <c r="AY139" s="54">
        <v>50.0</v>
      </c>
      <c r="AZ139" s="54">
        <v>15.0</v>
      </c>
      <c r="BA139" s="54">
        <v>50.0</v>
      </c>
      <c r="BB139" s="54">
        <v>15.0</v>
      </c>
      <c r="BC139" s="54" t="s">
        <v>902</v>
      </c>
      <c r="BD139" s="53"/>
      <c r="BE139" s="53"/>
    </row>
    <row r="140">
      <c r="A140" s="52">
        <v>139.0</v>
      </c>
      <c r="B140" s="52">
        <v>215.0</v>
      </c>
      <c r="C140" s="52" t="s">
        <v>465</v>
      </c>
      <c r="D140" s="52" t="s">
        <v>466</v>
      </c>
      <c r="E140" s="52" t="s">
        <v>467</v>
      </c>
      <c r="F140" s="52">
        <v>30.6</v>
      </c>
      <c r="G140" s="52">
        <v>0.0</v>
      </c>
      <c r="H140" s="52">
        <v>0.0</v>
      </c>
      <c r="I140" s="52" t="s">
        <v>877</v>
      </c>
      <c r="J140" s="52">
        <v>2004.0</v>
      </c>
      <c r="K140" s="52">
        <v>5.0</v>
      </c>
      <c r="L140" s="52">
        <v>4100.0</v>
      </c>
      <c r="M140" s="52">
        <v>1780.0</v>
      </c>
      <c r="N140" s="52">
        <v>1285.0</v>
      </c>
      <c r="O140" s="52">
        <v>2495.0</v>
      </c>
      <c r="P140" s="52">
        <v>1475.0</v>
      </c>
      <c r="Q140" s="52">
        <v>1525.0</v>
      </c>
      <c r="R140" s="52">
        <v>1390.0</v>
      </c>
      <c r="S140" s="52">
        <v>2979.0</v>
      </c>
      <c r="T140" s="52">
        <v>231.0</v>
      </c>
      <c r="U140" s="52">
        <v>170.0</v>
      </c>
      <c r="V140" s="52">
        <v>0.0</v>
      </c>
      <c r="W140" s="52">
        <v>0.0</v>
      </c>
      <c r="X140" s="52">
        <v>0.0</v>
      </c>
      <c r="Y140" s="52">
        <v>5900.0</v>
      </c>
      <c r="Z140" s="52">
        <v>300.0</v>
      </c>
      <c r="AA140" s="52">
        <v>0.0</v>
      </c>
      <c r="AB140" s="52">
        <v>3500.0</v>
      </c>
      <c r="AC140" s="52">
        <v>225.0</v>
      </c>
      <c r="AD140" s="52">
        <v>0.0</v>
      </c>
      <c r="AE140" s="52">
        <v>225.0</v>
      </c>
      <c r="AF140" s="52">
        <v>0.0</v>
      </c>
      <c r="AG140" s="52" t="s">
        <v>816</v>
      </c>
      <c r="AH140" s="52" t="b">
        <v>1</v>
      </c>
      <c r="AI140" s="52" t="b">
        <v>0</v>
      </c>
      <c r="AJ140" s="52">
        <v>0.0</v>
      </c>
      <c r="AK140" s="52" t="s">
        <v>789</v>
      </c>
      <c r="AL140" s="52" t="s">
        <v>771</v>
      </c>
      <c r="AM140" s="52" t="b">
        <v>1</v>
      </c>
      <c r="AN140" s="52" t="b">
        <v>1</v>
      </c>
      <c r="AO140" s="52" t="b">
        <v>0</v>
      </c>
      <c r="AP140" s="52">
        <v>180.0</v>
      </c>
      <c r="AQ140" s="52">
        <v>0.0</v>
      </c>
      <c r="AR140" s="52">
        <v>2.0</v>
      </c>
      <c r="AS140" s="52">
        <v>0.0</v>
      </c>
      <c r="AT140" s="52" t="s">
        <v>737</v>
      </c>
      <c r="AU140" s="52">
        <v>6.0</v>
      </c>
      <c r="AV140" s="52" t="s">
        <v>738</v>
      </c>
      <c r="AW140" s="52" t="s">
        <v>739</v>
      </c>
      <c r="AX140" s="52">
        <v>6.0</v>
      </c>
      <c r="AY140" s="52">
        <v>45.0</v>
      </c>
      <c r="AZ140" s="52">
        <v>17.0</v>
      </c>
      <c r="BA140" s="52">
        <v>45.0</v>
      </c>
      <c r="BB140" s="52">
        <v>17.0</v>
      </c>
      <c r="BC140" s="52" t="s">
        <v>903</v>
      </c>
      <c r="BD140" s="53"/>
      <c r="BE140" s="53"/>
    </row>
    <row r="141">
      <c r="A141" s="54">
        <v>140.0</v>
      </c>
      <c r="B141" s="54">
        <v>216.0</v>
      </c>
      <c r="C141" s="54" t="s">
        <v>468</v>
      </c>
      <c r="D141" s="54" t="s">
        <v>469</v>
      </c>
      <c r="E141" s="54" t="s">
        <v>470</v>
      </c>
      <c r="F141" s="54">
        <v>7.7</v>
      </c>
      <c r="G141" s="54">
        <v>5.6</v>
      </c>
      <c r="H141" s="54">
        <v>5.6</v>
      </c>
      <c r="I141" s="54" t="s">
        <v>818</v>
      </c>
      <c r="J141" s="54">
        <v>1956.0</v>
      </c>
      <c r="K141" s="54">
        <v>1.0</v>
      </c>
      <c r="L141" s="54">
        <v>4070.0</v>
      </c>
      <c r="M141" s="54">
        <v>1540.0</v>
      </c>
      <c r="N141" s="54">
        <v>1500.0</v>
      </c>
      <c r="O141" s="54">
        <v>2400.0</v>
      </c>
      <c r="P141" s="54">
        <v>1290.0</v>
      </c>
      <c r="Q141" s="54">
        <v>1250.0</v>
      </c>
      <c r="R141" s="54">
        <v>740.0</v>
      </c>
      <c r="S141" s="54">
        <v>1192.0</v>
      </c>
      <c r="T141" s="54">
        <v>30.0</v>
      </c>
      <c r="U141" s="54">
        <v>0.0</v>
      </c>
      <c r="V141" s="54">
        <v>0.0</v>
      </c>
      <c r="W141" s="54">
        <v>0.0</v>
      </c>
      <c r="X141" s="54">
        <v>0.0</v>
      </c>
      <c r="Y141" s="54">
        <v>3400.0</v>
      </c>
      <c r="Z141" s="54">
        <v>0.0</v>
      </c>
      <c r="AA141" s="54">
        <v>0.0</v>
      </c>
      <c r="AB141" s="54">
        <v>2000.0</v>
      </c>
      <c r="AC141" s="54">
        <v>0.0</v>
      </c>
      <c r="AD141" s="54">
        <v>0.0</v>
      </c>
      <c r="AE141" s="54">
        <v>0.0</v>
      </c>
      <c r="AF141" s="54">
        <v>0.0</v>
      </c>
      <c r="AG141" s="54" t="s">
        <v>816</v>
      </c>
      <c r="AH141" s="54" t="b">
        <v>0</v>
      </c>
      <c r="AI141" s="54" t="b">
        <v>0</v>
      </c>
      <c r="AJ141" s="54">
        <v>1.0</v>
      </c>
      <c r="AK141" s="54" t="s">
        <v>777</v>
      </c>
      <c r="AL141" s="54" t="s">
        <v>743</v>
      </c>
      <c r="AM141" s="54" t="b">
        <v>0</v>
      </c>
      <c r="AN141" s="54" t="b">
        <v>0</v>
      </c>
      <c r="AO141" s="54" t="b">
        <v>0</v>
      </c>
      <c r="AP141" s="54">
        <v>144.0</v>
      </c>
      <c r="AQ141" s="54">
        <v>0.0</v>
      </c>
      <c r="AR141" s="54">
        <v>0.0</v>
      </c>
      <c r="AS141" s="54">
        <v>0.0</v>
      </c>
      <c r="AT141" s="54" t="s">
        <v>759</v>
      </c>
      <c r="AU141" s="54">
        <v>4.0</v>
      </c>
      <c r="AV141" s="54" t="s">
        <v>738</v>
      </c>
      <c r="AW141" s="54" t="s">
        <v>778</v>
      </c>
      <c r="AX141" s="54">
        <v>4.0</v>
      </c>
      <c r="AY141" s="54">
        <v>0.0</v>
      </c>
      <c r="AZ141" s="54">
        <v>15.0</v>
      </c>
      <c r="BA141" s="54">
        <v>0.0</v>
      </c>
      <c r="BB141" s="54">
        <v>15.0</v>
      </c>
      <c r="BC141" s="54" t="s">
        <v>748</v>
      </c>
      <c r="BD141" s="53"/>
      <c r="BE141" s="53"/>
    </row>
    <row r="142">
      <c r="A142" s="52">
        <v>141.0</v>
      </c>
      <c r="B142" s="52">
        <v>218.0</v>
      </c>
      <c r="C142" s="52" t="s">
        <v>471</v>
      </c>
      <c r="D142" s="52" t="s">
        <v>472</v>
      </c>
      <c r="E142" s="52" t="s">
        <v>473</v>
      </c>
      <c r="F142" s="52">
        <v>8.7</v>
      </c>
      <c r="G142" s="52">
        <v>0.0</v>
      </c>
      <c r="H142" s="52">
        <v>0.0</v>
      </c>
      <c r="I142" s="52" t="s">
        <v>904</v>
      </c>
      <c r="J142" s="52">
        <v>1991.0</v>
      </c>
      <c r="K142" s="52">
        <v>3.0</v>
      </c>
      <c r="L142" s="52">
        <v>3295.0</v>
      </c>
      <c r="M142" s="52">
        <v>1395.0</v>
      </c>
      <c r="N142" s="52">
        <v>1185.0</v>
      </c>
      <c r="O142" s="52">
        <v>2060.0</v>
      </c>
      <c r="P142" s="52">
        <v>1210.0</v>
      </c>
      <c r="Q142" s="52">
        <v>1210.0</v>
      </c>
      <c r="R142" s="52">
        <v>700.0</v>
      </c>
      <c r="S142" s="52">
        <v>657.0</v>
      </c>
      <c r="T142" s="52">
        <v>64.0</v>
      </c>
      <c r="U142" s="52">
        <v>0.0</v>
      </c>
      <c r="V142" s="52">
        <v>0.0</v>
      </c>
      <c r="W142" s="52">
        <v>0.0</v>
      </c>
      <c r="X142" s="52">
        <v>0.0</v>
      </c>
      <c r="Y142" s="52">
        <v>6500.0</v>
      </c>
      <c r="Z142" s="52">
        <v>0.0</v>
      </c>
      <c r="AA142" s="52">
        <v>0.0</v>
      </c>
      <c r="AB142" s="52">
        <v>4000.0</v>
      </c>
      <c r="AC142" s="52">
        <v>165.0</v>
      </c>
      <c r="AD142" s="52">
        <v>0.0</v>
      </c>
      <c r="AE142" s="52">
        <v>165.0</v>
      </c>
      <c r="AF142" s="52">
        <v>0.0</v>
      </c>
      <c r="AG142" s="52" t="s">
        <v>734</v>
      </c>
      <c r="AH142" s="52" t="b">
        <v>1</v>
      </c>
      <c r="AI142" s="52" t="b">
        <v>0</v>
      </c>
      <c r="AJ142" s="52">
        <v>0.0</v>
      </c>
      <c r="AK142" s="52" t="s">
        <v>742</v>
      </c>
      <c r="AL142" s="52" t="s">
        <v>754</v>
      </c>
      <c r="AM142" s="52" t="b">
        <v>0</v>
      </c>
      <c r="AN142" s="52" t="b">
        <v>0</v>
      </c>
      <c r="AO142" s="52" t="b">
        <v>0</v>
      </c>
      <c r="AP142" s="52">
        <v>252.0</v>
      </c>
      <c r="AQ142" s="52">
        <v>0.0</v>
      </c>
      <c r="AR142" s="52">
        <v>2.0</v>
      </c>
      <c r="AS142" s="52">
        <v>0.0</v>
      </c>
      <c r="AT142" s="52" t="s">
        <v>737</v>
      </c>
      <c r="AU142" s="52">
        <v>3.0</v>
      </c>
      <c r="AV142" s="52" t="s">
        <v>757</v>
      </c>
      <c r="AW142" s="52" t="s">
        <v>739</v>
      </c>
      <c r="AX142" s="52">
        <v>5.0</v>
      </c>
      <c r="AY142" s="52">
        <v>65.0</v>
      </c>
      <c r="AZ142" s="52">
        <v>14.0</v>
      </c>
      <c r="BA142" s="52">
        <v>65.0</v>
      </c>
      <c r="BB142" s="52">
        <v>14.0</v>
      </c>
      <c r="BC142" s="52" t="s">
        <v>905</v>
      </c>
      <c r="BD142" s="53"/>
      <c r="BE142" s="53"/>
    </row>
    <row r="143">
      <c r="A143" s="54">
        <v>142.0</v>
      </c>
      <c r="B143" s="54">
        <v>222.0</v>
      </c>
      <c r="C143" s="54" t="s">
        <v>474</v>
      </c>
      <c r="D143" s="54" t="s">
        <v>475</v>
      </c>
      <c r="E143" s="54" t="s">
        <v>476</v>
      </c>
      <c r="F143" s="54">
        <v>37.5</v>
      </c>
      <c r="G143" s="54">
        <v>0.0</v>
      </c>
      <c r="H143" s="54">
        <v>0.0</v>
      </c>
      <c r="I143" s="54" t="s">
        <v>741</v>
      </c>
      <c r="J143" s="54">
        <v>1997.0</v>
      </c>
      <c r="K143" s="54">
        <v>7.0</v>
      </c>
      <c r="L143" s="54">
        <v>4675.0</v>
      </c>
      <c r="M143" s="54">
        <v>1780.0</v>
      </c>
      <c r="N143" s="54">
        <v>1360.0</v>
      </c>
      <c r="O143" s="54">
        <v>2720.0</v>
      </c>
      <c r="P143" s="54">
        <v>1480.0</v>
      </c>
      <c r="Q143" s="54">
        <v>1490.0</v>
      </c>
      <c r="R143" s="54">
        <v>1540.0</v>
      </c>
      <c r="S143" s="54">
        <v>2568.0</v>
      </c>
      <c r="T143" s="54">
        <v>280.0</v>
      </c>
      <c r="U143" s="54">
        <v>0.0</v>
      </c>
      <c r="V143" s="54">
        <v>0.0</v>
      </c>
      <c r="W143" s="54">
        <v>0.0</v>
      </c>
      <c r="X143" s="54">
        <v>0.0</v>
      </c>
      <c r="Y143" s="54">
        <v>6800.0</v>
      </c>
      <c r="Z143" s="54">
        <v>0.0</v>
      </c>
      <c r="AA143" s="54">
        <v>0.0</v>
      </c>
      <c r="AB143" s="54">
        <v>4400.0</v>
      </c>
      <c r="AC143" s="54">
        <v>245.0</v>
      </c>
      <c r="AD143" s="54">
        <v>0.0</v>
      </c>
      <c r="AE143" s="54">
        <v>245.0</v>
      </c>
      <c r="AF143" s="54">
        <v>0.0</v>
      </c>
      <c r="AG143" s="54" t="s">
        <v>734</v>
      </c>
      <c r="AH143" s="54" t="b">
        <v>0</v>
      </c>
      <c r="AI143" s="54" t="b">
        <v>0</v>
      </c>
      <c r="AJ143" s="54">
        <v>1.0</v>
      </c>
      <c r="AK143" s="54" t="s">
        <v>748</v>
      </c>
      <c r="AL143" s="54" t="s">
        <v>754</v>
      </c>
      <c r="AM143" s="54" t="b">
        <v>0</v>
      </c>
      <c r="AN143" s="54" t="b">
        <v>0</v>
      </c>
      <c r="AO143" s="54" t="b">
        <v>0</v>
      </c>
      <c r="AP143" s="54">
        <v>144.0</v>
      </c>
      <c r="AQ143" s="54">
        <v>0.0</v>
      </c>
      <c r="AR143" s="54">
        <v>4.0</v>
      </c>
      <c r="AS143" s="54">
        <v>0.0</v>
      </c>
      <c r="AT143" s="54" t="s">
        <v>737</v>
      </c>
      <c r="AU143" s="54">
        <v>6.0</v>
      </c>
      <c r="AV143" s="54" t="s">
        <v>757</v>
      </c>
      <c r="AW143" s="54" t="s">
        <v>800</v>
      </c>
      <c r="AX143" s="54">
        <v>5.0</v>
      </c>
      <c r="AY143" s="54">
        <v>45.0</v>
      </c>
      <c r="AZ143" s="54">
        <v>17.0</v>
      </c>
      <c r="BA143" s="54">
        <v>45.0</v>
      </c>
      <c r="BB143" s="54">
        <v>17.0</v>
      </c>
      <c r="BC143" s="54" t="s">
        <v>872</v>
      </c>
      <c r="BD143" s="53"/>
      <c r="BE143" s="53"/>
    </row>
    <row r="144">
      <c r="A144" s="52">
        <v>143.0</v>
      </c>
      <c r="B144" s="52">
        <v>225.0</v>
      </c>
      <c r="C144" s="52" t="s">
        <v>477</v>
      </c>
      <c r="D144" s="52" t="s">
        <v>478</v>
      </c>
      <c r="E144" s="52" t="s">
        <v>479</v>
      </c>
      <c r="F144" s="52">
        <v>22.0</v>
      </c>
      <c r="G144" s="52">
        <v>0.0</v>
      </c>
      <c r="H144" s="52">
        <v>0.0</v>
      </c>
      <c r="I144" s="52" t="s">
        <v>733</v>
      </c>
      <c r="J144" s="52">
        <v>2003.0</v>
      </c>
      <c r="K144" s="52">
        <v>6.0</v>
      </c>
      <c r="L144" s="52">
        <v>4435.0</v>
      </c>
      <c r="M144" s="52">
        <v>1770.0</v>
      </c>
      <c r="N144" s="52">
        <v>1340.0</v>
      </c>
      <c r="O144" s="52">
        <v>2700.0</v>
      </c>
      <c r="P144" s="52">
        <v>1500.0</v>
      </c>
      <c r="Q144" s="52">
        <v>1505.0</v>
      </c>
      <c r="R144" s="52">
        <v>1310.0</v>
      </c>
      <c r="S144" s="52">
        <v>654.0</v>
      </c>
      <c r="T144" s="52">
        <v>250.0</v>
      </c>
      <c r="U144" s="52">
        <v>184.0</v>
      </c>
      <c r="V144" s="52">
        <v>0.0</v>
      </c>
      <c r="W144" s="52">
        <v>0.0</v>
      </c>
      <c r="X144" s="52">
        <v>0.0</v>
      </c>
      <c r="Y144" s="52">
        <v>8500.0</v>
      </c>
      <c r="Z144" s="52">
        <v>216.0</v>
      </c>
      <c r="AA144" s="52">
        <v>0.0</v>
      </c>
      <c r="AB144" s="52">
        <v>5500.0</v>
      </c>
      <c r="AC144" s="52">
        <v>225.0</v>
      </c>
      <c r="AD144" s="52">
        <v>0.0</v>
      </c>
      <c r="AE144" s="52">
        <v>225.0</v>
      </c>
      <c r="AF144" s="52">
        <v>0.0</v>
      </c>
      <c r="AG144" s="52" t="s">
        <v>734</v>
      </c>
      <c r="AH144" s="52" t="b">
        <v>0</v>
      </c>
      <c r="AI144" s="52" t="b">
        <v>0</v>
      </c>
      <c r="AJ144" s="52">
        <v>0.0</v>
      </c>
      <c r="AK144" s="52" t="s">
        <v>756</v>
      </c>
      <c r="AL144" s="52" t="s">
        <v>754</v>
      </c>
      <c r="AM144" s="52" t="b">
        <v>1</v>
      </c>
      <c r="AN144" s="52" t="b">
        <v>1</v>
      </c>
      <c r="AO144" s="52" t="b">
        <v>0</v>
      </c>
      <c r="AP144" s="52">
        <v>180.0</v>
      </c>
      <c r="AQ144" s="52">
        <v>0.0</v>
      </c>
      <c r="AR144" s="52">
        <v>4.0</v>
      </c>
      <c r="AS144" s="52">
        <v>0.0</v>
      </c>
      <c r="AT144" s="52" t="s">
        <v>769</v>
      </c>
      <c r="AU144" s="52">
        <v>2.0</v>
      </c>
      <c r="AV144" s="52" t="s">
        <v>738</v>
      </c>
      <c r="AW144" s="52" t="s">
        <v>739</v>
      </c>
      <c r="AX144" s="52">
        <v>6.0</v>
      </c>
      <c r="AY144" s="52">
        <v>45.0</v>
      </c>
      <c r="AZ144" s="52">
        <v>18.0</v>
      </c>
      <c r="BA144" s="52">
        <v>45.0</v>
      </c>
      <c r="BB144" s="52">
        <v>18.0</v>
      </c>
      <c r="BC144" s="52" t="s">
        <v>906</v>
      </c>
      <c r="BD144" s="53"/>
      <c r="BE144" s="53"/>
    </row>
    <row r="145">
      <c r="A145" s="54">
        <v>144.0</v>
      </c>
      <c r="B145" s="54">
        <v>229.0</v>
      </c>
      <c r="C145" s="54" t="s">
        <v>480</v>
      </c>
      <c r="D145" s="54" t="s">
        <v>481</v>
      </c>
      <c r="E145" s="54" t="s">
        <v>482</v>
      </c>
      <c r="F145" s="54">
        <v>19.9</v>
      </c>
      <c r="G145" s="54">
        <v>0.0</v>
      </c>
      <c r="H145" s="54">
        <v>0.0</v>
      </c>
      <c r="I145" s="54" t="s">
        <v>875</v>
      </c>
      <c r="J145" s="54">
        <v>1973.0</v>
      </c>
      <c r="K145" s="54">
        <v>2.0</v>
      </c>
      <c r="L145" s="54">
        <v>4870.0</v>
      </c>
      <c r="M145" s="54">
        <v>1800.0</v>
      </c>
      <c r="N145" s="54">
        <v>1470.0</v>
      </c>
      <c r="O145" s="54">
        <v>3125.0</v>
      </c>
      <c r="P145" s="54">
        <v>1516.0</v>
      </c>
      <c r="Q145" s="54">
        <v>1316.0</v>
      </c>
      <c r="R145" s="54">
        <v>1360.0</v>
      </c>
      <c r="S145" s="54">
        <v>2347.0</v>
      </c>
      <c r="T145" s="54">
        <v>0.0</v>
      </c>
      <c r="U145" s="54">
        <v>0.0</v>
      </c>
      <c r="V145" s="54">
        <v>0.0</v>
      </c>
      <c r="W145" s="54">
        <v>0.0</v>
      </c>
      <c r="X145" s="54">
        <v>130.0</v>
      </c>
      <c r="Y145" s="54">
        <v>5250.0</v>
      </c>
      <c r="Z145" s="54">
        <v>0.0</v>
      </c>
      <c r="AA145" s="54">
        <v>0.0</v>
      </c>
      <c r="AB145" s="54">
        <v>2500.0</v>
      </c>
      <c r="AC145" s="54">
        <v>185.0</v>
      </c>
      <c r="AD145" s="54">
        <v>0.0</v>
      </c>
      <c r="AE145" s="54">
        <v>185.0</v>
      </c>
      <c r="AF145" s="54">
        <v>0.0</v>
      </c>
      <c r="AG145" s="54" t="s">
        <v>792</v>
      </c>
      <c r="AH145" s="54" t="b">
        <v>0</v>
      </c>
      <c r="AI145" s="54" t="b">
        <v>0</v>
      </c>
      <c r="AJ145" s="54">
        <v>1.0</v>
      </c>
      <c r="AK145" s="54" t="s">
        <v>742</v>
      </c>
      <c r="AL145" s="54" t="s">
        <v>794</v>
      </c>
      <c r="AM145" s="54" t="b">
        <v>0</v>
      </c>
      <c r="AN145" s="54" t="b">
        <v>0</v>
      </c>
      <c r="AO145" s="54" t="b">
        <v>0</v>
      </c>
      <c r="AP145" s="54">
        <v>108.0</v>
      </c>
      <c r="AQ145" s="54">
        <v>0.0</v>
      </c>
      <c r="AR145" s="54">
        <v>5.0</v>
      </c>
      <c r="AS145" s="54">
        <v>0.0</v>
      </c>
      <c r="AT145" s="54" t="s">
        <v>737</v>
      </c>
      <c r="AU145" s="54">
        <v>4.0</v>
      </c>
      <c r="AV145" s="54" t="s">
        <v>738</v>
      </c>
      <c r="AW145" s="54" t="s">
        <v>744</v>
      </c>
      <c r="AX145" s="54">
        <v>4.0</v>
      </c>
      <c r="AY145" s="54">
        <v>0.0</v>
      </c>
      <c r="AZ145" s="54">
        <v>15.0</v>
      </c>
      <c r="BA145" s="54">
        <v>0.0</v>
      </c>
      <c r="BB145" s="54">
        <v>15.0</v>
      </c>
      <c r="BC145" s="54" t="s">
        <v>763</v>
      </c>
      <c r="BD145" s="53"/>
      <c r="BE145" s="53"/>
    </row>
    <row r="146">
      <c r="A146" s="52">
        <v>145.0</v>
      </c>
      <c r="B146" s="52">
        <v>230.0</v>
      </c>
      <c r="C146" s="52" t="s">
        <v>483</v>
      </c>
      <c r="D146" s="52" t="s">
        <v>484</v>
      </c>
      <c r="E146" s="52" t="s">
        <v>485</v>
      </c>
      <c r="F146" s="52">
        <v>32.0</v>
      </c>
      <c r="G146" s="52">
        <v>0.0</v>
      </c>
      <c r="H146" s="52">
        <v>0.0</v>
      </c>
      <c r="I146" s="52" t="s">
        <v>787</v>
      </c>
      <c r="J146" s="52">
        <v>1993.0</v>
      </c>
      <c r="K146" s="52">
        <v>6.0</v>
      </c>
      <c r="L146" s="52">
        <v>3900.0</v>
      </c>
      <c r="M146" s="52">
        <v>1770.0</v>
      </c>
      <c r="N146" s="52">
        <v>1365.0</v>
      </c>
      <c r="O146" s="52">
        <v>2480.0</v>
      </c>
      <c r="P146" s="52">
        <v>1502.0</v>
      </c>
      <c r="Q146" s="52">
        <v>1500.0</v>
      </c>
      <c r="R146" s="52">
        <v>1340.0</v>
      </c>
      <c r="S146" s="52">
        <v>1995.0</v>
      </c>
      <c r="T146" s="52">
        <v>0.0</v>
      </c>
      <c r="U146" s="52">
        <v>155.0</v>
      </c>
      <c r="V146" s="52">
        <v>0.0</v>
      </c>
      <c r="W146" s="52">
        <v>215.0</v>
      </c>
      <c r="X146" s="52">
        <v>0.0</v>
      </c>
      <c r="Y146" s="52">
        <v>5750.0</v>
      </c>
      <c r="Z146" s="52">
        <v>308.0</v>
      </c>
      <c r="AA146" s="52">
        <v>0.0</v>
      </c>
      <c r="AB146" s="52">
        <v>2500.0</v>
      </c>
      <c r="AC146" s="52">
        <v>205.0</v>
      </c>
      <c r="AD146" s="52">
        <v>0.0</v>
      </c>
      <c r="AE146" s="52">
        <v>205.0</v>
      </c>
      <c r="AF146" s="52">
        <v>0.0</v>
      </c>
      <c r="AG146" s="52" t="s">
        <v>788</v>
      </c>
      <c r="AH146" s="52" t="b">
        <v>0</v>
      </c>
      <c r="AI146" s="52" t="b">
        <v>0</v>
      </c>
      <c r="AJ146" s="52">
        <v>0.0</v>
      </c>
      <c r="AK146" s="52" t="s">
        <v>789</v>
      </c>
      <c r="AL146" s="52" t="s">
        <v>754</v>
      </c>
      <c r="AM146" s="52" t="b">
        <v>0</v>
      </c>
      <c r="AN146" s="52" t="b">
        <v>0</v>
      </c>
      <c r="AO146" s="52" t="b">
        <v>0</v>
      </c>
      <c r="AP146" s="52">
        <v>144.0</v>
      </c>
      <c r="AQ146" s="52">
        <v>0.0</v>
      </c>
      <c r="AR146" s="52">
        <v>5.0</v>
      </c>
      <c r="AS146" s="52">
        <v>0.0</v>
      </c>
      <c r="AT146" s="52" t="s">
        <v>737</v>
      </c>
      <c r="AU146" s="52">
        <v>4.0</v>
      </c>
      <c r="AV146" s="52" t="s">
        <v>757</v>
      </c>
      <c r="AW146" s="52" t="s">
        <v>800</v>
      </c>
      <c r="AX146" s="52">
        <v>5.0</v>
      </c>
      <c r="AY146" s="52">
        <v>45.0</v>
      </c>
      <c r="AZ146" s="52">
        <v>16.0</v>
      </c>
      <c r="BA146" s="52">
        <v>45.0</v>
      </c>
      <c r="BB146" s="52">
        <v>16.0</v>
      </c>
      <c r="BC146" s="52" t="s">
        <v>907</v>
      </c>
      <c r="BD146" s="53"/>
      <c r="BE146" s="53"/>
    </row>
    <row r="147">
      <c r="A147" s="54">
        <v>146.0</v>
      </c>
      <c r="B147" s="54">
        <v>231.0</v>
      </c>
      <c r="C147" s="54" t="s">
        <v>486</v>
      </c>
      <c r="D147" s="54" t="s">
        <v>487</v>
      </c>
      <c r="E147" s="54" t="s">
        <v>488</v>
      </c>
      <c r="F147" s="54">
        <v>14.9</v>
      </c>
      <c r="G147" s="54">
        <v>0.0</v>
      </c>
      <c r="H147" s="54">
        <v>0.0</v>
      </c>
      <c r="I147" s="54" t="s">
        <v>892</v>
      </c>
      <c r="J147" s="54">
        <v>1966.0</v>
      </c>
      <c r="K147" s="54">
        <v>3.0</v>
      </c>
      <c r="L147" s="54">
        <v>3683.0</v>
      </c>
      <c r="M147" s="54">
        <v>1422.0</v>
      </c>
      <c r="N147" s="54">
        <v>1148.0</v>
      </c>
      <c r="O147" s="54">
        <v>2134.0</v>
      </c>
      <c r="P147" s="54">
        <v>1196.0</v>
      </c>
      <c r="Q147" s="54">
        <v>1195.0</v>
      </c>
      <c r="R147" s="54">
        <v>698.0</v>
      </c>
      <c r="S147" s="54">
        <v>1558.0</v>
      </c>
      <c r="T147" s="54">
        <v>115.0</v>
      </c>
      <c r="U147" s="54">
        <v>0.0</v>
      </c>
      <c r="V147" s="54">
        <v>0.0</v>
      </c>
      <c r="W147" s="54">
        <v>115.0</v>
      </c>
      <c r="X147" s="54">
        <v>0.0</v>
      </c>
      <c r="Y147" s="54">
        <v>6000.0</v>
      </c>
      <c r="Z147" s="54">
        <v>0.0</v>
      </c>
      <c r="AA147" s="54">
        <v>0.0</v>
      </c>
      <c r="AB147" s="54">
        <v>4000.0</v>
      </c>
      <c r="AC147" s="54">
        <v>145.0</v>
      </c>
      <c r="AD147" s="54">
        <v>0.0</v>
      </c>
      <c r="AE147" s="54">
        <v>145.0</v>
      </c>
      <c r="AF147" s="54">
        <v>0.0</v>
      </c>
      <c r="AG147" s="54" t="s">
        <v>786</v>
      </c>
      <c r="AH147" s="54" t="b">
        <v>1</v>
      </c>
      <c r="AI147" s="54" t="b">
        <v>1</v>
      </c>
      <c r="AJ147" s="54">
        <v>2.0</v>
      </c>
      <c r="AK147" s="54" t="s">
        <v>742</v>
      </c>
      <c r="AL147" s="54" t="s">
        <v>736</v>
      </c>
      <c r="AM147" s="54" t="b">
        <v>0</v>
      </c>
      <c r="AN147" s="54" t="b">
        <v>0</v>
      </c>
      <c r="AO147" s="54" t="b">
        <v>0</v>
      </c>
      <c r="AP147" s="54">
        <v>144.0</v>
      </c>
      <c r="AQ147" s="54">
        <v>0.0</v>
      </c>
      <c r="AR147" s="54">
        <v>2.0</v>
      </c>
      <c r="AS147" s="54">
        <v>0.0</v>
      </c>
      <c r="AT147" s="54" t="s">
        <v>737</v>
      </c>
      <c r="AU147" s="54">
        <v>4.0</v>
      </c>
      <c r="AV147" s="54" t="s">
        <v>738</v>
      </c>
      <c r="AW147" s="54" t="s">
        <v>739</v>
      </c>
      <c r="AX147" s="54">
        <v>4.0</v>
      </c>
      <c r="AY147" s="54">
        <v>0.0</v>
      </c>
      <c r="AZ147" s="54">
        <v>13.0</v>
      </c>
      <c r="BA147" s="54">
        <v>0.0</v>
      </c>
      <c r="BB147" s="54">
        <v>13.0</v>
      </c>
      <c r="BC147" s="54" t="s">
        <v>763</v>
      </c>
      <c r="BD147" s="53"/>
      <c r="BE147" s="53"/>
    </row>
    <row r="148">
      <c r="A148" s="52">
        <v>147.0</v>
      </c>
      <c r="B148" s="52">
        <v>232.0</v>
      </c>
      <c r="C148" s="52" t="s">
        <v>489</v>
      </c>
      <c r="D148" s="52" t="s">
        <v>490</v>
      </c>
      <c r="E148" s="52" t="s">
        <v>491</v>
      </c>
      <c r="F148" s="52">
        <v>0.0</v>
      </c>
      <c r="G148" s="52">
        <v>0.0</v>
      </c>
      <c r="H148" s="52">
        <v>0.0</v>
      </c>
      <c r="I148" s="52" t="s">
        <v>908</v>
      </c>
      <c r="J148" s="52">
        <v>1973.0</v>
      </c>
      <c r="K148" s="52">
        <v>5.0</v>
      </c>
      <c r="L148" s="52">
        <v>4879.0</v>
      </c>
      <c r="M148" s="52">
        <v>1864.0</v>
      </c>
      <c r="N148" s="52">
        <v>1280.0</v>
      </c>
      <c r="O148" s="52">
        <v>2743.0</v>
      </c>
      <c r="P148" s="52">
        <v>1567.0</v>
      </c>
      <c r="Q148" s="52">
        <v>1534.0</v>
      </c>
      <c r="R148" s="52">
        <v>1748.0</v>
      </c>
      <c r="S148" s="52">
        <v>7456.0</v>
      </c>
      <c r="T148" s="52">
        <v>0.0</v>
      </c>
      <c r="U148" s="52">
        <v>0.0</v>
      </c>
      <c r="V148" s="52">
        <v>0.0</v>
      </c>
      <c r="W148" s="52">
        <v>310.0</v>
      </c>
      <c r="X148" s="52">
        <v>0.0</v>
      </c>
      <c r="Y148" s="52">
        <v>4000.0</v>
      </c>
      <c r="Z148" s="52">
        <v>0.0</v>
      </c>
      <c r="AA148" s="52">
        <v>390.0</v>
      </c>
      <c r="AB148" s="52">
        <v>3600.0</v>
      </c>
      <c r="AC148" s="52">
        <v>0.0</v>
      </c>
      <c r="AD148" s="52">
        <v>0.0</v>
      </c>
      <c r="AE148" s="52">
        <v>0.0</v>
      </c>
      <c r="AF148" s="52">
        <v>0.0</v>
      </c>
      <c r="AG148" s="52" t="s">
        <v>781</v>
      </c>
      <c r="AH148" s="52" t="b">
        <v>0</v>
      </c>
      <c r="AI148" s="52" t="b">
        <v>0</v>
      </c>
      <c r="AJ148" s="52">
        <v>0.0</v>
      </c>
      <c r="AK148" s="52" t="s">
        <v>789</v>
      </c>
      <c r="AL148" s="52" t="s">
        <v>771</v>
      </c>
      <c r="AM148" s="52" t="b">
        <v>0</v>
      </c>
      <c r="AN148" s="52" t="b">
        <v>0</v>
      </c>
      <c r="AO148" s="52" t="b">
        <v>0</v>
      </c>
      <c r="AP148" s="52">
        <v>108.0</v>
      </c>
      <c r="AQ148" s="52">
        <v>0.0</v>
      </c>
      <c r="AR148" s="52">
        <v>4.0</v>
      </c>
      <c r="AS148" s="52">
        <v>0.0</v>
      </c>
      <c r="AT148" s="52" t="s">
        <v>749</v>
      </c>
      <c r="AU148" s="52">
        <v>8.0</v>
      </c>
      <c r="AV148" s="52" t="s">
        <v>738</v>
      </c>
      <c r="AW148" s="52" t="s">
        <v>739</v>
      </c>
      <c r="AX148" s="52">
        <v>4.0</v>
      </c>
      <c r="AY148" s="52">
        <v>0.0</v>
      </c>
      <c r="AZ148" s="52">
        <v>15.0</v>
      </c>
      <c r="BA148" s="52">
        <v>0.0</v>
      </c>
      <c r="BB148" s="52">
        <v>15.0</v>
      </c>
      <c r="BC148" s="52" t="s">
        <v>763</v>
      </c>
      <c r="BD148" s="53"/>
      <c r="BE148" s="53"/>
    </row>
    <row r="149">
      <c r="A149" s="54">
        <v>148.0</v>
      </c>
      <c r="B149" s="54">
        <v>233.0</v>
      </c>
      <c r="C149" s="54" t="s">
        <v>492</v>
      </c>
      <c r="D149" s="54" t="s">
        <v>493</v>
      </c>
      <c r="E149" s="54" t="s">
        <v>494</v>
      </c>
      <c r="F149" s="54">
        <v>14.0</v>
      </c>
      <c r="G149" s="54">
        <v>0.0</v>
      </c>
      <c r="H149" s="54">
        <v>0.0</v>
      </c>
      <c r="I149" s="54" t="s">
        <v>741</v>
      </c>
      <c r="J149" s="54">
        <v>2002.0</v>
      </c>
      <c r="K149" s="54">
        <v>2.0</v>
      </c>
      <c r="L149" s="54">
        <v>3730.0</v>
      </c>
      <c r="M149" s="54">
        <v>1670.0</v>
      </c>
      <c r="N149" s="54">
        <v>1640.0</v>
      </c>
      <c r="O149" s="54">
        <v>2430.0</v>
      </c>
      <c r="P149" s="54">
        <v>1460.0</v>
      </c>
      <c r="Q149" s="54">
        <v>1445.0</v>
      </c>
      <c r="R149" s="54">
        <v>1080.0</v>
      </c>
      <c r="S149" s="54">
        <v>1386.0</v>
      </c>
      <c r="T149" s="54">
        <v>98.0</v>
      </c>
      <c r="U149" s="54">
        <v>72.0</v>
      </c>
      <c r="V149" s="54">
        <v>0.0</v>
      </c>
      <c r="W149" s="54">
        <v>0.0</v>
      </c>
      <c r="X149" s="54">
        <v>0.0</v>
      </c>
      <c r="Y149" s="54">
        <v>5600.0</v>
      </c>
      <c r="Z149" s="54">
        <v>137.0</v>
      </c>
      <c r="AA149" s="54">
        <v>0.0</v>
      </c>
      <c r="AB149" s="54">
        <v>3200.0</v>
      </c>
      <c r="AC149" s="54">
        <v>175.0</v>
      </c>
      <c r="AD149" s="54">
        <v>0.0</v>
      </c>
      <c r="AE149" s="54">
        <v>175.0</v>
      </c>
      <c r="AF149" s="54">
        <v>0.0</v>
      </c>
      <c r="AG149" s="54" t="s">
        <v>734</v>
      </c>
      <c r="AH149" s="54" t="b">
        <v>0</v>
      </c>
      <c r="AI149" s="54" t="b">
        <v>0</v>
      </c>
      <c r="AJ149" s="54">
        <v>0.0</v>
      </c>
      <c r="AK149" s="54" t="s">
        <v>742</v>
      </c>
      <c r="AL149" s="54" t="s">
        <v>743</v>
      </c>
      <c r="AM149" s="54" t="b">
        <v>0</v>
      </c>
      <c r="AN149" s="54" t="b">
        <v>0</v>
      </c>
      <c r="AO149" s="54" t="b">
        <v>0</v>
      </c>
      <c r="AP149" s="54">
        <v>252.0</v>
      </c>
      <c r="AQ149" s="54">
        <v>1.0</v>
      </c>
      <c r="AR149" s="54">
        <v>5.0</v>
      </c>
      <c r="AS149" s="54">
        <v>0.0</v>
      </c>
      <c r="AT149" s="54" t="s">
        <v>737</v>
      </c>
      <c r="AU149" s="54">
        <v>4.0</v>
      </c>
      <c r="AV149" s="54" t="s">
        <v>738</v>
      </c>
      <c r="AW149" s="54" t="s">
        <v>744</v>
      </c>
      <c r="AX149" s="54">
        <v>6.0</v>
      </c>
      <c r="AY149" s="54">
        <v>60.0</v>
      </c>
      <c r="AZ149" s="54">
        <v>15.0</v>
      </c>
      <c r="BA149" s="54">
        <v>60.0</v>
      </c>
      <c r="BB149" s="54">
        <v>15.0</v>
      </c>
      <c r="BC149" s="54" t="s">
        <v>745</v>
      </c>
      <c r="BD149" s="53"/>
      <c r="BE149" s="53"/>
    </row>
    <row r="150">
      <c r="A150" s="52">
        <v>149.0</v>
      </c>
      <c r="B150" s="52">
        <v>236.0</v>
      </c>
      <c r="C150" s="52" t="s">
        <v>495</v>
      </c>
      <c r="D150" s="52" t="s">
        <v>496</v>
      </c>
      <c r="E150" s="52" t="s">
        <v>497</v>
      </c>
      <c r="F150" s="52">
        <v>21.0</v>
      </c>
      <c r="G150" s="52">
        <v>0.0</v>
      </c>
      <c r="H150" s="52">
        <v>0.0</v>
      </c>
      <c r="I150" s="52" t="s">
        <v>747</v>
      </c>
      <c r="J150" s="52">
        <v>2002.0</v>
      </c>
      <c r="K150" s="52">
        <v>5.0</v>
      </c>
      <c r="L150" s="52">
        <v>4665.0</v>
      </c>
      <c r="M150" s="52">
        <v>1760.0</v>
      </c>
      <c r="N150" s="52">
        <v>1450.0</v>
      </c>
      <c r="O150" s="52">
        <v>2670.0</v>
      </c>
      <c r="P150" s="52">
        <v>1515.0</v>
      </c>
      <c r="Q150" s="52">
        <v>1515.0</v>
      </c>
      <c r="R150" s="52">
        <v>1390.0</v>
      </c>
      <c r="S150" s="52">
        <v>1998.0</v>
      </c>
      <c r="T150" s="52">
        <v>220.0</v>
      </c>
      <c r="U150" s="52">
        <v>162.0</v>
      </c>
      <c r="V150" s="52">
        <v>0.0</v>
      </c>
      <c r="W150" s="52">
        <v>0.0</v>
      </c>
      <c r="X150" s="52">
        <v>0.0</v>
      </c>
      <c r="Y150" s="52">
        <v>8000.0</v>
      </c>
      <c r="Z150" s="52">
        <v>206.0</v>
      </c>
      <c r="AA150" s="52">
        <v>0.0</v>
      </c>
      <c r="AB150" s="52">
        <v>6000.0</v>
      </c>
      <c r="AC150" s="52">
        <v>215.0</v>
      </c>
      <c r="AD150" s="52">
        <v>0.0</v>
      </c>
      <c r="AE150" s="52">
        <v>215.0</v>
      </c>
      <c r="AF150" s="52">
        <v>0.0</v>
      </c>
      <c r="AG150" s="52" t="s">
        <v>734</v>
      </c>
      <c r="AH150" s="52" t="b">
        <v>0</v>
      </c>
      <c r="AI150" s="52" t="b">
        <v>0</v>
      </c>
      <c r="AJ150" s="52">
        <v>0.0</v>
      </c>
      <c r="AK150" s="52" t="s">
        <v>789</v>
      </c>
      <c r="AL150" s="52" t="s">
        <v>765</v>
      </c>
      <c r="AM150" s="52" t="b">
        <v>0</v>
      </c>
      <c r="AN150" s="52" t="b">
        <v>0</v>
      </c>
      <c r="AO150" s="52" t="b">
        <v>0</v>
      </c>
      <c r="AP150" s="52">
        <v>216.0</v>
      </c>
      <c r="AQ150" s="52">
        <v>0.0</v>
      </c>
      <c r="AR150" s="52">
        <v>5.0</v>
      </c>
      <c r="AS150" s="52">
        <v>0.0</v>
      </c>
      <c r="AT150" s="52" t="s">
        <v>737</v>
      </c>
      <c r="AU150" s="52">
        <v>4.0</v>
      </c>
      <c r="AV150" s="52" t="s">
        <v>738</v>
      </c>
      <c r="AW150" s="52" t="s">
        <v>744</v>
      </c>
      <c r="AX150" s="52">
        <v>6.0</v>
      </c>
      <c r="AY150" s="52">
        <v>45.0</v>
      </c>
      <c r="AZ150" s="52">
        <v>17.0</v>
      </c>
      <c r="BA150" s="52">
        <v>45.0</v>
      </c>
      <c r="BB150" s="52">
        <v>17.0</v>
      </c>
      <c r="BC150" s="52" t="s">
        <v>807</v>
      </c>
      <c r="BD150" s="53"/>
      <c r="BE150" s="53"/>
    </row>
    <row r="151">
      <c r="A151" s="54">
        <v>150.0</v>
      </c>
      <c r="B151" s="54">
        <v>237.0</v>
      </c>
      <c r="C151" s="54" t="s">
        <v>498</v>
      </c>
      <c r="D151" s="54" t="s">
        <v>499</v>
      </c>
      <c r="E151" s="54" t="s">
        <v>500</v>
      </c>
      <c r="F151" s="54">
        <v>31.5</v>
      </c>
      <c r="G151" s="54">
        <v>0.0</v>
      </c>
      <c r="H151" s="54">
        <v>0.0</v>
      </c>
      <c r="I151" s="54" t="s">
        <v>773</v>
      </c>
      <c r="J151" s="54">
        <v>1995.0</v>
      </c>
      <c r="K151" s="54">
        <v>7.0</v>
      </c>
      <c r="L151" s="54">
        <v>4310.0</v>
      </c>
      <c r="M151" s="54">
        <v>1695.0</v>
      </c>
      <c r="N151" s="54">
        <v>1420.0</v>
      </c>
      <c r="O151" s="54">
        <v>2510.0</v>
      </c>
      <c r="P151" s="54">
        <v>1465.0</v>
      </c>
      <c r="Q151" s="54">
        <v>1470.0</v>
      </c>
      <c r="R151" s="54">
        <v>1260.0</v>
      </c>
      <c r="S151" s="54">
        <v>1997.0</v>
      </c>
      <c r="T151" s="54">
        <v>270.0</v>
      </c>
      <c r="U151" s="54">
        <v>0.0</v>
      </c>
      <c r="V151" s="54">
        <v>0.0</v>
      </c>
      <c r="W151" s="54">
        <v>0.0</v>
      </c>
      <c r="X151" s="54">
        <v>0.0</v>
      </c>
      <c r="Y151" s="54">
        <v>6250.0</v>
      </c>
      <c r="Z151" s="54">
        <v>0.0</v>
      </c>
      <c r="AA151" s="54">
        <v>0.0</v>
      </c>
      <c r="AB151" s="54">
        <v>3000.0</v>
      </c>
      <c r="AC151" s="54">
        <v>205.0</v>
      </c>
      <c r="AD151" s="54">
        <v>0.0</v>
      </c>
      <c r="AE151" s="54">
        <v>205.0</v>
      </c>
      <c r="AF151" s="54">
        <v>0.0</v>
      </c>
      <c r="AG151" s="54" t="s">
        <v>734</v>
      </c>
      <c r="AH151" s="54" t="b">
        <v>0</v>
      </c>
      <c r="AI151" s="54" t="b">
        <v>0</v>
      </c>
      <c r="AJ151" s="54">
        <v>0.0</v>
      </c>
      <c r="AK151" s="54" t="s">
        <v>756</v>
      </c>
      <c r="AL151" s="54" t="s">
        <v>754</v>
      </c>
      <c r="AM151" s="54" t="b">
        <v>0</v>
      </c>
      <c r="AN151" s="54" t="b">
        <v>0</v>
      </c>
      <c r="AO151" s="54" t="b">
        <v>0</v>
      </c>
      <c r="AP151" s="54">
        <v>180.0</v>
      </c>
      <c r="AQ151" s="54">
        <v>0.0</v>
      </c>
      <c r="AR151" s="54">
        <v>5.0</v>
      </c>
      <c r="AS151" s="54">
        <v>0.0</v>
      </c>
      <c r="AT151" s="54" t="s">
        <v>737</v>
      </c>
      <c r="AU151" s="54">
        <v>4.0</v>
      </c>
      <c r="AV151" s="54" t="s">
        <v>757</v>
      </c>
      <c r="AW151" s="54" t="s">
        <v>800</v>
      </c>
      <c r="AX151" s="54">
        <v>5.0</v>
      </c>
      <c r="AY151" s="54">
        <v>60.0</v>
      </c>
      <c r="AZ151" s="54">
        <v>15.0</v>
      </c>
      <c r="BA151" s="54">
        <v>60.0</v>
      </c>
      <c r="BB151" s="54">
        <v>15.0</v>
      </c>
      <c r="BC151" s="54" t="s">
        <v>887</v>
      </c>
      <c r="BD151" s="53"/>
      <c r="BE151" s="53"/>
    </row>
    <row r="152">
      <c r="A152" s="52">
        <v>151.0</v>
      </c>
      <c r="B152" s="52">
        <v>239.0</v>
      </c>
      <c r="C152" s="52" t="s">
        <v>501</v>
      </c>
      <c r="D152" s="52" t="s">
        <v>502</v>
      </c>
      <c r="E152" s="52" t="s">
        <v>503</v>
      </c>
      <c r="F152" s="52">
        <v>40.0</v>
      </c>
      <c r="G152" s="52">
        <v>0.0</v>
      </c>
      <c r="H152" s="52">
        <v>0.0</v>
      </c>
      <c r="I152" s="52" t="s">
        <v>773</v>
      </c>
      <c r="J152" s="52">
        <v>2003.0</v>
      </c>
      <c r="K152" s="52">
        <v>6.0</v>
      </c>
      <c r="L152" s="52">
        <v>4490.0</v>
      </c>
      <c r="M152" s="52">
        <v>1770.0</v>
      </c>
      <c r="N152" s="52">
        <v>1450.0</v>
      </c>
      <c r="O152" s="52">
        <v>2625.0</v>
      </c>
      <c r="P152" s="52">
        <v>1515.0</v>
      </c>
      <c r="Q152" s="52">
        <v>1515.0</v>
      </c>
      <c r="R152" s="52">
        <v>1410.0</v>
      </c>
      <c r="S152" s="52">
        <v>1997.0</v>
      </c>
      <c r="T152" s="52">
        <v>280.0</v>
      </c>
      <c r="U152" s="52">
        <v>206.0</v>
      </c>
      <c r="V152" s="52">
        <v>0.0</v>
      </c>
      <c r="W152" s="52">
        <v>0.0</v>
      </c>
      <c r="X152" s="52">
        <v>0.0</v>
      </c>
      <c r="Y152" s="52">
        <v>6500.0</v>
      </c>
      <c r="Z152" s="52">
        <v>392.0</v>
      </c>
      <c r="AA152" s="52">
        <v>0.0</v>
      </c>
      <c r="AB152" s="52">
        <v>3500.0</v>
      </c>
      <c r="AC152" s="52">
        <v>235.0</v>
      </c>
      <c r="AD152" s="52">
        <v>0.0</v>
      </c>
      <c r="AE152" s="52">
        <v>235.0</v>
      </c>
      <c r="AF152" s="52">
        <v>0.0</v>
      </c>
      <c r="AG152" s="52" t="s">
        <v>734</v>
      </c>
      <c r="AH152" s="52" t="b">
        <v>0</v>
      </c>
      <c r="AI152" s="52" t="b">
        <v>0</v>
      </c>
      <c r="AJ152" s="52">
        <v>0.0</v>
      </c>
      <c r="AK152" s="52" t="s">
        <v>748</v>
      </c>
      <c r="AL152" s="52" t="s">
        <v>754</v>
      </c>
      <c r="AM152" s="52" t="b">
        <v>0</v>
      </c>
      <c r="AN152" s="52" t="b">
        <v>0</v>
      </c>
      <c r="AO152" s="52" t="b">
        <v>0</v>
      </c>
      <c r="AP152" s="52">
        <v>180.0</v>
      </c>
      <c r="AQ152" s="52">
        <v>0.0</v>
      </c>
      <c r="AR152" s="52">
        <v>5.0</v>
      </c>
      <c r="AS152" s="52">
        <v>0.0</v>
      </c>
      <c r="AT152" s="52" t="s">
        <v>737</v>
      </c>
      <c r="AU152" s="52">
        <v>4.0</v>
      </c>
      <c r="AV152" s="52" t="s">
        <v>757</v>
      </c>
      <c r="AW152" s="52" t="s">
        <v>800</v>
      </c>
      <c r="AX152" s="52">
        <v>6.0</v>
      </c>
      <c r="AY152" s="52">
        <v>45.0</v>
      </c>
      <c r="AZ152" s="52">
        <v>17.0</v>
      </c>
      <c r="BA152" s="52">
        <v>45.0</v>
      </c>
      <c r="BB152" s="52">
        <v>17.0</v>
      </c>
      <c r="BC152" s="52" t="s">
        <v>887</v>
      </c>
      <c r="BD152" s="53"/>
      <c r="BE152" s="53"/>
    </row>
    <row r="153">
      <c r="A153" s="54">
        <v>152.0</v>
      </c>
      <c r="B153" s="54">
        <v>240.0</v>
      </c>
      <c r="C153" s="54" t="s">
        <v>504</v>
      </c>
      <c r="D153" s="54" t="s">
        <v>505</v>
      </c>
      <c r="E153" s="54" t="s">
        <v>506</v>
      </c>
      <c r="F153" s="54">
        <v>18.0</v>
      </c>
      <c r="G153" s="54">
        <v>0.0</v>
      </c>
      <c r="H153" s="54">
        <v>0.0</v>
      </c>
      <c r="I153" s="54" t="s">
        <v>741</v>
      </c>
      <c r="J153" s="54">
        <v>1973.0</v>
      </c>
      <c r="K153" s="54">
        <v>3.0</v>
      </c>
      <c r="L153" s="54">
        <v>4460.0</v>
      </c>
      <c r="M153" s="54">
        <v>1695.0</v>
      </c>
      <c r="N153" s="54">
        <v>1380.0</v>
      </c>
      <c r="O153" s="54">
        <v>2610.0</v>
      </c>
      <c r="P153" s="54">
        <v>1395.0</v>
      </c>
      <c r="Q153" s="54">
        <v>1375.0</v>
      </c>
      <c r="R153" s="54">
        <v>1145.0</v>
      </c>
      <c r="S153" s="54">
        <v>1989.0</v>
      </c>
      <c r="T153" s="54">
        <v>160.0</v>
      </c>
      <c r="U153" s="54">
        <v>0.0</v>
      </c>
      <c r="V153" s="54">
        <v>0.0</v>
      </c>
      <c r="W153" s="54">
        <v>0.0</v>
      </c>
      <c r="X153" s="54">
        <v>0.0</v>
      </c>
      <c r="Y153" s="54">
        <v>7000.0</v>
      </c>
      <c r="Z153" s="54">
        <v>0.0</v>
      </c>
      <c r="AA153" s="54">
        <v>0.0</v>
      </c>
      <c r="AB153" s="54">
        <v>5600.0</v>
      </c>
      <c r="AC153" s="54">
        <v>175.0</v>
      </c>
      <c r="AD153" s="54">
        <v>0.0</v>
      </c>
      <c r="AE153" s="54">
        <v>175.0</v>
      </c>
      <c r="AF153" s="54">
        <v>0.0</v>
      </c>
      <c r="AG153" s="54" t="s">
        <v>734</v>
      </c>
      <c r="AH153" s="54" t="b">
        <v>0</v>
      </c>
      <c r="AI153" s="54" t="b">
        <v>0</v>
      </c>
      <c r="AJ153" s="54">
        <v>2.0</v>
      </c>
      <c r="AK153" s="54" t="s">
        <v>742</v>
      </c>
      <c r="AL153" s="54" t="s">
        <v>754</v>
      </c>
      <c r="AM153" s="54" t="b">
        <v>0</v>
      </c>
      <c r="AN153" s="54" t="b">
        <v>0</v>
      </c>
      <c r="AO153" s="54" t="b">
        <v>0</v>
      </c>
      <c r="AP153" s="54">
        <v>72.0</v>
      </c>
      <c r="AQ153" s="54">
        <v>0.0</v>
      </c>
      <c r="AR153" s="54">
        <v>5.0</v>
      </c>
      <c r="AS153" s="54">
        <v>1.0</v>
      </c>
      <c r="AT153" s="54" t="s">
        <v>737</v>
      </c>
      <c r="AU153" s="54">
        <v>6.0</v>
      </c>
      <c r="AV153" s="54" t="s">
        <v>738</v>
      </c>
      <c r="AW153" s="54" t="s">
        <v>739</v>
      </c>
      <c r="AX153" s="54">
        <v>5.0</v>
      </c>
      <c r="AY153" s="54">
        <v>82.0</v>
      </c>
      <c r="AZ153" s="54">
        <v>14.0</v>
      </c>
      <c r="BA153" s="54">
        <v>82.0</v>
      </c>
      <c r="BB153" s="54">
        <v>14.0</v>
      </c>
      <c r="BC153" s="54" t="s">
        <v>896</v>
      </c>
      <c r="BD153" s="53"/>
      <c r="BE153" s="53"/>
    </row>
    <row r="154">
      <c r="A154" s="52">
        <v>153.0</v>
      </c>
      <c r="B154" s="52">
        <v>241.0</v>
      </c>
      <c r="C154" s="52" t="s">
        <v>507</v>
      </c>
      <c r="D154" s="52" t="s">
        <v>508</v>
      </c>
      <c r="E154" s="52" t="s">
        <v>509</v>
      </c>
      <c r="F154" s="52">
        <v>16.3</v>
      </c>
      <c r="G154" s="52">
        <v>0.0</v>
      </c>
      <c r="H154" s="52">
        <v>0.0</v>
      </c>
      <c r="I154" s="52" t="s">
        <v>747</v>
      </c>
      <c r="J154" s="52">
        <v>1983.0</v>
      </c>
      <c r="K154" s="52">
        <v>2.0</v>
      </c>
      <c r="L154" s="52">
        <v>3420.0</v>
      </c>
      <c r="M154" s="52">
        <v>1625.0</v>
      </c>
      <c r="N154" s="52">
        <v>1470.0</v>
      </c>
      <c r="O154" s="52">
        <v>2220.0</v>
      </c>
      <c r="P154" s="52">
        <v>1400.0</v>
      </c>
      <c r="Q154" s="52">
        <v>1390.0</v>
      </c>
      <c r="R154" s="52">
        <v>735.0</v>
      </c>
      <c r="S154" s="52">
        <v>1231.0</v>
      </c>
      <c r="T154" s="52">
        <v>110.0</v>
      </c>
      <c r="U154" s="52">
        <v>0.0</v>
      </c>
      <c r="V154" s="52">
        <v>0.0</v>
      </c>
      <c r="W154" s="52">
        <v>0.0</v>
      </c>
      <c r="X154" s="52">
        <v>0.0</v>
      </c>
      <c r="Y154" s="52">
        <v>5500.0</v>
      </c>
      <c r="Z154" s="52">
        <v>0.0</v>
      </c>
      <c r="AA154" s="52">
        <v>0.0</v>
      </c>
      <c r="AB154" s="52">
        <v>3000.0</v>
      </c>
      <c r="AC154" s="52">
        <v>185.0</v>
      </c>
      <c r="AD154" s="52">
        <v>0.0</v>
      </c>
      <c r="AE154" s="52">
        <v>185.0</v>
      </c>
      <c r="AF154" s="52">
        <v>0.0</v>
      </c>
      <c r="AG154" s="52" t="s">
        <v>734</v>
      </c>
      <c r="AH154" s="52" t="b">
        <v>0</v>
      </c>
      <c r="AI154" s="52" t="b">
        <v>0</v>
      </c>
      <c r="AJ154" s="52">
        <v>0.0</v>
      </c>
      <c r="AK154" s="52" t="s">
        <v>742</v>
      </c>
      <c r="AL154" s="52" t="s">
        <v>743</v>
      </c>
      <c r="AM154" s="52" t="b">
        <v>0</v>
      </c>
      <c r="AN154" s="52" t="b">
        <v>0</v>
      </c>
      <c r="AO154" s="52" t="b">
        <v>0</v>
      </c>
      <c r="AP154" s="52">
        <v>216.0</v>
      </c>
      <c r="AQ154" s="52">
        <v>0.0</v>
      </c>
      <c r="AR154" s="52">
        <v>5.0</v>
      </c>
      <c r="AS154" s="52">
        <v>1.0</v>
      </c>
      <c r="AT154" s="52" t="s">
        <v>737</v>
      </c>
      <c r="AU154" s="52">
        <v>4.0</v>
      </c>
      <c r="AV154" s="52" t="s">
        <v>757</v>
      </c>
      <c r="AW154" s="52" t="s">
        <v>744</v>
      </c>
      <c r="AX154" s="52">
        <v>5.0</v>
      </c>
      <c r="AY154" s="52">
        <v>60.0</v>
      </c>
      <c r="AZ154" s="52">
        <v>13.0</v>
      </c>
      <c r="BA154" s="52">
        <v>60.0</v>
      </c>
      <c r="BB154" s="52">
        <v>13.0</v>
      </c>
      <c r="BC154" s="52" t="s">
        <v>909</v>
      </c>
      <c r="BD154" s="53"/>
      <c r="BE154" s="53"/>
    </row>
    <row r="155">
      <c r="A155" s="54">
        <v>154.0</v>
      </c>
      <c r="B155" s="54">
        <v>242.0</v>
      </c>
      <c r="C155" s="54" t="s">
        <v>510</v>
      </c>
      <c r="D155" s="54" t="s">
        <v>511</v>
      </c>
      <c r="E155" s="54" t="s">
        <v>512</v>
      </c>
      <c r="F155" s="54">
        <v>0.0</v>
      </c>
      <c r="G155" s="54">
        <v>0.0</v>
      </c>
      <c r="H155" s="54">
        <v>0.0</v>
      </c>
      <c r="I155" s="54" t="s">
        <v>780</v>
      </c>
      <c r="J155" s="54">
        <v>1971.0</v>
      </c>
      <c r="K155" s="54">
        <v>7.0</v>
      </c>
      <c r="L155" s="54">
        <v>4636.0</v>
      </c>
      <c r="M155" s="54">
        <v>1753.0</v>
      </c>
      <c r="N155" s="54">
        <v>1213.0</v>
      </c>
      <c r="O155" s="54">
        <v>2489.0</v>
      </c>
      <c r="P155" s="54">
        <v>1491.0</v>
      </c>
      <c r="Q155" s="54">
        <v>1509.0</v>
      </c>
      <c r="R155" s="54">
        <v>1430.0</v>
      </c>
      <c r="S155" s="54">
        <v>7440.0</v>
      </c>
      <c r="T155" s="54">
        <v>0.0</v>
      </c>
      <c r="U155" s="54">
        <v>0.0</v>
      </c>
      <c r="V155" s="54">
        <v>425.0</v>
      </c>
      <c r="W155" s="54">
        <v>0.0</v>
      </c>
      <c r="X155" s="54">
        <v>0.0</v>
      </c>
      <c r="Y155" s="54">
        <v>5600.0</v>
      </c>
      <c r="Z155" s="54">
        <v>0.0</v>
      </c>
      <c r="AA155" s="54">
        <v>475.0</v>
      </c>
      <c r="AB155" s="54">
        <v>4000.0</v>
      </c>
      <c r="AC155" s="54">
        <v>0.0</v>
      </c>
      <c r="AD155" s="54">
        <v>0.0</v>
      </c>
      <c r="AE155" s="54">
        <v>0.0</v>
      </c>
      <c r="AF155" s="54">
        <v>0.0</v>
      </c>
      <c r="AG155" s="54" t="s">
        <v>781</v>
      </c>
      <c r="AH155" s="54" t="b">
        <v>0</v>
      </c>
      <c r="AI155" s="54" t="b">
        <v>1</v>
      </c>
      <c r="AJ155" s="54">
        <v>1.0</v>
      </c>
      <c r="AK155" s="54" t="s">
        <v>756</v>
      </c>
      <c r="AL155" s="54" t="s">
        <v>754</v>
      </c>
      <c r="AM155" s="54" t="b">
        <v>0</v>
      </c>
      <c r="AN155" s="54" t="b">
        <v>0</v>
      </c>
      <c r="AO155" s="54" t="b">
        <v>0</v>
      </c>
      <c r="AP155" s="54">
        <v>72.0</v>
      </c>
      <c r="AQ155" s="54">
        <v>0.0</v>
      </c>
      <c r="AR155" s="54">
        <v>2.0</v>
      </c>
      <c r="AS155" s="54">
        <v>1.0</v>
      </c>
      <c r="AT155" s="54" t="s">
        <v>749</v>
      </c>
      <c r="AU155" s="54">
        <v>8.0</v>
      </c>
      <c r="AV155" s="54" t="s">
        <v>738</v>
      </c>
      <c r="AW155" s="54" t="s">
        <v>739</v>
      </c>
      <c r="AX155" s="54">
        <v>4.0</v>
      </c>
      <c r="AY155" s="54">
        <v>0.0</v>
      </c>
      <c r="AZ155" s="54">
        <v>15.0</v>
      </c>
      <c r="BA155" s="54">
        <v>0.0</v>
      </c>
      <c r="BB155" s="54">
        <v>15.0</v>
      </c>
      <c r="BC155" s="54" t="s">
        <v>910</v>
      </c>
      <c r="BD155" s="53"/>
      <c r="BE155" s="53"/>
    </row>
    <row r="156">
      <c r="A156" s="52">
        <v>155.0</v>
      </c>
      <c r="B156" s="52">
        <v>244.0</v>
      </c>
      <c r="C156" s="52" t="s">
        <v>513</v>
      </c>
      <c r="D156" s="52" t="s">
        <v>514</v>
      </c>
      <c r="E156" s="52" t="s">
        <v>515</v>
      </c>
      <c r="F156" s="52">
        <v>14.6</v>
      </c>
      <c r="G156" s="52">
        <v>0.0</v>
      </c>
      <c r="H156" s="52">
        <v>0.0</v>
      </c>
      <c r="I156" s="52" t="s">
        <v>747</v>
      </c>
      <c r="J156" s="52">
        <v>2002.0</v>
      </c>
      <c r="K156" s="52">
        <v>2.0</v>
      </c>
      <c r="L156" s="52">
        <v>3830.0</v>
      </c>
      <c r="M156" s="52">
        <v>1675.0</v>
      </c>
      <c r="N156" s="52">
        <v>1525.0</v>
      </c>
      <c r="O156" s="52">
        <v>2450.0</v>
      </c>
      <c r="P156" s="52">
        <v>1440.0</v>
      </c>
      <c r="Q156" s="52">
        <v>1430.0</v>
      </c>
      <c r="R156" s="52">
        <v>1030.0</v>
      </c>
      <c r="S156" s="52">
        <v>1496.0</v>
      </c>
      <c r="T156" s="52">
        <v>110.0</v>
      </c>
      <c r="U156" s="52">
        <v>81.0</v>
      </c>
      <c r="V156" s="52">
        <v>0.0</v>
      </c>
      <c r="W156" s="52">
        <v>0.0</v>
      </c>
      <c r="X156" s="52">
        <v>0.0</v>
      </c>
      <c r="Y156" s="52">
        <v>5800.0</v>
      </c>
      <c r="Z156" s="52">
        <v>143.0</v>
      </c>
      <c r="AA156" s="52">
        <v>0.0</v>
      </c>
      <c r="AB156" s="52">
        <v>4800.0</v>
      </c>
      <c r="AC156" s="52">
        <v>185.0</v>
      </c>
      <c r="AD156" s="52">
        <v>0.0</v>
      </c>
      <c r="AE156" s="52">
        <v>185.0</v>
      </c>
      <c r="AF156" s="52">
        <v>0.0</v>
      </c>
      <c r="AG156" s="52" t="s">
        <v>734</v>
      </c>
      <c r="AH156" s="52" t="b">
        <v>0</v>
      </c>
      <c r="AI156" s="52" t="b">
        <v>0</v>
      </c>
      <c r="AJ156" s="52">
        <v>0.0</v>
      </c>
      <c r="AK156" s="52" t="s">
        <v>735</v>
      </c>
      <c r="AL156" s="52" t="s">
        <v>743</v>
      </c>
      <c r="AM156" s="52" t="b">
        <v>0</v>
      </c>
      <c r="AN156" s="52" t="b">
        <v>0</v>
      </c>
      <c r="AO156" s="52" t="b">
        <v>0</v>
      </c>
      <c r="AP156" s="52">
        <v>252.0</v>
      </c>
      <c r="AQ156" s="52">
        <v>1.0</v>
      </c>
      <c r="AR156" s="52">
        <v>5.0</v>
      </c>
      <c r="AS156" s="52">
        <v>0.0</v>
      </c>
      <c r="AT156" s="52" t="s">
        <v>737</v>
      </c>
      <c r="AU156" s="52">
        <v>4.0</v>
      </c>
      <c r="AV156" s="52" t="s">
        <v>738</v>
      </c>
      <c r="AW156" s="52" t="s">
        <v>744</v>
      </c>
      <c r="AX156" s="52">
        <v>7.0</v>
      </c>
      <c r="AY156" s="52">
        <v>55.0</v>
      </c>
      <c r="AZ156" s="52">
        <v>15.0</v>
      </c>
      <c r="BA156" s="52">
        <v>55.0</v>
      </c>
      <c r="BB156" s="52">
        <v>15.0</v>
      </c>
      <c r="BC156" s="52" t="s">
        <v>841</v>
      </c>
      <c r="BD156" s="53"/>
      <c r="BE156" s="53"/>
    </row>
    <row r="157">
      <c r="A157" s="54">
        <v>156.0</v>
      </c>
      <c r="B157" s="54">
        <v>245.0</v>
      </c>
      <c r="C157" s="54" t="s">
        <v>516</v>
      </c>
      <c r="D157" s="54" t="s">
        <v>517</v>
      </c>
      <c r="E157" s="54" t="s">
        <v>518</v>
      </c>
      <c r="F157" s="54">
        <v>30.6</v>
      </c>
      <c r="G157" s="54">
        <v>0.0</v>
      </c>
      <c r="H157" s="54">
        <v>0.0</v>
      </c>
      <c r="I157" s="54" t="s">
        <v>833</v>
      </c>
      <c r="J157" s="54">
        <v>2003.0</v>
      </c>
      <c r="K157" s="54">
        <v>5.0</v>
      </c>
      <c r="L157" s="54">
        <v>4200.0</v>
      </c>
      <c r="M157" s="54">
        <v>1765.0</v>
      </c>
      <c r="N157" s="54">
        <v>1430.0</v>
      </c>
      <c r="O157" s="54">
        <v>2545.0</v>
      </c>
      <c r="P157" s="54">
        <v>1520.0</v>
      </c>
      <c r="Q157" s="54">
        <v>1505.0</v>
      </c>
      <c r="R157" s="54">
        <v>1390.0</v>
      </c>
      <c r="S157" s="54">
        <v>3179.0</v>
      </c>
      <c r="T157" s="54">
        <v>250.0</v>
      </c>
      <c r="U157" s="54">
        <v>184.0</v>
      </c>
      <c r="V157" s="54">
        <v>0.0</v>
      </c>
      <c r="W157" s="54">
        <v>0.0</v>
      </c>
      <c r="X157" s="54">
        <v>0.0</v>
      </c>
      <c r="Y157" s="54">
        <v>6200.0</v>
      </c>
      <c r="Z157" s="54">
        <v>300.0</v>
      </c>
      <c r="AA157" s="54">
        <v>0.0</v>
      </c>
      <c r="AB157" s="54">
        <v>4800.0</v>
      </c>
      <c r="AC157" s="54">
        <v>225.0</v>
      </c>
      <c r="AD157" s="54">
        <v>0.0</v>
      </c>
      <c r="AE157" s="54">
        <v>225.0</v>
      </c>
      <c r="AF157" s="54">
        <v>0.0</v>
      </c>
      <c r="AG157" s="54" t="s">
        <v>788</v>
      </c>
      <c r="AH157" s="54" t="b">
        <v>0</v>
      </c>
      <c r="AI157" s="54" t="b">
        <v>0</v>
      </c>
      <c r="AJ157" s="54">
        <v>0.0</v>
      </c>
      <c r="AK157" s="54" t="s">
        <v>789</v>
      </c>
      <c r="AL157" s="54" t="s">
        <v>754</v>
      </c>
      <c r="AM157" s="54" t="b">
        <v>1</v>
      </c>
      <c r="AN157" s="54" t="b">
        <v>1</v>
      </c>
      <c r="AO157" s="54" t="b">
        <v>0</v>
      </c>
      <c r="AP157" s="54">
        <v>216.0</v>
      </c>
      <c r="AQ157" s="54">
        <v>0.0</v>
      </c>
      <c r="AR157" s="54">
        <v>5.0</v>
      </c>
      <c r="AS157" s="54">
        <v>0.0</v>
      </c>
      <c r="AT157" s="54" t="s">
        <v>749</v>
      </c>
      <c r="AU157" s="54">
        <v>6.0</v>
      </c>
      <c r="AV157" s="54" t="s">
        <v>738</v>
      </c>
      <c r="AW157" s="54" t="s">
        <v>744</v>
      </c>
      <c r="AX157" s="54">
        <v>6.0</v>
      </c>
      <c r="AY157" s="54">
        <v>45.0</v>
      </c>
      <c r="AZ157" s="54">
        <v>17.0</v>
      </c>
      <c r="BA157" s="54">
        <v>45.0</v>
      </c>
      <c r="BB157" s="54">
        <v>17.0</v>
      </c>
      <c r="BC157" s="54" t="s">
        <v>763</v>
      </c>
      <c r="BD157" s="53"/>
      <c r="BE157" s="53"/>
    </row>
    <row r="158">
      <c r="A158" s="52">
        <v>157.0</v>
      </c>
      <c r="B158" s="52">
        <v>254.0</v>
      </c>
      <c r="C158" s="52" t="s">
        <v>519</v>
      </c>
      <c r="D158" s="52" t="s">
        <v>520</v>
      </c>
      <c r="E158" s="52" t="s">
        <v>521</v>
      </c>
      <c r="F158" s="52">
        <v>0.0</v>
      </c>
      <c r="G158" s="52">
        <v>5.6</v>
      </c>
      <c r="H158" s="52">
        <v>5.6</v>
      </c>
      <c r="I158" s="52" t="s">
        <v>911</v>
      </c>
      <c r="J158" s="52">
        <v>1963.0</v>
      </c>
      <c r="K158" s="52">
        <v>2.0</v>
      </c>
      <c r="L158" s="52">
        <v>3891.0</v>
      </c>
      <c r="M158" s="52">
        <v>1522.0</v>
      </c>
      <c r="N158" s="52">
        <v>1254.0</v>
      </c>
      <c r="O158" s="52">
        <v>2311.0</v>
      </c>
      <c r="P158" s="52">
        <v>1245.0</v>
      </c>
      <c r="Q158" s="52">
        <v>1251.0</v>
      </c>
      <c r="R158" s="52">
        <v>871.0</v>
      </c>
      <c r="S158" s="52">
        <v>1798.0</v>
      </c>
      <c r="T158" s="52">
        <v>0.0</v>
      </c>
      <c r="U158" s="52">
        <v>0.0</v>
      </c>
      <c r="V158" s="52">
        <v>0.0</v>
      </c>
      <c r="W158" s="52">
        <v>95.0</v>
      </c>
      <c r="X158" s="52">
        <v>0.0</v>
      </c>
      <c r="Y158" s="52">
        <v>5400.0</v>
      </c>
      <c r="Z158" s="52">
        <v>0.0</v>
      </c>
      <c r="AA158" s="52">
        <v>110.0</v>
      </c>
      <c r="AB158" s="52">
        <v>3000.0</v>
      </c>
      <c r="AC158" s="52">
        <v>0.0</v>
      </c>
      <c r="AD158" s="52">
        <v>0.0</v>
      </c>
      <c r="AE158" s="52">
        <v>0.0</v>
      </c>
      <c r="AF158" s="52">
        <v>0.0</v>
      </c>
      <c r="AG158" s="52" t="s">
        <v>786</v>
      </c>
      <c r="AH158" s="52" t="b">
        <v>1</v>
      </c>
      <c r="AI158" s="52" t="b">
        <v>0</v>
      </c>
      <c r="AJ158" s="52">
        <v>0.0</v>
      </c>
      <c r="AK158" s="52" t="s">
        <v>742</v>
      </c>
      <c r="AL158" s="52" t="s">
        <v>754</v>
      </c>
      <c r="AM158" s="52" t="b">
        <v>0</v>
      </c>
      <c r="AN158" s="52" t="b">
        <v>0</v>
      </c>
      <c r="AO158" s="52" t="b">
        <v>0</v>
      </c>
      <c r="AP158" s="52">
        <v>180.0</v>
      </c>
      <c r="AQ158" s="52">
        <v>0.0</v>
      </c>
      <c r="AR158" s="52">
        <v>2.0</v>
      </c>
      <c r="AS158" s="52">
        <v>0.0</v>
      </c>
      <c r="AT158" s="52" t="s">
        <v>737</v>
      </c>
      <c r="AU158" s="52">
        <v>4.0</v>
      </c>
      <c r="AV158" s="52" t="s">
        <v>738</v>
      </c>
      <c r="AW158" s="52" t="s">
        <v>739</v>
      </c>
      <c r="AX158" s="52">
        <v>4.0</v>
      </c>
      <c r="AY158" s="52">
        <v>0.0</v>
      </c>
      <c r="AZ158" s="52">
        <v>14.0</v>
      </c>
      <c r="BA158" s="52">
        <v>0.0</v>
      </c>
      <c r="BB158" s="52">
        <v>14.0</v>
      </c>
      <c r="BC158" s="52" t="s">
        <v>763</v>
      </c>
      <c r="BD158" s="53"/>
      <c r="BE158" s="53"/>
    </row>
    <row r="159">
      <c r="A159" s="54">
        <v>158.0</v>
      </c>
      <c r="B159" s="54">
        <v>255.0</v>
      </c>
      <c r="C159" s="54" t="s">
        <v>522</v>
      </c>
      <c r="D159" s="54" t="s">
        <v>523</v>
      </c>
      <c r="E159" s="54" t="s">
        <v>524</v>
      </c>
      <c r="F159" s="54">
        <v>39.1</v>
      </c>
      <c r="G159" s="54">
        <v>6.4</v>
      </c>
      <c r="H159" s="54">
        <v>6.4</v>
      </c>
      <c r="I159" s="54" t="s">
        <v>829</v>
      </c>
      <c r="J159" s="54">
        <v>1964.0</v>
      </c>
      <c r="K159" s="54">
        <v>4.0</v>
      </c>
      <c r="L159" s="54">
        <v>4455.0</v>
      </c>
      <c r="M159" s="54">
        <v>1670.0</v>
      </c>
      <c r="N159" s="54">
        <v>1225.0</v>
      </c>
      <c r="O159" s="54">
        <v>2440.0</v>
      </c>
      <c r="P159" s="54">
        <v>1270.0</v>
      </c>
      <c r="Q159" s="54">
        <v>1270.0</v>
      </c>
      <c r="R159" s="54">
        <v>1255.0</v>
      </c>
      <c r="S159" s="54">
        <v>4235.0</v>
      </c>
      <c r="T159" s="54">
        <v>0.0</v>
      </c>
      <c r="U159" s="54">
        <v>0.0</v>
      </c>
      <c r="V159" s="54">
        <v>0.0</v>
      </c>
      <c r="W159" s="54">
        <v>265.0</v>
      </c>
      <c r="X159" s="54">
        <v>0.0</v>
      </c>
      <c r="Y159" s="54">
        <v>5400.0</v>
      </c>
      <c r="Z159" s="54">
        <v>0.0</v>
      </c>
      <c r="AA159" s="54">
        <v>283.0</v>
      </c>
      <c r="AB159" s="54">
        <v>4000.0</v>
      </c>
      <c r="AC159" s="54">
        <v>0.0</v>
      </c>
      <c r="AD159" s="54">
        <v>0.0</v>
      </c>
      <c r="AE159" s="54">
        <v>0.0</v>
      </c>
      <c r="AF159" s="54">
        <v>0.0</v>
      </c>
      <c r="AG159" s="54" t="s">
        <v>786</v>
      </c>
      <c r="AH159" s="54" t="b">
        <v>0</v>
      </c>
      <c r="AI159" s="54" t="b">
        <v>0</v>
      </c>
      <c r="AJ159" s="54">
        <v>1.0</v>
      </c>
      <c r="AK159" s="54" t="s">
        <v>735</v>
      </c>
      <c r="AL159" s="54" t="s">
        <v>754</v>
      </c>
      <c r="AM159" s="54" t="b">
        <v>0</v>
      </c>
      <c r="AN159" s="54" t="b">
        <v>0</v>
      </c>
      <c r="AO159" s="54" t="b">
        <v>0</v>
      </c>
      <c r="AP159" s="54">
        <v>108.0</v>
      </c>
      <c r="AQ159" s="54">
        <v>0.0</v>
      </c>
      <c r="AR159" s="54">
        <v>2.0</v>
      </c>
      <c r="AS159" s="54">
        <v>0.0</v>
      </c>
      <c r="AT159" s="54" t="s">
        <v>737</v>
      </c>
      <c r="AU159" s="54">
        <v>6.0</v>
      </c>
      <c r="AV159" s="54" t="s">
        <v>738</v>
      </c>
      <c r="AW159" s="54" t="s">
        <v>739</v>
      </c>
      <c r="AX159" s="54">
        <v>4.0</v>
      </c>
      <c r="AY159" s="54">
        <v>0.0</v>
      </c>
      <c r="AZ159" s="54">
        <v>15.0</v>
      </c>
      <c r="BA159" s="54">
        <v>0.0</v>
      </c>
      <c r="BB159" s="54">
        <v>15.0</v>
      </c>
      <c r="BC159" s="54" t="s">
        <v>912</v>
      </c>
      <c r="BD159" s="53"/>
      <c r="BE159" s="53"/>
    </row>
    <row r="160">
      <c r="A160" s="52">
        <v>159.0</v>
      </c>
      <c r="B160" s="52">
        <v>256.0</v>
      </c>
      <c r="C160" s="52" t="s">
        <v>525</v>
      </c>
      <c r="D160" s="52" t="s">
        <v>526</v>
      </c>
      <c r="E160" s="52" t="s">
        <v>527</v>
      </c>
      <c r="F160" s="52">
        <v>32.6</v>
      </c>
      <c r="G160" s="52">
        <v>0.0</v>
      </c>
      <c r="H160" s="52">
        <v>0.0</v>
      </c>
      <c r="I160" s="52" t="s">
        <v>820</v>
      </c>
      <c r="J160" s="52">
        <v>2003.0</v>
      </c>
      <c r="K160" s="52">
        <v>5.0</v>
      </c>
      <c r="L160" s="52">
        <v>4060.0</v>
      </c>
      <c r="M160" s="52">
        <v>1765.0</v>
      </c>
      <c r="N160" s="52">
        <v>1340.0</v>
      </c>
      <c r="O160" s="52">
        <v>2430.0</v>
      </c>
      <c r="P160" s="52">
        <v>1530.0</v>
      </c>
      <c r="Q160" s="52">
        <v>1500.0</v>
      </c>
      <c r="R160" s="52">
        <v>1550.0</v>
      </c>
      <c r="S160" s="52">
        <v>3188.0</v>
      </c>
      <c r="T160" s="52">
        <v>250.0</v>
      </c>
      <c r="U160" s="52">
        <v>184.0</v>
      </c>
      <c r="V160" s="52">
        <v>0.0</v>
      </c>
      <c r="W160" s="52">
        <v>0.0</v>
      </c>
      <c r="X160" s="52">
        <v>0.0</v>
      </c>
      <c r="Y160" s="52">
        <v>6300.0</v>
      </c>
      <c r="Z160" s="52">
        <v>320.0</v>
      </c>
      <c r="AA160" s="52">
        <v>0.0</v>
      </c>
      <c r="AB160" s="52">
        <v>2.09718E8</v>
      </c>
      <c r="AC160" s="52">
        <v>225.0</v>
      </c>
      <c r="AD160" s="52">
        <v>0.0</v>
      </c>
      <c r="AE160" s="52">
        <v>225.0</v>
      </c>
      <c r="AF160" s="52">
        <v>0.0</v>
      </c>
      <c r="AG160" s="52" t="s">
        <v>816</v>
      </c>
      <c r="AH160" s="52" t="b">
        <v>0</v>
      </c>
      <c r="AI160" s="52" t="b">
        <v>0</v>
      </c>
      <c r="AJ160" s="52">
        <v>0.0</v>
      </c>
      <c r="AK160" s="52" t="s">
        <v>789</v>
      </c>
      <c r="AL160" s="52" t="s">
        <v>771</v>
      </c>
      <c r="AM160" s="52" t="b">
        <v>1</v>
      </c>
      <c r="AN160" s="52" t="b">
        <v>1</v>
      </c>
      <c r="AO160" s="52" t="b">
        <v>0</v>
      </c>
      <c r="AP160" s="52">
        <v>216.0</v>
      </c>
      <c r="AQ160" s="52">
        <v>0.0</v>
      </c>
      <c r="AR160" s="52">
        <v>4.0</v>
      </c>
      <c r="AS160" s="52">
        <v>0.0</v>
      </c>
      <c r="AT160" s="52" t="s">
        <v>749</v>
      </c>
      <c r="AU160" s="52">
        <v>6.0</v>
      </c>
      <c r="AV160" s="52" t="s">
        <v>738</v>
      </c>
      <c r="AW160" s="52" t="s">
        <v>800</v>
      </c>
      <c r="AX160" s="52">
        <v>6.0</v>
      </c>
      <c r="AY160" s="52">
        <v>40.0</v>
      </c>
      <c r="AZ160" s="52">
        <v>18.0</v>
      </c>
      <c r="BA160" s="52">
        <v>40.0</v>
      </c>
      <c r="BB160" s="52">
        <v>18.0</v>
      </c>
      <c r="BC160" s="52" t="s">
        <v>913</v>
      </c>
      <c r="BD160" s="53"/>
      <c r="BE160" s="53"/>
    </row>
    <row r="161">
      <c r="A161" s="54">
        <v>160.0</v>
      </c>
      <c r="B161" s="54">
        <v>258.0</v>
      </c>
      <c r="C161" s="54" t="s">
        <v>528</v>
      </c>
      <c r="D161" s="54" t="s">
        <v>529</v>
      </c>
      <c r="E161" s="54" t="s">
        <v>530</v>
      </c>
      <c r="F161" s="54">
        <v>28.0</v>
      </c>
      <c r="G161" s="54">
        <v>6.5</v>
      </c>
      <c r="H161" s="54">
        <v>6.5</v>
      </c>
      <c r="I161" s="54" t="s">
        <v>815</v>
      </c>
      <c r="J161" s="54">
        <v>1955.0</v>
      </c>
      <c r="K161" s="54">
        <v>3.0</v>
      </c>
      <c r="L161" s="54">
        <v>4520.0</v>
      </c>
      <c r="M161" s="54">
        <v>1790.0</v>
      </c>
      <c r="N161" s="54">
        <v>1300.0</v>
      </c>
      <c r="O161" s="54">
        <v>2400.0</v>
      </c>
      <c r="P161" s="54">
        <v>1385.0</v>
      </c>
      <c r="Q161" s="54">
        <v>1435.0</v>
      </c>
      <c r="R161" s="54">
        <v>1310.0</v>
      </c>
      <c r="S161" s="54">
        <v>2996.0</v>
      </c>
      <c r="T161" s="54">
        <v>215.0</v>
      </c>
      <c r="U161" s="54">
        <v>0.0</v>
      </c>
      <c r="V161" s="54">
        <v>0.0</v>
      </c>
      <c r="W161" s="54">
        <v>0.0</v>
      </c>
      <c r="X161" s="54">
        <v>0.0</v>
      </c>
      <c r="Y161" s="54">
        <v>5800.0</v>
      </c>
      <c r="Z161" s="54">
        <v>0.0</v>
      </c>
      <c r="AA161" s="54">
        <v>0.0</v>
      </c>
      <c r="AB161" s="54">
        <v>4600.0</v>
      </c>
      <c r="AC161" s="54">
        <v>0.0</v>
      </c>
      <c r="AD161" s="54">
        <v>0.0</v>
      </c>
      <c r="AE161" s="54">
        <v>0.0</v>
      </c>
      <c r="AF161" s="54">
        <v>0.0</v>
      </c>
      <c r="AG161" s="54" t="s">
        <v>816</v>
      </c>
      <c r="AH161" s="54" t="b">
        <v>0</v>
      </c>
      <c r="AI161" s="54" t="b">
        <v>0</v>
      </c>
      <c r="AJ161" s="54">
        <v>1.0</v>
      </c>
      <c r="AK161" s="54" t="s">
        <v>735</v>
      </c>
      <c r="AL161" s="54" t="s">
        <v>736</v>
      </c>
      <c r="AM161" s="54" t="b">
        <v>0</v>
      </c>
      <c r="AN161" s="54" t="b">
        <v>0</v>
      </c>
      <c r="AO161" s="54" t="b">
        <v>0</v>
      </c>
      <c r="AP161" s="54">
        <v>72.0</v>
      </c>
      <c r="AQ161" s="54">
        <v>0.0</v>
      </c>
      <c r="AR161" s="54">
        <v>2.0</v>
      </c>
      <c r="AS161" s="54">
        <v>0.0</v>
      </c>
      <c r="AT161" s="54" t="s">
        <v>737</v>
      </c>
      <c r="AU161" s="54">
        <v>6.0</v>
      </c>
      <c r="AV161" s="54" t="s">
        <v>738</v>
      </c>
      <c r="AW161" s="54" t="s">
        <v>739</v>
      </c>
      <c r="AX161" s="54">
        <v>4.0</v>
      </c>
      <c r="AY161" s="54">
        <v>0.0</v>
      </c>
      <c r="AZ161" s="54">
        <v>15.0</v>
      </c>
      <c r="BA161" s="54">
        <v>0.0</v>
      </c>
      <c r="BB161" s="54">
        <v>15.0</v>
      </c>
      <c r="BC161" s="54" t="s">
        <v>914</v>
      </c>
      <c r="BD161" s="53"/>
      <c r="BE161" s="53"/>
    </row>
    <row r="162">
      <c r="A162" s="52">
        <v>161.0</v>
      </c>
      <c r="B162" s="52">
        <v>261.0</v>
      </c>
      <c r="C162" s="52" t="s">
        <v>531</v>
      </c>
      <c r="D162" s="52" t="s">
        <v>532</v>
      </c>
      <c r="E162" s="52" t="s">
        <v>533</v>
      </c>
      <c r="F162" s="52">
        <v>37.0</v>
      </c>
      <c r="G162" s="52">
        <v>0.0</v>
      </c>
      <c r="H162" s="52">
        <v>0.0</v>
      </c>
      <c r="I162" s="52" t="s">
        <v>776</v>
      </c>
      <c r="J162" s="52">
        <v>1998.0</v>
      </c>
      <c r="K162" s="52">
        <v>7.0</v>
      </c>
      <c r="L162" s="52">
        <v>4365.0</v>
      </c>
      <c r="M162" s="52">
        <v>1770.0</v>
      </c>
      <c r="N162" s="52">
        <v>1390.0</v>
      </c>
      <c r="O162" s="52">
        <v>2520.0</v>
      </c>
      <c r="P162" s="52">
        <v>1480.0</v>
      </c>
      <c r="Q162" s="52">
        <v>1500.0</v>
      </c>
      <c r="R162" s="52">
        <v>1270.0</v>
      </c>
      <c r="S162" s="52">
        <v>2212.0</v>
      </c>
      <c r="T162" s="52">
        <v>280.0</v>
      </c>
      <c r="U162" s="52">
        <v>206.0</v>
      </c>
      <c r="V162" s="52">
        <v>0.0</v>
      </c>
      <c r="W162" s="52">
        <v>0.0</v>
      </c>
      <c r="X162" s="52">
        <v>0.0</v>
      </c>
      <c r="Y162" s="52">
        <v>6000.0</v>
      </c>
      <c r="Z162" s="52">
        <v>363.0</v>
      </c>
      <c r="AA162" s="52">
        <v>0.0</v>
      </c>
      <c r="AB162" s="52">
        <v>3200.0</v>
      </c>
      <c r="AC162" s="52">
        <v>235.0</v>
      </c>
      <c r="AD162" s="52">
        <v>0.0</v>
      </c>
      <c r="AE162" s="52">
        <v>235.0</v>
      </c>
      <c r="AF162" s="52">
        <v>0.0</v>
      </c>
      <c r="AG162" s="52" t="s">
        <v>734</v>
      </c>
      <c r="AH162" s="52" t="b">
        <v>0</v>
      </c>
      <c r="AI162" s="52" t="b">
        <v>0</v>
      </c>
      <c r="AJ162" s="52">
        <v>0.0</v>
      </c>
      <c r="AK162" s="52" t="s">
        <v>756</v>
      </c>
      <c r="AL162" s="52" t="s">
        <v>754</v>
      </c>
      <c r="AM162" s="52" t="b">
        <v>0</v>
      </c>
      <c r="AN162" s="52" t="b">
        <v>0</v>
      </c>
      <c r="AO162" s="52" t="b">
        <v>0</v>
      </c>
      <c r="AP162" s="52">
        <v>72.0</v>
      </c>
      <c r="AQ162" s="52">
        <v>0.0</v>
      </c>
      <c r="AR162" s="52">
        <v>5.0</v>
      </c>
      <c r="AS162" s="52">
        <v>0.0</v>
      </c>
      <c r="AT162" s="52" t="s">
        <v>759</v>
      </c>
      <c r="AU162" s="52">
        <v>4.0</v>
      </c>
      <c r="AV162" s="52" t="s">
        <v>757</v>
      </c>
      <c r="AW162" s="52" t="s">
        <v>800</v>
      </c>
      <c r="AX162" s="52">
        <v>5.0</v>
      </c>
      <c r="AY162" s="52">
        <v>40.0</v>
      </c>
      <c r="AZ162" s="52">
        <v>17.0</v>
      </c>
      <c r="BA162" s="52">
        <v>40.0</v>
      </c>
      <c r="BB162" s="52">
        <v>17.0</v>
      </c>
      <c r="BC162" s="52" t="s">
        <v>915</v>
      </c>
      <c r="BD162" s="53"/>
      <c r="BE162" s="53"/>
    </row>
    <row r="163">
      <c r="A163" s="54">
        <v>162.0</v>
      </c>
      <c r="B163" s="54">
        <v>263.0</v>
      </c>
      <c r="C163" s="54" t="s">
        <v>534</v>
      </c>
      <c r="D163" s="54" t="s">
        <v>535</v>
      </c>
      <c r="E163" s="54" t="s">
        <v>536</v>
      </c>
      <c r="F163" s="54">
        <v>16.5</v>
      </c>
      <c r="G163" s="54">
        <v>0.0</v>
      </c>
      <c r="H163" s="54">
        <v>0.0</v>
      </c>
      <c r="I163" s="54" t="s">
        <v>733</v>
      </c>
      <c r="J163" s="54">
        <v>1975.0</v>
      </c>
      <c r="K163" s="54">
        <v>3.0</v>
      </c>
      <c r="L163" s="54">
        <v>4075.0</v>
      </c>
      <c r="M163" s="54">
        <v>1595.0</v>
      </c>
      <c r="N163" s="54">
        <v>1355.0</v>
      </c>
      <c r="O163" s="54">
        <v>2310.0</v>
      </c>
      <c r="P163" s="54">
        <v>1310.0</v>
      </c>
      <c r="Q163" s="54">
        <v>1300.0</v>
      </c>
      <c r="R163" s="54">
        <v>970.0</v>
      </c>
      <c r="S163" s="54">
        <v>573.0</v>
      </c>
      <c r="T163" s="54">
        <v>125.0</v>
      </c>
      <c r="U163" s="54">
        <v>0.0</v>
      </c>
      <c r="V163" s="54">
        <v>0.0</v>
      </c>
      <c r="W163" s="54">
        <v>0.0</v>
      </c>
      <c r="X163" s="54">
        <v>0.0</v>
      </c>
      <c r="Y163" s="54">
        <v>6500.0</v>
      </c>
      <c r="Z163" s="54">
        <v>0.0</v>
      </c>
      <c r="AA163" s="54">
        <v>0.0</v>
      </c>
      <c r="AB163" s="54">
        <v>4000.0</v>
      </c>
      <c r="AC163" s="54">
        <v>175.0</v>
      </c>
      <c r="AD163" s="54">
        <v>0.0</v>
      </c>
      <c r="AE163" s="54">
        <v>175.0</v>
      </c>
      <c r="AF163" s="54">
        <v>0.0</v>
      </c>
      <c r="AG163" s="54" t="s">
        <v>734</v>
      </c>
      <c r="AH163" s="54" t="b">
        <v>0</v>
      </c>
      <c r="AI163" s="54" t="b">
        <v>0</v>
      </c>
      <c r="AJ163" s="54">
        <v>1.0</v>
      </c>
      <c r="AK163" s="54" t="s">
        <v>742</v>
      </c>
      <c r="AL163" s="54" t="s">
        <v>754</v>
      </c>
      <c r="AM163" s="54" t="b">
        <v>0</v>
      </c>
      <c r="AN163" s="54" t="b">
        <v>0</v>
      </c>
      <c r="AO163" s="54" t="b">
        <v>0</v>
      </c>
      <c r="AP163" s="54">
        <v>180.0</v>
      </c>
      <c r="AQ163" s="54">
        <v>0.0</v>
      </c>
      <c r="AR163" s="54">
        <v>5.0</v>
      </c>
      <c r="AS163" s="54">
        <v>1.0</v>
      </c>
      <c r="AT163" s="54" t="s">
        <v>769</v>
      </c>
      <c r="AU163" s="54">
        <v>2.0</v>
      </c>
      <c r="AV163" s="54" t="s">
        <v>738</v>
      </c>
      <c r="AW163" s="54" t="s">
        <v>739</v>
      </c>
      <c r="AX163" s="54">
        <v>5.0</v>
      </c>
      <c r="AY163" s="54">
        <v>70.0</v>
      </c>
      <c r="AZ163" s="54">
        <v>13.0</v>
      </c>
      <c r="BA163" s="54">
        <v>70.0</v>
      </c>
      <c r="BB163" s="54">
        <v>13.0</v>
      </c>
      <c r="BC163" s="54" t="s">
        <v>916</v>
      </c>
      <c r="BD163" s="53"/>
      <c r="BE163" s="53"/>
    </row>
    <row r="164">
      <c r="A164" s="52">
        <v>163.0</v>
      </c>
      <c r="B164" s="52">
        <v>264.0</v>
      </c>
      <c r="C164" s="52" t="s">
        <v>537</v>
      </c>
      <c r="D164" s="52" t="s">
        <v>538</v>
      </c>
      <c r="E164" s="52" t="s">
        <v>539</v>
      </c>
      <c r="F164" s="52">
        <v>23.0</v>
      </c>
      <c r="G164" s="52">
        <v>0.0</v>
      </c>
      <c r="H164" s="52">
        <v>0.0</v>
      </c>
      <c r="I164" s="52" t="s">
        <v>733</v>
      </c>
      <c r="J164" s="52">
        <v>1983.0</v>
      </c>
      <c r="K164" s="52">
        <v>6.0</v>
      </c>
      <c r="L164" s="52">
        <v>4320.0</v>
      </c>
      <c r="M164" s="52">
        <v>1670.0</v>
      </c>
      <c r="N164" s="52">
        <v>1265.0</v>
      </c>
      <c r="O164" s="52">
        <v>2420.0</v>
      </c>
      <c r="P164" s="52">
        <v>1420.0</v>
      </c>
      <c r="Q164" s="52">
        <v>1400.0</v>
      </c>
      <c r="R164" s="52">
        <v>1035.0</v>
      </c>
      <c r="S164" s="52">
        <v>573.0</v>
      </c>
      <c r="T164" s="52">
        <v>165.0</v>
      </c>
      <c r="U164" s="52">
        <v>0.0</v>
      </c>
      <c r="V164" s="52">
        <v>0.0</v>
      </c>
      <c r="W164" s="52">
        <v>0.0</v>
      </c>
      <c r="X164" s="52">
        <v>0.0</v>
      </c>
      <c r="Y164" s="52">
        <v>6500.0</v>
      </c>
      <c r="Z164" s="52">
        <v>0.0</v>
      </c>
      <c r="AA164" s="52">
        <v>0.0</v>
      </c>
      <c r="AB164" s="52">
        <v>4000.0</v>
      </c>
      <c r="AC164" s="52">
        <v>205.0</v>
      </c>
      <c r="AD164" s="52">
        <v>0.0</v>
      </c>
      <c r="AE164" s="52">
        <v>205.0</v>
      </c>
      <c r="AF164" s="52">
        <v>0.0</v>
      </c>
      <c r="AG164" s="52" t="s">
        <v>734</v>
      </c>
      <c r="AH164" s="52" t="b">
        <v>0</v>
      </c>
      <c r="AI164" s="52" t="b">
        <v>1</v>
      </c>
      <c r="AJ164" s="52">
        <v>1.0</v>
      </c>
      <c r="AK164" s="52" t="s">
        <v>789</v>
      </c>
      <c r="AL164" s="52" t="s">
        <v>736</v>
      </c>
      <c r="AM164" s="52" t="b">
        <v>0</v>
      </c>
      <c r="AN164" s="52" t="b">
        <v>0</v>
      </c>
      <c r="AO164" s="52" t="b">
        <v>0</v>
      </c>
      <c r="AP164" s="52">
        <v>216.0</v>
      </c>
      <c r="AQ164" s="52">
        <v>0.0</v>
      </c>
      <c r="AR164" s="52">
        <v>4.0</v>
      </c>
      <c r="AS164" s="52">
        <v>1.0</v>
      </c>
      <c r="AT164" s="52" t="s">
        <v>769</v>
      </c>
      <c r="AU164" s="52">
        <v>2.0</v>
      </c>
      <c r="AV164" s="52" t="s">
        <v>757</v>
      </c>
      <c r="AW164" s="52" t="s">
        <v>739</v>
      </c>
      <c r="AX164" s="52">
        <v>5.0</v>
      </c>
      <c r="AY164" s="52">
        <v>60.0</v>
      </c>
      <c r="AZ164" s="52">
        <v>14.0</v>
      </c>
      <c r="BA164" s="52">
        <v>60.0</v>
      </c>
      <c r="BB164" s="52">
        <v>14.0</v>
      </c>
      <c r="BC164" s="52" t="s">
        <v>916</v>
      </c>
      <c r="BD164" s="53"/>
      <c r="BE164" s="53"/>
    </row>
    <row r="165">
      <c r="A165" s="54">
        <v>164.0</v>
      </c>
      <c r="B165" s="54">
        <v>265.0</v>
      </c>
      <c r="C165" s="54" t="s">
        <v>540</v>
      </c>
      <c r="D165" s="54" t="s">
        <v>541</v>
      </c>
      <c r="E165" s="54" t="s">
        <v>542</v>
      </c>
      <c r="F165" s="54">
        <v>14.3</v>
      </c>
      <c r="G165" s="54">
        <v>0.0</v>
      </c>
      <c r="H165" s="54">
        <v>0.0</v>
      </c>
      <c r="I165" s="54" t="s">
        <v>733</v>
      </c>
      <c r="J165" s="54">
        <v>2002.0</v>
      </c>
      <c r="K165" s="54">
        <v>2.0</v>
      </c>
      <c r="L165" s="54">
        <v>3925.0</v>
      </c>
      <c r="M165" s="54">
        <v>1680.0</v>
      </c>
      <c r="N165" s="54">
        <v>1530.0</v>
      </c>
      <c r="O165" s="54">
        <v>2490.0</v>
      </c>
      <c r="P165" s="54">
        <v>1475.0</v>
      </c>
      <c r="Q165" s="54">
        <v>1450.0</v>
      </c>
      <c r="R165" s="54">
        <v>1080.0</v>
      </c>
      <c r="S165" s="54">
        <v>1498.0</v>
      </c>
      <c r="T165" s="54">
        <v>113.0</v>
      </c>
      <c r="U165" s="54">
        <v>83.0</v>
      </c>
      <c r="V165" s="54">
        <v>0.0</v>
      </c>
      <c r="W165" s="54">
        <v>0.0</v>
      </c>
      <c r="X165" s="54">
        <v>0.0</v>
      </c>
      <c r="Y165" s="54">
        <v>6000.0</v>
      </c>
      <c r="Z165" s="54">
        <v>140.0</v>
      </c>
      <c r="AA165" s="54">
        <v>0.0</v>
      </c>
      <c r="AB165" s="54">
        <v>4000.0</v>
      </c>
      <c r="AC165" s="54">
        <v>185.0</v>
      </c>
      <c r="AD165" s="54">
        <v>0.0</v>
      </c>
      <c r="AE165" s="54">
        <v>185.0</v>
      </c>
      <c r="AF165" s="54">
        <v>0.0</v>
      </c>
      <c r="AG165" s="54" t="s">
        <v>734</v>
      </c>
      <c r="AH165" s="54" t="b">
        <v>0</v>
      </c>
      <c r="AI165" s="54" t="b">
        <v>0</v>
      </c>
      <c r="AJ165" s="54">
        <v>0.0</v>
      </c>
      <c r="AK165" s="54" t="s">
        <v>742</v>
      </c>
      <c r="AL165" s="54" t="s">
        <v>743</v>
      </c>
      <c r="AM165" s="54" t="b">
        <v>0</v>
      </c>
      <c r="AN165" s="54" t="b">
        <v>0</v>
      </c>
      <c r="AO165" s="54" t="b">
        <v>0</v>
      </c>
      <c r="AP165" s="54">
        <v>252.0</v>
      </c>
      <c r="AQ165" s="54">
        <v>0.0</v>
      </c>
      <c r="AR165" s="54">
        <v>5.0</v>
      </c>
      <c r="AS165" s="54">
        <v>0.0</v>
      </c>
      <c r="AT165" s="54" t="s">
        <v>737</v>
      </c>
      <c r="AU165" s="54">
        <v>4.0</v>
      </c>
      <c r="AV165" s="54" t="s">
        <v>738</v>
      </c>
      <c r="AW165" s="54" t="s">
        <v>744</v>
      </c>
      <c r="AX165" s="54">
        <v>5.0</v>
      </c>
      <c r="AY165" s="54">
        <v>55.0</v>
      </c>
      <c r="AZ165" s="54">
        <v>15.0</v>
      </c>
      <c r="BA165" s="54">
        <v>55.0</v>
      </c>
      <c r="BB165" s="54">
        <v>15.0</v>
      </c>
      <c r="BC165" s="54" t="s">
        <v>917</v>
      </c>
      <c r="BD165" s="53"/>
      <c r="BE165" s="53"/>
    </row>
    <row r="166">
      <c r="A166" s="52">
        <v>165.0</v>
      </c>
      <c r="B166" s="52">
        <v>266.0</v>
      </c>
      <c r="C166" s="52" t="s">
        <v>543</v>
      </c>
      <c r="D166" s="52" t="s">
        <v>544</v>
      </c>
      <c r="E166" s="52" t="s">
        <v>545</v>
      </c>
      <c r="F166" s="52">
        <v>21.0</v>
      </c>
      <c r="G166" s="52">
        <v>0.0</v>
      </c>
      <c r="H166" s="52">
        <v>0.0</v>
      </c>
      <c r="I166" s="52" t="s">
        <v>918</v>
      </c>
      <c r="J166" s="52">
        <v>2003.0</v>
      </c>
      <c r="K166" s="52">
        <v>6.0</v>
      </c>
      <c r="L166" s="52">
        <v>3790.0</v>
      </c>
      <c r="M166" s="52">
        <v>1810.0</v>
      </c>
      <c r="N166" s="52">
        <v>1170.0</v>
      </c>
      <c r="O166" s="52">
        <v>2375.0</v>
      </c>
      <c r="P166" s="52">
        <v>1520.0</v>
      </c>
      <c r="Q166" s="52">
        <v>1530.0</v>
      </c>
      <c r="R166" s="52">
        <v>940.0</v>
      </c>
      <c r="S166" s="52">
        <v>1998.0</v>
      </c>
      <c r="T166" s="52">
        <v>204.0</v>
      </c>
      <c r="U166" s="52">
        <v>150.0</v>
      </c>
      <c r="V166" s="52">
        <v>0.0</v>
      </c>
      <c r="W166" s="52">
        <v>0.0</v>
      </c>
      <c r="X166" s="52">
        <v>0.0</v>
      </c>
      <c r="Y166" s="52">
        <v>7200.0</v>
      </c>
      <c r="Z166" s="52">
        <v>206.0</v>
      </c>
      <c r="AA166" s="52">
        <v>0.0</v>
      </c>
      <c r="AB166" s="52">
        <v>5200.0</v>
      </c>
      <c r="AC166" s="52">
        <v>205.0</v>
      </c>
      <c r="AD166" s="52">
        <v>0.0</v>
      </c>
      <c r="AE166" s="52">
        <v>245.0</v>
      </c>
      <c r="AF166" s="52">
        <v>0.0</v>
      </c>
      <c r="AG166" s="52" t="s">
        <v>734</v>
      </c>
      <c r="AH166" s="52" t="b">
        <v>0</v>
      </c>
      <c r="AI166" s="52" t="b">
        <v>0</v>
      </c>
      <c r="AJ166" s="52">
        <v>0.0</v>
      </c>
      <c r="AK166" s="52" t="s">
        <v>748</v>
      </c>
      <c r="AL166" s="52" t="s">
        <v>736</v>
      </c>
      <c r="AM166" s="52" t="b">
        <v>0</v>
      </c>
      <c r="AN166" s="52" t="b">
        <v>0</v>
      </c>
      <c r="AO166" s="52" t="b">
        <v>0</v>
      </c>
      <c r="AP166" s="52">
        <v>36.0</v>
      </c>
      <c r="AQ166" s="52">
        <v>0.0</v>
      </c>
      <c r="AR166" s="52">
        <v>2.0</v>
      </c>
      <c r="AS166" s="52">
        <v>0.0</v>
      </c>
      <c r="AT166" s="52" t="s">
        <v>737</v>
      </c>
      <c r="AU166" s="52">
        <v>4.0</v>
      </c>
      <c r="AV166" s="52" t="s">
        <v>738</v>
      </c>
      <c r="AW166" s="52" t="s">
        <v>750</v>
      </c>
      <c r="AX166" s="52">
        <v>6.0</v>
      </c>
      <c r="AY166" s="52">
        <v>40.0</v>
      </c>
      <c r="AZ166" s="52">
        <v>17.0</v>
      </c>
      <c r="BA166" s="52">
        <v>40.0</v>
      </c>
      <c r="BB166" s="52">
        <v>17.0</v>
      </c>
      <c r="BC166" s="52" t="s">
        <v>919</v>
      </c>
      <c r="BD166" s="53"/>
      <c r="BE166" s="53"/>
    </row>
    <row r="167">
      <c r="A167" s="54">
        <v>166.0</v>
      </c>
      <c r="B167" s="54">
        <v>270.0</v>
      </c>
      <c r="C167" s="54" t="s">
        <v>546</v>
      </c>
      <c r="D167" s="54" t="s">
        <v>547</v>
      </c>
      <c r="E167" s="54" t="s">
        <v>548</v>
      </c>
      <c r="F167" s="54">
        <v>72.0</v>
      </c>
      <c r="G167" s="54">
        <v>0.0</v>
      </c>
      <c r="H167" s="54">
        <v>0.0</v>
      </c>
      <c r="I167" s="54" t="s">
        <v>741</v>
      </c>
      <c r="J167" s="54">
        <v>1998.0</v>
      </c>
      <c r="K167" s="54">
        <v>8.0</v>
      </c>
      <c r="L167" s="54">
        <v>4720.0</v>
      </c>
      <c r="M167" s="54">
        <v>2000.0</v>
      </c>
      <c r="N167" s="54">
        <v>1090.0</v>
      </c>
      <c r="O167" s="54">
        <v>2720.0</v>
      </c>
      <c r="P167" s="54">
        <v>1710.0</v>
      </c>
      <c r="Q167" s="54">
        <v>1640.0</v>
      </c>
      <c r="R167" s="54">
        <v>1000.0</v>
      </c>
      <c r="S167" s="54">
        <v>3495.0</v>
      </c>
      <c r="T167" s="54">
        <v>650.0</v>
      </c>
      <c r="U167" s="54">
        <v>0.0</v>
      </c>
      <c r="V167" s="54">
        <v>0.0</v>
      </c>
      <c r="W167" s="54">
        <v>0.0</v>
      </c>
      <c r="X167" s="54">
        <v>0.0</v>
      </c>
      <c r="Y167" s="54">
        <v>6800.0</v>
      </c>
      <c r="Z167" s="54">
        <v>0.0</v>
      </c>
      <c r="AA167" s="54">
        <v>0.0</v>
      </c>
      <c r="AB167" s="54">
        <v>4400.0</v>
      </c>
      <c r="AC167" s="54">
        <v>285.0</v>
      </c>
      <c r="AD167" s="54">
        <v>0.0</v>
      </c>
      <c r="AE167" s="54">
        <v>335.0</v>
      </c>
      <c r="AF167" s="54">
        <v>0.0</v>
      </c>
      <c r="AG167" s="54" t="s">
        <v>734</v>
      </c>
      <c r="AH167" s="54" t="b">
        <v>0</v>
      </c>
      <c r="AI167" s="54" t="b">
        <v>0</v>
      </c>
      <c r="AJ167" s="54">
        <v>1.0</v>
      </c>
      <c r="AK167" s="54" t="s">
        <v>761</v>
      </c>
      <c r="AL167" s="54" t="s">
        <v>762</v>
      </c>
      <c r="AM167" s="54" t="b">
        <v>0</v>
      </c>
      <c r="AN167" s="54" t="b">
        <v>0</v>
      </c>
      <c r="AO167" s="54" t="b">
        <v>0</v>
      </c>
      <c r="AP167" s="54">
        <v>0.0</v>
      </c>
      <c r="AQ167" s="54">
        <v>0.0</v>
      </c>
      <c r="AR167" s="54">
        <v>0.0</v>
      </c>
      <c r="AS167" s="54">
        <v>0.0</v>
      </c>
      <c r="AT167" s="54" t="s">
        <v>749</v>
      </c>
      <c r="AU167" s="54">
        <v>8.0</v>
      </c>
      <c r="AV167" s="54" t="s">
        <v>757</v>
      </c>
      <c r="AW167" s="54" t="s">
        <v>750</v>
      </c>
      <c r="AX167" s="54">
        <v>6.0</v>
      </c>
      <c r="AY167" s="54">
        <v>35.0</v>
      </c>
      <c r="AZ167" s="54">
        <v>18.0</v>
      </c>
      <c r="BA167" s="54">
        <v>40.0</v>
      </c>
      <c r="BB167" s="54">
        <v>18.0</v>
      </c>
      <c r="BC167" s="54" t="s">
        <v>920</v>
      </c>
      <c r="BD167" s="53"/>
      <c r="BE167" s="53"/>
    </row>
    <row r="168">
      <c r="A168" s="52">
        <v>167.0</v>
      </c>
      <c r="B168" s="52">
        <v>277.0</v>
      </c>
      <c r="C168" s="52" t="s">
        <v>549</v>
      </c>
      <c r="D168" s="52" t="s">
        <v>550</v>
      </c>
      <c r="E168" s="52" t="s">
        <v>551</v>
      </c>
      <c r="F168" s="52">
        <v>32.6</v>
      </c>
      <c r="G168" s="52">
        <v>0.0</v>
      </c>
      <c r="H168" s="52">
        <v>0.0</v>
      </c>
      <c r="I168" s="52" t="s">
        <v>818</v>
      </c>
      <c r="J168" s="52">
        <v>2003.0</v>
      </c>
      <c r="K168" s="52">
        <v>5.0</v>
      </c>
      <c r="L168" s="52">
        <v>4165.0</v>
      </c>
      <c r="M168" s="52">
        <v>1735.0</v>
      </c>
      <c r="N168" s="52">
        <v>1435.0</v>
      </c>
      <c r="O168" s="52">
        <v>2520.0</v>
      </c>
      <c r="P168" s="52">
        <v>1515.0</v>
      </c>
      <c r="Q168" s="52">
        <v>1480.0</v>
      </c>
      <c r="R168" s="52">
        <v>1460.0</v>
      </c>
      <c r="S168" s="52">
        <v>3188.0</v>
      </c>
      <c r="T168" s="52">
        <v>241.0</v>
      </c>
      <c r="U168" s="52">
        <v>177.0</v>
      </c>
      <c r="V168" s="52">
        <v>0.0</v>
      </c>
      <c r="W168" s="52">
        <v>0.0</v>
      </c>
      <c r="X168" s="52">
        <v>0.0</v>
      </c>
      <c r="Y168" s="52">
        <v>6250.0</v>
      </c>
      <c r="Z168" s="52">
        <v>320.0</v>
      </c>
      <c r="AA168" s="52">
        <v>0.0</v>
      </c>
      <c r="AB168" s="52">
        <v>2.09718E8</v>
      </c>
      <c r="AC168" s="52">
        <v>225.0</v>
      </c>
      <c r="AD168" s="52">
        <v>0.0</v>
      </c>
      <c r="AE168" s="52">
        <v>225.0</v>
      </c>
      <c r="AF168" s="52">
        <v>0.0</v>
      </c>
      <c r="AG168" s="52" t="s">
        <v>816</v>
      </c>
      <c r="AH168" s="52" t="b">
        <v>0</v>
      </c>
      <c r="AI168" s="52" t="b">
        <v>0</v>
      </c>
      <c r="AJ168" s="52">
        <v>0.0</v>
      </c>
      <c r="AK168" s="52" t="s">
        <v>789</v>
      </c>
      <c r="AL168" s="52" t="s">
        <v>754</v>
      </c>
      <c r="AM168" s="52" t="b">
        <v>1</v>
      </c>
      <c r="AN168" s="52" t="b">
        <v>1</v>
      </c>
      <c r="AO168" s="52" t="b">
        <v>0</v>
      </c>
      <c r="AP168" s="52">
        <v>216.0</v>
      </c>
      <c r="AQ168" s="52">
        <v>0.0</v>
      </c>
      <c r="AR168" s="52">
        <v>5.0</v>
      </c>
      <c r="AS168" s="52">
        <v>0.0</v>
      </c>
      <c r="AT168" s="52" t="s">
        <v>749</v>
      </c>
      <c r="AU168" s="52">
        <v>6.0</v>
      </c>
      <c r="AV168" s="52" t="s">
        <v>738</v>
      </c>
      <c r="AW168" s="52" t="s">
        <v>800</v>
      </c>
      <c r="AX168" s="52">
        <v>6.0</v>
      </c>
      <c r="AY168" s="52">
        <v>40.0</v>
      </c>
      <c r="AZ168" s="52">
        <v>18.0</v>
      </c>
      <c r="BA168" s="52">
        <v>40.0</v>
      </c>
      <c r="BB168" s="52">
        <v>18.0</v>
      </c>
      <c r="BC168" s="52" t="s">
        <v>921</v>
      </c>
      <c r="BD168" s="53"/>
      <c r="BE168" s="53"/>
    </row>
    <row r="169">
      <c r="A169" s="54">
        <v>168.0</v>
      </c>
      <c r="B169" s="54">
        <v>279.0</v>
      </c>
      <c r="C169" s="54" t="s">
        <v>552</v>
      </c>
      <c r="D169" s="54" t="s">
        <v>553</v>
      </c>
      <c r="E169" s="54" t="s">
        <v>554</v>
      </c>
      <c r="F169" s="54">
        <v>20.0</v>
      </c>
      <c r="G169" s="54">
        <v>0.0</v>
      </c>
      <c r="H169" s="54">
        <v>0.0</v>
      </c>
      <c r="I169" s="54" t="s">
        <v>752</v>
      </c>
      <c r="J169" s="54">
        <v>2003.0</v>
      </c>
      <c r="K169" s="54">
        <v>6.0</v>
      </c>
      <c r="L169" s="54">
        <v>3660.0</v>
      </c>
      <c r="M169" s="54">
        <v>1660.0</v>
      </c>
      <c r="N169" s="54">
        <v>1485.0</v>
      </c>
      <c r="O169" s="54">
        <v>2370.0</v>
      </c>
      <c r="P169" s="54">
        <v>0.0</v>
      </c>
      <c r="Q169" s="54">
        <v>0.0</v>
      </c>
      <c r="R169" s="54">
        <v>1000.0</v>
      </c>
      <c r="S169" s="54">
        <v>1496.0</v>
      </c>
      <c r="T169" s="54">
        <v>150.0</v>
      </c>
      <c r="U169" s="54">
        <v>110.0</v>
      </c>
      <c r="V169" s="54">
        <v>0.0</v>
      </c>
      <c r="W169" s="54">
        <v>0.0</v>
      </c>
      <c r="X169" s="54">
        <v>0.0</v>
      </c>
      <c r="Y169" s="54">
        <v>6400.0</v>
      </c>
      <c r="Z169" s="54">
        <v>196.0</v>
      </c>
      <c r="AA169" s="54">
        <v>0.0</v>
      </c>
      <c r="AB169" s="54">
        <v>4800.0</v>
      </c>
      <c r="AC169" s="54">
        <v>195.0</v>
      </c>
      <c r="AD169" s="54">
        <v>0.0</v>
      </c>
      <c r="AE169" s="54">
        <v>195.0</v>
      </c>
      <c r="AF169" s="54">
        <v>0.0</v>
      </c>
      <c r="AG169" s="54" t="s">
        <v>734</v>
      </c>
      <c r="AH169" s="54" t="b">
        <v>0</v>
      </c>
      <c r="AI169" s="54" t="b">
        <v>0</v>
      </c>
      <c r="AJ169" s="54">
        <v>0.0</v>
      </c>
      <c r="AK169" s="54" t="s">
        <v>735</v>
      </c>
      <c r="AL169" s="54" t="s">
        <v>754</v>
      </c>
      <c r="AM169" s="54" t="b">
        <v>1</v>
      </c>
      <c r="AN169" s="54" t="b">
        <v>0</v>
      </c>
      <c r="AO169" s="54" t="b">
        <v>0</v>
      </c>
      <c r="AP169" s="54">
        <v>216.0</v>
      </c>
      <c r="AQ169" s="54">
        <v>0.0</v>
      </c>
      <c r="AR169" s="54">
        <v>5.0</v>
      </c>
      <c r="AS169" s="54">
        <v>0.0</v>
      </c>
      <c r="AT169" s="54" t="s">
        <v>737</v>
      </c>
      <c r="AU169" s="54">
        <v>4.0</v>
      </c>
      <c r="AV169" s="54" t="s">
        <v>757</v>
      </c>
      <c r="AW169" s="54" t="s">
        <v>744</v>
      </c>
      <c r="AX169" s="54">
        <v>5.0</v>
      </c>
      <c r="AY169" s="54">
        <v>45.0</v>
      </c>
      <c r="AZ169" s="54">
        <v>16.0</v>
      </c>
      <c r="BA169" s="54">
        <v>45.0</v>
      </c>
      <c r="BB169" s="54">
        <v>16.0</v>
      </c>
      <c r="BC169" s="54" t="s">
        <v>753</v>
      </c>
      <c r="BD169" s="53"/>
      <c r="BE169" s="53"/>
    </row>
    <row r="170">
      <c r="A170" s="52">
        <v>169.0</v>
      </c>
      <c r="B170" s="52">
        <v>280.0</v>
      </c>
      <c r="C170" s="52" t="s">
        <v>555</v>
      </c>
      <c r="D170" s="52" t="s">
        <v>556</v>
      </c>
      <c r="E170" s="52" t="s">
        <v>557</v>
      </c>
      <c r="F170" s="52">
        <v>37.0</v>
      </c>
      <c r="G170" s="52">
        <v>0.0</v>
      </c>
      <c r="H170" s="52">
        <v>0.0</v>
      </c>
      <c r="I170" s="52" t="s">
        <v>741</v>
      </c>
      <c r="J170" s="52">
        <v>2003.0</v>
      </c>
      <c r="K170" s="52">
        <v>5.0</v>
      </c>
      <c r="L170" s="52">
        <v>4640.0</v>
      </c>
      <c r="M170" s="52">
        <v>1815.0</v>
      </c>
      <c r="N170" s="52">
        <v>1395.0</v>
      </c>
      <c r="O170" s="52">
        <v>2850.0</v>
      </c>
      <c r="P170" s="52">
        <v>1535.0</v>
      </c>
      <c r="Q170" s="52">
        <v>1545.0</v>
      </c>
      <c r="R170" s="52">
        <v>1530.0</v>
      </c>
      <c r="S170" s="52">
        <v>3498.0</v>
      </c>
      <c r="T170" s="52">
        <v>280.0</v>
      </c>
      <c r="U170" s="52">
        <v>206.0</v>
      </c>
      <c r="V170" s="52">
        <v>0.0</v>
      </c>
      <c r="W170" s="52">
        <v>0.0</v>
      </c>
      <c r="X170" s="52">
        <v>0.0</v>
      </c>
      <c r="Y170" s="52">
        <v>6200.0</v>
      </c>
      <c r="Z170" s="52">
        <v>363.0</v>
      </c>
      <c r="AA170" s="52">
        <v>0.0</v>
      </c>
      <c r="AB170" s="52">
        <v>4800.0</v>
      </c>
      <c r="AC170" s="52">
        <v>225.0</v>
      </c>
      <c r="AD170" s="52">
        <v>0.0</v>
      </c>
      <c r="AE170" s="52">
        <v>245.0</v>
      </c>
      <c r="AF170" s="52">
        <v>0.0</v>
      </c>
      <c r="AG170" s="52" t="s">
        <v>734</v>
      </c>
      <c r="AH170" s="52" t="b">
        <v>0</v>
      </c>
      <c r="AI170" s="52" t="b">
        <v>0</v>
      </c>
      <c r="AJ170" s="52">
        <v>0.0</v>
      </c>
      <c r="AK170" s="52" t="s">
        <v>789</v>
      </c>
      <c r="AL170" s="52" t="s">
        <v>771</v>
      </c>
      <c r="AM170" s="52" t="b">
        <v>0</v>
      </c>
      <c r="AN170" s="52" t="b">
        <v>0</v>
      </c>
      <c r="AO170" s="52" t="b">
        <v>0</v>
      </c>
      <c r="AP170" s="52">
        <v>216.0</v>
      </c>
      <c r="AQ170" s="52">
        <v>0.0</v>
      </c>
      <c r="AR170" s="52">
        <v>4.0</v>
      </c>
      <c r="AS170" s="52">
        <v>0.0</v>
      </c>
      <c r="AT170" s="52" t="s">
        <v>749</v>
      </c>
      <c r="AU170" s="52">
        <v>6.0</v>
      </c>
      <c r="AV170" s="52" t="s">
        <v>738</v>
      </c>
      <c r="AW170" s="52" t="s">
        <v>739</v>
      </c>
      <c r="AX170" s="52">
        <v>6.0</v>
      </c>
      <c r="AY170" s="52">
        <v>45.0</v>
      </c>
      <c r="AZ170" s="52">
        <v>18.0</v>
      </c>
      <c r="BA170" s="52">
        <v>45.0</v>
      </c>
      <c r="BB170" s="52">
        <v>18.0</v>
      </c>
      <c r="BC170" s="52" t="s">
        <v>871</v>
      </c>
      <c r="BD170" s="53"/>
      <c r="BE170" s="53"/>
    </row>
    <row r="171">
      <c r="A171" s="54">
        <v>170.0</v>
      </c>
      <c r="B171" s="54">
        <v>281.0</v>
      </c>
      <c r="C171" s="54" t="s">
        <v>558</v>
      </c>
      <c r="D171" s="54" t="s">
        <v>559</v>
      </c>
      <c r="E171" s="54" t="s">
        <v>560</v>
      </c>
      <c r="F171" s="54">
        <v>18.0</v>
      </c>
      <c r="G171" s="54">
        <v>0.0</v>
      </c>
      <c r="H171" s="54">
        <v>0.0</v>
      </c>
      <c r="I171" s="54" t="s">
        <v>894</v>
      </c>
      <c r="J171" s="54">
        <v>1976.0</v>
      </c>
      <c r="K171" s="54">
        <v>3.0</v>
      </c>
      <c r="L171" s="54">
        <v>4190.0</v>
      </c>
      <c r="M171" s="54">
        <v>1720.0</v>
      </c>
      <c r="N171" s="54">
        <v>1360.0</v>
      </c>
      <c r="O171" s="54">
        <v>2490.0</v>
      </c>
      <c r="P171" s="54">
        <v>1460.0</v>
      </c>
      <c r="Q171" s="54">
        <v>1456.0</v>
      </c>
      <c r="R171" s="54">
        <v>980.0</v>
      </c>
      <c r="S171" s="54">
        <v>1995.0</v>
      </c>
      <c r="T171" s="54">
        <v>0.0</v>
      </c>
      <c r="U171" s="54">
        <v>0.0</v>
      </c>
      <c r="V171" s="54">
        <v>140.0</v>
      </c>
      <c r="W171" s="54">
        <v>140.0</v>
      </c>
      <c r="X171" s="54">
        <v>0.0</v>
      </c>
      <c r="Y171" s="54">
        <v>6400.0</v>
      </c>
      <c r="Z171" s="54">
        <v>0.0</v>
      </c>
      <c r="AA171" s="54">
        <v>130.0</v>
      </c>
      <c r="AB171" s="54">
        <v>3800.0</v>
      </c>
      <c r="AC171" s="54">
        <v>195.0</v>
      </c>
      <c r="AD171" s="54">
        <v>0.0</v>
      </c>
      <c r="AE171" s="54">
        <v>195.0</v>
      </c>
      <c r="AF171" s="54">
        <v>0.0</v>
      </c>
      <c r="AG171" s="54" t="s">
        <v>788</v>
      </c>
      <c r="AH171" s="54" t="b">
        <v>0</v>
      </c>
      <c r="AI171" s="54" t="b">
        <v>0</v>
      </c>
      <c r="AJ171" s="54">
        <v>0.0</v>
      </c>
      <c r="AK171" s="54" t="s">
        <v>742</v>
      </c>
      <c r="AL171" s="54" t="s">
        <v>754</v>
      </c>
      <c r="AM171" s="54" t="b">
        <v>0</v>
      </c>
      <c r="AN171" s="54" t="b">
        <v>0</v>
      </c>
      <c r="AO171" s="54" t="b">
        <v>0</v>
      </c>
      <c r="AP171" s="54">
        <v>108.0</v>
      </c>
      <c r="AQ171" s="54">
        <v>0.0</v>
      </c>
      <c r="AR171" s="54">
        <v>4.0</v>
      </c>
      <c r="AS171" s="54">
        <v>0.0</v>
      </c>
      <c r="AT171" s="54" t="s">
        <v>737</v>
      </c>
      <c r="AU171" s="54">
        <v>4.0</v>
      </c>
      <c r="AV171" s="54" t="s">
        <v>738</v>
      </c>
      <c r="AW171" s="54" t="s">
        <v>739</v>
      </c>
      <c r="AX171" s="54">
        <v>5.0</v>
      </c>
      <c r="AY171" s="54">
        <v>50.0</v>
      </c>
      <c r="AZ171" s="54">
        <v>15.0</v>
      </c>
      <c r="BA171" s="54">
        <v>50.0</v>
      </c>
      <c r="BB171" s="54">
        <v>15.0</v>
      </c>
      <c r="BC171" s="54" t="s">
        <v>763</v>
      </c>
      <c r="BD171" s="53"/>
      <c r="BE171" s="53"/>
    </row>
    <row r="172">
      <c r="A172" s="52">
        <v>171.0</v>
      </c>
      <c r="B172" s="52">
        <v>283.0</v>
      </c>
      <c r="C172" s="52" t="s">
        <v>561</v>
      </c>
      <c r="D172" s="52" t="s">
        <v>562</v>
      </c>
      <c r="E172" s="52" t="s">
        <v>563</v>
      </c>
      <c r="F172" s="52">
        <v>17.5</v>
      </c>
      <c r="G172" s="52">
        <v>0.0</v>
      </c>
      <c r="H172" s="52">
        <v>0.0</v>
      </c>
      <c r="I172" s="52" t="s">
        <v>818</v>
      </c>
      <c r="J172" s="52">
        <v>2002.0</v>
      </c>
      <c r="K172" s="52">
        <v>2.0</v>
      </c>
      <c r="L172" s="52">
        <v>4090.0</v>
      </c>
      <c r="M172" s="52">
        <v>1730.0</v>
      </c>
      <c r="N172" s="52">
        <v>1500.0</v>
      </c>
      <c r="O172" s="52">
        <v>2515.0</v>
      </c>
      <c r="P172" s="52">
        <v>1510.0</v>
      </c>
      <c r="Q172" s="52">
        <v>1485.0</v>
      </c>
      <c r="R172" s="52">
        <v>1300.0</v>
      </c>
      <c r="S172" s="52">
        <v>1984.0</v>
      </c>
      <c r="T172" s="52">
        <v>116.0</v>
      </c>
      <c r="U172" s="52">
        <v>85.0</v>
      </c>
      <c r="V172" s="52">
        <v>0.0</v>
      </c>
      <c r="W172" s="52">
        <v>0.0</v>
      </c>
      <c r="X172" s="52">
        <v>0.0</v>
      </c>
      <c r="Y172" s="52">
        <v>5400.0</v>
      </c>
      <c r="Z172" s="52">
        <v>172.0</v>
      </c>
      <c r="AA172" s="52">
        <v>0.0</v>
      </c>
      <c r="AB172" s="52">
        <v>3200.0</v>
      </c>
      <c r="AC172" s="52">
        <v>205.0</v>
      </c>
      <c r="AD172" s="52">
        <v>0.0</v>
      </c>
      <c r="AE172" s="52">
        <v>205.0</v>
      </c>
      <c r="AF172" s="52">
        <v>0.0</v>
      </c>
      <c r="AG172" s="52" t="s">
        <v>816</v>
      </c>
      <c r="AH172" s="52" t="b">
        <v>0</v>
      </c>
      <c r="AI172" s="52" t="b">
        <v>0</v>
      </c>
      <c r="AJ172" s="52">
        <v>0.0</v>
      </c>
      <c r="AK172" s="52" t="s">
        <v>742</v>
      </c>
      <c r="AL172" s="52" t="s">
        <v>765</v>
      </c>
      <c r="AM172" s="52" t="b">
        <v>1</v>
      </c>
      <c r="AN172" s="52" t="b">
        <v>1</v>
      </c>
      <c r="AO172" s="52" t="b">
        <v>0</v>
      </c>
      <c r="AP172" s="52">
        <v>252.0</v>
      </c>
      <c r="AQ172" s="52">
        <v>1.0</v>
      </c>
      <c r="AR172" s="52">
        <v>5.0</v>
      </c>
      <c r="AS172" s="52">
        <v>0.0</v>
      </c>
      <c r="AT172" s="52" t="s">
        <v>737</v>
      </c>
      <c r="AU172" s="52">
        <v>4.0</v>
      </c>
      <c r="AV172" s="52" t="s">
        <v>738</v>
      </c>
      <c r="AW172" s="52" t="s">
        <v>744</v>
      </c>
      <c r="AX172" s="52">
        <v>4.0</v>
      </c>
      <c r="AY172" s="52">
        <v>55.0</v>
      </c>
      <c r="AZ172" s="52">
        <v>16.0</v>
      </c>
      <c r="BA172" s="52">
        <v>55.0</v>
      </c>
      <c r="BB172" s="52">
        <v>16.0</v>
      </c>
      <c r="BC172" s="52" t="s">
        <v>922</v>
      </c>
      <c r="BD172" s="53"/>
      <c r="BE172" s="53"/>
    </row>
    <row r="173">
      <c r="A173" s="54">
        <v>172.0</v>
      </c>
      <c r="B173" s="54">
        <v>285.0</v>
      </c>
      <c r="C173" s="54" t="s">
        <v>564</v>
      </c>
      <c r="D173" s="54" t="s">
        <v>565</v>
      </c>
      <c r="E173" s="54" t="s">
        <v>566</v>
      </c>
      <c r="F173" s="54">
        <v>28.0</v>
      </c>
      <c r="G173" s="54">
        <v>0.0</v>
      </c>
      <c r="H173" s="54">
        <v>0.0</v>
      </c>
      <c r="I173" s="54" t="s">
        <v>741</v>
      </c>
      <c r="J173" s="54">
        <v>1999.0</v>
      </c>
      <c r="K173" s="54">
        <v>7.0</v>
      </c>
      <c r="L173" s="54">
        <v>4445.0</v>
      </c>
      <c r="M173" s="54">
        <v>1695.0</v>
      </c>
      <c r="N173" s="54">
        <v>1285.0</v>
      </c>
      <c r="O173" s="54">
        <v>2525.0</v>
      </c>
      <c r="P173" s="54">
        <v>1470.0</v>
      </c>
      <c r="Q173" s="54">
        <v>1460.0</v>
      </c>
      <c r="R173" s="54">
        <v>1240.0</v>
      </c>
      <c r="S173" s="54">
        <v>1998.0</v>
      </c>
      <c r="T173" s="54">
        <v>250.0</v>
      </c>
      <c r="U173" s="54">
        <v>184.0</v>
      </c>
      <c r="V173" s="54">
        <v>0.0</v>
      </c>
      <c r="W173" s="54">
        <v>0.0</v>
      </c>
      <c r="X173" s="54">
        <v>0.0</v>
      </c>
      <c r="Y173" s="54">
        <v>6400.0</v>
      </c>
      <c r="Z173" s="54">
        <v>275.0</v>
      </c>
      <c r="AA173" s="54">
        <v>0.0</v>
      </c>
      <c r="AB173" s="54">
        <v>4800.0</v>
      </c>
      <c r="AC173" s="54">
        <v>205.0</v>
      </c>
      <c r="AD173" s="54">
        <v>0.0</v>
      </c>
      <c r="AE173" s="54">
        <v>205.0</v>
      </c>
      <c r="AF173" s="54">
        <v>0.0</v>
      </c>
      <c r="AG173" s="54" t="s">
        <v>734</v>
      </c>
      <c r="AH173" s="54" t="b">
        <v>0</v>
      </c>
      <c r="AI173" s="54" t="b">
        <v>0</v>
      </c>
      <c r="AJ173" s="54">
        <v>0.0</v>
      </c>
      <c r="AK173" s="54" t="s">
        <v>756</v>
      </c>
      <c r="AL173" s="54" t="s">
        <v>754</v>
      </c>
      <c r="AM173" s="54" t="b">
        <v>0</v>
      </c>
      <c r="AN173" s="54" t="b">
        <v>0</v>
      </c>
      <c r="AO173" s="54" t="b">
        <v>0</v>
      </c>
      <c r="AP173" s="54">
        <v>216.0</v>
      </c>
      <c r="AQ173" s="54">
        <v>0.0</v>
      </c>
      <c r="AR173" s="54">
        <v>4.0</v>
      </c>
      <c r="AS173" s="54">
        <v>0.0</v>
      </c>
      <c r="AT173" s="54" t="s">
        <v>737</v>
      </c>
      <c r="AU173" s="54">
        <v>4.0</v>
      </c>
      <c r="AV173" s="54" t="s">
        <v>757</v>
      </c>
      <c r="AW173" s="54" t="s">
        <v>739</v>
      </c>
      <c r="AX173" s="54">
        <v>6.0</v>
      </c>
      <c r="AY173" s="54">
        <v>55.0</v>
      </c>
      <c r="AZ173" s="54">
        <v>16.0</v>
      </c>
      <c r="BA173" s="54">
        <v>55.0</v>
      </c>
      <c r="BB173" s="54">
        <v>16.0</v>
      </c>
      <c r="BC173" s="54" t="s">
        <v>873</v>
      </c>
      <c r="BD173" s="53"/>
      <c r="BE173" s="53"/>
    </row>
    <row r="174">
      <c r="A174" s="52">
        <v>173.0</v>
      </c>
      <c r="B174" s="52">
        <v>286.0</v>
      </c>
      <c r="C174" s="52" t="s">
        <v>567</v>
      </c>
      <c r="D174" s="52" t="s">
        <v>568</v>
      </c>
      <c r="E174" s="52" t="s">
        <v>569</v>
      </c>
      <c r="F174" s="52">
        <v>39.0</v>
      </c>
      <c r="G174" s="52">
        <v>0.0</v>
      </c>
      <c r="H174" s="52">
        <v>0.0</v>
      </c>
      <c r="I174" s="52" t="s">
        <v>773</v>
      </c>
      <c r="J174" s="52">
        <v>2001.0</v>
      </c>
      <c r="K174" s="52">
        <v>7.0</v>
      </c>
      <c r="L174" s="52">
        <v>4455.0</v>
      </c>
      <c r="M174" s="52">
        <v>1770.0</v>
      </c>
      <c r="N174" s="52">
        <v>1450.0</v>
      </c>
      <c r="O174" s="52">
        <v>2625.0</v>
      </c>
      <c r="P174" s="52">
        <v>1515.0</v>
      </c>
      <c r="Q174" s="52">
        <v>1515.0</v>
      </c>
      <c r="R174" s="52">
        <v>1400.0</v>
      </c>
      <c r="S174" s="52">
        <v>1997.0</v>
      </c>
      <c r="T174" s="52">
        <v>280.0</v>
      </c>
      <c r="U174" s="52">
        <v>206.0</v>
      </c>
      <c r="V174" s="52">
        <v>0.0</v>
      </c>
      <c r="W174" s="52">
        <v>0.0</v>
      </c>
      <c r="X174" s="52">
        <v>0.0</v>
      </c>
      <c r="Y174" s="52">
        <v>6500.0</v>
      </c>
      <c r="Z174" s="52">
        <v>383.0</v>
      </c>
      <c r="AA174" s="52">
        <v>0.0</v>
      </c>
      <c r="AB174" s="52">
        <v>3500.0</v>
      </c>
      <c r="AC174" s="52">
        <v>235.0</v>
      </c>
      <c r="AD174" s="52">
        <v>0.0</v>
      </c>
      <c r="AE174" s="52">
        <v>235.0</v>
      </c>
      <c r="AF174" s="52">
        <v>0.0</v>
      </c>
      <c r="AG174" s="52" t="s">
        <v>734</v>
      </c>
      <c r="AH174" s="52" t="b">
        <v>0</v>
      </c>
      <c r="AI174" s="52" t="b">
        <v>0</v>
      </c>
      <c r="AJ174" s="52">
        <v>0.0</v>
      </c>
      <c r="AK174" s="52" t="s">
        <v>748</v>
      </c>
      <c r="AL174" s="52" t="s">
        <v>754</v>
      </c>
      <c r="AM174" s="52" t="b">
        <v>0</v>
      </c>
      <c r="AN174" s="52" t="b">
        <v>0</v>
      </c>
      <c r="AO174" s="52" t="b">
        <v>0</v>
      </c>
      <c r="AP174" s="52">
        <v>180.0</v>
      </c>
      <c r="AQ174" s="52">
        <v>0.0</v>
      </c>
      <c r="AR174" s="52">
        <v>5.0</v>
      </c>
      <c r="AS174" s="52">
        <v>0.0</v>
      </c>
      <c r="AT174" s="52" t="s">
        <v>737</v>
      </c>
      <c r="AU174" s="52">
        <v>4.0</v>
      </c>
      <c r="AV174" s="52" t="s">
        <v>757</v>
      </c>
      <c r="AW174" s="52" t="s">
        <v>800</v>
      </c>
      <c r="AX174" s="52">
        <v>5.0</v>
      </c>
      <c r="AY174" s="52">
        <v>45.0</v>
      </c>
      <c r="AZ174" s="52">
        <v>17.0</v>
      </c>
      <c r="BA174" s="52">
        <v>45.0</v>
      </c>
      <c r="BB174" s="52">
        <v>17.0</v>
      </c>
      <c r="BC174" s="52" t="s">
        <v>887</v>
      </c>
      <c r="BD174" s="53"/>
      <c r="BE174" s="53"/>
    </row>
    <row r="175">
      <c r="A175" s="54">
        <v>174.0</v>
      </c>
      <c r="B175" s="54">
        <v>290.0</v>
      </c>
      <c r="C175" s="54" t="s">
        <v>570</v>
      </c>
      <c r="D175" s="54" t="s">
        <v>571</v>
      </c>
      <c r="E175" s="54" t="s">
        <v>572</v>
      </c>
      <c r="F175" s="54">
        <v>62.3</v>
      </c>
      <c r="G175" s="54">
        <v>0.0</v>
      </c>
      <c r="H175" s="54">
        <v>0.0</v>
      </c>
      <c r="I175" s="54" t="s">
        <v>923</v>
      </c>
      <c r="J175" s="54">
        <v>1991.0</v>
      </c>
      <c r="K175" s="54">
        <v>7.0</v>
      </c>
      <c r="L175" s="54">
        <v>4400.0</v>
      </c>
      <c r="M175" s="54">
        <v>1940.0</v>
      </c>
      <c r="N175" s="54">
        <v>1125.0</v>
      </c>
      <c r="O175" s="54">
        <v>2550.0</v>
      </c>
      <c r="P175" s="54">
        <v>1550.0</v>
      </c>
      <c r="Q175" s="54">
        <v>1618.0</v>
      </c>
      <c r="R175" s="54">
        <v>1620.0</v>
      </c>
      <c r="S175" s="54">
        <v>3500.0</v>
      </c>
      <c r="T175" s="54">
        <v>560.0</v>
      </c>
      <c r="U175" s="54">
        <v>411.0</v>
      </c>
      <c r="V175" s="54">
        <v>0.0</v>
      </c>
      <c r="W175" s="54">
        <v>0.0</v>
      </c>
      <c r="X175" s="54">
        <v>0.0</v>
      </c>
      <c r="Y175" s="54">
        <v>8000.0</v>
      </c>
      <c r="Z175" s="54">
        <v>611.0</v>
      </c>
      <c r="AA175" s="54">
        <v>0.0</v>
      </c>
      <c r="AB175" s="54">
        <v>3750.0</v>
      </c>
      <c r="AC175" s="54">
        <v>245.0</v>
      </c>
      <c r="AD175" s="54">
        <v>0.0</v>
      </c>
      <c r="AE175" s="54">
        <v>325.0</v>
      </c>
      <c r="AF175" s="54">
        <v>0.0</v>
      </c>
      <c r="AG175" s="54" t="s">
        <v>816</v>
      </c>
      <c r="AH175" s="54" t="b">
        <v>0</v>
      </c>
      <c r="AI175" s="54" t="b">
        <v>0</v>
      </c>
      <c r="AJ175" s="54">
        <v>0.0</v>
      </c>
      <c r="AK175" s="54" t="s">
        <v>748</v>
      </c>
      <c r="AL175" s="54" t="s">
        <v>736</v>
      </c>
      <c r="AM175" s="54" t="b">
        <v>0</v>
      </c>
      <c r="AN175" s="54" t="b">
        <v>0</v>
      </c>
      <c r="AO175" s="54" t="b">
        <v>0</v>
      </c>
      <c r="AP175" s="54">
        <v>36.0</v>
      </c>
      <c r="AQ175" s="54">
        <v>0.0</v>
      </c>
      <c r="AR175" s="54">
        <v>2.0</v>
      </c>
      <c r="AS175" s="54">
        <v>0.0</v>
      </c>
      <c r="AT175" s="54" t="s">
        <v>749</v>
      </c>
      <c r="AU175" s="54">
        <v>12.0</v>
      </c>
      <c r="AV175" s="54" t="s">
        <v>757</v>
      </c>
      <c r="AW175" s="54" t="s">
        <v>800</v>
      </c>
      <c r="AX175" s="54">
        <v>6.0</v>
      </c>
      <c r="AY175" s="54">
        <v>40.0</v>
      </c>
      <c r="AZ175" s="54">
        <v>18.0</v>
      </c>
      <c r="BA175" s="54">
        <v>30.0</v>
      </c>
      <c r="BB175" s="54">
        <v>18.0</v>
      </c>
      <c r="BC175" s="54" t="s">
        <v>763</v>
      </c>
      <c r="BD175" s="53"/>
      <c r="BE175" s="53"/>
    </row>
    <row r="176">
      <c r="A176" s="52">
        <v>175.0</v>
      </c>
      <c r="B176" s="52">
        <v>291.0</v>
      </c>
      <c r="C176" s="52" t="s">
        <v>573</v>
      </c>
      <c r="D176" s="52" t="s">
        <v>574</v>
      </c>
      <c r="E176" s="52" t="s">
        <v>575</v>
      </c>
      <c r="F176" s="52">
        <v>0.0</v>
      </c>
      <c r="G176" s="52">
        <v>0.0</v>
      </c>
      <c r="H176" s="52">
        <v>0.0</v>
      </c>
      <c r="I176" s="52" t="s">
        <v>820</v>
      </c>
      <c r="J176" s="52">
        <v>2003.0</v>
      </c>
      <c r="K176" s="52">
        <v>8.0</v>
      </c>
      <c r="L176" s="52">
        <v>4650.0</v>
      </c>
      <c r="M176" s="52">
        <v>2000.0</v>
      </c>
      <c r="N176" s="52">
        <v>1092.0</v>
      </c>
      <c r="O176" s="52">
        <v>2736.0</v>
      </c>
      <c r="P176" s="52">
        <v>0.0</v>
      </c>
      <c r="Q176" s="52">
        <v>0.0</v>
      </c>
      <c r="R176" s="52">
        <v>900.0</v>
      </c>
      <c r="S176" s="52">
        <v>3596.0</v>
      </c>
      <c r="T176" s="52">
        <v>0.0</v>
      </c>
      <c r="U176" s="52">
        <v>0.0</v>
      </c>
      <c r="V176" s="52">
        <v>0.0</v>
      </c>
      <c r="W176" s="52">
        <v>615.0</v>
      </c>
      <c r="X176" s="52">
        <v>0.0</v>
      </c>
      <c r="Y176" s="52">
        <v>6500.0</v>
      </c>
      <c r="Z176" s="52">
        <v>700.0</v>
      </c>
      <c r="AA176" s="52">
        <v>0.0</v>
      </c>
      <c r="AB176" s="52">
        <v>5500.0</v>
      </c>
      <c r="AC176" s="52">
        <v>330.0</v>
      </c>
      <c r="AD176" s="52">
        <v>650.0</v>
      </c>
      <c r="AE176" s="52">
        <v>370.0</v>
      </c>
      <c r="AF176" s="52">
        <v>710.0</v>
      </c>
      <c r="AG176" s="52" t="s">
        <v>816</v>
      </c>
      <c r="AH176" s="52" t="b">
        <v>1</v>
      </c>
      <c r="AI176" s="52" t="b">
        <v>0</v>
      </c>
      <c r="AJ176" s="52">
        <v>0.0</v>
      </c>
      <c r="AK176" s="52" t="s">
        <v>761</v>
      </c>
      <c r="AL176" s="52" t="s">
        <v>762</v>
      </c>
      <c r="AM176" s="52" t="b">
        <v>0</v>
      </c>
      <c r="AN176" s="52" t="b">
        <v>0</v>
      </c>
      <c r="AO176" s="52" t="b">
        <v>0</v>
      </c>
      <c r="AP176" s="52">
        <v>0.0</v>
      </c>
      <c r="AQ176" s="52">
        <v>0.0</v>
      </c>
      <c r="AR176" s="52">
        <v>1.0</v>
      </c>
      <c r="AS176" s="52">
        <v>0.0</v>
      </c>
      <c r="AT176" s="52" t="s">
        <v>749</v>
      </c>
      <c r="AU176" s="52">
        <v>8.0</v>
      </c>
      <c r="AV176" s="52" t="s">
        <v>757</v>
      </c>
      <c r="AW176" s="52" t="s">
        <v>750</v>
      </c>
      <c r="AX176" s="52">
        <v>6.0</v>
      </c>
      <c r="AY176" s="52">
        <v>0.0</v>
      </c>
      <c r="AZ176" s="52">
        <v>18.0</v>
      </c>
      <c r="BA176" s="52">
        <v>0.0</v>
      </c>
      <c r="BB176" s="52">
        <v>18.0</v>
      </c>
      <c r="BC176" s="52" t="s">
        <v>763</v>
      </c>
      <c r="BD176" s="53"/>
      <c r="BE176" s="53"/>
    </row>
    <row r="177">
      <c r="A177" s="54">
        <v>176.0</v>
      </c>
      <c r="B177" s="54">
        <v>292.0</v>
      </c>
      <c r="C177" s="54" t="s">
        <v>576</v>
      </c>
      <c r="D177" s="54" t="s">
        <v>577</v>
      </c>
      <c r="E177" s="54" t="s">
        <v>578</v>
      </c>
      <c r="F177" s="54">
        <v>43.8</v>
      </c>
      <c r="G177" s="54">
        <v>0.0</v>
      </c>
      <c r="H177" s="54">
        <v>0.0</v>
      </c>
      <c r="I177" s="54" t="s">
        <v>820</v>
      </c>
      <c r="J177" s="54">
        <v>2003.0</v>
      </c>
      <c r="K177" s="54">
        <v>5.0</v>
      </c>
      <c r="L177" s="54">
        <v>5051.0</v>
      </c>
      <c r="M177" s="54">
        <v>1894.0</v>
      </c>
      <c r="N177" s="54">
        <v>1444.0</v>
      </c>
      <c r="O177" s="54">
        <v>2944.0</v>
      </c>
      <c r="P177" s="54">
        <v>1629.0</v>
      </c>
      <c r="Q177" s="54">
        <v>1615.0</v>
      </c>
      <c r="R177" s="54">
        <v>1780.0</v>
      </c>
      <c r="S177" s="54">
        <v>4172.0</v>
      </c>
      <c r="T177" s="54">
        <v>335.0</v>
      </c>
      <c r="U177" s="54">
        <v>246.0</v>
      </c>
      <c r="V177" s="54">
        <v>0.0</v>
      </c>
      <c r="W177" s="54">
        <v>0.0</v>
      </c>
      <c r="X177" s="54">
        <v>0.0</v>
      </c>
      <c r="Y177" s="54">
        <v>6500.0</v>
      </c>
      <c r="Z177" s="54">
        <v>430.0</v>
      </c>
      <c r="AA177" s="54">
        <v>0.0</v>
      </c>
      <c r="AB177" s="54">
        <v>3500.0</v>
      </c>
      <c r="AC177" s="54">
        <v>255.0</v>
      </c>
      <c r="AD177" s="54">
        <v>0.0</v>
      </c>
      <c r="AE177" s="54">
        <v>255.0</v>
      </c>
      <c r="AF177" s="54">
        <v>0.0</v>
      </c>
      <c r="AG177" s="54" t="s">
        <v>816</v>
      </c>
      <c r="AH177" s="54" t="b">
        <v>0</v>
      </c>
      <c r="AI177" s="54" t="b">
        <v>0</v>
      </c>
      <c r="AJ177" s="54">
        <v>0.0</v>
      </c>
      <c r="AK177" s="54" t="s">
        <v>789</v>
      </c>
      <c r="AL177" s="54" t="s">
        <v>794</v>
      </c>
      <c r="AM177" s="54" t="b">
        <v>1</v>
      </c>
      <c r="AN177" s="54" t="b">
        <v>1</v>
      </c>
      <c r="AO177" s="54" t="b">
        <v>0</v>
      </c>
      <c r="AP177" s="54">
        <v>216.0</v>
      </c>
      <c r="AQ177" s="54">
        <v>1.0</v>
      </c>
      <c r="AR177" s="54">
        <v>5.0</v>
      </c>
      <c r="AS177" s="54">
        <v>0.0</v>
      </c>
      <c r="AT177" s="54" t="s">
        <v>749</v>
      </c>
      <c r="AU177" s="54">
        <v>8.0</v>
      </c>
      <c r="AV177" s="54" t="s">
        <v>738</v>
      </c>
      <c r="AW177" s="54" t="s">
        <v>800</v>
      </c>
      <c r="AX177" s="54">
        <v>6.0</v>
      </c>
      <c r="AY177" s="54">
        <v>40.0</v>
      </c>
      <c r="AZ177" s="54">
        <v>19.0</v>
      </c>
      <c r="BA177" s="54">
        <v>40.0</v>
      </c>
      <c r="BB177" s="54">
        <v>19.0</v>
      </c>
      <c r="BC177" s="54" t="s">
        <v>763</v>
      </c>
      <c r="BD177" s="53"/>
      <c r="BE177" s="53"/>
    </row>
    <row r="178">
      <c r="A178" s="52">
        <v>177.0</v>
      </c>
      <c r="B178" s="52">
        <v>293.0</v>
      </c>
      <c r="C178" s="52" t="s">
        <v>579</v>
      </c>
      <c r="D178" s="52" t="s">
        <v>580</v>
      </c>
      <c r="E178" s="52" t="s">
        <v>581</v>
      </c>
      <c r="F178" s="52">
        <v>57.1</v>
      </c>
      <c r="G178" s="52">
        <v>0.0</v>
      </c>
      <c r="H178" s="52">
        <v>0.0</v>
      </c>
      <c r="I178" s="52" t="s">
        <v>820</v>
      </c>
      <c r="J178" s="52">
        <v>2003.0</v>
      </c>
      <c r="K178" s="52">
        <v>6.0</v>
      </c>
      <c r="L178" s="52">
        <v>4865.0</v>
      </c>
      <c r="M178" s="52">
        <v>1850.0</v>
      </c>
      <c r="N178" s="52">
        <v>1440.0</v>
      </c>
      <c r="O178" s="52">
        <v>2760.0</v>
      </c>
      <c r="P178" s="52">
        <v>1575.0</v>
      </c>
      <c r="Q178" s="52">
        <v>1585.0</v>
      </c>
      <c r="R178" s="52">
        <v>1910.0</v>
      </c>
      <c r="S178" s="52">
        <v>4172.0</v>
      </c>
      <c r="T178" s="52">
        <v>450.0</v>
      </c>
      <c r="U178" s="52">
        <v>331.0</v>
      </c>
      <c r="V178" s="52">
        <v>0.0</v>
      </c>
      <c r="W178" s="52">
        <v>0.0</v>
      </c>
      <c r="X178" s="52">
        <v>0.0</v>
      </c>
      <c r="Y178" s="52">
        <v>4.194361E8</v>
      </c>
      <c r="Z178" s="52">
        <v>560.0</v>
      </c>
      <c r="AA178" s="52">
        <v>0.0</v>
      </c>
      <c r="AB178" s="52">
        <v>3.6700355E8</v>
      </c>
      <c r="AC178" s="52">
        <v>255.0</v>
      </c>
      <c r="AD178" s="52">
        <v>0.0</v>
      </c>
      <c r="AE178" s="52">
        <v>255.0</v>
      </c>
      <c r="AF178" s="52">
        <v>0.0</v>
      </c>
      <c r="AG178" s="52" t="s">
        <v>816</v>
      </c>
      <c r="AH178" s="52" t="b">
        <v>0</v>
      </c>
      <c r="AI178" s="52" t="b">
        <v>0</v>
      </c>
      <c r="AJ178" s="52">
        <v>0.0</v>
      </c>
      <c r="AK178" s="52" t="s">
        <v>756</v>
      </c>
      <c r="AL178" s="52" t="s">
        <v>794</v>
      </c>
      <c r="AM178" s="52" t="b">
        <v>1</v>
      </c>
      <c r="AN178" s="52" t="b">
        <v>1</v>
      </c>
      <c r="AO178" s="52" t="b">
        <v>0</v>
      </c>
      <c r="AP178" s="52">
        <v>144.0</v>
      </c>
      <c r="AQ178" s="52">
        <v>1.0</v>
      </c>
      <c r="AR178" s="52">
        <v>5.0</v>
      </c>
      <c r="AS178" s="52">
        <v>0.0</v>
      </c>
      <c r="AT178" s="52" t="s">
        <v>749</v>
      </c>
      <c r="AU178" s="52">
        <v>8.0</v>
      </c>
      <c r="AV178" s="52" t="s">
        <v>757</v>
      </c>
      <c r="AW178" s="52" t="s">
        <v>800</v>
      </c>
      <c r="AX178" s="52">
        <v>5.0</v>
      </c>
      <c r="AY178" s="52">
        <v>35.0</v>
      </c>
      <c r="AZ178" s="52">
        <v>19.0</v>
      </c>
      <c r="BA178" s="52">
        <v>35.0</v>
      </c>
      <c r="BB178" s="52">
        <v>19.0</v>
      </c>
      <c r="BC178" s="52" t="s">
        <v>924</v>
      </c>
      <c r="BD178" s="53"/>
      <c r="BE178" s="53"/>
    </row>
    <row r="179">
      <c r="A179" s="54">
        <v>178.0</v>
      </c>
      <c r="B179" s="54">
        <v>295.0</v>
      </c>
      <c r="C179" s="54" t="s">
        <v>582</v>
      </c>
      <c r="D179" s="54" t="s">
        <v>583</v>
      </c>
      <c r="E179" s="54" t="s">
        <v>584</v>
      </c>
      <c r="F179" s="54">
        <v>0.0</v>
      </c>
      <c r="G179" s="54">
        <v>0.0</v>
      </c>
      <c r="H179" s="54">
        <v>0.0</v>
      </c>
      <c r="I179" s="54" t="s">
        <v>897</v>
      </c>
      <c r="J179" s="54">
        <v>2003.0</v>
      </c>
      <c r="K179" s="54">
        <v>7.0</v>
      </c>
      <c r="L179" s="54">
        <v>4665.0</v>
      </c>
      <c r="M179" s="54">
        <v>1923.0</v>
      </c>
      <c r="N179" s="54">
        <v>1318.0</v>
      </c>
      <c r="O179" s="54">
        <v>2690.0</v>
      </c>
      <c r="P179" s="54">
        <v>1572.0</v>
      </c>
      <c r="Q179" s="54">
        <v>1584.0</v>
      </c>
      <c r="R179" s="54">
        <v>1835.0</v>
      </c>
      <c r="S179" s="54">
        <v>5935.0</v>
      </c>
      <c r="T179" s="54">
        <v>0.0</v>
      </c>
      <c r="U179" s="54">
        <v>343.0</v>
      </c>
      <c r="V179" s="54">
        <v>0.0</v>
      </c>
      <c r="W179" s="54">
        <v>460.0</v>
      </c>
      <c r="X179" s="54">
        <v>0.0</v>
      </c>
      <c r="Y179" s="54">
        <v>6800.0</v>
      </c>
      <c r="Z179" s="54">
        <v>542.0</v>
      </c>
      <c r="AA179" s="54">
        <v>400.0</v>
      </c>
      <c r="AB179" s="54">
        <v>5500.0</v>
      </c>
      <c r="AC179" s="54">
        <v>255.0</v>
      </c>
      <c r="AD179" s="54">
        <v>0.0</v>
      </c>
      <c r="AE179" s="54">
        <v>285.0</v>
      </c>
      <c r="AF179" s="54">
        <v>0.0</v>
      </c>
      <c r="AG179" s="54" t="s">
        <v>786</v>
      </c>
      <c r="AH179" s="54" t="b">
        <v>0</v>
      </c>
      <c r="AI179" s="54" t="b">
        <v>0</v>
      </c>
      <c r="AJ179" s="54">
        <v>0.0</v>
      </c>
      <c r="AK179" s="54" t="s">
        <v>748</v>
      </c>
      <c r="AL179" s="54" t="s">
        <v>736</v>
      </c>
      <c r="AM179" s="54" t="b">
        <v>0</v>
      </c>
      <c r="AN179" s="54" t="b">
        <v>0</v>
      </c>
      <c r="AO179" s="54" t="b">
        <v>0</v>
      </c>
      <c r="AP179" s="54">
        <v>36.0</v>
      </c>
      <c r="AQ179" s="54">
        <v>0.0</v>
      </c>
      <c r="AR179" s="54">
        <v>4.0</v>
      </c>
      <c r="AS179" s="54">
        <v>0.0</v>
      </c>
      <c r="AT179" s="54" t="s">
        <v>749</v>
      </c>
      <c r="AU179" s="54">
        <v>12.0</v>
      </c>
      <c r="AV179" s="54" t="s">
        <v>738</v>
      </c>
      <c r="AW179" s="54" t="s">
        <v>739</v>
      </c>
      <c r="AX179" s="54">
        <v>6.0</v>
      </c>
      <c r="AY179" s="54">
        <v>40.0</v>
      </c>
      <c r="AZ179" s="54">
        <v>19.0</v>
      </c>
      <c r="BA179" s="54">
        <v>40.0</v>
      </c>
      <c r="BB179" s="54">
        <v>19.0</v>
      </c>
      <c r="BC179" s="54" t="s">
        <v>763</v>
      </c>
      <c r="BD179" s="53"/>
      <c r="BE179" s="53"/>
    </row>
    <row r="180">
      <c r="A180" s="52">
        <v>179.0</v>
      </c>
      <c r="B180" s="52">
        <v>296.0</v>
      </c>
      <c r="C180" s="52" t="s">
        <v>585</v>
      </c>
      <c r="D180" s="52" t="s">
        <v>586</v>
      </c>
      <c r="E180" s="52" t="s">
        <v>587</v>
      </c>
      <c r="F180" s="52">
        <v>0.0</v>
      </c>
      <c r="G180" s="52">
        <v>0.0</v>
      </c>
      <c r="H180" s="52">
        <v>0.0</v>
      </c>
      <c r="I180" s="52" t="s">
        <v>824</v>
      </c>
      <c r="J180" s="52">
        <v>2003.0</v>
      </c>
      <c r="K180" s="52">
        <v>8.0</v>
      </c>
      <c r="L180" s="52">
        <v>4470.0</v>
      </c>
      <c r="M180" s="52">
        <v>1850.0</v>
      </c>
      <c r="N180" s="52">
        <v>1250.0</v>
      </c>
      <c r="O180" s="52">
        <v>2700.0</v>
      </c>
      <c r="P180" s="52">
        <v>1620.0</v>
      </c>
      <c r="Q180" s="52">
        <v>1550.0</v>
      </c>
      <c r="R180" s="52">
        <v>1250.0</v>
      </c>
      <c r="S180" s="52">
        <v>3998.0</v>
      </c>
      <c r="T180" s="52">
        <v>0.0</v>
      </c>
      <c r="U180" s="52">
        <v>375.0</v>
      </c>
      <c r="V180" s="52">
        <v>510.0</v>
      </c>
      <c r="W180" s="52">
        <v>0.0</v>
      </c>
      <c r="X180" s="52">
        <v>0.0</v>
      </c>
      <c r="Y180" s="52">
        <v>6900.0</v>
      </c>
      <c r="Z180" s="52">
        <v>515.0</v>
      </c>
      <c r="AA180" s="52">
        <v>0.0</v>
      </c>
      <c r="AB180" s="52">
        <v>5600.0</v>
      </c>
      <c r="AC180" s="52">
        <v>270.0</v>
      </c>
      <c r="AD180" s="52">
        <v>650.0</v>
      </c>
      <c r="AE180" s="52">
        <v>270.0</v>
      </c>
      <c r="AF180" s="52">
        <v>680.0</v>
      </c>
      <c r="AG180" s="52" t="s">
        <v>816</v>
      </c>
      <c r="AH180" s="52" t="b">
        <v>0</v>
      </c>
      <c r="AI180" s="52" t="b">
        <v>0</v>
      </c>
      <c r="AJ180" s="52">
        <v>0.0</v>
      </c>
      <c r="AK180" s="52" t="s">
        <v>761</v>
      </c>
      <c r="AL180" s="52" t="s">
        <v>762</v>
      </c>
      <c r="AM180" s="52" t="b">
        <v>0</v>
      </c>
      <c r="AN180" s="52" t="b">
        <v>0</v>
      </c>
      <c r="AO180" s="52" t="b">
        <v>0</v>
      </c>
      <c r="AP180" s="52">
        <v>72.0</v>
      </c>
      <c r="AQ180" s="52">
        <v>0.0</v>
      </c>
      <c r="AR180" s="52">
        <v>0.0</v>
      </c>
      <c r="AS180" s="52">
        <v>0.0</v>
      </c>
      <c r="AT180" s="52" t="s">
        <v>749</v>
      </c>
      <c r="AU180" s="52">
        <v>8.0</v>
      </c>
      <c r="AV180" s="52" t="s">
        <v>738</v>
      </c>
      <c r="AW180" s="52" t="s">
        <v>739</v>
      </c>
      <c r="AX180" s="52">
        <v>6.0</v>
      </c>
      <c r="AY180" s="52">
        <v>0.0</v>
      </c>
      <c r="AZ180" s="52">
        <v>18.0</v>
      </c>
      <c r="BA180" s="52">
        <v>0.0</v>
      </c>
      <c r="BB180" s="52">
        <v>18.0</v>
      </c>
      <c r="BC180" s="52" t="s">
        <v>763</v>
      </c>
      <c r="BD180" s="53"/>
      <c r="BE180" s="53"/>
    </row>
    <row r="181">
      <c r="A181" s="54">
        <v>180.0</v>
      </c>
      <c r="B181" s="54">
        <v>297.0</v>
      </c>
      <c r="C181" s="54" t="s">
        <v>588</v>
      </c>
      <c r="D181" s="54" t="s">
        <v>589</v>
      </c>
      <c r="E181" s="54" t="s">
        <v>590</v>
      </c>
      <c r="F181" s="54">
        <v>15.3</v>
      </c>
      <c r="G181" s="54">
        <v>0.0</v>
      </c>
      <c r="H181" s="54">
        <v>0.0</v>
      </c>
      <c r="I181" s="54" t="s">
        <v>875</v>
      </c>
      <c r="J181" s="54">
        <v>2003.0</v>
      </c>
      <c r="K181" s="54">
        <v>2.0</v>
      </c>
      <c r="L181" s="54">
        <v>3850.0</v>
      </c>
      <c r="M181" s="54">
        <v>1670.0</v>
      </c>
      <c r="N181" s="54">
        <v>1540.0</v>
      </c>
      <c r="O181" s="54">
        <v>2460.0</v>
      </c>
      <c r="P181" s="54">
        <v>1440.0</v>
      </c>
      <c r="Q181" s="54">
        <v>1440.0</v>
      </c>
      <c r="R181" s="54">
        <v>1090.0</v>
      </c>
      <c r="S181" s="54">
        <v>1587.0</v>
      </c>
      <c r="T181" s="54">
        <v>110.0</v>
      </c>
      <c r="U181" s="54">
        <v>80.0</v>
      </c>
      <c r="V181" s="54">
        <v>0.0</v>
      </c>
      <c r="W181" s="54">
        <v>0.0</v>
      </c>
      <c r="X181" s="54">
        <v>0.0</v>
      </c>
      <c r="Y181" s="54">
        <v>5800.0</v>
      </c>
      <c r="Z181" s="54">
        <v>147.0</v>
      </c>
      <c r="AA181" s="54">
        <v>0.0</v>
      </c>
      <c r="AB181" s="54">
        <v>4000.0</v>
      </c>
      <c r="AC181" s="54">
        <v>185.0</v>
      </c>
      <c r="AD181" s="54">
        <v>0.0</v>
      </c>
      <c r="AE181" s="54">
        <v>185.0</v>
      </c>
      <c r="AF181" s="54">
        <v>0.0</v>
      </c>
      <c r="AG181" s="54" t="s">
        <v>792</v>
      </c>
      <c r="AH181" s="54" t="b">
        <v>0</v>
      </c>
      <c r="AI181" s="54" t="b">
        <v>0</v>
      </c>
      <c r="AJ181" s="54">
        <v>0.0</v>
      </c>
      <c r="AK181" s="54" t="s">
        <v>742</v>
      </c>
      <c r="AL181" s="54" t="s">
        <v>743</v>
      </c>
      <c r="AM181" s="54" t="b">
        <v>0</v>
      </c>
      <c r="AN181" s="54" t="b">
        <v>0</v>
      </c>
      <c r="AO181" s="54" t="b">
        <v>0</v>
      </c>
      <c r="AP181" s="54">
        <v>252.0</v>
      </c>
      <c r="AQ181" s="54">
        <v>0.0</v>
      </c>
      <c r="AR181" s="54">
        <v>5.0</v>
      </c>
      <c r="AS181" s="54">
        <v>0.0</v>
      </c>
      <c r="AT181" s="54" t="s">
        <v>737</v>
      </c>
      <c r="AU181" s="54">
        <v>4.0</v>
      </c>
      <c r="AV181" s="54" t="s">
        <v>738</v>
      </c>
      <c r="AW181" s="54" t="s">
        <v>744</v>
      </c>
      <c r="AX181" s="54">
        <v>5.0</v>
      </c>
      <c r="AY181" s="54">
        <v>60.0</v>
      </c>
      <c r="AZ181" s="54">
        <v>15.0</v>
      </c>
      <c r="BA181" s="54">
        <v>60.0</v>
      </c>
      <c r="BB181" s="54">
        <v>15.0</v>
      </c>
      <c r="BC181" s="54" t="s">
        <v>925</v>
      </c>
      <c r="BD181" s="53"/>
      <c r="BE181" s="53"/>
    </row>
    <row r="182">
      <c r="A182" s="52">
        <v>181.0</v>
      </c>
      <c r="B182" s="52">
        <v>298.0</v>
      </c>
      <c r="C182" s="52" t="s">
        <v>591</v>
      </c>
      <c r="D182" s="52" t="s">
        <v>592</v>
      </c>
      <c r="E182" s="52" t="s">
        <v>593</v>
      </c>
      <c r="F182" s="52">
        <v>53.0</v>
      </c>
      <c r="G182" s="52">
        <v>0.0</v>
      </c>
      <c r="H182" s="52">
        <v>0.0</v>
      </c>
      <c r="I182" s="52" t="s">
        <v>875</v>
      </c>
      <c r="J182" s="52">
        <v>2002.0</v>
      </c>
      <c r="K182" s="52">
        <v>8.0</v>
      </c>
      <c r="L182" s="52">
        <v>4167.0</v>
      </c>
      <c r="M182" s="52">
        <v>1770.0</v>
      </c>
      <c r="N182" s="52">
        <v>1330.0</v>
      </c>
      <c r="O182" s="52">
        <v>2555.0</v>
      </c>
      <c r="P182" s="52">
        <v>1568.0</v>
      </c>
      <c r="Q182" s="52">
        <v>1568.0</v>
      </c>
      <c r="R182" s="52">
        <v>1230.0</v>
      </c>
      <c r="S182" s="52">
        <v>1998.0</v>
      </c>
      <c r="T182" s="52">
        <v>0.0</v>
      </c>
      <c r="U182" s="52">
        <v>224.0</v>
      </c>
      <c r="V182" s="52">
        <v>0.0</v>
      </c>
      <c r="W182" s="52">
        <v>300.0</v>
      </c>
      <c r="X182" s="52">
        <v>0.0</v>
      </c>
      <c r="Y182" s="52">
        <v>5500.0</v>
      </c>
      <c r="Z182" s="52">
        <v>520.0</v>
      </c>
      <c r="AA182" s="52">
        <v>0.0</v>
      </c>
      <c r="AB182" s="52">
        <v>4000.0</v>
      </c>
      <c r="AC182" s="52">
        <v>225.0</v>
      </c>
      <c r="AD182" s="52">
        <v>650.0</v>
      </c>
      <c r="AE182" s="52">
        <v>225.0</v>
      </c>
      <c r="AF182" s="52">
        <v>650.0</v>
      </c>
      <c r="AG182" s="52" t="s">
        <v>792</v>
      </c>
      <c r="AH182" s="52" t="b">
        <v>0</v>
      </c>
      <c r="AI182" s="52" t="b">
        <v>0</v>
      </c>
      <c r="AJ182" s="52">
        <v>0.0</v>
      </c>
      <c r="AK182" s="52" t="s">
        <v>761</v>
      </c>
      <c r="AL182" s="52" t="s">
        <v>762</v>
      </c>
      <c r="AM182" s="52" t="b">
        <v>0</v>
      </c>
      <c r="AN182" s="52" t="b">
        <v>0</v>
      </c>
      <c r="AO182" s="52" t="b">
        <v>0</v>
      </c>
      <c r="AP182" s="52">
        <v>108.0</v>
      </c>
      <c r="AQ182" s="52">
        <v>0.0</v>
      </c>
      <c r="AR182" s="52">
        <v>2.0</v>
      </c>
      <c r="AS182" s="52">
        <v>0.0</v>
      </c>
      <c r="AT182" s="52" t="s">
        <v>737</v>
      </c>
      <c r="AU182" s="52">
        <v>4.0</v>
      </c>
      <c r="AV182" s="52" t="s">
        <v>757</v>
      </c>
      <c r="AW182" s="52" t="s">
        <v>800</v>
      </c>
      <c r="AX182" s="52">
        <v>6.0</v>
      </c>
      <c r="AY182" s="52">
        <v>0.0</v>
      </c>
      <c r="AZ182" s="52">
        <v>18.0</v>
      </c>
      <c r="BA182" s="52">
        <v>0.0</v>
      </c>
      <c r="BB182" s="52">
        <v>18.0</v>
      </c>
      <c r="BC182" s="52" t="s">
        <v>926</v>
      </c>
      <c r="BD182" s="53"/>
      <c r="BE182" s="53"/>
    </row>
    <row r="183">
      <c r="A183" s="54">
        <v>182.0</v>
      </c>
      <c r="B183" s="54">
        <v>299.0</v>
      </c>
      <c r="C183" s="54" t="s">
        <v>594</v>
      </c>
      <c r="D183" s="54" t="s">
        <v>595</v>
      </c>
      <c r="E183" s="54" t="s">
        <v>596</v>
      </c>
      <c r="F183" s="54">
        <v>31.0</v>
      </c>
      <c r="G183" s="54">
        <v>0.0</v>
      </c>
      <c r="H183" s="54">
        <v>0.0</v>
      </c>
      <c r="I183" s="54" t="s">
        <v>752</v>
      </c>
      <c r="J183" s="54">
        <v>2002.0</v>
      </c>
      <c r="K183" s="54">
        <v>3.0</v>
      </c>
      <c r="L183" s="54">
        <v>4800.0</v>
      </c>
      <c r="M183" s="54">
        <v>1805.0</v>
      </c>
      <c r="N183" s="54">
        <v>1935.0</v>
      </c>
      <c r="O183" s="54">
        <v>2900.0</v>
      </c>
      <c r="P183" s="54">
        <v>1570.0</v>
      </c>
      <c r="Q183" s="54">
        <v>1550.0</v>
      </c>
      <c r="R183" s="54">
        <v>1900.0</v>
      </c>
      <c r="S183" s="54">
        <v>2994.0</v>
      </c>
      <c r="T183" s="54">
        <v>220.0</v>
      </c>
      <c r="U183" s="54">
        <v>162.0</v>
      </c>
      <c r="V183" s="54">
        <v>0.0</v>
      </c>
      <c r="W183" s="54">
        <v>0.0</v>
      </c>
      <c r="X183" s="54">
        <v>0.0</v>
      </c>
      <c r="Y183" s="54">
        <v>5800.0</v>
      </c>
      <c r="Z183" s="54">
        <v>304.0</v>
      </c>
      <c r="AA183" s="54">
        <v>0.0</v>
      </c>
      <c r="AB183" s="54">
        <v>4400.0</v>
      </c>
      <c r="AC183" s="54">
        <v>205.0</v>
      </c>
      <c r="AD183" s="54">
        <v>0.0</v>
      </c>
      <c r="AE183" s="54">
        <v>205.0</v>
      </c>
      <c r="AF183" s="54">
        <v>0.0</v>
      </c>
      <c r="AG183" s="54" t="s">
        <v>734</v>
      </c>
      <c r="AH183" s="54" t="b">
        <v>0</v>
      </c>
      <c r="AI183" s="54" t="b">
        <v>0</v>
      </c>
      <c r="AJ183" s="54">
        <v>0.0</v>
      </c>
      <c r="AK183" s="54" t="s">
        <v>735</v>
      </c>
      <c r="AL183" s="54" t="s">
        <v>799</v>
      </c>
      <c r="AM183" s="54" t="b">
        <v>1</v>
      </c>
      <c r="AN183" s="54" t="b">
        <v>1</v>
      </c>
      <c r="AO183" s="54" t="b">
        <v>0</v>
      </c>
      <c r="AP183" s="54">
        <v>252.0</v>
      </c>
      <c r="AQ183" s="54">
        <v>1.0</v>
      </c>
      <c r="AR183" s="54">
        <v>7.0</v>
      </c>
      <c r="AS183" s="54">
        <v>0.0</v>
      </c>
      <c r="AT183" s="54" t="s">
        <v>749</v>
      </c>
      <c r="AU183" s="54">
        <v>6.0</v>
      </c>
      <c r="AV183" s="54" t="s">
        <v>738</v>
      </c>
      <c r="AW183" s="54" t="s">
        <v>744</v>
      </c>
      <c r="AX183" s="54">
        <v>4.0</v>
      </c>
      <c r="AY183" s="54">
        <v>65.0</v>
      </c>
      <c r="AZ183" s="54">
        <v>16.0</v>
      </c>
      <c r="BA183" s="54">
        <v>65.0</v>
      </c>
      <c r="BB183" s="54">
        <v>16.0</v>
      </c>
      <c r="BC183" s="54" t="s">
        <v>927</v>
      </c>
      <c r="BD183" s="53"/>
      <c r="BE183" s="53"/>
    </row>
    <row r="184">
      <c r="A184" s="52">
        <v>183.0</v>
      </c>
      <c r="B184" s="52">
        <v>300.0</v>
      </c>
      <c r="C184" s="52" t="s">
        <v>597</v>
      </c>
      <c r="D184" s="52" t="s">
        <v>598</v>
      </c>
      <c r="E184" s="52" t="s">
        <v>599</v>
      </c>
      <c r="F184" s="52">
        <v>0.0</v>
      </c>
      <c r="G184" s="52">
        <v>0.0</v>
      </c>
      <c r="H184" s="52">
        <v>0.0</v>
      </c>
      <c r="I184" s="52" t="s">
        <v>783</v>
      </c>
      <c r="J184" s="52">
        <v>2003.0</v>
      </c>
      <c r="K184" s="52">
        <v>4.0</v>
      </c>
      <c r="L184" s="52">
        <v>4733.0</v>
      </c>
      <c r="M184" s="52">
        <v>1829.0</v>
      </c>
      <c r="N184" s="52">
        <v>1323.0</v>
      </c>
      <c r="O184" s="52">
        <v>2724.0</v>
      </c>
      <c r="P184" s="52">
        <v>1537.0</v>
      </c>
      <c r="Q184" s="52">
        <v>1529.0</v>
      </c>
      <c r="R184" s="52">
        <v>1712.0</v>
      </c>
      <c r="S184" s="52">
        <v>3924.0</v>
      </c>
      <c r="T184" s="52">
        <v>0.0</v>
      </c>
      <c r="U184" s="52">
        <v>209.0</v>
      </c>
      <c r="V184" s="52">
        <v>280.0</v>
      </c>
      <c r="W184" s="52">
        <v>0.0</v>
      </c>
      <c r="X184" s="52">
        <v>0.0</v>
      </c>
      <c r="Y184" s="52">
        <v>6000.0</v>
      </c>
      <c r="Z184" s="52">
        <v>388.0</v>
      </c>
      <c r="AA184" s="52">
        <v>286.0</v>
      </c>
      <c r="AB184" s="52">
        <v>4000.0</v>
      </c>
      <c r="AC184" s="52">
        <v>235.0</v>
      </c>
      <c r="AD184" s="52">
        <v>0.0</v>
      </c>
      <c r="AE184" s="52">
        <v>235.0</v>
      </c>
      <c r="AF184" s="52">
        <v>0.0</v>
      </c>
      <c r="AG184" s="52" t="s">
        <v>781</v>
      </c>
      <c r="AH184" s="52" t="b">
        <v>1</v>
      </c>
      <c r="AI184" s="52" t="b">
        <v>0</v>
      </c>
      <c r="AJ184" s="52">
        <v>0.0</v>
      </c>
      <c r="AK184" s="52" t="s">
        <v>789</v>
      </c>
      <c r="AL184" s="52" t="s">
        <v>771</v>
      </c>
      <c r="AM184" s="52" t="b">
        <v>0</v>
      </c>
      <c r="AN184" s="52" t="b">
        <v>0</v>
      </c>
      <c r="AO184" s="52" t="b">
        <v>0</v>
      </c>
      <c r="AP184" s="52">
        <v>216.0</v>
      </c>
      <c r="AQ184" s="52">
        <v>1.0</v>
      </c>
      <c r="AR184" s="52">
        <v>2.0</v>
      </c>
      <c r="AS184" s="52">
        <v>0.0</v>
      </c>
      <c r="AT184" s="52" t="s">
        <v>749</v>
      </c>
      <c r="AU184" s="52">
        <v>8.0</v>
      </c>
      <c r="AV184" s="52" t="s">
        <v>738</v>
      </c>
      <c r="AW184" s="52" t="s">
        <v>739</v>
      </c>
      <c r="AX184" s="52">
        <v>5.0</v>
      </c>
      <c r="AY184" s="52">
        <v>50.0</v>
      </c>
      <c r="AZ184" s="52">
        <v>17.0</v>
      </c>
      <c r="BA184" s="52">
        <v>50.0</v>
      </c>
      <c r="BB184" s="52">
        <v>17.0</v>
      </c>
      <c r="BC184" s="52" t="s">
        <v>763</v>
      </c>
      <c r="BD184" s="53"/>
      <c r="BE184" s="53"/>
    </row>
    <row r="185">
      <c r="A185" s="54">
        <v>184.0</v>
      </c>
      <c r="B185" s="54">
        <v>301.0</v>
      </c>
      <c r="C185" s="54" t="s">
        <v>600</v>
      </c>
      <c r="D185" s="54" t="s">
        <v>601</v>
      </c>
      <c r="E185" s="54" t="s">
        <v>602</v>
      </c>
      <c r="F185" s="54">
        <v>0.0</v>
      </c>
      <c r="G185" s="54">
        <v>0.0</v>
      </c>
      <c r="H185" s="54">
        <v>0.0</v>
      </c>
      <c r="I185" s="54" t="s">
        <v>783</v>
      </c>
      <c r="J185" s="54">
        <v>2003.0</v>
      </c>
      <c r="K185" s="54">
        <v>5.0</v>
      </c>
      <c r="L185" s="54">
        <v>4653.0</v>
      </c>
      <c r="M185" s="54">
        <v>1856.0</v>
      </c>
      <c r="N185" s="54">
        <v>1329.0</v>
      </c>
      <c r="O185" s="54">
        <v>2573.0</v>
      </c>
      <c r="P185" s="54">
        <v>1529.0</v>
      </c>
      <c r="Q185" s="54">
        <v>1539.0</v>
      </c>
      <c r="R185" s="54">
        <v>1572.0</v>
      </c>
      <c r="S185" s="54">
        <v>4601.0</v>
      </c>
      <c r="T185" s="54">
        <v>0.0</v>
      </c>
      <c r="U185" s="54">
        <v>0.0</v>
      </c>
      <c r="V185" s="54">
        <v>305.0</v>
      </c>
      <c r="W185" s="54">
        <v>0.0</v>
      </c>
      <c r="X185" s="54">
        <v>0.0</v>
      </c>
      <c r="Y185" s="54">
        <v>5800.0</v>
      </c>
      <c r="Z185" s="54">
        <v>0.0</v>
      </c>
      <c r="AA185" s="54">
        <v>320.0</v>
      </c>
      <c r="AB185" s="54">
        <v>4200.0</v>
      </c>
      <c r="AC185" s="54">
        <v>245.0</v>
      </c>
      <c r="AD185" s="54">
        <v>0.0</v>
      </c>
      <c r="AE185" s="54">
        <v>245.0</v>
      </c>
      <c r="AF185" s="54">
        <v>0.0</v>
      </c>
      <c r="AG185" s="54" t="s">
        <v>781</v>
      </c>
      <c r="AH185" s="54" t="b">
        <v>0</v>
      </c>
      <c r="AI185" s="54" t="b">
        <v>0</v>
      </c>
      <c r="AJ185" s="54">
        <v>0.0</v>
      </c>
      <c r="AK185" s="54" t="s">
        <v>789</v>
      </c>
      <c r="AL185" s="54" t="s">
        <v>771</v>
      </c>
      <c r="AM185" s="54" t="b">
        <v>1</v>
      </c>
      <c r="AN185" s="54" t="b">
        <v>0</v>
      </c>
      <c r="AO185" s="54" t="b">
        <v>0</v>
      </c>
      <c r="AP185" s="54">
        <v>216.0</v>
      </c>
      <c r="AQ185" s="54">
        <v>0.0</v>
      </c>
      <c r="AR185" s="54">
        <v>4.0</v>
      </c>
      <c r="AS185" s="54">
        <v>0.0</v>
      </c>
      <c r="AT185" s="54" t="s">
        <v>749</v>
      </c>
      <c r="AU185" s="54">
        <v>8.0</v>
      </c>
      <c r="AV185" s="54" t="s">
        <v>738</v>
      </c>
      <c r="AW185" s="54" t="s">
        <v>739</v>
      </c>
      <c r="AX185" s="54">
        <v>5.0</v>
      </c>
      <c r="AY185" s="54">
        <v>45.0</v>
      </c>
      <c r="AZ185" s="54">
        <v>17.0</v>
      </c>
      <c r="BA185" s="54">
        <v>45.0</v>
      </c>
      <c r="BB185" s="54">
        <v>17.0</v>
      </c>
      <c r="BC185" s="54" t="s">
        <v>763</v>
      </c>
      <c r="BD185" s="53"/>
      <c r="BE185" s="53"/>
    </row>
    <row r="186">
      <c r="A186" s="52">
        <v>185.0</v>
      </c>
      <c r="B186" s="52">
        <v>302.0</v>
      </c>
      <c r="C186" s="52" t="s">
        <v>603</v>
      </c>
      <c r="D186" s="52" t="s">
        <v>604</v>
      </c>
      <c r="E186" s="52" t="s">
        <v>605</v>
      </c>
      <c r="F186" s="52">
        <v>41.8</v>
      </c>
      <c r="G186" s="52">
        <v>0.0</v>
      </c>
      <c r="H186" s="52">
        <v>0.0</v>
      </c>
      <c r="I186" s="52" t="s">
        <v>818</v>
      </c>
      <c r="J186" s="52">
        <v>2003.0</v>
      </c>
      <c r="K186" s="52">
        <v>5.0</v>
      </c>
      <c r="L186" s="52">
        <v>4755.0</v>
      </c>
      <c r="M186" s="52">
        <v>1930.0</v>
      </c>
      <c r="N186" s="52">
        <v>1710.0</v>
      </c>
      <c r="O186" s="52">
        <v>2855.0</v>
      </c>
      <c r="P186" s="52">
        <v>1650.0</v>
      </c>
      <c r="Q186" s="52">
        <v>1655.0</v>
      </c>
      <c r="R186" s="52">
        <v>2390.0</v>
      </c>
      <c r="S186" s="52">
        <v>4172.0</v>
      </c>
      <c r="T186" s="52">
        <v>310.0</v>
      </c>
      <c r="U186" s="52">
        <v>228.0</v>
      </c>
      <c r="V186" s="52">
        <v>0.0</v>
      </c>
      <c r="W186" s="52">
        <v>0.0</v>
      </c>
      <c r="X186" s="52">
        <v>0.0</v>
      </c>
      <c r="Y186" s="52">
        <v>6200.0</v>
      </c>
      <c r="Z186" s="52">
        <v>410.0</v>
      </c>
      <c r="AA186" s="52">
        <v>0.0</v>
      </c>
      <c r="AB186" s="52">
        <v>2.62147E8</v>
      </c>
      <c r="AC186" s="52">
        <v>255.0</v>
      </c>
      <c r="AD186" s="52">
        <v>0.0</v>
      </c>
      <c r="AE186" s="52">
        <v>255.0</v>
      </c>
      <c r="AF186" s="52">
        <v>0.0</v>
      </c>
      <c r="AG186" s="52" t="s">
        <v>816</v>
      </c>
      <c r="AH186" s="52" t="b">
        <v>0</v>
      </c>
      <c r="AI186" s="52" t="b">
        <v>0</v>
      </c>
      <c r="AJ186" s="52">
        <v>0.0</v>
      </c>
      <c r="AK186" s="52" t="s">
        <v>735</v>
      </c>
      <c r="AL186" s="52" t="s">
        <v>799</v>
      </c>
      <c r="AM186" s="52" t="b">
        <v>1</v>
      </c>
      <c r="AN186" s="52" t="b">
        <v>1</v>
      </c>
      <c r="AO186" s="52" t="b">
        <v>0</v>
      </c>
      <c r="AP186" s="52">
        <v>144.0</v>
      </c>
      <c r="AQ186" s="52">
        <v>1.0</v>
      </c>
      <c r="AR186" s="52">
        <v>5.0</v>
      </c>
      <c r="AS186" s="52">
        <v>0.0</v>
      </c>
      <c r="AT186" s="52" t="s">
        <v>749</v>
      </c>
      <c r="AU186" s="52">
        <v>8.0</v>
      </c>
      <c r="AV186" s="52" t="s">
        <v>738</v>
      </c>
      <c r="AW186" s="52" t="s">
        <v>800</v>
      </c>
      <c r="AX186" s="52">
        <v>6.0</v>
      </c>
      <c r="AY186" s="52">
        <v>55.0</v>
      </c>
      <c r="AZ186" s="52">
        <v>18.0</v>
      </c>
      <c r="BA186" s="52">
        <v>55.0</v>
      </c>
      <c r="BB186" s="52">
        <v>18.0</v>
      </c>
      <c r="BC186" s="52" t="s">
        <v>928</v>
      </c>
      <c r="BD186" s="53"/>
      <c r="BE186" s="53"/>
    </row>
    <row r="187">
      <c r="A187" s="54">
        <v>186.0</v>
      </c>
      <c r="B187" s="54">
        <v>304.0</v>
      </c>
      <c r="C187" s="54" t="s">
        <v>606</v>
      </c>
      <c r="D187" s="54" t="s">
        <v>607</v>
      </c>
      <c r="E187" s="54" t="s">
        <v>607</v>
      </c>
      <c r="F187" s="54">
        <v>0.0</v>
      </c>
      <c r="G187" s="54">
        <v>0.0</v>
      </c>
      <c r="H187" s="54">
        <v>0.0</v>
      </c>
      <c r="I187" s="54" t="s">
        <v>815</v>
      </c>
      <c r="J187" s="54">
        <v>2002.0</v>
      </c>
      <c r="K187" s="54">
        <v>8.0</v>
      </c>
      <c r="L187" s="54">
        <v>4690.0</v>
      </c>
      <c r="M187" s="54">
        <v>1845.0</v>
      </c>
      <c r="N187" s="54">
        <v>1255.0</v>
      </c>
      <c r="O187" s="54">
        <v>2690.0</v>
      </c>
      <c r="P187" s="54">
        <v>1625.0</v>
      </c>
      <c r="Q187" s="54">
        <v>1642.0</v>
      </c>
      <c r="R187" s="54">
        <v>1080.0</v>
      </c>
      <c r="S187" s="54">
        <v>4000.0</v>
      </c>
      <c r="T187" s="54">
        <v>0.0</v>
      </c>
      <c r="U187" s="54">
        <v>350.0</v>
      </c>
      <c r="V187" s="54">
        <v>0.0</v>
      </c>
      <c r="W187" s="54">
        <v>470.0</v>
      </c>
      <c r="X187" s="54">
        <v>0.0</v>
      </c>
      <c r="Y187" s="54">
        <v>7500.0</v>
      </c>
      <c r="Z187" s="54">
        <v>0.0</v>
      </c>
      <c r="AA187" s="54">
        <v>0.0</v>
      </c>
      <c r="AB187" s="54">
        <v>0.0</v>
      </c>
      <c r="AC187" s="54">
        <v>240.0</v>
      </c>
      <c r="AD187" s="54">
        <v>650.0</v>
      </c>
      <c r="AE187" s="54">
        <v>280.0</v>
      </c>
      <c r="AF187" s="54">
        <v>650.0</v>
      </c>
      <c r="AG187" s="54" t="s">
        <v>816</v>
      </c>
      <c r="AH187" s="54" t="b">
        <v>0</v>
      </c>
      <c r="AI187" s="54" t="b">
        <v>0</v>
      </c>
      <c r="AJ187" s="54">
        <v>0.0</v>
      </c>
      <c r="AK187" s="54" t="s">
        <v>761</v>
      </c>
      <c r="AL187" s="54" t="s">
        <v>762</v>
      </c>
      <c r="AM187" s="54" t="b">
        <v>0</v>
      </c>
      <c r="AN187" s="54" t="b">
        <v>0</v>
      </c>
      <c r="AO187" s="54" t="b">
        <v>0</v>
      </c>
      <c r="AP187" s="54">
        <v>72.0</v>
      </c>
      <c r="AQ187" s="54">
        <v>0.0</v>
      </c>
      <c r="AR187" s="54">
        <v>1.0</v>
      </c>
      <c r="AS187" s="54">
        <v>0.0</v>
      </c>
      <c r="AT187" s="54" t="s">
        <v>749</v>
      </c>
      <c r="AU187" s="54">
        <v>8.0</v>
      </c>
      <c r="AV187" s="54" t="s">
        <v>738</v>
      </c>
      <c r="AW187" s="54" t="s">
        <v>739</v>
      </c>
      <c r="AX187" s="54">
        <v>6.0</v>
      </c>
      <c r="AY187" s="54">
        <v>0.0</v>
      </c>
      <c r="AZ187" s="54">
        <v>18.0</v>
      </c>
      <c r="BA187" s="54">
        <v>0.0</v>
      </c>
      <c r="BB187" s="54">
        <v>18.0</v>
      </c>
      <c r="BC187" s="54" t="s">
        <v>763</v>
      </c>
      <c r="BD187" s="53"/>
      <c r="BE187" s="53"/>
    </row>
    <row r="188">
      <c r="A188" s="52">
        <v>187.0</v>
      </c>
      <c r="B188" s="52">
        <v>305.0</v>
      </c>
      <c r="C188" s="52" t="s">
        <v>608</v>
      </c>
      <c r="D188" s="52" t="s">
        <v>609</v>
      </c>
      <c r="E188" s="52" t="s">
        <v>610</v>
      </c>
      <c r="F188" s="52">
        <v>13.5</v>
      </c>
      <c r="G188" s="52">
        <v>0.0</v>
      </c>
      <c r="H188" s="52">
        <v>0.0</v>
      </c>
      <c r="I188" s="52" t="s">
        <v>773</v>
      </c>
      <c r="J188" s="52">
        <v>2002.0</v>
      </c>
      <c r="K188" s="52">
        <v>2.0</v>
      </c>
      <c r="L188" s="52">
        <v>3870.0</v>
      </c>
      <c r="M188" s="52">
        <v>1680.0</v>
      </c>
      <c r="N188" s="52">
        <v>1550.0</v>
      </c>
      <c r="O188" s="52">
        <v>2500.0</v>
      </c>
      <c r="P188" s="52">
        <v>1460.0</v>
      </c>
      <c r="Q188" s="52">
        <v>1445.0</v>
      </c>
      <c r="R188" s="52">
        <v>1030.0</v>
      </c>
      <c r="S188" s="52">
        <v>1468.0</v>
      </c>
      <c r="T188" s="52">
        <v>98.0</v>
      </c>
      <c r="U188" s="52">
        <v>72.0</v>
      </c>
      <c r="V188" s="52">
        <v>0.0</v>
      </c>
      <c r="W188" s="52">
        <v>0.0</v>
      </c>
      <c r="X188" s="52">
        <v>0.0</v>
      </c>
      <c r="Y188" s="52">
        <v>6000.0</v>
      </c>
      <c r="Z188" s="52">
        <v>132.0</v>
      </c>
      <c r="AA188" s="52">
        <v>0.0</v>
      </c>
      <c r="AB188" s="52">
        <v>4250.0</v>
      </c>
      <c r="AC188" s="52">
        <v>185.0</v>
      </c>
      <c r="AD188" s="52">
        <v>0.0</v>
      </c>
      <c r="AE188" s="52">
        <v>185.0</v>
      </c>
      <c r="AF188" s="52">
        <v>0.0</v>
      </c>
      <c r="AG188" s="52" t="s">
        <v>734</v>
      </c>
      <c r="AH188" s="52" t="b">
        <v>0</v>
      </c>
      <c r="AI188" s="52" t="b">
        <v>0</v>
      </c>
      <c r="AJ188" s="52">
        <v>0.0</v>
      </c>
      <c r="AK188" s="52" t="s">
        <v>742</v>
      </c>
      <c r="AL188" s="52" t="s">
        <v>743</v>
      </c>
      <c r="AM188" s="52" t="b">
        <v>0</v>
      </c>
      <c r="AN188" s="52" t="b">
        <v>0</v>
      </c>
      <c r="AO188" s="52" t="b">
        <v>1</v>
      </c>
      <c r="AP188" s="52">
        <v>252.0</v>
      </c>
      <c r="AQ188" s="52">
        <v>1.0</v>
      </c>
      <c r="AR188" s="52">
        <v>5.0</v>
      </c>
      <c r="AS188" s="52">
        <v>0.0</v>
      </c>
      <c r="AT188" s="52" t="s">
        <v>737</v>
      </c>
      <c r="AU188" s="52">
        <v>4.0</v>
      </c>
      <c r="AV188" s="52" t="s">
        <v>738</v>
      </c>
      <c r="AW188" s="52" t="s">
        <v>744</v>
      </c>
      <c r="AX188" s="52">
        <v>2.0</v>
      </c>
      <c r="AY188" s="52">
        <v>55.0</v>
      </c>
      <c r="AZ188" s="52">
        <v>15.0</v>
      </c>
      <c r="BA188" s="52">
        <v>55.0</v>
      </c>
      <c r="BB188" s="52">
        <v>15.0</v>
      </c>
      <c r="BC188" s="52" t="s">
        <v>929</v>
      </c>
      <c r="BD188" s="53"/>
      <c r="BE188" s="53"/>
    </row>
    <row r="189">
      <c r="A189" s="54">
        <v>188.0</v>
      </c>
      <c r="B189" s="54">
        <v>306.0</v>
      </c>
      <c r="C189" s="54" t="s">
        <v>611</v>
      </c>
      <c r="D189" s="54" t="s">
        <v>612</v>
      </c>
      <c r="E189" s="54" t="s">
        <v>613</v>
      </c>
      <c r="F189" s="54">
        <v>38.0</v>
      </c>
      <c r="G189" s="54">
        <v>0.0</v>
      </c>
      <c r="H189" s="54">
        <v>0.0</v>
      </c>
      <c r="I189" s="54" t="s">
        <v>773</v>
      </c>
      <c r="J189" s="54">
        <v>2000.0</v>
      </c>
      <c r="K189" s="54">
        <v>6.0</v>
      </c>
      <c r="L189" s="54">
        <v>4350.0</v>
      </c>
      <c r="M189" s="54">
        <v>1770.0</v>
      </c>
      <c r="N189" s="54">
        <v>1405.0</v>
      </c>
      <c r="O189" s="54">
        <v>2510.0</v>
      </c>
      <c r="P189" s="54">
        <v>1510.0</v>
      </c>
      <c r="Q189" s="54">
        <v>1505.0</v>
      </c>
      <c r="R189" s="54">
        <v>1360.0</v>
      </c>
      <c r="S189" s="54">
        <v>1997.0</v>
      </c>
      <c r="T189" s="54">
        <v>280.0</v>
      </c>
      <c r="U189" s="54">
        <v>206.0</v>
      </c>
      <c r="V189" s="54">
        <v>0.0</v>
      </c>
      <c r="W189" s="54">
        <v>0.0</v>
      </c>
      <c r="X189" s="54">
        <v>0.0</v>
      </c>
      <c r="Y189" s="54">
        <v>6500.0</v>
      </c>
      <c r="Z189" s="54">
        <v>373.0</v>
      </c>
      <c r="AA189" s="54">
        <v>0.0</v>
      </c>
      <c r="AB189" s="54">
        <v>2750.0</v>
      </c>
      <c r="AC189" s="54">
        <v>225.0</v>
      </c>
      <c r="AD189" s="54">
        <v>0.0</v>
      </c>
      <c r="AE189" s="54">
        <v>225.0</v>
      </c>
      <c r="AF189" s="54">
        <v>0.0</v>
      </c>
      <c r="AG189" s="54" t="s">
        <v>734</v>
      </c>
      <c r="AH189" s="54" t="b">
        <v>0</v>
      </c>
      <c r="AI189" s="54" t="b">
        <v>0</v>
      </c>
      <c r="AJ189" s="54">
        <v>0.0</v>
      </c>
      <c r="AK189" s="54" t="s">
        <v>748</v>
      </c>
      <c r="AL189" s="54" t="s">
        <v>754</v>
      </c>
      <c r="AM189" s="54" t="b">
        <v>0</v>
      </c>
      <c r="AN189" s="54" t="b">
        <v>0</v>
      </c>
      <c r="AO189" s="54" t="b">
        <v>0</v>
      </c>
      <c r="AP189" s="54">
        <v>180.0</v>
      </c>
      <c r="AQ189" s="54">
        <v>0.0</v>
      </c>
      <c r="AR189" s="54">
        <v>5.0</v>
      </c>
      <c r="AS189" s="54">
        <v>0.0</v>
      </c>
      <c r="AT189" s="54" t="s">
        <v>737</v>
      </c>
      <c r="AU189" s="54">
        <v>4.0</v>
      </c>
      <c r="AV189" s="54" t="s">
        <v>757</v>
      </c>
      <c r="AW189" s="54" t="s">
        <v>800</v>
      </c>
      <c r="AX189" s="54">
        <v>5.0</v>
      </c>
      <c r="AY189" s="54">
        <v>45.0</v>
      </c>
      <c r="AZ189" s="54">
        <v>17.0</v>
      </c>
      <c r="BA189" s="54">
        <v>45.0</v>
      </c>
      <c r="BB189" s="54">
        <v>17.0</v>
      </c>
      <c r="BC189" s="54" t="s">
        <v>887</v>
      </c>
      <c r="BD189" s="53"/>
      <c r="BE189" s="53"/>
    </row>
    <row r="190">
      <c r="A190" s="52">
        <v>189.0</v>
      </c>
      <c r="B190" s="52">
        <v>307.0</v>
      </c>
      <c r="C190" s="52" t="s">
        <v>614</v>
      </c>
      <c r="D190" s="52" t="s">
        <v>615</v>
      </c>
      <c r="E190" s="52" t="s">
        <v>616</v>
      </c>
      <c r="F190" s="52">
        <v>56.4</v>
      </c>
      <c r="G190" s="52">
        <v>0.0</v>
      </c>
      <c r="H190" s="52">
        <v>0.0</v>
      </c>
      <c r="I190" s="52" t="s">
        <v>930</v>
      </c>
      <c r="J190" s="52">
        <v>1988.0</v>
      </c>
      <c r="K190" s="52">
        <v>7.0</v>
      </c>
      <c r="L190" s="52">
        <v>4151.0</v>
      </c>
      <c r="M190" s="52">
        <v>1692.0</v>
      </c>
      <c r="N190" s="52">
        <v>1310.0</v>
      </c>
      <c r="O190" s="52">
        <v>2272.0</v>
      </c>
      <c r="P190" s="52">
        <v>1395.0</v>
      </c>
      <c r="Q190" s="52">
        <v>1456.0</v>
      </c>
      <c r="R190" s="52">
        <v>1150.0</v>
      </c>
      <c r="S190" s="52">
        <v>3366.0</v>
      </c>
      <c r="T190" s="52">
        <v>0.0</v>
      </c>
      <c r="U190" s="52">
        <v>345.0</v>
      </c>
      <c r="V190" s="52">
        <v>469.0</v>
      </c>
      <c r="W190" s="52">
        <v>0.0</v>
      </c>
      <c r="X190" s="52">
        <v>0.0</v>
      </c>
      <c r="Y190" s="52">
        <v>5950.0</v>
      </c>
      <c r="Z190" s="52">
        <v>553.0</v>
      </c>
      <c r="AA190" s="52">
        <v>408.0</v>
      </c>
      <c r="AB190" s="52">
        <v>5100.0</v>
      </c>
      <c r="AC190" s="52">
        <v>215.0</v>
      </c>
      <c r="AD190" s="52">
        <v>0.0</v>
      </c>
      <c r="AE190" s="52">
        <v>255.0</v>
      </c>
      <c r="AF190" s="52">
        <v>0.0</v>
      </c>
      <c r="AG190" s="52" t="s">
        <v>816</v>
      </c>
      <c r="AH190" s="52" t="b">
        <v>0</v>
      </c>
      <c r="AI190" s="52" t="b">
        <v>0</v>
      </c>
      <c r="AJ190" s="52">
        <v>0.0</v>
      </c>
      <c r="AK190" s="52" t="s">
        <v>748</v>
      </c>
      <c r="AL190" s="52" t="s">
        <v>736</v>
      </c>
      <c r="AM190" s="52" t="b">
        <v>0</v>
      </c>
      <c r="AN190" s="52" t="b">
        <v>0</v>
      </c>
      <c r="AO190" s="52" t="b">
        <v>0</v>
      </c>
      <c r="AP190" s="52">
        <v>36.0</v>
      </c>
      <c r="AQ190" s="52">
        <v>0.0</v>
      </c>
      <c r="AR190" s="52">
        <v>2.0</v>
      </c>
      <c r="AS190" s="52">
        <v>0.0</v>
      </c>
      <c r="AT190" s="52" t="s">
        <v>759</v>
      </c>
      <c r="AU190" s="52">
        <v>6.0</v>
      </c>
      <c r="AV190" s="52" t="s">
        <v>757</v>
      </c>
      <c r="AW190" s="52" t="s">
        <v>778</v>
      </c>
      <c r="AX190" s="52">
        <v>5.0</v>
      </c>
      <c r="AY190" s="52">
        <v>45.0</v>
      </c>
      <c r="AZ190" s="52">
        <v>17.0</v>
      </c>
      <c r="BA190" s="52">
        <v>40.0</v>
      </c>
      <c r="BB190" s="52">
        <v>17.0</v>
      </c>
      <c r="BC190" s="52" t="s">
        <v>763</v>
      </c>
      <c r="BD190" s="53"/>
      <c r="BE190" s="53"/>
    </row>
    <row r="191">
      <c r="A191" s="54">
        <v>190.0</v>
      </c>
      <c r="B191" s="54">
        <v>308.0</v>
      </c>
      <c r="C191" s="54" t="s">
        <v>617</v>
      </c>
      <c r="D191" s="54" t="s">
        <v>618</v>
      </c>
      <c r="E191" s="54" t="s">
        <v>619</v>
      </c>
      <c r="F191" s="54">
        <v>38.2</v>
      </c>
      <c r="G191" s="54">
        <v>0.0</v>
      </c>
      <c r="H191" s="54">
        <v>0.0</v>
      </c>
      <c r="I191" s="54" t="s">
        <v>930</v>
      </c>
      <c r="J191" s="54">
        <v>2001.0</v>
      </c>
      <c r="K191" s="54">
        <v>6.0</v>
      </c>
      <c r="L191" s="54">
        <v>4430.0</v>
      </c>
      <c r="M191" s="54">
        <v>1765.0</v>
      </c>
      <c r="N191" s="54">
        <v>1270.0</v>
      </c>
      <c r="O191" s="54">
        <v>2350.0</v>
      </c>
      <c r="P191" s="54">
        <v>1475.0</v>
      </c>
      <c r="Q191" s="54">
        <v>1495.0</v>
      </c>
      <c r="R191" s="54">
        <v>1330.0</v>
      </c>
      <c r="S191" s="54">
        <v>3600.0</v>
      </c>
      <c r="T191" s="54">
        <v>385.0</v>
      </c>
      <c r="U191" s="54">
        <v>282.0</v>
      </c>
      <c r="V191" s="54">
        <v>0.0</v>
      </c>
      <c r="W191" s="54">
        <v>0.0</v>
      </c>
      <c r="X191" s="54">
        <v>0.0</v>
      </c>
      <c r="Y191" s="54">
        <v>7700.0</v>
      </c>
      <c r="Z191" s="54">
        <v>375.0</v>
      </c>
      <c r="AA191" s="54">
        <v>0.0</v>
      </c>
      <c r="AB191" s="54">
        <v>5200.0</v>
      </c>
      <c r="AC191" s="54">
        <v>225.0</v>
      </c>
      <c r="AD191" s="54">
        <v>0.0</v>
      </c>
      <c r="AE191" s="54">
        <v>285.0</v>
      </c>
      <c r="AF191" s="54">
        <v>0.0</v>
      </c>
      <c r="AG191" s="54" t="s">
        <v>816</v>
      </c>
      <c r="AH191" s="54" t="b">
        <v>0</v>
      </c>
      <c r="AI191" s="54" t="b">
        <v>0</v>
      </c>
      <c r="AJ191" s="54">
        <v>0.0</v>
      </c>
      <c r="AK191" s="54" t="s">
        <v>748</v>
      </c>
      <c r="AL191" s="54" t="s">
        <v>736</v>
      </c>
      <c r="AM191" s="54" t="b">
        <v>0</v>
      </c>
      <c r="AN191" s="54" t="b">
        <v>0</v>
      </c>
      <c r="AO191" s="54" t="b">
        <v>0</v>
      </c>
      <c r="AP191" s="54">
        <v>36.0</v>
      </c>
      <c r="AQ191" s="54">
        <v>0.0</v>
      </c>
      <c r="AR191" s="54">
        <v>2.0</v>
      </c>
      <c r="AS191" s="54">
        <v>0.0</v>
      </c>
      <c r="AT191" s="54" t="s">
        <v>759</v>
      </c>
      <c r="AU191" s="54">
        <v>6.0</v>
      </c>
      <c r="AV191" s="54" t="s">
        <v>738</v>
      </c>
      <c r="AW191" s="54" t="s">
        <v>778</v>
      </c>
      <c r="AX191" s="54">
        <v>6.0</v>
      </c>
      <c r="AY191" s="54">
        <v>40.0</v>
      </c>
      <c r="AZ191" s="54">
        <v>18.0</v>
      </c>
      <c r="BA191" s="54">
        <v>30.0</v>
      </c>
      <c r="BB191" s="54">
        <v>18.0</v>
      </c>
      <c r="BC191" s="54" t="s">
        <v>763</v>
      </c>
      <c r="BD191" s="53"/>
      <c r="BE191" s="53"/>
    </row>
    <row r="192">
      <c r="A192" s="52">
        <v>191.0</v>
      </c>
      <c r="B192" s="52">
        <v>309.0</v>
      </c>
      <c r="C192" s="52" t="s">
        <v>620</v>
      </c>
      <c r="D192" s="52" t="s">
        <v>621</v>
      </c>
      <c r="E192" s="52" t="s">
        <v>622</v>
      </c>
      <c r="F192" s="52">
        <v>66.2</v>
      </c>
      <c r="G192" s="52">
        <v>0.0</v>
      </c>
      <c r="H192" s="52">
        <v>0.0</v>
      </c>
      <c r="I192" s="52" t="s">
        <v>930</v>
      </c>
      <c r="J192" s="52">
        <v>1997.0</v>
      </c>
      <c r="K192" s="52">
        <v>7.0</v>
      </c>
      <c r="L192" s="52">
        <v>4245.0</v>
      </c>
      <c r="M192" s="52">
        <v>1795.0</v>
      </c>
      <c r="N192" s="52">
        <v>1290.0</v>
      </c>
      <c r="O192" s="52">
        <v>2270.0</v>
      </c>
      <c r="P192" s="52">
        <v>1410.0</v>
      </c>
      <c r="Q192" s="52">
        <v>1505.0</v>
      </c>
      <c r="R192" s="52">
        <v>1491.0</v>
      </c>
      <c r="S192" s="52">
        <v>3600.0</v>
      </c>
      <c r="T192" s="52">
        <v>490.0</v>
      </c>
      <c r="U192" s="52">
        <v>360.0</v>
      </c>
      <c r="V192" s="52">
        <v>0.0</v>
      </c>
      <c r="W192" s="52">
        <v>0.0</v>
      </c>
      <c r="X192" s="52">
        <v>0.0</v>
      </c>
      <c r="Y192" s="52">
        <v>5500.0</v>
      </c>
      <c r="Z192" s="52">
        <v>650.0</v>
      </c>
      <c r="AA192" s="52">
        <v>0.0</v>
      </c>
      <c r="AB192" s="52">
        <v>4800.0</v>
      </c>
      <c r="AC192" s="52">
        <v>225.0</v>
      </c>
      <c r="AD192" s="52">
        <v>0.0</v>
      </c>
      <c r="AE192" s="52">
        <v>285.0</v>
      </c>
      <c r="AF192" s="52">
        <v>0.0</v>
      </c>
      <c r="AG192" s="52" t="s">
        <v>816</v>
      </c>
      <c r="AH192" s="52" t="b">
        <v>0</v>
      </c>
      <c r="AI192" s="52" t="b">
        <v>0</v>
      </c>
      <c r="AJ192" s="52">
        <v>0.0</v>
      </c>
      <c r="AK192" s="52" t="s">
        <v>748</v>
      </c>
      <c r="AL192" s="52" t="s">
        <v>736</v>
      </c>
      <c r="AM192" s="52" t="b">
        <v>0</v>
      </c>
      <c r="AN192" s="52" t="b">
        <v>0</v>
      </c>
      <c r="AO192" s="52" t="b">
        <v>0</v>
      </c>
      <c r="AP192" s="52">
        <v>36.0</v>
      </c>
      <c r="AQ192" s="52">
        <v>0.0</v>
      </c>
      <c r="AR192" s="52">
        <v>2.0</v>
      </c>
      <c r="AS192" s="52">
        <v>0.0</v>
      </c>
      <c r="AT192" s="52" t="s">
        <v>759</v>
      </c>
      <c r="AU192" s="52">
        <v>6.0</v>
      </c>
      <c r="AV192" s="52" t="s">
        <v>757</v>
      </c>
      <c r="AW192" s="52" t="s">
        <v>800</v>
      </c>
      <c r="AX192" s="52">
        <v>6.0</v>
      </c>
      <c r="AY192" s="52">
        <v>40.0</v>
      </c>
      <c r="AZ192" s="52">
        <v>18.0</v>
      </c>
      <c r="BA192" s="52">
        <v>30.0</v>
      </c>
      <c r="BB192" s="52">
        <v>18.0</v>
      </c>
      <c r="BC192" s="52" t="s">
        <v>763</v>
      </c>
      <c r="BD192" s="53"/>
      <c r="BE192" s="53"/>
    </row>
    <row r="193">
      <c r="A193" s="54">
        <v>192.0</v>
      </c>
      <c r="B193" s="54">
        <v>310.0</v>
      </c>
      <c r="C193" s="54" t="s">
        <v>623</v>
      </c>
      <c r="D193" s="54" t="s">
        <v>624</v>
      </c>
      <c r="E193" s="54" t="s">
        <v>625</v>
      </c>
      <c r="F193" s="54">
        <v>28.5</v>
      </c>
      <c r="G193" s="54">
        <v>0.0</v>
      </c>
      <c r="H193" s="54">
        <v>0.0</v>
      </c>
      <c r="I193" s="54" t="s">
        <v>791</v>
      </c>
      <c r="J193" s="54">
        <v>2002.0</v>
      </c>
      <c r="K193" s="54">
        <v>3.0</v>
      </c>
      <c r="L193" s="54">
        <v>4660.0</v>
      </c>
      <c r="M193" s="54">
        <v>1835.0</v>
      </c>
      <c r="N193" s="54">
        <v>1630.0</v>
      </c>
      <c r="O193" s="54">
        <v>2700.0</v>
      </c>
      <c r="P193" s="54">
        <v>1540.0</v>
      </c>
      <c r="Q193" s="54">
        <v>1550.0</v>
      </c>
      <c r="R193" s="54">
        <v>1790.0</v>
      </c>
      <c r="S193" s="54">
        <v>2946.0</v>
      </c>
      <c r="T193" s="54">
        <v>207.0</v>
      </c>
      <c r="U193" s="54">
        <v>152.0</v>
      </c>
      <c r="V193" s="54">
        <v>0.0</v>
      </c>
      <c r="W193" s="54">
        <v>0.0</v>
      </c>
      <c r="X193" s="54">
        <v>0.0</v>
      </c>
      <c r="Y193" s="54">
        <v>6000.0</v>
      </c>
      <c r="Z193" s="54">
        <v>280.0</v>
      </c>
      <c r="AA193" s="54">
        <v>0.0</v>
      </c>
      <c r="AB193" s="54">
        <v>3750.0</v>
      </c>
      <c r="AC193" s="54">
        <v>235.0</v>
      </c>
      <c r="AD193" s="54">
        <v>0.0</v>
      </c>
      <c r="AE193" s="54">
        <v>235.0</v>
      </c>
      <c r="AF193" s="54">
        <v>0.0</v>
      </c>
      <c r="AG193" s="54" t="s">
        <v>792</v>
      </c>
      <c r="AH193" s="54" t="b">
        <v>0</v>
      </c>
      <c r="AI193" s="54" t="b">
        <v>0</v>
      </c>
      <c r="AJ193" s="54">
        <v>0.0</v>
      </c>
      <c r="AK193" s="54" t="s">
        <v>735</v>
      </c>
      <c r="AL193" s="54" t="s">
        <v>799</v>
      </c>
      <c r="AM193" s="54" t="b">
        <v>1</v>
      </c>
      <c r="AN193" s="54" t="b">
        <v>1</v>
      </c>
      <c r="AO193" s="54" t="b">
        <v>0</v>
      </c>
      <c r="AP193" s="54">
        <v>144.0</v>
      </c>
      <c r="AQ193" s="54">
        <v>1.0</v>
      </c>
      <c r="AR193" s="54">
        <v>5.0</v>
      </c>
      <c r="AS193" s="54">
        <v>0.0</v>
      </c>
      <c r="AT193" s="54" t="s">
        <v>749</v>
      </c>
      <c r="AU193" s="54">
        <v>6.0</v>
      </c>
      <c r="AV193" s="54" t="s">
        <v>738</v>
      </c>
      <c r="AW193" s="54" t="s">
        <v>744</v>
      </c>
      <c r="AX193" s="54">
        <v>5.0</v>
      </c>
      <c r="AY193" s="54">
        <v>50.0</v>
      </c>
      <c r="AZ193" s="54">
        <v>17.0</v>
      </c>
      <c r="BA193" s="54">
        <v>50.0</v>
      </c>
      <c r="BB193" s="54">
        <v>17.0</v>
      </c>
      <c r="BC193" s="54" t="s">
        <v>931</v>
      </c>
      <c r="BD193" s="53"/>
      <c r="BE193" s="53"/>
    </row>
    <row r="194">
      <c r="A194" s="52">
        <v>193.0</v>
      </c>
      <c r="B194" s="52">
        <v>311.0</v>
      </c>
      <c r="C194" s="52" t="s">
        <v>626</v>
      </c>
      <c r="D194" s="52" t="s">
        <v>627</v>
      </c>
      <c r="E194" s="52" t="s">
        <v>628</v>
      </c>
      <c r="F194" s="52">
        <v>28.0</v>
      </c>
      <c r="G194" s="52">
        <v>0.0</v>
      </c>
      <c r="H194" s="52">
        <v>0.0</v>
      </c>
      <c r="I194" s="52" t="s">
        <v>741</v>
      </c>
      <c r="J194" s="52">
        <v>1996.0</v>
      </c>
      <c r="K194" s="52">
        <v>7.0</v>
      </c>
      <c r="L194" s="52">
        <v>4520.0</v>
      </c>
      <c r="M194" s="52">
        <v>1730.0</v>
      </c>
      <c r="N194" s="52">
        <v>1295.0</v>
      </c>
      <c r="O194" s="52">
        <v>2525.0</v>
      </c>
      <c r="P194" s="52">
        <v>1480.0</v>
      </c>
      <c r="Q194" s="52">
        <v>1470.0</v>
      </c>
      <c r="R194" s="52">
        <v>1250.0</v>
      </c>
      <c r="S194" s="52">
        <v>1998.0</v>
      </c>
      <c r="T194" s="52">
        <v>220.0</v>
      </c>
      <c r="U194" s="52">
        <v>0.0</v>
      </c>
      <c r="V194" s="52">
        <v>0.0</v>
      </c>
      <c r="W194" s="52">
        <v>0.0</v>
      </c>
      <c r="X194" s="52">
        <v>0.0</v>
      </c>
      <c r="Y194" s="52">
        <v>6000.0</v>
      </c>
      <c r="Z194" s="52">
        <v>0.0</v>
      </c>
      <c r="AA194" s="52">
        <v>0.0</v>
      </c>
      <c r="AB194" s="52">
        <v>4800.0</v>
      </c>
      <c r="AC194" s="52">
        <v>205.0</v>
      </c>
      <c r="AD194" s="52">
        <v>0.0</v>
      </c>
      <c r="AE194" s="52">
        <v>205.0</v>
      </c>
      <c r="AF194" s="52">
        <v>0.0</v>
      </c>
      <c r="AG194" s="52" t="s">
        <v>734</v>
      </c>
      <c r="AH194" s="52" t="b">
        <v>0</v>
      </c>
      <c r="AI194" s="52" t="b">
        <v>0</v>
      </c>
      <c r="AJ194" s="52">
        <v>1.0</v>
      </c>
      <c r="AK194" s="52" t="s">
        <v>789</v>
      </c>
      <c r="AL194" s="52" t="s">
        <v>771</v>
      </c>
      <c r="AM194" s="52" t="b">
        <v>0</v>
      </c>
      <c r="AN194" s="52" t="b">
        <v>0</v>
      </c>
      <c r="AO194" s="52" t="b">
        <v>0</v>
      </c>
      <c r="AP194" s="52">
        <v>216.0</v>
      </c>
      <c r="AQ194" s="52">
        <v>0.0</v>
      </c>
      <c r="AR194" s="52">
        <v>4.0</v>
      </c>
      <c r="AS194" s="52">
        <v>0.0</v>
      </c>
      <c r="AT194" s="52" t="s">
        <v>737</v>
      </c>
      <c r="AU194" s="52">
        <v>4.0</v>
      </c>
      <c r="AV194" s="52" t="s">
        <v>757</v>
      </c>
      <c r="AW194" s="52" t="s">
        <v>739</v>
      </c>
      <c r="AX194" s="52">
        <v>5.0</v>
      </c>
      <c r="AY194" s="52">
        <v>55.0</v>
      </c>
      <c r="AZ194" s="52">
        <v>16.0</v>
      </c>
      <c r="BA194" s="52">
        <v>55.0</v>
      </c>
      <c r="BB194" s="52">
        <v>16.0</v>
      </c>
      <c r="BC194" s="52" t="s">
        <v>873</v>
      </c>
      <c r="BD194" s="53"/>
      <c r="BE194" s="53"/>
    </row>
    <row r="195">
      <c r="A195" s="54">
        <v>194.0</v>
      </c>
      <c r="B195" s="54">
        <v>315.0</v>
      </c>
      <c r="C195" s="54" t="s">
        <v>629</v>
      </c>
      <c r="D195" s="54" t="s">
        <v>630</v>
      </c>
      <c r="E195" s="54" t="s">
        <v>631</v>
      </c>
      <c r="F195" s="54">
        <v>36.0</v>
      </c>
      <c r="G195" s="54">
        <v>0.0</v>
      </c>
      <c r="H195" s="54">
        <v>0.0</v>
      </c>
      <c r="I195" s="54" t="s">
        <v>776</v>
      </c>
      <c r="J195" s="54">
        <v>1999.0</v>
      </c>
      <c r="K195" s="54">
        <v>7.0</v>
      </c>
      <c r="L195" s="54">
        <v>4350.0</v>
      </c>
      <c r="M195" s="54">
        <v>1690.0</v>
      </c>
      <c r="N195" s="54">
        <v>1405.0</v>
      </c>
      <c r="O195" s="54">
        <v>2520.0</v>
      </c>
      <c r="P195" s="54">
        <v>1470.0</v>
      </c>
      <c r="Q195" s="54">
        <v>1460.0</v>
      </c>
      <c r="R195" s="54">
        <v>1260.0</v>
      </c>
      <c r="S195" s="54">
        <v>1994.0</v>
      </c>
      <c r="T195" s="54">
        <v>280.0</v>
      </c>
      <c r="U195" s="54">
        <v>206.0</v>
      </c>
      <c r="V195" s="54">
        <v>0.0</v>
      </c>
      <c r="W195" s="54">
        <v>0.0</v>
      </c>
      <c r="X195" s="54">
        <v>0.0</v>
      </c>
      <c r="Y195" s="54">
        <v>6500.0</v>
      </c>
      <c r="Z195" s="54">
        <v>353.0</v>
      </c>
      <c r="AA195" s="54">
        <v>0.0</v>
      </c>
      <c r="AB195" s="54">
        <v>4000.0</v>
      </c>
      <c r="AC195" s="54">
        <v>205.0</v>
      </c>
      <c r="AD195" s="54">
        <v>0.0</v>
      </c>
      <c r="AE195" s="54">
        <v>205.0</v>
      </c>
      <c r="AF195" s="54">
        <v>0.0</v>
      </c>
      <c r="AG195" s="54" t="s">
        <v>734</v>
      </c>
      <c r="AH195" s="54" t="b">
        <v>0</v>
      </c>
      <c r="AI195" s="54" t="b">
        <v>0</v>
      </c>
      <c r="AJ195" s="54">
        <v>0.0</v>
      </c>
      <c r="AK195" s="54" t="s">
        <v>748</v>
      </c>
      <c r="AL195" s="54" t="s">
        <v>754</v>
      </c>
      <c r="AM195" s="54" t="b">
        <v>0</v>
      </c>
      <c r="AN195" s="54" t="b">
        <v>0</v>
      </c>
      <c r="AO195" s="54" t="b">
        <v>0</v>
      </c>
      <c r="AP195" s="54">
        <v>180.0</v>
      </c>
      <c r="AQ195" s="54">
        <v>0.0</v>
      </c>
      <c r="AR195" s="54">
        <v>5.0</v>
      </c>
      <c r="AS195" s="54">
        <v>0.0</v>
      </c>
      <c r="AT195" s="54" t="s">
        <v>759</v>
      </c>
      <c r="AU195" s="54">
        <v>4.0</v>
      </c>
      <c r="AV195" s="54" t="s">
        <v>757</v>
      </c>
      <c r="AW195" s="54" t="s">
        <v>800</v>
      </c>
      <c r="AX195" s="54">
        <v>5.0</v>
      </c>
      <c r="AY195" s="54">
        <v>50.0</v>
      </c>
      <c r="AZ195" s="54">
        <v>16.0</v>
      </c>
      <c r="BA195" s="54">
        <v>50.0</v>
      </c>
      <c r="BB195" s="54">
        <v>16.0</v>
      </c>
      <c r="BC195" s="54" t="s">
        <v>812</v>
      </c>
      <c r="BD195" s="53"/>
      <c r="BE195" s="53"/>
    </row>
    <row r="196">
      <c r="A196" s="52">
        <v>195.0</v>
      </c>
      <c r="B196" s="52">
        <v>316.0</v>
      </c>
      <c r="C196" s="52" t="s">
        <v>632</v>
      </c>
      <c r="D196" s="52" t="s">
        <v>633</v>
      </c>
      <c r="E196" s="52" t="s">
        <v>634</v>
      </c>
      <c r="F196" s="52">
        <v>19.0</v>
      </c>
      <c r="G196" s="52">
        <v>0.0</v>
      </c>
      <c r="H196" s="52">
        <v>0.0</v>
      </c>
      <c r="I196" s="52" t="s">
        <v>752</v>
      </c>
      <c r="J196" s="52">
        <v>1986.0</v>
      </c>
      <c r="K196" s="52">
        <v>2.0</v>
      </c>
      <c r="L196" s="52">
        <v>3950.0</v>
      </c>
      <c r="M196" s="52">
        <v>1665.0</v>
      </c>
      <c r="N196" s="52">
        <v>1250.0</v>
      </c>
      <c r="O196" s="52">
        <v>2320.0</v>
      </c>
      <c r="P196" s="52">
        <v>1440.0</v>
      </c>
      <c r="Q196" s="52">
        <v>1440.0</v>
      </c>
      <c r="R196" s="52">
        <v>1070.0</v>
      </c>
      <c r="S196" s="52">
        <v>1587.0</v>
      </c>
      <c r="T196" s="52">
        <v>145.0</v>
      </c>
      <c r="U196" s="52">
        <v>0.0</v>
      </c>
      <c r="V196" s="52">
        <v>0.0</v>
      </c>
      <c r="W196" s="52">
        <v>0.0</v>
      </c>
      <c r="X196" s="52">
        <v>0.0</v>
      </c>
      <c r="Y196" s="52">
        <v>6400.0</v>
      </c>
      <c r="Z196" s="52">
        <v>0.0</v>
      </c>
      <c r="AA196" s="52">
        <v>0.0</v>
      </c>
      <c r="AB196" s="52">
        <v>4400.0</v>
      </c>
      <c r="AC196" s="52">
        <v>185.0</v>
      </c>
      <c r="AD196" s="52">
        <v>0.0</v>
      </c>
      <c r="AE196" s="52">
        <v>185.0</v>
      </c>
      <c r="AF196" s="52">
        <v>0.0</v>
      </c>
      <c r="AG196" s="52" t="s">
        <v>734</v>
      </c>
      <c r="AH196" s="52" t="b">
        <v>0</v>
      </c>
      <c r="AI196" s="52" t="b">
        <v>1</v>
      </c>
      <c r="AJ196" s="52">
        <v>1.0</v>
      </c>
      <c r="AK196" s="52" t="s">
        <v>735</v>
      </c>
      <c r="AL196" s="52" t="s">
        <v>736</v>
      </c>
      <c r="AM196" s="52" t="b">
        <v>0</v>
      </c>
      <c r="AN196" s="52" t="b">
        <v>0</v>
      </c>
      <c r="AO196" s="52" t="b">
        <v>0</v>
      </c>
      <c r="AP196" s="52">
        <v>216.0</v>
      </c>
      <c r="AQ196" s="52">
        <v>0.0</v>
      </c>
      <c r="AR196" s="52">
        <v>2.0</v>
      </c>
      <c r="AS196" s="52">
        <v>0.0</v>
      </c>
      <c r="AT196" s="52" t="s">
        <v>737</v>
      </c>
      <c r="AU196" s="52">
        <v>4.0</v>
      </c>
      <c r="AV196" s="52" t="s">
        <v>817</v>
      </c>
      <c r="AW196" s="52" t="s">
        <v>750</v>
      </c>
      <c r="AX196" s="52">
        <v>5.0</v>
      </c>
      <c r="AY196" s="52">
        <v>60.0</v>
      </c>
      <c r="AZ196" s="52">
        <v>14.0</v>
      </c>
      <c r="BA196" s="52">
        <v>60.0</v>
      </c>
      <c r="BB196" s="52">
        <v>14.0</v>
      </c>
      <c r="BC196" s="52" t="s">
        <v>932</v>
      </c>
      <c r="BD196" s="53"/>
      <c r="BE196" s="53"/>
    </row>
    <row r="197">
      <c r="A197" s="54">
        <v>196.0</v>
      </c>
      <c r="B197" s="54">
        <v>319.0</v>
      </c>
      <c r="C197" s="54" t="s">
        <v>635</v>
      </c>
      <c r="D197" s="54" t="s">
        <v>636</v>
      </c>
      <c r="E197" s="54" t="s">
        <v>637</v>
      </c>
      <c r="F197" s="54">
        <v>14.5</v>
      </c>
      <c r="G197" s="54">
        <v>0.0</v>
      </c>
      <c r="H197" s="54">
        <v>0.0</v>
      </c>
      <c r="I197" s="54" t="s">
        <v>833</v>
      </c>
      <c r="J197" s="54">
        <v>1965.0</v>
      </c>
      <c r="K197" s="54">
        <v>2.0</v>
      </c>
      <c r="L197" s="54">
        <v>4080.0</v>
      </c>
      <c r="M197" s="54">
        <v>1580.0</v>
      </c>
      <c r="N197" s="54">
        <v>1315.0</v>
      </c>
      <c r="O197" s="54">
        <v>2350.0</v>
      </c>
      <c r="P197" s="54">
        <v>1310.0</v>
      </c>
      <c r="Q197" s="54">
        <v>1270.0</v>
      </c>
      <c r="R197" s="54">
        <v>745.0</v>
      </c>
      <c r="S197" s="54">
        <v>1570.0</v>
      </c>
      <c r="T197" s="54">
        <v>115.0</v>
      </c>
      <c r="U197" s="54">
        <v>0.0</v>
      </c>
      <c r="V197" s="54">
        <v>0.0</v>
      </c>
      <c r="W197" s="54">
        <v>0.0</v>
      </c>
      <c r="X197" s="54">
        <v>0.0</v>
      </c>
      <c r="Y197" s="54">
        <v>6000.0</v>
      </c>
      <c r="Z197" s="54">
        <v>0.0</v>
      </c>
      <c r="AA197" s="54">
        <v>0.0</v>
      </c>
      <c r="AB197" s="54">
        <v>3100.0</v>
      </c>
      <c r="AC197" s="54">
        <v>165.0</v>
      </c>
      <c r="AD197" s="54">
        <v>0.0</v>
      </c>
      <c r="AE197" s="54">
        <v>165.0</v>
      </c>
      <c r="AF197" s="54">
        <v>0.0</v>
      </c>
      <c r="AG197" s="54" t="s">
        <v>788</v>
      </c>
      <c r="AH197" s="54" t="b">
        <v>0</v>
      </c>
      <c r="AI197" s="54" t="b">
        <v>0</v>
      </c>
      <c r="AJ197" s="54">
        <v>0.0</v>
      </c>
      <c r="AK197" s="54" t="s">
        <v>735</v>
      </c>
      <c r="AL197" s="54" t="s">
        <v>754</v>
      </c>
      <c r="AM197" s="54" t="b">
        <v>0</v>
      </c>
      <c r="AN197" s="54" t="b">
        <v>0</v>
      </c>
      <c r="AO197" s="54" t="b">
        <v>0</v>
      </c>
      <c r="AP197" s="54">
        <v>72.0</v>
      </c>
      <c r="AQ197" s="54">
        <v>0.0</v>
      </c>
      <c r="AR197" s="54">
        <v>4.0</v>
      </c>
      <c r="AS197" s="54">
        <v>0.0</v>
      </c>
      <c r="AT197" s="54" t="s">
        <v>737</v>
      </c>
      <c r="AU197" s="54">
        <v>4.0</v>
      </c>
      <c r="AV197" s="54" t="s">
        <v>738</v>
      </c>
      <c r="AW197" s="54" t="s">
        <v>739</v>
      </c>
      <c r="AX197" s="54">
        <v>5.0</v>
      </c>
      <c r="AY197" s="54">
        <v>71.0</v>
      </c>
      <c r="AZ197" s="54">
        <v>14.0</v>
      </c>
      <c r="BA197" s="54">
        <v>71.0</v>
      </c>
      <c r="BB197" s="54">
        <v>14.0</v>
      </c>
      <c r="BC197" s="54" t="s">
        <v>933</v>
      </c>
      <c r="BD197" s="53"/>
      <c r="BE197" s="53"/>
    </row>
    <row r="198">
      <c r="A198" s="52">
        <v>197.0</v>
      </c>
      <c r="B198" s="52">
        <v>320.0</v>
      </c>
      <c r="C198" s="52" t="s">
        <v>638</v>
      </c>
      <c r="D198" s="52" t="s">
        <v>639</v>
      </c>
      <c r="E198" s="52" t="s">
        <v>640</v>
      </c>
      <c r="F198" s="52">
        <v>30.6</v>
      </c>
      <c r="G198" s="52">
        <v>0.0</v>
      </c>
      <c r="H198" s="52">
        <v>0.0</v>
      </c>
      <c r="I198" s="52" t="s">
        <v>833</v>
      </c>
      <c r="J198" s="52">
        <v>2004.0</v>
      </c>
      <c r="K198" s="52">
        <v>5.0</v>
      </c>
      <c r="L198" s="52">
        <v>4495.0</v>
      </c>
      <c r="M198" s="52">
        <v>1765.0</v>
      </c>
      <c r="N198" s="52">
        <v>1375.0</v>
      </c>
      <c r="O198" s="52">
        <v>2595.0</v>
      </c>
      <c r="P198" s="52">
        <v>1525.0</v>
      </c>
      <c r="Q198" s="52">
        <v>1515.0</v>
      </c>
      <c r="R198" s="52">
        <v>1430.0</v>
      </c>
      <c r="S198" s="52">
        <v>3179.0</v>
      </c>
      <c r="T198" s="52">
        <v>240.0</v>
      </c>
      <c r="U198" s="52">
        <v>177.0</v>
      </c>
      <c r="V198" s="52">
        <v>0.0</v>
      </c>
      <c r="W198" s="52">
        <v>0.0</v>
      </c>
      <c r="X198" s="52">
        <v>0.0</v>
      </c>
      <c r="Y198" s="52">
        <v>6200.0</v>
      </c>
      <c r="Z198" s="52">
        <v>289.0</v>
      </c>
      <c r="AA198" s="52">
        <v>0.0</v>
      </c>
      <c r="AB198" s="52">
        <v>4800.0</v>
      </c>
      <c r="AC198" s="52">
        <v>225.0</v>
      </c>
      <c r="AD198" s="52">
        <v>0.0</v>
      </c>
      <c r="AE198" s="52">
        <v>225.0</v>
      </c>
      <c r="AF198" s="52">
        <v>0.0</v>
      </c>
      <c r="AG198" s="52" t="s">
        <v>788</v>
      </c>
      <c r="AH198" s="52" t="b">
        <v>0</v>
      </c>
      <c r="AI198" s="52" t="b">
        <v>0</v>
      </c>
      <c r="AJ198" s="52">
        <v>0.0</v>
      </c>
      <c r="AK198" s="52" t="s">
        <v>789</v>
      </c>
      <c r="AL198" s="52" t="s">
        <v>754</v>
      </c>
      <c r="AM198" s="52" t="b">
        <v>1</v>
      </c>
      <c r="AN198" s="52" t="b">
        <v>1</v>
      </c>
      <c r="AO198" s="52" t="b">
        <v>0</v>
      </c>
      <c r="AP198" s="52">
        <v>180.0</v>
      </c>
      <c r="AQ198" s="52">
        <v>0.0</v>
      </c>
      <c r="AR198" s="52">
        <v>5.0</v>
      </c>
      <c r="AS198" s="52">
        <v>0.0</v>
      </c>
      <c r="AT198" s="52" t="s">
        <v>749</v>
      </c>
      <c r="AU198" s="52">
        <v>6.0</v>
      </c>
      <c r="AV198" s="52" t="s">
        <v>738</v>
      </c>
      <c r="AW198" s="52" t="s">
        <v>744</v>
      </c>
      <c r="AX198" s="52">
        <v>6.0</v>
      </c>
      <c r="AY198" s="52">
        <v>40.0</v>
      </c>
      <c r="AZ198" s="52">
        <v>18.0</v>
      </c>
      <c r="BA198" s="52">
        <v>40.0</v>
      </c>
      <c r="BB198" s="52">
        <v>18.0</v>
      </c>
      <c r="BC198" s="52" t="s">
        <v>934</v>
      </c>
      <c r="BD198" s="53"/>
      <c r="BE198" s="53"/>
    </row>
    <row r="199">
      <c r="A199" s="54">
        <v>198.0</v>
      </c>
      <c r="B199" s="54">
        <v>321.0</v>
      </c>
      <c r="C199" s="54" t="s">
        <v>641</v>
      </c>
      <c r="D199" s="54" t="s">
        <v>642</v>
      </c>
      <c r="E199" s="54" t="s">
        <v>643</v>
      </c>
      <c r="F199" s="54">
        <v>35.0</v>
      </c>
      <c r="G199" s="54">
        <v>0.0</v>
      </c>
      <c r="H199" s="54">
        <v>0.0</v>
      </c>
      <c r="I199" s="54" t="s">
        <v>776</v>
      </c>
      <c r="J199" s="54">
        <v>2003.0</v>
      </c>
      <c r="K199" s="54">
        <v>6.0</v>
      </c>
      <c r="L199" s="54">
        <v>4635.0</v>
      </c>
      <c r="M199" s="54">
        <v>1730.0</v>
      </c>
      <c r="N199" s="54">
        <v>1435.0</v>
      </c>
      <c r="O199" s="54">
        <v>2670.0</v>
      </c>
      <c r="P199" s="54">
        <v>1495.0</v>
      </c>
      <c r="Q199" s="54">
        <v>1490.0</v>
      </c>
      <c r="R199" s="54">
        <v>1430.0</v>
      </c>
      <c r="S199" s="54">
        <v>1994.0</v>
      </c>
      <c r="T199" s="54">
        <v>280.0</v>
      </c>
      <c r="U199" s="54">
        <v>206.0</v>
      </c>
      <c r="V199" s="54">
        <v>0.0</v>
      </c>
      <c r="W199" s="54">
        <v>0.0</v>
      </c>
      <c r="X199" s="54">
        <v>0.0</v>
      </c>
      <c r="Y199" s="54">
        <v>6400.0</v>
      </c>
      <c r="Z199" s="54">
        <v>343.0</v>
      </c>
      <c r="AA199" s="54">
        <v>0.0</v>
      </c>
      <c r="AB199" s="54">
        <v>2400.0</v>
      </c>
      <c r="AC199" s="54">
        <v>215.0</v>
      </c>
      <c r="AD199" s="54">
        <v>0.0</v>
      </c>
      <c r="AE199" s="54">
        <v>215.0</v>
      </c>
      <c r="AF199" s="54">
        <v>0.0</v>
      </c>
      <c r="AG199" s="54" t="s">
        <v>734</v>
      </c>
      <c r="AH199" s="54" t="b">
        <v>0</v>
      </c>
      <c r="AI199" s="54" t="b">
        <v>0</v>
      </c>
      <c r="AJ199" s="54">
        <v>0.0</v>
      </c>
      <c r="AK199" s="54" t="s">
        <v>756</v>
      </c>
      <c r="AL199" s="54" t="s">
        <v>754</v>
      </c>
      <c r="AM199" s="54" t="b">
        <v>0</v>
      </c>
      <c r="AN199" s="54" t="b">
        <v>0</v>
      </c>
      <c r="AO199" s="54" t="b">
        <v>0</v>
      </c>
      <c r="AP199" s="54">
        <v>216.0</v>
      </c>
      <c r="AQ199" s="54">
        <v>0.0</v>
      </c>
      <c r="AR199" s="54">
        <v>5.0</v>
      </c>
      <c r="AS199" s="54">
        <v>0.0</v>
      </c>
      <c r="AT199" s="54" t="s">
        <v>759</v>
      </c>
      <c r="AU199" s="54">
        <v>4.0</v>
      </c>
      <c r="AV199" s="54" t="s">
        <v>757</v>
      </c>
      <c r="AW199" s="54" t="s">
        <v>800</v>
      </c>
      <c r="AX199" s="54">
        <v>5.0</v>
      </c>
      <c r="AY199" s="54">
        <v>45.0</v>
      </c>
      <c r="AZ199" s="54">
        <v>18.0</v>
      </c>
      <c r="BA199" s="54">
        <v>45.0</v>
      </c>
      <c r="BB199" s="54">
        <v>18.0</v>
      </c>
      <c r="BC199" s="54" t="s">
        <v>812</v>
      </c>
      <c r="BD199" s="53"/>
      <c r="BE199" s="53"/>
    </row>
    <row r="200">
      <c r="A200" s="52">
        <v>199.0</v>
      </c>
      <c r="B200" s="52">
        <v>323.0</v>
      </c>
      <c r="C200" s="52" t="s">
        <v>644</v>
      </c>
      <c r="D200" s="52" t="s">
        <v>645</v>
      </c>
      <c r="E200" s="52" t="s">
        <v>646</v>
      </c>
      <c r="F200" s="52">
        <v>69.1</v>
      </c>
      <c r="G200" s="52">
        <v>0.0</v>
      </c>
      <c r="H200" s="52">
        <v>0.0</v>
      </c>
      <c r="I200" s="52" t="s">
        <v>783</v>
      </c>
      <c r="J200" s="52">
        <v>2005.0</v>
      </c>
      <c r="K200" s="52">
        <v>7.0</v>
      </c>
      <c r="L200" s="52">
        <v>4643.0</v>
      </c>
      <c r="M200" s="52">
        <v>1953.0</v>
      </c>
      <c r="N200" s="52">
        <v>1125.0</v>
      </c>
      <c r="O200" s="52">
        <v>2710.0</v>
      </c>
      <c r="P200" s="52">
        <v>1600.0</v>
      </c>
      <c r="Q200" s="52">
        <v>1618.0</v>
      </c>
      <c r="R200" s="52">
        <v>1585.0</v>
      </c>
      <c r="S200" s="52">
        <v>5409.0</v>
      </c>
      <c r="T200" s="52">
        <v>560.0</v>
      </c>
      <c r="U200" s="52">
        <v>0.0</v>
      </c>
      <c r="V200" s="52">
        <v>0.0</v>
      </c>
      <c r="W200" s="52">
        <v>0.0</v>
      </c>
      <c r="X200" s="52">
        <v>0.0</v>
      </c>
      <c r="Y200" s="52">
        <v>6500.0</v>
      </c>
      <c r="Z200" s="52">
        <v>0.0</v>
      </c>
      <c r="AA200" s="52">
        <v>0.0</v>
      </c>
      <c r="AB200" s="52">
        <v>3750.0</v>
      </c>
      <c r="AC200" s="52">
        <v>235.0</v>
      </c>
      <c r="AD200" s="52">
        <v>0.0</v>
      </c>
      <c r="AE200" s="52">
        <v>315.0</v>
      </c>
      <c r="AF200" s="52">
        <v>0.0</v>
      </c>
      <c r="AG200" s="52" t="s">
        <v>781</v>
      </c>
      <c r="AH200" s="52" t="b">
        <v>0</v>
      </c>
      <c r="AI200" s="52" t="b">
        <v>0</v>
      </c>
      <c r="AJ200" s="52">
        <v>0.0</v>
      </c>
      <c r="AK200" s="52" t="s">
        <v>748</v>
      </c>
      <c r="AL200" s="52" t="s">
        <v>736</v>
      </c>
      <c r="AM200" s="52" t="b">
        <v>1</v>
      </c>
      <c r="AN200" s="52" t="b">
        <v>0</v>
      </c>
      <c r="AO200" s="52" t="b">
        <v>0</v>
      </c>
      <c r="AP200" s="52">
        <v>36.0</v>
      </c>
      <c r="AQ200" s="52">
        <v>0.0</v>
      </c>
      <c r="AR200" s="52">
        <v>2.0</v>
      </c>
      <c r="AS200" s="52">
        <v>0.0</v>
      </c>
      <c r="AT200" s="52" t="s">
        <v>749</v>
      </c>
      <c r="AU200" s="52">
        <v>8.0</v>
      </c>
      <c r="AV200" s="52" t="s">
        <v>817</v>
      </c>
      <c r="AW200" s="52" t="s">
        <v>750</v>
      </c>
      <c r="AX200" s="52">
        <v>6.0</v>
      </c>
      <c r="AY200" s="52">
        <v>45.0</v>
      </c>
      <c r="AZ200" s="52">
        <v>18.0</v>
      </c>
      <c r="BA200" s="52">
        <v>40.0</v>
      </c>
      <c r="BB200" s="52">
        <v>19.0</v>
      </c>
      <c r="BC200" s="52" t="s">
        <v>763</v>
      </c>
      <c r="BD200" s="53"/>
      <c r="BE200" s="53"/>
    </row>
    <row r="201">
      <c r="A201" s="54">
        <v>200.0</v>
      </c>
      <c r="B201" s="54">
        <v>327.0</v>
      </c>
      <c r="C201" s="54" t="s">
        <v>647</v>
      </c>
      <c r="D201" s="54" t="s">
        <v>648</v>
      </c>
      <c r="E201" s="54" t="s">
        <v>649</v>
      </c>
      <c r="F201" s="54">
        <v>12.5</v>
      </c>
      <c r="G201" s="54">
        <v>4.25</v>
      </c>
      <c r="H201" s="54">
        <v>9.5</v>
      </c>
      <c r="I201" s="54" t="s">
        <v>894</v>
      </c>
      <c r="J201" s="54">
        <v>1970.0</v>
      </c>
      <c r="K201" s="54">
        <v>3.0</v>
      </c>
      <c r="L201" s="54">
        <v>3530.0</v>
      </c>
      <c r="M201" s="54">
        <v>1420.0</v>
      </c>
      <c r="N201" s="54">
        <v>1300.0</v>
      </c>
      <c r="O201" s="54">
        <v>2000.0</v>
      </c>
      <c r="P201" s="54">
        <v>1215.0</v>
      </c>
      <c r="Q201" s="54">
        <v>1250.0</v>
      </c>
      <c r="R201" s="54">
        <v>583.0</v>
      </c>
      <c r="S201" s="54">
        <v>982.0</v>
      </c>
      <c r="T201" s="54">
        <v>0.0</v>
      </c>
      <c r="U201" s="54">
        <v>0.0</v>
      </c>
      <c r="V201" s="54">
        <v>108.0</v>
      </c>
      <c r="W201" s="54">
        <v>0.0</v>
      </c>
      <c r="X201" s="54">
        <v>0.0</v>
      </c>
      <c r="Y201" s="54">
        <v>8200.0</v>
      </c>
      <c r="Z201" s="54">
        <v>0.0</v>
      </c>
      <c r="AA201" s="54">
        <v>0.0</v>
      </c>
      <c r="AB201" s="54">
        <v>6800.0</v>
      </c>
      <c r="AC201" s="54">
        <v>0.0</v>
      </c>
      <c r="AD201" s="54">
        <v>0.0</v>
      </c>
      <c r="AE201" s="54">
        <v>0.0</v>
      </c>
      <c r="AF201" s="54">
        <v>0.0</v>
      </c>
      <c r="AG201" s="54" t="s">
        <v>788</v>
      </c>
      <c r="AH201" s="54" t="b">
        <v>0</v>
      </c>
      <c r="AI201" s="54" t="b">
        <v>0</v>
      </c>
      <c r="AJ201" s="54">
        <v>0.0</v>
      </c>
      <c r="AK201" s="54" t="s">
        <v>789</v>
      </c>
      <c r="AL201" s="54" t="s">
        <v>736</v>
      </c>
      <c r="AM201" s="54" t="b">
        <v>0</v>
      </c>
      <c r="AN201" s="54" t="b">
        <v>0</v>
      </c>
      <c r="AO201" s="54" t="b">
        <v>0</v>
      </c>
      <c r="AP201" s="54">
        <v>72.0</v>
      </c>
      <c r="AQ201" s="54">
        <v>0.0</v>
      </c>
      <c r="AR201" s="54">
        <v>2.0</v>
      </c>
      <c r="AS201" s="54">
        <v>0.0</v>
      </c>
      <c r="AT201" s="54" t="s">
        <v>737</v>
      </c>
      <c r="AU201" s="54">
        <v>4.0</v>
      </c>
      <c r="AV201" s="54" t="s">
        <v>738</v>
      </c>
      <c r="AW201" s="54" t="s">
        <v>778</v>
      </c>
      <c r="AX201" s="54">
        <v>5.0</v>
      </c>
      <c r="AY201" s="54">
        <v>0.0</v>
      </c>
      <c r="AZ201" s="54">
        <v>13.0</v>
      </c>
      <c r="BA201" s="54">
        <v>0.0</v>
      </c>
      <c r="BB201" s="54">
        <v>13.0</v>
      </c>
      <c r="BC201" s="54" t="s">
        <v>763</v>
      </c>
      <c r="BD201" s="53"/>
      <c r="BE201" s="53"/>
    </row>
    <row r="202">
      <c r="A202" s="52">
        <v>201.0</v>
      </c>
      <c r="B202" s="52">
        <v>330.0</v>
      </c>
      <c r="C202" s="52" t="s">
        <v>650</v>
      </c>
      <c r="D202" s="52" t="s">
        <v>651</v>
      </c>
      <c r="E202" s="52" t="s">
        <v>652</v>
      </c>
      <c r="F202" s="52">
        <v>0.0</v>
      </c>
      <c r="G202" s="52">
        <v>0.0</v>
      </c>
      <c r="H202" s="52">
        <v>0.0</v>
      </c>
      <c r="I202" s="52" t="s">
        <v>773</v>
      </c>
      <c r="J202" s="52">
        <v>2004.0</v>
      </c>
      <c r="K202" s="52">
        <v>8.0</v>
      </c>
      <c r="L202" s="52">
        <v>4445.0</v>
      </c>
      <c r="M202" s="52">
        <v>1978.0</v>
      </c>
      <c r="N202" s="52">
        <v>1735.0</v>
      </c>
      <c r="O202" s="52">
        <v>2725.0</v>
      </c>
      <c r="P202" s="52">
        <v>1750.0</v>
      </c>
      <c r="Q202" s="52">
        <v>1736.0</v>
      </c>
      <c r="R202" s="52">
        <v>1825.0</v>
      </c>
      <c r="S202" s="52">
        <v>3997.0</v>
      </c>
      <c r="T202" s="52">
        <v>270.0</v>
      </c>
      <c r="U202" s="52">
        <v>0.0</v>
      </c>
      <c r="V202" s="52">
        <v>0.0</v>
      </c>
      <c r="W202" s="52">
        <v>0.0</v>
      </c>
      <c r="X202" s="52">
        <v>0.0</v>
      </c>
      <c r="Y202" s="52">
        <v>5500.0</v>
      </c>
      <c r="Z202" s="52">
        <v>0.0</v>
      </c>
      <c r="AA202" s="52">
        <v>0.0</v>
      </c>
      <c r="AB202" s="52">
        <v>0.0</v>
      </c>
      <c r="AC202" s="52">
        <v>235.0</v>
      </c>
      <c r="AD202" s="52">
        <v>0.0</v>
      </c>
      <c r="AE202" s="52">
        <v>235.0</v>
      </c>
      <c r="AF202" s="52">
        <v>0.0</v>
      </c>
      <c r="AG202" s="52" t="s">
        <v>734</v>
      </c>
      <c r="AH202" s="52" t="b">
        <v>0</v>
      </c>
      <c r="AI202" s="52" t="b">
        <v>0</v>
      </c>
      <c r="AJ202" s="52">
        <v>0.0</v>
      </c>
      <c r="AK202" s="52" t="s">
        <v>761</v>
      </c>
      <c r="AL202" s="52" t="s">
        <v>762</v>
      </c>
      <c r="AM202" s="52" t="b">
        <v>0</v>
      </c>
      <c r="AN202" s="52" t="b">
        <v>0</v>
      </c>
      <c r="AO202" s="52" t="b">
        <v>0</v>
      </c>
      <c r="AP202" s="52">
        <v>108.0</v>
      </c>
      <c r="AQ202" s="52">
        <v>0.0</v>
      </c>
      <c r="AR202" s="52">
        <v>2.0</v>
      </c>
      <c r="AS202" s="52">
        <v>0.0</v>
      </c>
      <c r="AT202" s="52" t="s">
        <v>749</v>
      </c>
      <c r="AU202" s="52">
        <v>6.0</v>
      </c>
      <c r="AV202" s="52" t="s">
        <v>738</v>
      </c>
      <c r="AW202" s="52" t="s">
        <v>800</v>
      </c>
      <c r="AX202" s="52">
        <v>6.0</v>
      </c>
      <c r="AY202" s="52">
        <v>85.0</v>
      </c>
      <c r="AZ202" s="52">
        <v>16.0</v>
      </c>
      <c r="BA202" s="52">
        <v>85.0</v>
      </c>
      <c r="BB202" s="52">
        <v>16.0</v>
      </c>
      <c r="BC202" s="52" t="s">
        <v>763</v>
      </c>
      <c r="BD202" s="53"/>
      <c r="BE202" s="53"/>
    </row>
    <row r="203">
      <c r="A203" s="54">
        <v>202.0</v>
      </c>
      <c r="B203" s="54">
        <v>331.0</v>
      </c>
      <c r="C203" s="54" t="s">
        <v>653</v>
      </c>
      <c r="D203" s="54" t="s">
        <v>654</v>
      </c>
      <c r="E203" s="54" t="s">
        <v>655</v>
      </c>
      <c r="F203" s="54">
        <v>37.0</v>
      </c>
      <c r="G203" s="54">
        <v>0.0</v>
      </c>
      <c r="H203" s="54">
        <v>0.0</v>
      </c>
      <c r="I203" s="54" t="s">
        <v>741</v>
      </c>
      <c r="J203" s="54">
        <v>2003.0</v>
      </c>
      <c r="K203" s="54">
        <v>8.0</v>
      </c>
      <c r="L203" s="54">
        <v>4880.0</v>
      </c>
      <c r="M203" s="54">
        <v>1840.0</v>
      </c>
      <c r="N203" s="54">
        <v>1680.0</v>
      </c>
      <c r="O203" s="54">
        <v>2950.0</v>
      </c>
      <c r="P203" s="54">
        <v>1640.0</v>
      </c>
      <c r="Q203" s="54">
        <v>1640.0</v>
      </c>
      <c r="R203" s="54">
        <v>1800.0</v>
      </c>
      <c r="S203" s="54">
        <v>3498.0</v>
      </c>
      <c r="T203" s="54">
        <v>0.0</v>
      </c>
      <c r="U203" s="54">
        <v>0.0</v>
      </c>
      <c r="V203" s="54">
        <v>0.0</v>
      </c>
      <c r="W203" s="54">
        <v>280.0</v>
      </c>
      <c r="X203" s="54">
        <v>0.0</v>
      </c>
      <c r="Y203" s="54">
        <v>5000.0</v>
      </c>
      <c r="Z203" s="54">
        <v>0.0</v>
      </c>
      <c r="AA203" s="54">
        <v>0.0</v>
      </c>
      <c r="AB203" s="54">
        <v>4000.0</v>
      </c>
      <c r="AC203" s="54">
        <v>0.0</v>
      </c>
      <c r="AD203" s="54">
        <v>0.0</v>
      </c>
      <c r="AE203" s="54">
        <v>0.0</v>
      </c>
      <c r="AF203" s="54">
        <v>0.0</v>
      </c>
      <c r="AG203" s="54" t="s">
        <v>734</v>
      </c>
      <c r="AH203" s="54" t="b">
        <v>0</v>
      </c>
      <c r="AI203" s="54" t="b">
        <v>0</v>
      </c>
      <c r="AJ203" s="54">
        <v>0.0</v>
      </c>
      <c r="AK203" s="54" t="s">
        <v>761</v>
      </c>
      <c r="AL203" s="54" t="s">
        <v>762</v>
      </c>
      <c r="AM203" s="54" t="b">
        <v>0</v>
      </c>
      <c r="AN203" s="54" t="b">
        <v>0</v>
      </c>
      <c r="AO203" s="54" t="b">
        <v>0</v>
      </c>
      <c r="AP203" s="54">
        <v>108.0</v>
      </c>
      <c r="AQ203" s="54">
        <v>0.0</v>
      </c>
      <c r="AR203" s="54">
        <v>2.0</v>
      </c>
      <c r="AS203" s="54">
        <v>0.0</v>
      </c>
      <c r="AT203" s="54" t="s">
        <v>749</v>
      </c>
      <c r="AU203" s="54">
        <v>6.0</v>
      </c>
      <c r="AV203" s="54" t="s">
        <v>738</v>
      </c>
      <c r="AW203" s="54" t="s">
        <v>800</v>
      </c>
      <c r="AX203" s="54">
        <v>6.0</v>
      </c>
      <c r="AY203" s="54">
        <v>0.0</v>
      </c>
      <c r="AZ203" s="54">
        <v>0.0</v>
      </c>
      <c r="BA203" s="54">
        <v>0.0</v>
      </c>
      <c r="BB203" s="54">
        <v>0.0</v>
      </c>
      <c r="BC203" s="54" t="s">
        <v>871</v>
      </c>
      <c r="BD203" s="53"/>
      <c r="BE203" s="53"/>
    </row>
    <row r="204">
      <c r="A204" s="52">
        <v>203.0</v>
      </c>
      <c r="B204" s="52">
        <v>332.0</v>
      </c>
      <c r="C204" s="52" t="s">
        <v>656</v>
      </c>
      <c r="D204" s="52" t="s">
        <v>657</v>
      </c>
      <c r="E204" s="52" t="s">
        <v>658</v>
      </c>
      <c r="F204" s="52">
        <v>0.0</v>
      </c>
      <c r="G204" s="52">
        <v>0.0</v>
      </c>
      <c r="H204" s="52">
        <v>0.0</v>
      </c>
      <c r="I204" s="52" t="s">
        <v>815</v>
      </c>
      <c r="J204" s="52">
        <v>2004.0</v>
      </c>
      <c r="K204" s="52">
        <v>6.0</v>
      </c>
      <c r="L204" s="52">
        <v>4656.0</v>
      </c>
      <c r="M204" s="52">
        <v>1908.0</v>
      </c>
      <c r="N204" s="52">
        <v>1261.0</v>
      </c>
      <c r="O204" s="52">
        <v>2700.0</v>
      </c>
      <c r="P204" s="52">
        <v>1638.0</v>
      </c>
      <c r="Q204" s="52">
        <v>1569.0</v>
      </c>
      <c r="R204" s="52">
        <v>1768.0</v>
      </c>
      <c r="S204" s="52">
        <v>5439.0</v>
      </c>
      <c r="T204" s="52">
        <v>0.0</v>
      </c>
      <c r="U204" s="52">
        <v>460.0</v>
      </c>
      <c r="V204" s="52">
        <v>626.0</v>
      </c>
      <c r="W204" s="52">
        <v>0.0</v>
      </c>
      <c r="X204" s="52">
        <v>0.0</v>
      </c>
      <c r="Y204" s="52">
        <v>6500.0</v>
      </c>
      <c r="Z204" s="52">
        <v>780.0</v>
      </c>
      <c r="AA204" s="52">
        <v>0.0</v>
      </c>
      <c r="AB204" s="52">
        <v>3.2768325E8</v>
      </c>
      <c r="AC204" s="52">
        <v>245.0</v>
      </c>
      <c r="AD204" s="52">
        <v>0.0</v>
      </c>
      <c r="AE204" s="52">
        <v>295.0</v>
      </c>
      <c r="AF204" s="52">
        <v>0.0</v>
      </c>
      <c r="AG204" s="52" t="s">
        <v>816</v>
      </c>
      <c r="AH204" s="52" t="b">
        <v>0</v>
      </c>
      <c r="AI204" s="52" t="b">
        <v>0</v>
      </c>
      <c r="AJ204" s="52">
        <v>0.0</v>
      </c>
      <c r="AK204" s="52" t="s">
        <v>748</v>
      </c>
      <c r="AL204" s="52" t="s">
        <v>736</v>
      </c>
      <c r="AM204" s="52" t="b">
        <v>1</v>
      </c>
      <c r="AN204" s="52" t="b">
        <v>1</v>
      </c>
      <c r="AO204" s="52" t="b">
        <v>0</v>
      </c>
      <c r="AP204" s="52">
        <v>36.0</v>
      </c>
      <c r="AQ204" s="52">
        <v>1.0</v>
      </c>
      <c r="AR204" s="52">
        <v>2.0</v>
      </c>
      <c r="AS204" s="52">
        <v>0.0</v>
      </c>
      <c r="AT204" s="52" t="s">
        <v>749</v>
      </c>
      <c r="AU204" s="52">
        <v>8.0</v>
      </c>
      <c r="AV204" s="52" t="s">
        <v>817</v>
      </c>
      <c r="AW204" s="52" t="s">
        <v>739</v>
      </c>
      <c r="AX204" s="52">
        <v>5.0</v>
      </c>
      <c r="AY204" s="52">
        <v>40.0</v>
      </c>
      <c r="AZ204" s="52">
        <v>18.0</v>
      </c>
      <c r="BA204" s="52">
        <v>35.0</v>
      </c>
      <c r="BB204" s="52">
        <v>18.0</v>
      </c>
      <c r="BC204" s="52" t="s">
        <v>763</v>
      </c>
      <c r="BD204" s="53"/>
      <c r="BE204" s="53"/>
    </row>
    <row r="205">
      <c r="A205" s="54">
        <v>204.0</v>
      </c>
      <c r="B205" s="54">
        <v>333.0</v>
      </c>
      <c r="C205" s="54" t="s">
        <v>659</v>
      </c>
      <c r="D205" s="54" t="s">
        <v>660</v>
      </c>
      <c r="E205" s="54" t="s">
        <v>661</v>
      </c>
      <c r="F205" s="54">
        <v>28.0</v>
      </c>
      <c r="G205" s="54">
        <v>0.0</v>
      </c>
      <c r="H205" s="54">
        <v>0.0</v>
      </c>
      <c r="I205" s="54" t="s">
        <v>818</v>
      </c>
      <c r="J205" s="54">
        <v>2004.0</v>
      </c>
      <c r="K205" s="54">
        <v>3.0</v>
      </c>
      <c r="L205" s="54">
        <v>4204.0</v>
      </c>
      <c r="M205" s="54">
        <v>1759.0</v>
      </c>
      <c r="N205" s="54">
        <v>1483.0</v>
      </c>
      <c r="O205" s="54">
        <v>2578.0</v>
      </c>
      <c r="P205" s="54">
        <v>1539.0</v>
      </c>
      <c r="Q205" s="54">
        <v>1528.0</v>
      </c>
      <c r="R205" s="54">
        <v>1322.0</v>
      </c>
      <c r="S205" s="54">
        <v>1984.0</v>
      </c>
      <c r="T205" s="54">
        <v>200.0</v>
      </c>
      <c r="U205" s="54">
        <v>147.0</v>
      </c>
      <c r="V205" s="54">
        <v>0.0</v>
      </c>
      <c r="W205" s="54">
        <v>0.0</v>
      </c>
      <c r="X205" s="54">
        <v>0.0</v>
      </c>
      <c r="Y205" s="54">
        <v>5500.0</v>
      </c>
      <c r="Z205" s="54">
        <v>0.0</v>
      </c>
      <c r="AA205" s="54">
        <v>0.0</v>
      </c>
      <c r="AB205" s="54">
        <v>3.08021E8</v>
      </c>
      <c r="AC205" s="54">
        <v>225.0</v>
      </c>
      <c r="AD205" s="54">
        <v>0.0</v>
      </c>
      <c r="AE205" s="54">
        <v>225.0</v>
      </c>
      <c r="AF205" s="54">
        <v>0.0</v>
      </c>
      <c r="AG205" s="54" t="s">
        <v>816</v>
      </c>
      <c r="AH205" s="54" t="b">
        <v>0</v>
      </c>
      <c r="AI205" s="54" t="b">
        <v>0</v>
      </c>
      <c r="AJ205" s="54">
        <v>0.0</v>
      </c>
      <c r="AK205" s="54" t="s">
        <v>789</v>
      </c>
      <c r="AL205" s="54" t="s">
        <v>754</v>
      </c>
      <c r="AM205" s="54" t="b">
        <v>1</v>
      </c>
      <c r="AN205" s="54" t="b">
        <v>1</v>
      </c>
      <c r="AO205" s="54" t="b">
        <v>0</v>
      </c>
      <c r="AP205" s="54">
        <v>216.0</v>
      </c>
      <c r="AQ205" s="54">
        <v>0.0</v>
      </c>
      <c r="AR205" s="54">
        <v>0.0</v>
      </c>
      <c r="AS205" s="54">
        <v>0.0</v>
      </c>
      <c r="AT205" s="54" t="s">
        <v>737</v>
      </c>
      <c r="AU205" s="54">
        <v>4.0</v>
      </c>
      <c r="AV205" s="54" t="s">
        <v>757</v>
      </c>
      <c r="AW205" s="54" t="s">
        <v>744</v>
      </c>
      <c r="AX205" s="54">
        <v>6.0</v>
      </c>
      <c r="AY205" s="54">
        <v>40.0</v>
      </c>
      <c r="AZ205" s="54">
        <v>18.0</v>
      </c>
      <c r="BA205" s="54">
        <v>40.0</v>
      </c>
      <c r="BB205" s="54">
        <v>18.0</v>
      </c>
      <c r="BC205" s="54" t="s">
        <v>763</v>
      </c>
      <c r="BD205" s="53"/>
      <c r="BE205" s="53"/>
    </row>
    <row r="206">
      <c r="A206" s="52">
        <v>205.0</v>
      </c>
      <c r="B206" s="52">
        <v>334.0</v>
      </c>
      <c r="C206" s="52" t="s">
        <v>662</v>
      </c>
      <c r="D206" s="52" t="s">
        <v>663</v>
      </c>
      <c r="E206" s="52" t="s">
        <v>664</v>
      </c>
      <c r="F206" s="52">
        <v>0.0</v>
      </c>
      <c r="G206" s="52">
        <v>0.0</v>
      </c>
      <c r="H206" s="52">
        <v>0.0</v>
      </c>
      <c r="I206" s="52" t="s">
        <v>877</v>
      </c>
      <c r="J206" s="52">
        <v>1996.0</v>
      </c>
      <c r="K206" s="52">
        <v>8.0</v>
      </c>
      <c r="L206" s="52">
        <v>4367.0</v>
      </c>
      <c r="M206" s="52">
        <v>1900.0</v>
      </c>
      <c r="N206" s="52">
        <v>1090.0</v>
      </c>
      <c r="O206" s="52">
        <v>2718.0</v>
      </c>
      <c r="P206" s="52">
        <v>1558.0</v>
      </c>
      <c r="Q206" s="52">
        <v>1488.0</v>
      </c>
      <c r="R206" s="52">
        <v>1012.0</v>
      </c>
      <c r="S206" s="52">
        <v>6064.0</v>
      </c>
      <c r="T206" s="52">
        <v>0.0</v>
      </c>
      <c r="U206" s="52">
        <v>0.0</v>
      </c>
      <c r="V206" s="52">
        <v>0.0</v>
      </c>
      <c r="W206" s="52">
        <v>600.0</v>
      </c>
      <c r="X206" s="52">
        <v>0.0</v>
      </c>
      <c r="Y206" s="52">
        <v>7500.0</v>
      </c>
      <c r="Z206" s="52">
        <v>0.0</v>
      </c>
      <c r="AA206" s="52">
        <v>527.0</v>
      </c>
      <c r="AB206" s="52">
        <v>4500.0</v>
      </c>
      <c r="AC206" s="52">
        <v>270.0</v>
      </c>
      <c r="AD206" s="52">
        <v>650.0</v>
      </c>
      <c r="AE206" s="52">
        <v>300.0</v>
      </c>
      <c r="AF206" s="52">
        <v>700.0</v>
      </c>
      <c r="AG206" s="52" t="s">
        <v>816</v>
      </c>
      <c r="AH206" s="52" t="b">
        <v>0</v>
      </c>
      <c r="AI206" s="52" t="b">
        <v>0</v>
      </c>
      <c r="AJ206" s="52">
        <v>0.0</v>
      </c>
      <c r="AK206" s="52" t="s">
        <v>761</v>
      </c>
      <c r="AL206" s="52" t="s">
        <v>762</v>
      </c>
      <c r="AM206" s="52" t="b">
        <v>0</v>
      </c>
      <c r="AN206" s="52" t="b">
        <v>0</v>
      </c>
      <c r="AO206" s="52" t="b">
        <v>0</v>
      </c>
      <c r="AP206" s="52">
        <v>0.0</v>
      </c>
      <c r="AQ206" s="52">
        <v>0.0</v>
      </c>
      <c r="AR206" s="52">
        <v>1.0</v>
      </c>
      <c r="AS206" s="52">
        <v>0.0</v>
      </c>
      <c r="AT206" s="52" t="s">
        <v>749</v>
      </c>
      <c r="AU206" s="52">
        <v>12.0</v>
      </c>
      <c r="AV206" s="52" t="s">
        <v>738</v>
      </c>
      <c r="AW206" s="52" t="s">
        <v>750</v>
      </c>
      <c r="AX206" s="52">
        <v>6.0</v>
      </c>
      <c r="AY206" s="52">
        <v>0.0</v>
      </c>
      <c r="AZ206" s="52">
        <v>18.0</v>
      </c>
      <c r="BA206" s="52">
        <v>0.0</v>
      </c>
      <c r="BB206" s="52">
        <v>18.0</v>
      </c>
      <c r="BC206" s="52" t="s">
        <v>935</v>
      </c>
      <c r="BD206" s="53"/>
      <c r="BE206" s="53"/>
    </row>
    <row r="207">
      <c r="A207" s="54">
        <v>206.0</v>
      </c>
      <c r="B207" s="54">
        <v>335.0</v>
      </c>
      <c r="C207" s="54" t="s">
        <v>665</v>
      </c>
      <c r="D207" s="54" t="s">
        <v>666</v>
      </c>
      <c r="E207" s="54" t="s">
        <v>667</v>
      </c>
      <c r="F207" s="54">
        <v>0.0</v>
      </c>
      <c r="G207" s="54">
        <v>0.0</v>
      </c>
      <c r="H207" s="54">
        <v>0.0</v>
      </c>
      <c r="I207" s="54" t="s">
        <v>877</v>
      </c>
      <c r="J207" s="54">
        <v>2001.0</v>
      </c>
      <c r="K207" s="54">
        <v>6.0</v>
      </c>
      <c r="L207" s="54">
        <v>4617.0</v>
      </c>
      <c r="M207" s="54">
        <v>1784.0</v>
      </c>
      <c r="N207" s="54">
        <v>1345.0</v>
      </c>
      <c r="O207" s="54">
        <v>2731.0</v>
      </c>
      <c r="P207" s="54">
        <v>0.0</v>
      </c>
      <c r="Q207" s="54">
        <v>0.0</v>
      </c>
      <c r="R207" s="54">
        <v>1350.0</v>
      </c>
      <c r="S207" s="54">
        <v>3997.0</v>
      </c>
      <c r="T207" s="54">
        <v>0.0</v>
      </c>
      <c r="U207" s="54">
        <v>0.0</v>
      </c>
      <c r="V207" s="54">
        <v>0.0</v>
      </c>
      <c r="W207" s="54">
        <v>380.0</v>
      </c>
      <c r="X207" s="54">
        <v>0.0</v>
      </c>
      <c r="Y207" s="54">
        <v>7000.0</v>
      </c>
      <c r="Z207" s="54">
        <v>390.0</v>
      </c>
      <c r="AA207" s="54">
        <v>0.0</v>
      </c>
      <c r="AB207" s="54">
        <v>4500.0</v>
      </c>
      <c r="AC207" s="54">
        <v>225.0</v>
      </c>
      <c r="AD207" s="54">
        <v>0.0</v>
      </c>
      <c r="AE207" s="54">
        <v>255.0</v>
      </c>
      <c r="AF207" s="54">
        <v>0.0</v>
      </c>
      <c r="AG207" s="54" t="s">
        <v>816</v>
      </c>
      <c r="AH207" s="54" t="b">
        <v>0</v>
      </c>
      <c r="AI207" s="54" t="b">
        <v>0</v>
      </c>
      <c r="AJ207" s="54">
        <v>0.0</v>
      </c>
      <c r="AK207" s="54" t="s">
        <v>748</v>
      </c>
      <c r="AL207" s="54" t="s">
        <v>754</v>
      </c>
      <c r="AM207" s="54" t="b">
        <v>1</v>
      </c>
      <c r="AN207" s="54" t="b">
        <v>1</v>
      </c>
      <c r="AO207" s="54" t="b">
        <v>0</v>
      </c>
      <c r="AP207" s="54">
        <v>36.0</v>
      </c>
      <c r="AQ207" s="54">
        <v>0.0</v>
      </c>
      <c r="AR207" s="54">
        <v>0.0</v>
      </c>
      <c r="AS207" s="54">
        <v>0.0</v>
      </c>
      <c r="AT207" s="54" t="s">
        <v>749</v>
      </c>
      <c r="AU207" s="54">
        <v>8.0</v>
      </c>
      <c r="AV207" s="54" t="s">
        <v>738</v>
      </c>
      <c r="AW207" s="54" t="s">
        <v>739</v>
      </c>
      <c r="AX207" s="54">
        <v>6.0</v>
      </c>
      <c r="AY207" s="54">
        <v>40.0</v>
      </c>
      <c r="AZ207" s="54">
        <v>19.0</v>
      </c>
      <c r="BA207" s="54">
        <v>35.0</v>
      </c>
      <c r="BB207" s="54">
        <v>19.0</v>
      </c>
      <c r="BC207" s="54" t="s">
        <v>763</v>
      </c>
      <c r="BD207" s="53"/>
      <c r="BE207" s="53"/>
    </row>
    <row r="208">
      <c r="A208" s="52">
        <v>207.0</v>
      </c>
      <c r="B208" s="52">
        <v>336.0</v>
      </c>
      <c r="C208" s="52" t="s">
        <v>668</v>
      </c>
      <c r="D208" s="52" t="s">
        <v>669</v>
      </c>
      <c r="E208" s="52" t="s">
        <v>670</v>
      </c>
      <c r="F208" s="52">
        <v>0.0</v>
      </c>
      <c r="G208" s="52">
        <v>0.0</v>
      </c>
      <c r="H208" s="52">
        <v>0.0</v>
      </c>
      <c r="I208" s="52" t="s">
        <v>877</v>
      </c>
      <c r="J208" s="52">
        <v>1973.0</v>
      </c>
      <c r="K208" s="52">
        <v>7.0</v>
      </c>
      <c r="L208" s="52">
        <v>4675.0</v>
      </c>
      <c r="M208" s="52">
        <v>1890.0</v>
      </c>
      <c r="N208" s="52">
        <v>1365.0</v>
      </c>
      <c r="O208" s="52">
        <v>0.0</v>
      </c>
      <c r="P208" s="52">
        <v>0.0</v>
      </c>
      <c r="Q208" s="52">
        <v>0.0</v>
      </c>
      <c r="R208" s="52">
        <v>1062.0</v>
      </c>
      <c r="S208" s="52">
        <v>3303.0</v>
      </c>
      <c r="T208" s="52">
        <v>325.0</v>
      </c>
      <c r="U208" s="52">
        <v>0.0</v>
      </c>
      <c r="V208" s="52">
        <v>0.0</v>
      </c>
      <c r="W208" s="52">
        <v>0.0</v>
      </c>
      <c r="X208" s="52">
        <v>0.0</v>
      </c>
      <c r="Y208" s="52">
        <v>0.0</v>
      </c>
      <c r="Z208" s="52">
        <v>0.0</v>
      </c>
      <c r="AA208" s="52">
        <v>0.0</v>
      </c>
      <c r="AB208" s="52">
        <v>0.0</v>
      </c>
      <c r="AC208" s="52">
        <v>290.0</v>
      </c>
      <c r="AD208" s="52">
        <v>0.0</v>
      </c>
      <c r="AE208" s="52">
        <v>0.0</v>
      </c>
      <c r="AF208" s="52">
        <v>0.0</v>
      </c>
      <c r="AG208" s="52" t="s">
        <v>816</v>
      </c>
      <c r="AH208" s="52" t="b">
        <v>0</v>
      </c>
      <c r="AI208" s="52" t="b">
        <v>0</v>
      </c>
      <c r="AJ208" s="52">
        <v>0.0</v>
      </c>
      <c r="AK208" s="52" t="s">
        <v>761</v>
      </c>
      <c r="AL208" s="52" t="s">
        <v>762</v>
      </c>
      <c r="AM208" s="52" t="b">
        <v>0</v>
      </c>
      <c r="AN208" s="52" t="b">
        <v>0</v>
      </c>
      <c r="AO208" s="52" t="b">
        <v>0</v>
      </c>
      <c r="AP208" s="52">
        <v>72.0</v>
      </c>
      <c r="AQ208" s="52">
        <v>0.0</v>
      </c>
      <c r="AR208" s="52">
        <v>2.0</v>
      </c>
      <c r="AS208" s="52">
        <v>0.0</v>
      </c>
      <c r="AT208" s="52" t="s">
        <v>737</v>
      </c>
      <c r="AU208" s="52">
        <v>6.0</v>
      </c>
      <c r="AV208" s="52" t="s">
        <v>738</v>
      </c>
      <c r="AW208" s="52" t="s">
        <v>739</v>
      </c>
      <c r="AX208" s="52">
        <v>5.0</v>
      </c>
      <c r="AY208" s="52">
        <v>0.0</v>
      </c>
      <c r="AZ208" s="52">
        <v>15.0</v>
      </c>
      <c r="BA208" s="52">
        <v>0.0</v>
      </c>
      <c r="BB208" s="52">
        <v>15.0</v>
      </c>
      <c r="BC208" s="52" t="s">
        <v>763</v>
      </c>
      <c r="BD208" s="53"/>
      <c r="BE208" s="53"/>
    </row>
    <row r="209">
      <c r="A209" s="54">
        <v>208.0</v>
      </c>
      <c r="B209" s="54">
        <v>337.0</v>
      </c>
      <c r="C209" s="54" t="s">
        <v>671</v>
      </c>
      <c r="D209" s="54" t="s">
        <v>672</v>
      </c>
      <c r="E209" s="54" t="s">
        <v>673</v>
      </c>
      <c r="F209" s="54">
        <v>0.0</v>
      </c>
      <c r="G209" s="54">
        <v>11.0</v>
      </c>
      <c r="H209" s="54">
        <v>12.5</v>
      </c>
      <c r="I209" s="54" t="s">
        <v>877</v>
      </c>
      <c r="J209" s="54">
        <v>1979.0</v>
      </c>
      <c r="K209" s="54">
        <v>8.0</v>
      </c>
      <c r="L209" s="54">
        <v>4360.0</v>
      </c>
      <c r="M209" s="54">
        <v>1924.0</v>
      </c>
      <c r="N209" s="54">
        <v>1110.0</v>
      </c>
      <c r="O209" s="54">
        <v>2560.0</v>
      </c>
      <c r="P209" s="54">
        <v>1594.0</v>
      </c>
      <c r="Q209" s="54">
        <v>1560.0</v>
      </c>
      <c r="R209" s="54">
        <v>1020.0</v>
      </c>
      <c r="S209" s="54">
        <v>3498.0</v>
      </c>
      <c r="T209" s="54">
        <v>0.0</v>
      </c>
      <c r="U209" s="54">
        <v>346.0</v>
      </c>
      <c r="V209" s="54">
        <v>470.0</v>
      </c>
      <c r="W209" s="54">
        <v>0.0</v>
      </c>
      <c r="X209" s="54">
        <v>0.0</v>
      </c>
      <c r="Y209" s="54">
        <v>9000.0</v>
      </c>
      <c r="Z209" s="54">
        <v>390.0</v>
      </c>
      <c r="AA209" s="54">
        <v>0.0</v>
      </c>
      <c r="AB209" s="54">
        <v>7000.0</v>
      </c>
      <c r="AC209" s="54">
        <v>0.0</v>
      </c>
      <c r="AD209" s="54">
        <v>597.0</v>
      </c>
      <c r="AE209" s="54">
        <v>0.0</v>
      </c>
      <c r="AF209" s="54">
        <v>635.0</v>
      </c>
      <c r="AG209" s="54" t="s">
        <v>816</v>
      </c>
      <c r="AH209" s="54" t="b">
        <v>0</v>
      </c>
      <c r="AI209" s="54" t="b">
        <v>1</v>
      </c>
      <c r="AJ209" s="54">
        <v>0.0</v>
      </c>
      <c r="AK209" s="54" t="s">
        <v>761</v>
      </c>
      <c r="AL209" s="54" t="s">
        <v>762</v>
      </c>
      <c r="AM209" s="54" t="b">
        <v>0</v>
      </c>
      <c r="AN209" s="54" t="b">
        <v>0</v>
      </c>
      <c r="AO209" s="54" t="b">
        <v>0</v>
      </c>
      <c r="AP209" s="54">
        <v>0.0</v>
      </c>
      <c r="AQ209" s="54">
        <v>0.0</v>
      </c>
      <c r="AR209" s="54">
        <v>1.0</v>
      </c>
      <c r="AS209" s="54">
        <v>0.0</v>
      </c>
      <c r="AT209" s="54" t="s">
        <v>737</v>
      </c>
      <c r="AU209" s="54">
        <v>6.0</v>
      </c>
      <c r="AV209" s="54" t="s">
        <v>738</v>
      </c>
      <c r="AW209" s="54" t="s">
        <v>750</v>
      </c>
      <c r="AX209" s="54">
        <v>5.0</v>
      </c>
      <c r="AY209" s="54">
        <v>0.0</v>
      </c>
      <c r="AZ209" s="54">
        <v>16.0</v>
      </c>
      <c r="BA209" s="54">
        <v>0.0</v>
      </c>
      <c r="BB209" s="54">
        <v>16.0</v>
      </c>
      <c r="BC209" s="54" t="s">
        <v>936</v>
      </c>
      <c r="BD209" s="53"/>
      <c r="BE209" s="53"/>
    </row>
    <row r="210">
      <c r="A210" s="52">
        <v>209.0</v>
      </c>
      <c r="B210" s="52">
        <v>338.0</v>
      </c>
      <c r="C210" s="52" t="s">
        <v>674</v>
      </c>
      <c r="D210" s="52" t="s">
        <v>675</v>
      </c>
      <c r="E210" s="52" t="s">
        <v>676</v>
      </c>
      <c r="F210" s="52">
        <v>24.5</v>
      </c>
      <c r="G210" s="52">
        <v>0.0</v>
      </c>
      <c r="H210" s="52">
        <v>0.0</v>
      </c>
      <c r="I210" s="52" t="s">
        <v>877</v>
      </c>
      <c r="J210" s="52">
        <v>1990.0</v>
      </c>
      <c r="K210" s="52">
        <v>5.0</v>
      </c>
      <c r="L210" s="52">
        <v>4345.0</v>
      </c>
      <c r="M210" s="52">
        <v>1680.0</v>
      </c>
      <c r="N210" s="52">
        <v>1370.0</v>
      </c>
      <c r="O210" s="52">
        <v>2565.0</v>
      </c>
      <c r="P210" s="52">
        <v>1416.0</v>
      </c>
      <c r="Q210" s="52">
        <v>1430.0</v>
      </c>
      <c r="R210" s="52">
        <v>1200.0</v>
      </c>
      <c r="S210" s="52">
        <v>2467.0</v>
      </c>
      <c r="T210" s="52">
        <v>238.0</v>
      </c>
      <c r="U210" s="52">
        <v>175.0</v>
      </c>
      <c r="V210" s="52">
        <v>0.0</v>
      </c>
      <c r="W210" s="52">
        <v>0.0</v>
      </c>
      <c r="X210" s="52">
        <v>0.0</v>
      </c>
      <c r="Y210" s="52">
        <v>7000.0</v>
      </c>
      <c r="Z210" s="52">
        <v>240.0</v>
      </c>
      <c r="AA210" s="52">
        <v>0.0</v>
      </c>
      <c r="AB210" s="52">
        <v>4750.0</v>
      </c>
      <c r="AC210" s="52">
        <v>225.0</v>
      </c>
      <c r="AD210" s="52">
        <v>0.0</v>
      </c>
      <c r="AE210" s="52">
        <v>225.0</v>
      </c>
      <c r="AF210" s="52">
        <v>0.0</v>
      </c>
      <c r="AG210" s="52" t="s">
        <v>816</v>
      </c>
      <c r="AH210" s="52" t="b">
        <v>0</v>
      </c>
      <c r="AI210" s="52" t="b">
        <v>0</v>
      </c>
      <c r="AJ210" s="52">
        <v>0.0</v>
      </c>
      <c r="AK210" s="52" t="s">
        <v>789</v>
      </c>
      <c r="AL210" s="52" t="s">
        <v>754</v>
      </c>
      <c r="AM210" s="52" t="b">
        <v>0</v>
      </c>
      <c r="AN210" s="52" t="b">
        <v>0</v>
      </c>
      <c r="AO210" s="52" t="b">
        <v>0</v>
      </c>
      <c r="AP210" s="52">
        <v>180.0</v>
      </c>
      <c r="AQ210" s="52">
        <v>0.0</v>
      </c>
      <c r="AR210" s="52">
        <v>4.0</v>
      </c>
      <c r="AS210" s="52">
        <v>0.0</v>
      </c>
      <c r="AT210" s="52" t="s">
        <v>737</v>
      </c>
      <c r="AU210" s="52">
        <v>4.0</v>
      </c>
      <c r="AV210" s="52" t="s">
        <v>738</v>
      </c>
      <c r="AW210" s="52" t="s">
        <v>739</v>
      </c>
      <c r="AX210" s="52">
        <v>5.0</v>
      </c>
      <c r="AY210" s="52">
        <v>45.0</v>
      </c>
      <c r="AZ210" s="52">
        <v>16.0</v>
      </c>
      <c r="BA210" s="52">
        <v>45.0</v>
      </c>
      <c r="BB210" s="52">
        <v>16.0</v>
      </c>
      <c r="BC210" s="52" t="s">
        <v>937</v>
      </c>
      <c r="BD210" s="53"/>
      <c r="BE210" s="53"/>
    </row>
    <row r="211">
      <c r="A211" s="54">
        <v>210.0</v>
      </c>
      <c r="B211" s="54">
        <v>353.0</v>
      </c>
      <c r="C211" s="54" t="s">
        <v>677</v>
      </c>
      <c r="D211" s="54" t="s">
        <v>678</v>
      </c>
      <c r="E211" s="54" t="s">
        <v>679</v>
      </c>
      <c r="F211" s="54">
        <v>0.0</v>
      </c>
      <c r="G211" s="54">
        <v>0.0</v>
      </c>
      <c r="H211" s="54">
        <v>0.0</v>
      </c>
      <c r="I211" s="54" t="s">
        <v>783</v>
      </c>
      <c r="J211" s="54">
        <v>2005.0</v>
      </c>
      <c r="K211" s="54">
        <v>6.0</v>
      </c>
      <c r="L211" s="54">
        <v>4765.0</v>
      </c>
      <c r="M211" s="54">
        <v>1831.0</v>
      </c>
      <c r="N211" s="54">
        <v>1384.0</v>
      </c>
      <c r="O211" s="54">
        <v>2720.0</v>
      </c>
      <c r="P211" s="54">
        <v>1582.0</v>
      </c>
      <c r="Q211" s="54">
        <v>1588.0</v>
      </c>
      <c r="R211" s="54">
        <v>1554.0</v>
      </c>
      <c r="S211" s="54">
        <v>4601.0</v>
      </c>
      <c r="T211" s="54">
        <v>0.0</v>
      </c>
      <c r="U211" s="54">
        <v>0.0</v>
      </c>
      <c r="V211" s="54">
        <v>0.0</v>
      </c>
      <c r="W211" s="54">
        <v>300.0</v>
      </c>
      <c r="X211" s="54">
        <v>0.0</v>
      </c>
      <c r="Y211" s="54">
        <v>6000.0</v>
      </c>
      <c r="Z211" s="54">
        <v>0.0</v>
      </c>
      <c r="AA211" s="54">
        <v>315.0</v>
      </c>
      <c r="AB211" s="54">
        <v>4500.0</v>
      </c>
      <c r="AC211" s="54">
        <v>255.0</v>
      </c>
      <c r="AD211" s="54">
        <v>0.0</v>
      </c>
      <c r="AE211" s="54">
        <v>255.0</v>
      </c>
      <c r="AF211" s="54">
        <v>0.0</v>
      </c>
      <c r="AG211" s="54" t="s">
        <v>781</v>
      </c>
      <c r="AH211" s="54" t="b">
        <v>0</v>
      </c>
      <c r="AI211" s="54" t="b">
        <v>0</v>
      </c>
      <c r="AJ211" s="54">
        <v>0.0</v>
      </c>
      <c r="AK211" s="54" t="s">
        <v>756</v>
      </c>
      <c r="AL211" s="54" t="s">
        <v>771</v>
      </c>
      <c r="AM211" s="54" t="b">
        <v>1</v>
      </c>
      <c r="AN211" s="54" t="b">
        <v>0</v>
      </c>
      <c r="AO211" s="54" t="b">
        <v>0</v>
      </c>
      <c r="AP211" s="54">
        <v>108.0</v>
      </c>
      <c r="AQ211" s="54">
        <v>0.0</v>
      </c>
      <c r="AR211" s="54">
        <v>4.0</v>
      </c>
      <c r="AS211" s="54">
        <v>0.0</v>
      </c>
      <c r="AT211" s="54" t="s">
        <v>749</v>
      </c>
      <c r="AU211" s="54">
        <v>8.0</v>
      </c>
      <c r="AV211" s="54" t="s">
        <v>738</v>
      </c>
      <c r="AW211" s="54" t="s">
        <v>739</v>
      </c>
      <c r="AX211" s="54">
        <v>5.0</v>
      </c>
      <c r="AY211" s="54">
        <v>45.0</v>
      </c>
      <c r="AZ211" s="54">
        <v>18.0</v>
      </c>
      <c r="BA211" s="54">
        <v>45.0</v>
      </c>
      <c r="BB211" s="54">
        <v>18.0</v>
      </c>
      <c r="BC211" s="54" t="s">
        <v>763</v>
      </c>
      <c r="BD211" s="53"/>
      <c r="BE211" s="53"/>
    </row>
    <row r="212">
      <c r="A212" s="52">
        <v>211.0</v>
      </c>
      <c r="B212" s="52">
        <v>354.0</v>
      </c>
      <c r="C212" s="52" t="s">
        <v>680</v>
      </c>
      <c r="D212" s="52" t="s">
        <v>681</v>
      </c>
      <c r="E212" s="52" t="s">
        <v>682</v>
      </c>
      <c r="F212" s="52">
        <v>0.0</v>
      </c>
      <c r="G212" s="52">
        <v>0.0</v>
      </c>
      <c r="H212" s="52">
        <v>0.0</v>
      </c>
      <c r="I212" s="52" t="s">
        <v>820</v>
      </c>
      <c r="J212" s="52">
        <v>2004.0</v>
      </c>
      <c r="K212" s="52">
        <v>8.0</v>
      </c>
      <c r="L212" s="52">
        <v>4650.0</v>
      </c>
      <c r="M212" s="52">
        <v>2000.0</v>
      </c>
      <c r="N212" s="52">
        <v>1092.0</v>
      </c>
      <c r="O212" s="52">
        <v>2736.0</v>
      </c>
      <c r="P212" s="52">
        <v>0.0</v>
      </c>
      <c r="Q212" s="52">
        <v>0.0</v>
      </c>
      <c r="R212" s="52">
        <v>900.0</v>
      </c>
      <c r="S212" s="52">
        <v>3596.0</v>
      </c>
      <c r="T212" s="52">
        <v>0.0</v>
      </c>
      <c r="U212" s="52">
        <v>0.0</v>
      </c>
      <c r="V212" s="52">
        <v>0.0</v>
      </c>
      <c r="W212" s="52">
        <v>615.0</v>
      </c>
      <c r="X212" s="52">
        <v>0.0</v>
      </c>
      <c r="Y212" s="52">
        <v>6500.0</v>
      </c>
      <c r="Z212" s="52">
        <v>700.0</v>
      </c>
      <c r="AA212" s="52">
        <v>0.0</v>
      </c>
      <c r="AB212" s="52">
        <v>5500.0</v>
      </c>
      <c r="AC212" s="52">
        <v>330.0</v>
      </c>
      <c r="AD212" s="52">
        <v>650.0</v>
      </c>
      <c r="AE212" s="52">
        <v>370.0</v>
      </c>
      <c r="AF212" s="52">
        <v>710.0</v>
      </c>
      <c r="AG212" s="52" t="s">
        <v>816</v>
      </c>
      <c r="AH212" s="52" t="b">
        <v>1</v>
      </c>
      <c r="AI212" s="52" t="b">
        <v>0</v>
      </c>
      <c r="AJ212" s="52">
        <v>0.0</v>
      </c>
      <c r="AK212" s="52" t="s">
        <v>761</v>
      </c>
      <c r="AL212" s="52" t="s">
        <v>762</v>
      </c>
      <c r="AM212" s="52" t="b">
        <v>0</v>
      </c>
      <c r="AN212" s="52" t="b">
        <v>0</v>
      </c>
      <c r="AO212" s="52" t="b">
        <v>0</v>
      </c>
      <c r="AP212" s="52">
        <v>0.0</v>
      </c>
      <c r="AQ212" s="52">
        <v>0.0</v>
      </c>
      <c r="AR212" s="52">
        <v>1.0</v>
      </c>
      <c r="AS212" s="52">
        <v>0.0</v>
      </c>
      <c r="AT212" s="52" t="s">
        <v>749</v>
      </c>
      <c r="AU212" s="52">
        <v>8.0</v>
      </c>
      <c r="AV212" s="52" t="s">
        <v>757</v>
      </c>
      <c r="AW212" s="52" t="s">
        <v>750</v>
      </c>
      <c r="AX212" s="52">
        <v>6.0</v>
      </c>
      <c r="AY212" s="52">
        <v>0.0</v>
      </c>
      <c r="AZ212" s="52">
        <v>18.0</v>
      </c>
      <c r="BA212" s="52">
        <v>0.0</v>
      </c>
      <c r="BB212" s="52">
        <v>18.0</v>
      </c>
      <c r="BC212" s="52" t="s">
        <v>763</v>
      </c>
      <c r="BD212" s="53"/>
      <c r="BE212" s="53"/>
    </row>
  </sheetData>
  <autoFilter ref="$A$1:$BC$212"/>
  <dataValidations>
    <dataValidation type="list" allowBlank="1" showErrorMessage="1" sqref="AV2:AV212">
      <formula1>"NATURALLY_ASPIRATED,SUPERCHARGED,TURBOCHARGED"</formula1>
    </dataValidation>
    <dataValidation type="list" allowBlank="1" showErrorMessage="1" sqref="AG2:AG212">
      <formula1>"AMERICAN,FRANCE,GERMAN,ITALY,JAPANESE,KOREA,SWEDEN,UK"</formula1>
    </dataValidation>
    <dataValidation type="list" allowBlank="1" showErrorMessage="1" sqref="AK2:AK212">
      <formula1>"R,A,B,C,D,E,F"</formula1>
    </dataValidation>
    <dataValidation type="list" allowBlank="1" showErrorMessage="1" sqref="I2:I212">
      <formula1>"AlfaRomeo,ASL,AstonMartin,Audi,AustinHealey,BMW,Cadillac,Caterham,Chevrolet,Chrysler,Citroen,Daihatsu,Dauer,DeTomaso,DMC,Dodge,Ford,Honda,Hyundai,Jaguar,Lancia,LandRover,Lotus,Mazda,MercedesBenz,MG,Mini,Mitsubishi,Morris,Nissan,Opel,Peugeot,Pontiac,Renaul"&amp;"t,Ruf,Saab,Shelby,smart,Subaru,Suzuki,Tommykaira,Toyota,TVR,Volkswagen,Volvo"</formula1>
    </dataValidation>
    <dataValidation type="list" allowBlank="1" showErrorMessage="1" sqref="AW2:AW212">
      <formula1>"AWD,FF,FR,MR,RR"</formula1>
    </dataValidation>
    <dataValidation type="list" allowBlank="1" showErrorMessage="1" sqref="AL2:AL212">
      <formula1>"Compact,Competition,MediumSedanOrWagon,Multipurpose,Premium Segan Or Wagon,Realsports,Specialty,Sporty"</formula1>
    </dataValidation>
    <dataValidation type="list" allowBlank="1" showErrorMessage="1" sqref="AT2:AT212">
      <formula1>"BOXER,HYBRID,INLINE,ROTARY,V"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9.88"/>
    <col customWidth="1" min="2" max="2" width="5.88"/>
    <col customWidth="1" min="3" max="3" width="14.88"/>
    <col customWidth="1" min="4" max="4" width="36.88"/>
    <col customWidth="1" min="5" max="5" width="51.0"/>
    <col customWidth="1" min="6" max="6" width="14.13"/>
    <col customWidth="1" min="7" max="7" width="15.5"/>
    <col customWidth="1" min="8" max="8" width="14.25"/>
    <col customWidth="1" min="9" max="9" width="15.13"/>
    <col customWidth="1" min="10" max="10" width="19.88"/>
    <col customWidth="1" min="11" max="11" width="20.5"/>
    <col customWidth="1" min="12" max="12" width="19.5"/>
    <col customWidth="1" min="13" max="13" width="27.75"/>
    <col customWidth="1" min="14" max="14" width="20.63"/>
    <col customWidth="1" min="15" max="15" width="15.0"/>
    <col customWidth="1" min="16" max="16" width="15.88"/>
    <col customWidth="1" min="17" max="17" width="32.13"/>
    <col customWidth="1" min="18" max="19" width="15.88"/>
    <col customWidth="1" min="20" max="20" width="26.0"/>
    <col customWidth="1" min="21" max="21" width="29.38"/>
    <col customWidth="1" min="22" max="22" width="28.88"/>
    <col customWidth="1" min="23" max="23" width="25.0"/>
    <col customWidth="1" min="24" max="24" width="28.38"/>
    <col customWidth="1" min="25" max="25" width="27.88"/>
    <col customWidth="1" min="26" max="26" width="19.25"/>
    <col customWidth="1" min="27" max="27" width="45.88"/>
    <col customWidth="1" min="28" max="28" width="24.13"/>
    <col customWidth="1" min="29" max="29" width="39.25"/>
    <col customWidth="1" min="30" max="30" width="36.88"/>
    <col customWidth="1" min="31" max="31" width="39.63"/>
    <col customWidth="1" min="32" max="32" width="18.25"/>
    <col customWidth="1" min="33" max="33" width="44.88"/>
    <col customWidth="1" min="34" max="34" width="36.0"/>
    <col customWidth="1" min="35" max="35" width="38.75"/>
    <col customWidth="1" min="36" max="36" width="19.13"/>
    <col customWidth="1" min="37" max="37" width="19.88"/>
    <col customWidth="1" min="38" max="38" width="17.75"/>
    <col customWidth="1" min="39" max="39" width="17.38"/>
    <col customWidth="1" min="40" max="40" width="13.5"/>
    <col customWidth="1" min="41" max="41" width="23.25"/>
    <col customWidth="1" min="42" max="42" width="22.38"/>
    <col customWidth="1" min="43" max="43" width="20.75"/>
    <col customWidth="1" min="44" max="52" width="29.88" outlineLevel="1"/>
    <col customWidth="1" min="53" max="67" width="31.25" outlineLevel="1"/>
    <col customWidth="1" min="68" max="68" width="19.13"/>
    <col customWidth="1" min="69" max="69" width="16.25"/>
    <col customWidth="1" min="70" max="77" width="10.75" outlineLevel="1"/>
    <col customWidth="1" min="78" max="78" width="24.88"/>
    <col customWidth="1" min="79" max="79" width="15.75"/>
    <col customWidth="1" min="80" max="82" width="21.75"/>
    <col customWidth="1" min="83" max="83" width="23.75"/>
    <col customWidth="1" min="84" max="84" width="18.75"/>
    <col customWidth="1" min="85" max="87" width="21.75"/>
  </cols>
  <sheetData>
    <row r="1">
      <c r="A1" s="42" t="s">
        <v>6</v>
      </c>
      <c r="B1" s="42" t="s">
        <v>47</v>
      </c>
      <c r="C1" s="42" t="s">
        <v>48</v>
      </c>
      <c r="D1" s="42" t="s">
        <v>49</v>
      </c>
      <c r="E1" s="42" t="s">
        <v>50</v>
      </c>
      <c r="F1" s="42" t="s">
        <v>938</v>
      </c>
      <c r="G1" s="42" t="s">
        <v>939</v>
      </c>
      <c r="H1" s="42" t="s">
        <v>940</v>
      </c>
      <c r="I1" s="42" t="s">
        <v>941</v>
      </c>
      <c r="J1" s="42" t="s">
        <v>942</v>
      </c>
      <c r="K1" s="42" t="s">
        <v>943</v>
      </c>
      <c r="L1" s="42" t="s">
        <v>944</v>
      </c>
      <c r="M1" s="42" t="s">
        <v>945</v>
      </c>
      <c r="N1" s="42" t="s">
        <v>946</v>
      </c>
      <c r="O1" s="42" t="s">
        <v>726</v>
      </c>
      <c r="P1" s="42" t="s">
        <v>720</v>
      </c>
      <c r="Q1" s="42" t="s">
        <v>947</v>
      </c>
      <c r="R1" s="42" t="s">
        <v>722</v>
      </c>
      <c r="S1" s="42" t="s">
        <v>948</v>
      </c>
      <c r="T1" s="42" t="s">
        <v>949</v>
      </c>
      <c r="U1" s="42" t="s">
        <v>950</v>
      </c>
      <c r="V1" s="42" t="s">
        <v>951</v>
      </c>
      <c r="W1" s="42" t="s">
        <v>952</v>
      </c>
      <c r="X1" s="42" t="s">
        <v>953</v>
      </c>
      <c r="Y1" s="42" t="s">
        <v>954</v>
      </c>
      <c r="Z1" s="42" t="s">
        <v>955</v>
      </c>
      <c r="AA1" s="42" t="s">
        <v>956</v>
      </c>
      <c r="AB1" s="42" t="s">
        <v>957</v>
      </c>
      <c r="AC1" s="42" t="s">
        <v>958</v>
      </c>
      <c r="AD1" s="42" t="s">
        <v>959</v>
      </c>
      <c r="AE1" s="42" t="s">
        <v>960</v>
      </c>
      <c r="AF1" s="42" t="s">
        <v>961</v>
      </c>
      <c r="AG1" s="42" t="s">
        <v>962</v>
      </c>
      <c r="AH1" s="42" t="s">
        <v>963</v>
      </c>
      <c r="AI1" s="42" t="s">
        <v>964</v>
      </c>
      <c r="AJ1" s="42" t="s">
        <v>965</v>
      </c>
      <c r="AK1" s="42" t="s">
        <v>966</v>
      </c>
      <c r="AL1" s="42" t="s">
        <v>967</v>
      </c>
      <c r="AM1" s="42" t="s">
        <v>968</v>
      </c>
      <c r="AN1" s="42" t="s">
        <v>969</v>
      </c>
      <c r="AO1" s="42" t="s">
        <v>705</v>
      </c>
      <c r="AP1" s="42" t="s">
        <v>702</v>
      </c>
      <c r="AQ1" s="42" t="s">
        <v>970</v>
      </c>
      <c r="AR1" s="42" t="s">
        <v>971</v>
      </c>
      <c r="AS1" s="42" t="s">
        <v>972</v>
      </c>
      <c r="AT1" s="42" t="s">
        <v>973</v>
      </c>
      <c r="AU1" s="42" t="s">
        <v>974</v>
      </c>
      <c r="AV1" s="42" t="s">
        <v>975</v>
      </c>
      <c r="AW1" s="42" t="s">
        <v>976</v>
      </c>
      <c r="AX1" s="42" t="s">
        <v>977</v>
      </c>
      <c r="AY1" s="42" t="s">
        <v>978</v>
      </c>
      <c r="AZ1" s="42" t="s">
        <v>979</v>
      </c>
      <c r="BA1" s="42" t="s">
        <v>980</v>
      </c>
      <c r="BB1" s="42" t="s">
        <v>981</v>
      </c>
      <c r="BC1" s="42" t="s">
        <v>982</v>
      </c>
      <c r="BD1" s="55" t="s">
        <v>983</v>
      </c>
      <c r="BE1" s="55" t="s">
        <v>984</v>
      </c>
      <c r="BF1" s="42" t="s">
        <v>985</v>
      </c>
      <c r="BG1" s="42" t="s">
        <v>986</v>
      </c>
      <c r="BH1" s="42" t="s">
        <v>987</v>
      </c>
      <c r="BI1" s="42" t="s">
        <v>988</v>
      </c>
      <c r="BJ1" s="42" t="s">
        <v>989</v>
      </c>
      <c r="BK1" s="42" t="s">
        <v>990</v>
      </c>
      <c r="BL1" s="42" t="s">
        <v>991</v>
      </c>
      <c r="BM1" s="42" t="s">
        <v>992</v>
      </c>
      <c r="BN1" s="42" t="s">
        <v>993</v>
      </c>
      <c r="BO1" s="42" t="s">
        <v>994</v>
      </c>
      <c r="BP1" s="42" t="s">
        <v>995</v>
      </c>
      <c r="BQ1" s="42" t="s">
        <v>727</v>
      </c>
      <c r="BR1" s="42" t="s">
        <v>996</v>
      </c>
      <c r="BS1" s="42" t="s">
        <v>997</v>
      </c>
      <c r="BT1" s="42" t="s">
        <v>998</v>
      </c>
      <c r="BU1" s="42" t="s">
        <v>999</v>
      </c>
      <c r="BV1" s="42" t="s">
        <v>1000</v>
      </c>
      <c r="BW1" s="42" t="s">
        <v>1001</v>
      </c>
      <c r="BX1" s="42" t="s">
        <v>1002</v>
      </c>
      <c r="BY1" s="42" t="s">
        <v>1003</v>
      </c>
      <c r="BZ1" s="42" t="s">
        <v>1004</v>
      </c>
      <c r="CA1" s="42" t="s">
        <v>1005</v>
      </c>
      <c r="CB1" s="42" t="s">
        <v>1006</v>
      </c>
      <c r="CC1" s="42" t="s">
        <v>1007</v>
      </c>
      <c r="CD1" s="42" t="s">
        <v>1008</v>
      </c>
      <c r="CE1" s="42" t="s">
        <v>1009</v>
      </c>
      <c r="CF1" s="42" t="s">
        <v>1010</v>
      </c>
      <c r="CG1" s="42" t="s">
        <v>1011</v>
      </c>
      <c r="CH1" s="42" t="s">
        <v>1012</v>
      </c>
      <c r="CI1" s="42" t="s">
        <v>1013</v>
      </c>
      <c r="CJ1" s="56"/>
      <c r="CK1" s="56"/>
    </row>
    <row r="2">
      <c r="A2" s="44">
        <v>1.0</v>
      </c>
      <c r="B2" s="44">
        <v>1.0</v>
      </c>
      <c r="C2" s="44" t="s">
        <v>51</v>
      </c>
      <c r="D2" s="44" t="s">
        <v>52</v>
      </c>
      <c r="E2" s="44" t="s">
        <v>53</v>
      </c>
      <c r="F2" s="44">
        <v>990.0</v>
      </c>
      <c r="G2" s="44">
        <v>3.955</v>
      </c>
      <c r="H2" s="44">
        <v>1.675</v>
      </c>
      <c r="I2" s="44">
        <v>1.235</v>
      </c>
      <c r="J2" s="44">
        <v>2.265</v>
      </c>
      <c r="K2" s="44">
        <v>1.405</v>
      </c>
      <c r="L2" s="44">
        <v>1.42</v>
      </c>
      <c r="M2" s="44">
        <v>0.14</v>
      </c>
      <c r="N2" s="44">
        <v>0.475</v>
      </c>
      <c r="O2" s="44">
        <v>0.0</v>
      </c>
      <c r="P2" s="44">
        <v>0.49</v>
      </c>
      <c r="Q2" s="44">
        <v>1.0</v>
      </c>
      <c r="R2" s="44">
        <v>0.0</v>
      </c>
      <c r="S2" s="44">
        <v>1.024</v>
      </c>
      <c r="T2" s="44">
        <v>0.195</v>
      </c>
      <c r="U2" s="44">
        <v>0.5</v>
      </c>
      <c r="V2" s="44">
        <v>15.0</v>
      </c>
      <c r="W2" s="44">
        <v>0.195</v>
      </c>
      <c r="X2" s="44">
        <v>0.5</v>
      </c>
      <c r="Y2" s="44">
        <v>15.0</v>
      </c>
      <c r="Z2" s="44">
        <v>0.0</v>
      </c>
      <c r="AA2" s="44">
        <v>0.25</v>
      </c>
      <c r="AB2" s="44">
        <v>4.3</v>
      </c>
      <c r="AC2" s="44">
        <v>11.2</v>
      </c>
      <c r="AD2" s="44">
        <v>1.5</v>
      </c>
      <c r="AE2" s="44">
        <v>1.5</v>
      </c>
      <c r="AF2" s="44">
        <v>-3.0</v>
      </c>
      <c r="AG2" s="44">
        <v>-0.45</v>
      </c>
      <c r="AH2" s="44">
        <v>1.4</v>
      </c>
      <c r="AI2" s="44">
        <v>0.5</v>
      </c>
      <c r="AJ2" s="44">
        <v>1839.0</v>
      </c>
      <c r="AK2" s="44">
        <v>0.0</v>
      </c>
      <c r="AL2" s="44">
        <v>7200.0</v>
      </c>
      <c r="AM2" s="44">
        <v>7300.0</v>
      </c>
      <c r="AN2" s="44">
        <v>900.0</v>
      </c>
      <c r="AO2" s="44">
        <v>4500.0</v>
      </c>
      <c r="AP2" s="44">
        <v>6500.0</v>
      </c>
      <c r="AQ2" s="44">
        <v>0.0</v>
      </c>
      <c r="AR2" s="57" t="s">
        <v>1014</v>
      </c>
      <c r="AS2" s="57" t="s">
        <v>1015</v>
      </c>
      <c r="AT2" s="57" t="s">
        <v>1016</v>
      </c>
      <c r="AU2" s="57" t="s">
        <v>1017</v>
      </c>
      <c r="AV2" s="57" t="s">
        <v>1018</v>
      </c>
      <c r="AW2" s="57" t="s">
        <v>1019</v>
      </c>
      <c r="AX2" s="57" t="s">
        <v>1020</v>
      </c>
      <c r="AY2" s="57" t="s">
        <v>1021</v>
      </c>
      <c r="AZ2" s="57" t="s">
        <v>1022</v>
      </c>
      <c r="BA2" s="57" t="s">
        <v>1023</v>
      </c>
      <c r="BB2" s="57" t="s">
        <v>1024</v>
      </c>
      <c r="BC2" s="57" t="s">
        <v>1025</v>
      </c>
      <c r="BD2" s="57" t="s">
        <v>1026</v>
      </c>
      <c r="BE2" s="57" t="s">
        <v>1027</v>
      </c>
      <c r="BF2" s="57" t="s">
        <v>1028</v>
      </c>
      <c r="BG2" s="57" t="s">
        <v>1029</v>
      </c>
      <c r="BH2" s="57" t="s">
        <v>1030</v>
      </c>
      <c r="BI2" s="57" t="s">
        <v>1031</v>
      </c>
      <c r="BJ2" s="57" t="s">
        <v>1032</v>
      </c>
      <c r="BK2" s="57" t="s">
        <v>1033</v>
      </c>
      <c r="BL2" s="57" t="s">
        <v>1034</v>
      </c>
      <c r="BM2" s="57" t="s">
        <v>1035</v>
      </c>
      <c r="BN2" s="57" t="s">
        <v>1036</v>
      </c>
      <c r="BO2" s="57" t="s">
        <v>1037</v>
      </c>
      <c r="BP2" s="44">
        <v>0.0</v>
      </c>
      <c r="BQ2" s="44">
        <v>5.0</v>
      </c>
      <c r="BR2" s="44">
        <v>3.136</v>
      </c>
      <c r="BS2" s="44">
        <v>1.888</v>
      </c>
      <c r="BT2" s="44">
        <v>1.33</v>
      </c>
      <c r="BU2" s="44">
        <v>1.0</v>
      </c>
      <c r="BV2" s="44">
        <v>0.814</v>
      </c>
      <c r="BW2" s="44">
        <v>0.0</v>
      </c>
      <c r="BX2" s="44">
        <v>0.0</v>
      </c>
      <c r="BY2" s="44">
        <v>0.0</v>
      </c>
      <c r="BZ2" s="44">
        <v>3.758</v>
      </c>
      <c r="CA2" s="44">
        <v>4.3</v>
      </c>
      <c r="CB2" s="44">
        <v>2.0</v>
      </c>
      <c r="CC2" s="44">
        <v>0.0</v>
      </c>
      <c r="CD2" s="44">
        <v>0.0</v>
      </c>
      <c r="CE2" s="44">
        <v>8000.0</v>
      </c>
      <c r="CF2" s="44">
        <v>7200.0</v>
      </c>
      <c r="CG2" s="44">
        <v>1.0</v>
      </c>
      <c r="CH2" s="44">
        <v>0.0</v>
      </c>
      <c r="CI2" s="44">
        <v>0.0</v>
      </c>
      <c r="CJ2" s="2"/>
      <c r="CK2" s="2"/>
    </row>
    <row r="3">
      <c r="A3" s="46">
        <v>2.0</v>
      </c>
      <c r="B3" s="46">
        <v>2.0</v>
      </c>
      <c r="C3" s="46" t="s">
        <v>54</v>
      </c>
      <c r="D3" s="46" t="s">
        <v>55</v>
      </c>
      <c r="E3" s="46" t="s">
        <v>56</v>
      </c>
      <c r="F3" s="46">
        <v>950.0</v>
      </c>
      <c r="G3" s="46">
        <v>3.695</v>
      </c>
      <c r="H3" s="46">
        <v>1.66</v>
      </c>
      <c r="I3" s="46">
        <v>1.525</v>
      </c>
      <c r="J3" s="46">
        <v>2.43</v>
      </c>
      <c r="K3" s="46">
        <v>1.47</v>
      </c>
      <c r="L3" s="46">
        <v>1.455</v>
      </c>
      <c r="M3" s="46">
        <v>0.135</v>
      </c>
      <c r="N3" s="46">
        <v>0.358</v>
      </c>
      <c r="O3" s="46">
        <v>1.0</v>
      </c>
      <c r="P3" s="46">
        <v>0.5</v>
      </c>
      <c r="Q3" s="46">
        <v>0.9</v>
      </c>
      <c r="R3" s="46">
        <v>0.0</v>
      </c>
      <c r="S3" s="46">
        <v>1.177</v>
      </c>
      <c r="T3" s="46">
        <v>0.165</v>
      </c>
      <c r="U3" s="46">
        <v>0.7</v>
      </c>
      <c r="V3" s="46">
        <v>14.0</v>
      </c>
      <c r="W3" s="46">
        <v>0.165</v>
      </c>
      <c r="X3" s="46">
        <v>0.7</v>
      </c>
      <c r="Y3" s="46">
        <v>14.0</v>
      </c>
      <c r="Z3" s="46">
        <v>-1.0</v>
      </c>
      <c r="AA3" s="46">
        <v>-0.1</v>
      </c>
      <c r="AB3" s="46">
        <v>4.35</v>
      </c>
      <c r="AC3" s="46">
        <v>9.55</v>
      </c>
      <c r="AD3" s="46">
        <v>1.3</v>
      </c>
      <c r="AE3" s="46">
        <v>0.5</v>
      </c>
      <c r="AF3" s="46">
        <v>-4.0</v>
      </c>
      <c r="AG3" s="46">
        <v>-0.5</v>
      </c>
      <c r="AH3" s="46">
        <v>1.3</v>
      </c>
      <c r="AI3" s="46">
        <v>0.5</v>
      </c>
      <c r="AJ3" s="46">
        <v>1386.0</v>
      </c>
      <c r="AK3" s="46">
        <v>0.0</v>
      </c>
      <c r="AL3" s="46">
        <v>6400.0</v>
      </c>
      <c r="AM3" s="46">
        <v>6800.0</v>
      </c>
      <c r="AN3" s="46">
        <v>600.0</v>
      </c>
      <c r="AO3" s="46">
        <v>3200.0</v>
      </c>
      <c r="AP3" s="46">
        <v>5600.0</v>
      </c>
      <c r="AQ3" s="46">
        <v>0.0</v>
      </c>
      <c r="AR3" s="58" t="s">
        <v>1038</v>
      </c>
      <c r="AS3" s="58" t="s">
        <v>1039</v>
      </c>
      <c r="AT3" s="58" t="s">
        <v>1040</v>
      </c>
      <c r="AU3" s="58" t="s">
        <v>1041</v>
      </c>
      <c r="AV3" s="58" t="s">
        <v>1042</v>
      </c>
      <c r="AW3" s="58" t="s">
        <v>1043</v>
      </c>
      <c r="AX3" s="58" t="s">
        <v>1044</v>
      </c>
      <c r="AY3" s="58" t="s">
        <v>1045</v>
      </c>
      <c r="AZ3" s="58" t="s">
        <v>1046</v>
      </c>
      <c r="BA3" s="58" t="s">
        <v>1047</v>
      </c>
      <c r="BB3" s="58" t="s">
        <v>1048</v>
      </c>
      <c r="BC3" s="58" t="s">
        <v>1049</v>
      </c>
      <c r="BD3" s="58" t="s">
        <v>1050</v>
      </c>
      <c r="BE3" s="58" t="s">
        <v>1051</v>
      </c>
      <c r="BF3" s="58" t="s">
        <v>1052</v>
      </c>
      <c r="BG3" s="58" t="s">
        <v>1029</v>
      </c>
      <c r="BH3" s="58" t="s">
        <v>1030</v>
      </c>
      <c r="BI3" s="58" t="s">
        <v>1031</v>
      </c>
      <c r="BJ3" s="58" t="s">
        <v>1032</v>
      </c>
      <c r="BK3" s="58" t="s">
        <v>1033</v>
      </c>
      <c r="BL3" s="58" t="s">
        <v>1034</v>
      </c>
      <c r="BM3" s="58" t="s">
        <v>1035</v>
      </c>
      <c r="BN3" s="58" t="s">
        <v>1036</v>
      </c>
      <c r="BO3" s="58" t="s">
        <v>1037</v>
      </c>
      <c r="BP3" s="46">
        <v>1.0</v>
      </c>
      <c r="BQ3" s="46">
        <v>4.0</v>
      </c>
      <c r="BR3" s="46">
        <v>2.861</v>
      </c>
      <c r="BS3" s="46">
        <v>1.562</v>
      </c>
      <c r="BT3" s="46">
        <v>1.0</v>
      </c>
      <c r="BU3" s="46">
        <v>0.697</v>
      </c>
      <c r="BV3" s="46">
        <v>0.0</v>
      </c>
      <c r="BW3" s="46">
        <v>0.0</v>
      </c>
      <c r="BX3" s="46">
        <v>0.0</v>
      </c>
      <c r="BY3" s="46">
        <v>0.0</v>
      </c>
      <c r="BZ3" s="46">
        <v>2.31</v>
      </c>
      <c r="CA3" s="46">
        <v>4.072</v>
      </c>
      <c r="CB3" s="46">
        <v>0.0</v>
      </c>
      <c r="CC3" s="46">
        <v>0.0</v>
      </c>
      <c r="CD3" s="46">
        <v>0.0</v>
      </c>
      <c r="CE3" s="46">
        <v>7000.0</v>
      </c>
      <c r="CF3" s="46">
        <v>6400.0</v>
      </c>
      <c r="CG3" s="46">
        <v>0.0</v>
      </c>
      <c r="CH3" s="46">
        <v>0.0</v>
      </c>
      <c r="CI3" s="46">
        <v>0.0</v>
      </c>
      <c r="CJ3" s="2"/>
      <c r="CK3" s="2"/>
    </row>
    <row r="4">
      <c r="A4" s="44">
        <v>3.0</v>
      </c>
      <c r="B4" s="44">
        <v>3.0</v>
      </c>
      <c r="C4" s="44" t="s">
        <v>57</v>
      </c>
      <c r="D4" s="44" t="s">
        <v>58</v>
      </c>
      <c r="E4" s="44" t="s">
        <v>59</v>
      </c>
      <c r="F4" s="44">
        <v>1080.0</v>
      </c>
      <c r="G4" s="44">
        <v>3.955</v>
      </c>
      <c r="H4" s="44">
        <v>1.68</v>
      </c>
      <c r="I4" s="44">
        <v>1.235</v>
      </c>
      <c r="J4" s="44">
        <v>2.265</v>
      </c>
      <c r="K4" s="44">
        <v>1.415</v>
      </c>
      <c r="L4" s="44">
        <v>1.44</v>
      </c>
      <c r="M4" s="44">
        <v>0.13</v>
      </c>
      <c r="N4" s="44">
        <v>0.463</v>
      </c>
      <c r="O4" s="44">
        <v>0.0</v>
      </c>
      <c r="P4" s="44">
        <v>0.49</v>
      </c>
      <c r="Q4" s="44">
        <v>1.05</v>
      </c>
      <c r="R4" s="44">
        <v>0.0</v>
      </c>
      <c r="S4" s="44">
        <v>1.032</v>
      </c>
      <c r="T4" s="44">
        <v>0.205</v>
      </c>
      <c r="U4" s="44">
        <v>0.45</v>
      </c>
      <c r="V4" s="44">
        <v>16.0</v>
      </c>
      <c r="W4" s="44">
        <v>0.205</v>
      </c>
      <c r="X4" s="44">
        <v>0.45</v>
      </c>
      <c r="Y4" s="44">
        <v>16.0</v>
      </c>
      <c r="Z4" s="44">
        <v>0.0</v>
      </c>
      <c r="AA4" s="44">
        <v>0.0</v>
      </c>
      <c r="AB4" s="44">
        <v>5.4</v>
      </c>
      <c r="AC4" s="44">
        <v>11.4</v>
      </c>
      <c r="AD4" s="44">
        <v>1.5</v>
      </c>
      <c r="AE4" s="44">
        <v>2.0</v>
      </c>
      <c r="AF4" s="44">
        <v>-3.0</v>
      </c>
      <c r="AG4" s="44">
        <v>-0.4</v>
      </c>
      <c r="AH4" s="44">
        <v>1.4</v>
      </c>
      <c r="AI4" s="44">
        <v>0.5</v>
      </c>
      <c r="AJ4" s="44">
        <v>1839.0</v>
      </c>
      <c r="AK4" s="44">
        <v>0.0</v>
      </c>
      <c r="AL4" s="44">
        <v>7500.0</v>
      </c>
      <c r="AM4" s="44">
        <v>7600.0</v>
      </c>
      <c r="AN4" s="44">
        <v>700.0</v>
      </c>
      <c r="AO4" s="44">
        <v>5500.0</v>
      </c>
      <c r="AP4" s="44">
        <v>7000.0</v>
      </c>
      <c r="AQ4" s="44">
        <v>0.0</v>
      </c>
      <c r="AR4" s="57" t="s">
        <v>1053</v>
      </c>
      <c r="AS4" s="57" t="s">
        <v>1054</v>
      </c>
      <c r="AT4" s="57" t="s">
        <v>1055</v>
      </c>
      <c r="AU4" s="57" t="s">
        <v>1056</v>
      </c>
      <c r="AV4" s="57" t="s">
        <v>1057</v>
      </c>
      <c r="AW4" s="57" t="s">
        <v>1058</v>
      </c>
      <c r="AX4" s="57" t="s">
        <v>1059</v>
      </c>
      <c r="AY4" s="57" t="s">
        <v>1060</v>
      </c>
      <c r="AZ4" s="57" t="s">
        <v>1061</v>
      </c>
      <c r="BA4" s="57" t="s">
        <v>1062</v>
      </c>
      <c r="BB4" s="57" t="s">
        <v>1063</v>
      </c>
      <c r="BC4" s="57" t="s">
        <v>1064</v>
      </c>
      <c r="BD4" s="57" t="s">
        <v>1065</v>
      </c>
      <c r="BE4" s="57" t="s">
        <v>1066</v>
      </c>
      <c r="BF4" s="57" t="s">
        <v>1067</v>
      </c>
      <c r="BG4" s="57" t="s">
        <v>1068</v>
      </c>
      <c r="BH4" s="57" t="s">
        <v>1030</v>
      </c>
      <c r="BI4" s="57" t="s">
        <v>1031</v>
      </c>
      <c r="BJ4" s="57" t="s">
        <v>1032</v>
      </c>
      <c r="BK4" s="57" t="s">
        <v>1033</v>
      </c>
      <c r="BL4" s="57" t="s">
        <v>1034</v>
      </c>
      <c r="BM4" s="57" t="s">
        <v>1035</v>
      </c>
      <c r="BN4" s="57" t="s">
        <v>1036</v>
      </c>
      <c r="BO4" s="57" t="s">
        <v>1037</v>
      </c>
      <c r="BP4" s="44">
        <v>0.0</v>
      </c>
      <c r="BQ4" s="44">
        <v>6.0</v>
      </c>
      <c r="BR4" s="44">
        <v>3.76</v>
      </c>
      <c r="BS4" s="44">
        <v>2.269</v>
      </c>
      <c r="BT4" s="44">
        <v>1.645</v>
      </c>
      <c r="BU4" s="44">
        <v>1.257</v>
      </c>
      <c r="BV4" s="44">
        <v>1.0</v>
      </c>
      <c r="BW4" s="44">
        <v>0.843</v>
      </c>
      <c r="BX4" s="44">
        <v>0.0</v>
      </c>
      <c r="BY4" s="44">
        <v>0.0</v>
      </c>
      <c r="BZ4" s="44">
        <v>3.564</v>
      </c>
      <c r="CA4" s="44">
        <v>3.909</v>
      </c>
      <c r="CB4" s="44">
        <v>2.0</v>
      </c>
      <c r="CC4" s="44">
        <v>0.0</v>
      </c>
      <c r="CD4" s="44">
        <v>0.0</v>
      </c>
      <c r="CE4" s="44">
        <v>8000.0</v>
      </c>
      <c r="CF4" s="44">
        <v>7500.0</v>
      </c>
      <c r="CG4" s="44">
        <v>0.0</v>
      </c>
      <c r="CH4" s="44">
        <v>0.0</v>
      </c>
      <c r="CI4" s="44">
        <v>0.0</v>
      </c>
      <c r="CJ4" s="2"/>
      <c r="CK4" s="2"/>
    </row>
    <row r="5">
      <c r="A5" s="46">
        <v>4.0</v>
      </c>
      <c r="B5" s="46">
        <v>5.0</v>
      </c>
      <c r="C5" s="46" t="s">
        <v>60</v>
      </c>
      <c r="D5" s="46" t="s">
        <v>61</v>
      </c>
      <c r="E5" s="46" t="s">
        <v>62</v>
      </c>
      <c r="F5" s="46">
        <v>1270.0</v>
      </c>
      <c r="G5" s="46">
        <v>4.43</v>
      </c>
      <c r="H5" s="46">
        <v>1.81</v>
      </c>
      <c r="I5" s="46">
        <v>1.16</v>
      </c>
      <c r="J5" s="46">
        <v>2.53</v>
      </c>
      <c r="K5" s="46">
        <v>1.51</v>
      </c>
      <c r="L5" s="46">
        <v>1.54</v>
      </c>
      <c r="M5" s="46">
        <v>0.125</v>
      </c>
      <c r="N5" s="46">
        <v>0.606</v>
      </c>
      <c r="O5" s="46">
        <v>2.0</v>
      </c>
      <c r="P5" s="46">
        <v>0.43</v>
      </c>
      <c r="Q5" s="46">
        <v>1.2</v>
      </c>
      <c r="R5" s="46">
        <v>200.0</v>
      </c>
      <c r="S5" s="46">
        <v>0.944</v>
      </c>
      <c r="T5" s="46">
        <v>0.215</v>
      </c>
      <c r="U5" s="46">
        <v>0.4</v>
      </c>
      <c r="V5" s="46">
        <v>17.0</v>
      </c>
      <c r="W5" s="46">
        <v>0.255</v>
      </c>
      <c r="X5" s="46">
        <v>0.4</v>
      </c>
      <c r="Y5" s="46">
        <v>17.0</v>
      </c>
      <c r="Z5" s="46">
        <v>2.0</v>
      </c>
      <c r="AA5" s="46">
        <v>-0.45</v>
      </c>
      <c r="AB5" s="46">
        <v>8.15</v>
      </c>
      <c r="AC5" s="46">
        <v>8.3</v>
      </c>
      <c r="AD5" s="46">
        <v>1.8</v>
      </c>
      <c r="AE5" s="46">
        <v>2.0</v>
      </c>
      <c r="AF5" s="46">
        <v>-6.0</v>
      </c>
      <c r="AG5" s="46">
        <v>-2.0</v>
      </c>
      <c r="AH5" s="46">
        <v>1.8</v>
      </c>
      <c r="AI5" s="46">
        <v>1.0</v>
      </c>
      <c r="AJ5" s="46">
        <v>3179.0</v>
      </c>
      <c r="AK5" s="46">
        <v>0.0</v>
      </c>
      <c r="AL5" s="46">
        <v>8000.0</v>
      </c>
      <c r="AM5" s="46">
        <v>8500.0</v>
      </c>
      <c r="AN5" s="46">
        <v>750.0</v>
      </c>
      <c r="AO5" s="46">
        <v>5300.0</v>
      </c>
      <c r="AP5" s="46">
        <v>7300.0</v>
      </c>
      <c r="AQ5" s="46">
        <v>0.0</v>
      </c>
      <c r="AR5" s="58" t="s">
        <v>1069</v>
      </c>
      <c r="AS5" s="58" t="s">
        <v>1070</v>
      </c>
      <c r="AT5" s="58" t="s">
        <v>1071</v>
      </c>
      <c r="AU5" s="58" t="s">
        <v>1072</v>
      </c>
      <c r="AV5" s="58" t="s">
        <v>1073</v>
      </c>
      <c r="AW5" s="58" t="s">
        <v>1074</v>
      </c>
      <c r="AX5" s="58" t="s">
        <v>1075</v>
      </c>
      <c r="AY5" s="58" t="s">
        <v>1076</v>
      </c>
      <c r="AZ5" s="58" t="s">
        <v>1077</v>
      </c>
      <c r="BA5" s="58" t="s">
        <v>1078</v>
      </c>
      <c r="BB5" s="58" t="s">
        <v>1079</v>
      </c>
      <c r="BC5" s="58" t="s">
        <v>1080</v>
      </c>
      <c r="BD5" s="58" t="s">
        <v>1081</v>
      </c>
      <c r="BE5" s="58" t="s">
        <v>1082</v>
      </c>
      <c r="BF5" s="58" t="s">
        <v>1083</v>
      </c>
      <c r="BG5" s="58" t="s">
        <v>1084</v>
      </c>
      <c r="BH5" s="58" t="s">
        <v>1085</v>
      </c>
      <c r="BI5" s="58" t="s">
        <v>1086</v>
      </c>
      <c r="BJ5" s="58" t="s">
        <v>1032</v>
      </c>
      <c r="BK5" s="58" t="s">
        <v>1033</v>
      </c>
      <c r="BL5" s="58" t="s">
        <v>1034</v>
      </c>
      <c r="BM5" s="58" t="s">
        <v>1035</v>
      </c>
      <c r="BN5" s="58" t="s">
        <v>1036</v>
      </c>
      <c r="BO5" s="58" t="s">
        <v>1037</v>
      </c>
      <c r="BP5" s="46">
        <v>0.0</v>
      </c>
      <c r="BQ5" s="46">
        <v>6.0</v>
      </c>
      <c r="BR5" s="46">
        <v>3.066</v>
      </c>
      <c r="BS5" s="46">
        <v>1.956</v>
      </c>
      <c r="BT5" s="46">
        <v>1.428</v>
      </c>
      <c r="BU5" s="46">
        <v>1.125</v>
      </c>
      <c r="BV5" s="46">
        <v>0.914</v>
      </c>
      <c r="BW5" s="46">
        <v>0.717</v>
      </c>
      <c r="BX5" s="46">
        <v>0.0</v>
      </c>
      <c r="BY5" s="46">
        <v>0.0</v>
      </c>
      <c r="BZ5" s="46">
        <v>3.186</v>
      </c>
      <c r="CA5" s="46">
        <v>4.235</v>
      </c>
      <c r="CB5" s="46">
        <v>3.0</v>
      </c>
      <c r="CC5" s="46">
        <v>0.0</v>
      </c>
      <c r="CD5" s="46">
        <v>0.0</v>
      </c>
      <c r="CE5" s="46">
        <v>9000.0</v>
      </c>
      <c r="CF5" s="46">
        <v>8000.0</v>
      </c>
      <c r="CG5" s="46">
        <v>0.0</v>
      </c>
      <c r="CH5" s="46">
        <v>1.0</v>
      </c>
      <c r="CI5" s="46">
        <v>0.0</v>
      </c>
      <c r="CJ5" s="2"/>
      <c r="CK5" s="2"/>
    </row>
    <row r="6">
      <c r="A6" s="44">
        <v>5.0</v>
      </c>
      <c r="B6" s="44">
        <v>6.0</v>
      </c>
      <c r="C6" s="44" t="s">
        <v>63</v>
      </c>
      <c r="D6" s="44" t="s">
        <v>64</v>
      </c>
      <c r="E6" s="44" t="s">
        <v>65</v>
      </c>
      <c r="F6" s="44">
        <v>1040.0</v>
      </c>
      <c r="G6" s="44">
        <v>3.845</v>
      </c>
      <c r="H6" s="44">
        <v>1.69</v>
      </c>
      <c r="I6" s="44">
        <v>1.64</v>
      </c>
      <c r="J6" s="44">
        <v>2.5</v>
      </c>
      <c r="K6" s="44">
        <v>1.45</v>
      </c>
      <c r="L6" s="44">
        <v>1.435</v>
      </c>
      <c r="M6" s="44">
        <v>0.165</v>
      </c>
      <c r="N6" s="44">
        <v>0.394</v>
      </c>
      <c r="O6" s="44">
        <v>1.0</v>
      </c>
      <c r="P6" s="44">
        <v>0.5</v>
      </c>
      <c r="Q6" s="44">
        <v>0.95</v>
      </c>
      <c r="R6" s="44">
        <v>0.0</v>
      </c>
      <c r="S6" s="44">
        <v>1.281</v>
      </c>
      <c r="T6" s="44">
        <v>0.185</v>
      </c>
      <c r="U6" s="44">
        <v>0.65</v>
      </c>
      <c r="V6" s="44">
        <v>15.0</v>
      </c>
      <c r="W6" s="44">
        <v>0.185</v>
      </c>
      <c r="X6" s="44">
        <v>0.65</v>
      </c>
      <c r="Y6" s="44">
        <v>15.0</v>
      </c>
      <c r="Z6" s="44">
        <v>0.0</v>
      </c>
      <c r="AA6" s="44">
        <v>-0.35</v>
      </c>
      <c r="AB6" s="44">
        <v>2.0</v>
      </c>
      <c r="AC6" s="44">
        <v>10.0</v>
      </c>
      <c r="AD6" s="44">
        <v>1.3</v>
      </c>
      <c r="AE6" s="44">
        <v>0.5</v>
      </c>
      <c r="AF6" s="44">
        <v>-3.0</v>
      </c>
      <c r="AG6" s="44">
        <v>-1.0</v>
      </c>
      <c r="AH6" s="44">
        <v>1.3</v>
      </c>
      <c r="AI6" s="44">
        <v>0.5</v>
      </c>
      <c r="AJ6" s="44">
        <v>1496.0</v>
      </c>
      <c r="AK6" s="44">
        <v>0.0</v>
      </c>
      <c r="AL6" s="44">
        <v>6500.0</v>
      </c>
      <c r="AM6" s="44">
        <v>6600.0</v>
      </c>
      <c r="AN6" s="44">
        <v>700.0</v>
      </c>
      <c r="AO6" s="44">
        <v>4200.0</v>
      </c>
      <c r="AP6" s="44">
        <v>6000.0</v>
      </c>
      <c r="AQ6" s="44">
        <v>0.0</v>
      </c>
      <c r="AR6" s="57" t="s">
        <v>1087</v>
      </c>
      <c r="AS6" s="57" t="s">
        <v>1088</v>
      </c>
      <c r="AT6" s="57" t="s">
        <v>1089</v>
      </c>
      <c r="AU6" s="57" t="s">
        <v>1090</v>
      </c>
      <c r="AV6" s="57" t="s">
        <v>1091</v>
      </c>
      <c r="AW6" s="57" t="s">
        <v>1092</v>
      </c>
      <c r="AX6" s="57" t="s">
        <v>1093</v>
      </c>
      <c r="AY6" s="57" t="s">
        <v>1094</v>
      </c>
      <c r="AZ6" s="57" t="s">
        <v>1095</v>
      </c>
      <c r="BA6" s="57" t="s">
        <v>1096</v>
      </c>
      <c r="BB6" s="57" t="s">
        <v>1097</v>
      </c>
      <c r="BC6" s="57" t="s">
        <v>1098</v>
      </c>
      <c r="BD6" s="57" t="s">
        <v>1099</v>
      </c>
      <c r="BE6" s="57" t="s">
        <v>1100</v>
      </c>
      <c r="BF6" s="57" t="s">
        <v>1052</v>
      </c>
      <c r="BG6" s="57" t="s">
        <v>1029</v>
      </c>
      <c r="BH6" s="57" t="s">
        <v>1030</v>
      </c>
      <c r="BI6" s="57" t="s">
        <v>1031</v>
      </c>
      <c r="BJ6" s="57" t="s">
        <v>1032</v>
      </c>
      <c r="BK6" s="57" t="s">
        <v>1033</v>
      </c>
      <c r="BL6" s="57" t="s">
        <v>1034</v>
      </c>
      <c r="BM6" s="57" t="s">
        <v>1035</v>
      </c>
      <c r="BN6" s="57" t="s">
        <v>1036</v>
      </c>
      <c r="BO6" s="57" t="s">
        <v>1037</v>
      </c>
      <c r="BP6" s="44">
        <v>1.0</v>
      </c>
      <c r="BQ6" s="44">
        <v>4.0</v>
      </c>
      <c r="BR6" s="44">
        <v>2.847</v>
      </c>
      <c r="BS6" s="44">
        <v>1.552</v>
      </c>
      <c r="BT6" s="44">
        <v>1.0</v>
      </c>
      <c r="BU6" s="44">
        <v>0.7</v>
      </c>
      <c r="BV6" s="44">
        <v>0.0</v>
      </c>
      <c r="BW6" s="44">
        <v>0.0</v>
      </c>
      <c r="BX6" s="44">
        <v>0.0</v>
      </c>
      <c r="BY6" s="44">
        <v>0.0</v>
      </c>
      <c r="BZ6" s="44">
        <v>2.343</v>
      </c>
      <c r="CA6" s="44">
        <v>4.237</v>
      </c>
      <c r="CB6" s="44">
        <v>0.0</v>
      </c>
      <c r="CC6" s="44">
        <v>0.0</v>
      </c>
      <c r="CD6" s="44">
        <v>0.0</v>
      </c>
      <c r="CE6" s="44">
        <v>7000.0</v>
      </c>
      <c r="CF6" s="44">
        <v>6500.0</v>
      </c>
      <c r="CG6" s="44">
        <v>0.0</v>
      </c>
      <c r="CH6" s="44">
        <v>0.0</v>
      </c>
      <c r="CI6" s="44">
        <v>0.0</v>
      </c>
      <c r="CJ6" s="2"/>
      <c r="CK6" s="2"/>
    </row>
    <row r="7">
      <c r="A7" s="46">
        <v>6.0</v>
      </c>
      <c r="B7" s="46">
        <v>7.0</v>
      </c>
      <c r="C7" s="46" t="s">
        <v>66</v>
      </c>
      <c r="D7" s="46" t="s">
        <v>67</v>
      </c>
      <c r="E7" s="46" t="s">
        <v>68</v>
      </c>
      <c r="F7" s="46">
        <v>1120.0</v>
      </c>
      <c r="G7" s="46">
        <v>4.175</v>
      </c>
      <c r="H7" s="46">
        <v>1.6</v>
      </c>
      <c r="I7" s="46">
        <v>1.16</v>
      </c>
      <c r="J7" s="46">
        <v>2.33</v>
      </c>
      <c r="K7" s="46">
        <v>1.3</v>
      </c>
      <c r="L7" s="46">
        <v>1.3</v>
      </c>
      <c r="M7" s="46">
        <v>0.1</v>
      </c>
      <c r="N7" s="46">
        <v>0.5</v>
      </c>
      <c r="O7" s="46">
        <v>0.0</v>
      </c>
      <c r="P7" s="46">
        <v>0.45</v>
      </c>
      <c r="Q7" s="46">
        <v>0.9</v>
      </c>
      <c r="R7" s="46">
        <v>0.0</v>
      </c>
      <c r="S7" s="46">
        <v>0.932</v>
      </c>
      <c r="T7" s="46">
        <v>0.165</v>
      </c>
      <c r="U7" s="46">
        <v>0.82</v>
      </c>
      <c r="V7" s="46">
        <v>15.0</v>
      </c>
      <c r="W7" s="46">
        <v>0.165</v>
      </c>
      <c r="X7" s="46">
        <v>0.82</v>
      </c>
      <c r="Y7" s="46">
        <v>15.0</v>
      </c>
      <c r="Z7" s="46">
        <v>0.0</v>
      </c>
      <c r="AA7" s="46">
        <v>0.0</v>
      </c>
      <c r="AB7" s="46">
        <v>1.3</v>
      </c>
      <c r="AC7" s="46">
        <v>7.3</v>
      </c>
      <c r="AD7" s="46">
        <v>1.8</v>
      </c>
      <c r="AE7" s="46">
        <v>1.0</v>
      </c>
      <c r="AF7" s="46">
        <v>-4.0</v>
      </c>
      <c r="AG7" s="46">
        <v>-0.3</v>
      </c>
      <c r="AH7" s="46">
        <v>1.8</v>
      </c>
      <c r="AI7" s="46">
        <v>1.0</v>
      </c>
      <c r="AJ7" s="46">
        <v>1988.0</v>
      </c>
      <c r="AK7" s="46">
        <v>0.0</v>
      </c>
      <c r="AL7" s="46">
        <v>7000.0</v>
      </c>
      <c r="AM7" s="46">
        <v>7400.0</v>
      </c>
      <c r="AN7" s="46">
        <v>700.0</v>
      </c>
      <c r="AO7" s="46">
        <v>5000.0</v>
      </c>
      <c r="AP7" s="46">
        <v>6600.0</v>
      </c>
      <c r="AQ7" s="46">
        <v>0.0</v>
      </c>
      <c r="AR7" s="58" t="s">
        <v>1101</v>
      </c>
      <c r="AS7" s="58" t="s">
        <v>1102</v>
      </c>
      <c r="AT7" s="58" t="s">
        <v>1103</v>
      </c>
      <c r="AU7" s="58" t="s">
        <v>1104</v>
      </c>
      <c r="AV7" s="58" t="s">
        <v>1105</v>
      </c>
      <c r="AW7" s="58" t="s">
        <v>1106</v>
      </c>
      <c r="AX7" s="58" t="s">
        <v>1107</v>
      </c>
      <c r="AY7" s="58" t="s">
        <v>1108</v>
      </c>
      <c r="AZ7" s="58" t="s">
        <v>1109</v>
      </c>
      <c r="BA7" s="58" t="s">
        <v>1110</v>
      </c>
      <c r="BB7" s="58" t="s">
        <v>1111</v>
      </c>
      <c r="BC7" s="58" t="s">
        <v>1064</v>
      </c>
      <c r="BD7" s="58" t="s">
        <v>1112</v>
      </c>
      <c r="BE7" s="58" t="s">
        <v>1113</v>
      </c>
      <c r="BF7" s="58" t="s">
        <v>1114</v>
      </c>
      <c r="BG7" s="58" t="s">
        <v>1115</v>
      </c>
      <c r="BH7" s="58" t="s">
        <v>1030</v>
      </c>
      <c r="BI7" s="58" t="s">
        <v>1031</v>
      </c>
      <c r="BJ7" s="58" t="s">
        <v>1032</v>
      </c>
      <c r="BK7" s="58" t="s">
        <v>1033</v>
      </c>
      <c r="BL7" s="58" t="s">
        <v>1034</v>
      </c>
      <c r="BM7" s="58" t="s">
        <v>1035</v>
      </c>
      <c r="BN7" s="58" t="s">
        <v>1036</v>
      </c>
      <c r="BO7" s="58" t="s">
        <v>1037</v>
      </c>
      <c r="BP7" s="46">
        <v>0.0</v>
      </c>
      <c r="BQ7" s="46">
        <v>5.0</v>
      </c>
      <c r="BR7" s="46">
        <v>3.143</v>
      </c>
      <c r="BS7" s="46">
        <v>1.636</v>
      </c>
      <c r="BT7" s="46">
        <v>1.179</v>
      </c>
      <c r="BU7" s="46">
        <v>1.0</v>
      </c>
      <c r="BV7" s="46">
        <v>0.844</v>
      </c>
      <c r="BW7" s="46">
        <v>0.0</v>
      </c>
      <c r="BX7" s="46">
        <v>0.0</v>
      </c>
      <c r="BY7" s="46">
        <v>0.0</v>
      </c>
      <c r="BZ7" s="46">
        <v>3.238</v>
      </c>
      <c r="CA7" s="46">
        <v>4.375</v>
      </c>
      <c r="CB7" s="46">
        <v>3.0</v>
      </c>
      <c r="CC7" s="46">
        <v>0.0</v>
      </c>
      <c r="CD7" s="46">
        <v>0.0</v>
      </c>
      <c r="CE7" s="46">
        <v>9000.0</v>
      </c>
      <c r="CF7" s="46">
        <v>7000.0</v>
      </c>
      <c r="CG7" s="46">
        <v>1.0</v>
      </c>
      <c r="CH7" s="46">
        <v>0.0</v>
      </c>
      <c r="CI7" s="46">
        <v>0.0</v>
      </c>
      <c r="CJ7" s="2"/>
      <c r="CK7" s="2"/>
    </row>
    <row r="8">
      <c r="A8" s="44">
        <v>7.0</v>
      </c>
      <c r="B8" s="44">
        <v>8.0</v>
      </c>
      <c r="C8" s="44" t="s">
        <v>69</v>
      </c>
      <c r="D8" s="44" t="s">
        <v>70</v>
      </c>
      <c r="E8" s="44" t="s">
        <v>71</v>
      </c>
      <c r="F8" s="44">
        <v>1510.0</v>
      </c>
      <c r="G8" s="44">
        <v>4.52</v>
      </c>
      <c r="H8" s="44">
        <v>1.81</v>
      </c>
      <c r="I8" s="44">
        <v>1.275</v>
      </c>
      <c r="J8" s="44">
        <v>2.55</v>
      </c>
      <c r="K8" s="44">
        <v>1.52</v>
      </c>
      <c r="L8" s="44">
        <v>1.525</v>
      </c>
      <c r="M8" s="44">
        <v>0.13</v>
      </c>
      <c r="N8" s="44">
        <v>0.45</v>
      </c>
      <c r="O8" s="44">
        <v>0.0</v>
      </c>
      <c r="P8" s="44">
        <v>0.5</v>
      </c>
      <c r="Q8" s="44">
        <v>1.15</v>
      </c>
      <c r="R8" s="44">
        <v>200.0</v>
      </c>
      <c r="S8" s="44">
        <v>1.077</v>
      </c>
      <c r="T8" s="44">
        <v>0.235</v>
      </c>
      <c r="U8" s="44">
        <v>0.45</v>
      </c>
      <c r="V8" s="44">
        <v>17.0</v>
      </c>
      <c r="W8" s="44">
        <v>0.255</v>
      </c>
      <c r="X8" s="44">
        <v>0.4</v>
      </c>
      <c r="Y8" s="44">
        <v>17.0</v>
      </c>
      <c r="Z8" s="44">
        <v>0.0</v>
      </c>
      <c r="AA8" s="44">
        <v>-0.2</v>
      </c>
      <c r="AB8" s="44">
        <v>3.35</v>
      </c>
      <c r="AC8" s="44">
        <v>9.35</v>
      </c>
      <c r="AD8" s="44">
        <v>1.7</v>
      </c>
      <c r="AE8" s="44">
        <v>3.0</v>
      </c>
      <c r="AF8" s="44">
        <v>-3.0</v>
      </c>
      <c r="AG8" s="44">
        <v>-1.35</v>
      </c>
      <c r="AH8" s="44">
        <v>1.7</v>
      </c>
      <c r="AI8" s="44">
        <v>1.0</v>
      </c>
      <c r="AJ8" s="44">
        <v>2997.0</v>
      </c>
      <c r="AK8" s="44">
        <v>1.0</v>
      </c>
      <c r="AL8" s="44">
        <v>6800.0</v>
      </c>
      <c r="AM8" s="44">
        <v>7000.0</v>
      </c>
      <c r="AN8" s="44">
        <v>700.0</v>
      </c>
      <c r="AO8" s="44">
        <v>3600.0</v>
      </c>
      <c r="AP8" s="44">
        <v>5600.0</v>
      </c>
      <c r="AQ8" s="44">
        <v>0.0</v>
      </c>
      <c r="AR8" s="57" t="s">
        <v>1116</v>
      </c>
      <c r="AS8" s="57" t="s">
        <v>1117</v>
      </c>
      <c r="AT8" s="57" t="s">
        <v>1118</v>
      </c>
      <c r="AU8" s="57" t="s">
        <v>1119</v>
      </c>
      <c r="AV8" s="57" t="s">
        <v>1120</v>
      </c>
      <c r="AW8" s="57" t="s">
        <v>1121</v>
      </c>
      <c r="AX8" s="57" t="s">
        <v>1122</v>
      </c>
      <c r="AY8" s="57" t="s">
        <v>1123</v>
      </c>
      <c r="AZ8" s="57" t="s">
        <v>1124</v>
      </c>
      <c r="BA8" s="57" t="s">
        <v>1125</v>
      </c>
      <c r="BB8" s="57" t="s">
        <v>1126</v>
      </c>
      <c r="BC8" s="57" t="s">
        <v>1127</v>
      </c>
      <c r="BD8" s="57" t="s">
        <v>1128</v>
      </c>
      <c r="BE8" s="57" t="s">
        <v>1129</v>
      </c>
      <c r="BF8" s="57" t="s">
        <v>1052</v>
      </c>
      <c r="BG8" s="57" t="s">
        <v>1029</v>
      </c>
      <c r="BH8" s="57" t="s">
        <v>1030</v>
      </c>
      <c r="BI8" s="57" t="s">
        <v>1031</v>
      </c>
      <c r="BJ8" s="57" t="s">
        <v>1032</v>
      </c>
      <c r="BK8" s="57" t="s">
        <v>1033</v>
      </c>
      <c r="BL8" s="57" t="s">
        <v>1034</v>
      </c>
      <c r="BM8" s="57" t="s">
        <v>1035</v>
      </c>
      <c r="BN8" s="57" t="s">
        <v>1036</v>
      </c>
      <c r="BO8" s="57" t="s">
        <v>1037</v>
      </c>
      <c r="BP8" s="44">
        <v>0.0</v>
      </c>
      <c r="BQ8" s="44">
        <v>6.0</v>
      </c>
      <c r="BR8" s="44">
        <v>3.724</v>
      </c>
      <c r="BS8" s="44">
        <v>2.246</v>
      </c>
      <c r="BT8" s="44">
        <v>1.541</v>
      </c>
      <c r="BU8" s="44">
        <v>1.205</v>
      </c>
      <c r="BV8" s="44">
        <v>1.0</v>
      </c>
      <c r="BW8" s="44">
        <v>0.818</v>
      </c>
      <c r="BX8" s="44">
        <v>0.0</v>
      </c>
      <c r="BY8" s="44">
        <v>0.0</v>
      </c>
      <c r="BZ8" s="44">
        <v>3.192</v>
      </c>
      <c r="CA8" s="44">
        <v>3.266</v>
      </c>
      <c r="CB8" s="44">
        <v>2.0</v>
      </c>
      <c r="CC8" s="44">
        <v>0.0</v>
      </c>
      <c r="CD8" s="44">
        <v>0.0</v>
      </c>
      <c r="CE8" s="44">
        <v>8000.0</v>
      </c>
      <c r="CF8" s="44">
        <v>6800.0</v>
      </c>
      <c r="CG8" s="44">
        <v>0.0</v>
      </c>
      <c r="CH8" s="44">
        <v>0.0</v>
      </c>
      <c r="CI8" s="44">
        <v>0.0</v>
      </c>
      <c r="CJ8" s="2"/>
      <c r="CK8" s="2"/>
    </row>
    <row r="9">
      <c r="A9" s="46">
        <v>8.0</v>
      </c>
      <c r="B9" s="46">
        <v>10.0</v>
      </c>
      <c r="C9" s="46" t="s">
        <v>72</v>
      </c>
      <c r="D9" s="46" t="s">
        <v>73</v>
      </c>
      <c r="E9" s="46" t="s">
        <v>74</v>
      </c>
      <c r="F9" s="46">
        <v>580.0</v>
      </c>
      <c r="G9" s="46">
        <v>3.58</v>
      </c>
      <c r="H9" s="46">
        <v>1.465</v>
      </c>
      <c r="I9" s="46">
        <v>1.175</v>
      </c>
      <c r="J9" s="46">
        <v>2.0</v>
      </c>
      <c r="K9" s="46">
        <v>1.203</v>
      </c>
      <c r="L9" s="46">
        <v>1.16</v>
      </c>
      <c r="M9" s="46">
        <v>0.12</v>
      </c>
      <c r="N9" s="46">
        <v>0.448</v>
      </c>
      <c r="O9" s="46">
        <v>0.0</v>
      </c>
      <c r="P9" s="46">
        <v>0.435</v>
      </c>
      <c r="Q9" s="46">
        <v>0.85</v>
      </c>
      <c r="R9" s="46">
        <v>0.0</v>
      </c>
      <c r="S9" s="46">
        <v>0.949</v>
      </c>
      <c r="T9" s="46">
        <v>0.155</v>
      </c>
      <c r="U9" s="46">
        <v>0.82</v>
      </c>
      <c r="V9" s="46">
        <v>12.0</v>
      </c>
      <c r="W9" s="46">
        <v>0.155</v>
      </c>
      <c r="X9" s="46">
        <v>0.82</v>
      </c>
      <c r="Y9" s="46">
        <v>12.0</v>
      </c>
      <c r="Z9" s="46">
        <v>-0.5</v>
      </c>
      <c r="AA9" s="46">
        <v>1.5</v>
      </c>
      <c r="AB9" s="46">
        <v>4.0</v>
      </c>
      <c r="AC9" s="46">
        <v>8.5</v>
      </c>
      <c r="AD9" s="46">
        <v>1.4</v>
      </c>
      <c r="AE9" s="46">
        <v>0.5</v>
      </c>
      <c r="AF9" s="46">
        <v>-3.0</v>
      </c>
      <c r="AG9" s="46">
        <v>-0.3</v>
      </c>
      <c r="AH9" s="46">
        <v>1.4</v>
      </c>
      <c r="AI9" s="46">
        <v>0.5</v>
      </c>
      <c r="AJ9" s="46">
        <v>790.0</v>
      </c>
      <c r="AK9" s="46">
        <v>0.0</v>
      </c>
      <c r="AL9" s="46">
        <v>5500.0</v>
      </c>
      <c r="AM9" s="46">
        <v>6000.0</v>
      </c>
      <c r="AN9" s="46">
        <v>800.0</v>
      </c>
      <c r="AO9" s="46">
        <v>3800.0</v>
      </c>
      <c r="AP9" s="46">
        <v>5400.0</v>
      </c>
      <c r="AQ9" s="46">
        <v>0.0</v>
      </c>
      <c r="AR9" s="58" t="s">
        <v>1130</v>
      </c>
      <c r="AS9" s="58" t="s">
        <v>1131</v>
      </c>
      <c r="AT9" s="58" t="s">
        <v>1132</v>
      </c>
      <c r="AU9" s="58" t="s">
        <v>1133</v>
      </c>
      <c r="AV9" s="58" t="s">
        <v>1134</v>
      </c>
      <c r="AW9" s="58" t="s">
        <v>1135</v>
      </c>
      <c r="AX9" s="58" t="s">
        <v>1136</v>
      </c>
      <c r="AY9" s="58" t="s">
        <v>1137</v>
      </c>
      <c r="AZ9" s="58" t="s">
        <v>1138</v>
      </c>
      <c r="BA9" s="58" t="s">
        <v>1139</v>
      </c>
      <c r="BB9" s="58" t="s">
        <v>1140</v>
      </c>
      <c r="BC9" s="58" t="s">
        <v>1141</v>
      </c>
      <c r="BD9" s="58" t="s">
        <v>1142</v>
      </c>
      <c r="BE9" s="58" t="s">
        <v>1143</v>
      </c>
      <c r="BF9" s="58" t="s">
        <v>1052</v>
      </c>
      <c r="BG9" s="58" t="s">
        <v>1029</v>
      </c>
      <c r="BH9" s="58" t="s">
        <v>1030</v>
      </c>
      <c r="BI9" s="58" t="s">
        <v>1031</v>
      </c>
      <c r="BJ9" s="58" t="s">
        <v>1032</v>
      </c>
      <c r="BK9" s="58" t="s">
        <v>1033</v>
      </c>
      <c r="BL9" s="58" t="s">
        <v>1034</v>
      </c>
      <c r="BM9" s="58" t="s">
        <v>1035</v>
      </c>
      <c r="BN9" s="58" t="s">
        <v>1036</v>
      </c>
      <c r="BO9" s="58" t="s">
        <v>1037</v>
      </c>
      <c r="BP9" s="46">
        <v>0.0</v>
      </c>
      <c r="BQ9" s="46">
        <v>4.0</v>
      </c>
      <c r="BR9" s="46">
        <v>4.444</v>
      </c>
      <c r="BS9" s="46">
        <v>2.4</v>
      </c>
      <c r="BT9" s="46">
        <v>1.55</v>
      </c>
      <c r="BU9" s="46">
        <v>1.125</v>
      </c>
      <c r="BV9" s="46">
        <v>0.0</v>
      </c>
      <c r="BW9" s="46">
        <v>0.0</v>
      </c>
      <c r="BX9" s="46">
        <v>0.0</v>
      </c>
      <c r="BY9" s="46">
        <v>0.0</v>
      </c>
      <c r="BZ9" s="46">
        <v>5.812</v>
      </c>
      <c r="CA9" s="46">
        <v>3.3</v>
      </c>
      <c r="CB9" s="46">
        <v>0.0</v>
      </c>
      <c r="CC9" s="46">
        <v>0.0</v>
      </c>
      <c r="CD9" s="46">
        <v>0.0</v>
      </c>
      <c r="CE9" s="46">
        <v>8000.0</v>
      </c>
      <c r="CF9" s="46">
        <v>5500.0</v>
      </c>
      <c r="CG9" s="46">
        <v>0.0</v>
      </c>
      <c r="CH9" s="46">
        <v>0.0</v>
      </c>
      <c r="CI9" s="46">
        <v>0.0</v>
      </c>
      <c r="CJ9" s="2"/>
      <c r="CK9" s="2"/>
    </row>
    <row r="10">
      <c r="A10" s="44">
        <v>9.0</v>
      </c>
      <c r="B10" s="44">
        <v>11.0</v>
      </c>
      <c r="C10" s="44" t="s">
        <v>75</v>
      </c>
      <c r="D10" s="44" t="s">
        <v>76</v>
      </c>
      <c r="E10" s="44" t="s">
        <v>77</v>
      </c>
      <c r="F10" s="44">
        <v>900.0</v>
      </c>
      <c r="G10" s="44">
        <v>4.84</v>
      </c>
      <c r="H10" s="44">
        <v>2.0</v>
      </c>
      <c r="I10" s="44">
        <v>1.125</v>
      </c>
      <c r="J10" s="44">
        <v>2.8</v>
      </c>
      <c r="K10" s="44">
        <v>1.6</v>
      </c>
      <c r="L10" s="44">
        <v>1.644</v>
      </c>
      <c r="M10" s="44">
        <v>0.04</v>
      </c>
      <c r="N10" s="44">
        <v>0.6</v>
      </c>
      <c r="O10" s="44">
        <v>2.0</v>
      </c>
      <c r="P10" s="44">
        <v>0.4</v>
      </c>
      <c r="Q10" s="44">
        <v>1.6</v>
      </c>
      <c r="R10" s="44">
        <v>500.0</v>
      </c>
      <c r="S10" s="44">
        <v>0.795</v>
      </c>
      <c r="T10" s="44">
        <v>0.29</v>
      </c>
      <c r="U10" s="44">
        <v>0.332</v>
      </c>
      <c r="V10" s="44">
        <v>18.0</v>
      </c>
      <c r="W10" s="44">
        <v>0.31</v>
      </c>
      <c r="X10" s="44">
        <v>0.407</v>
      </c>
      <c r="Y10" s="44">
        <v>18.0</v>
      </c>
      <c r="Z10" s="44">
        <v>2.0</v>
      </c>
      <c r="AA10" s="44">
        <v>-0.3</v>
      </c>
      <c r="AB10" s="44">
        <v>3.0</v>
      </c>
      <c r="AC10" s="44">
        <v>6.0</v>
      </c>
      <c r="AD10" s="44">
        <v>2.8</v>
      </c>
      <c r="AE10" s="44">
        <v>8.0</v>
      </c>
      <c r="AF10" s="44">
        <v>-2.0</v>
      </c>
      <c r="AG10" s="44">
        <v>0.0</v>
      </c>
      <c r="AH10" s="44">
        <v>2.8</v>
      </c>
      <c r="AI10" s="44">
        <v>3.0</v>
      </c>
      <c r="AJ10" s="44">
        <v>3580.0</v>
      </c>
      <c r="AK10" s="44">
        <v>1.0</v>
      </c>
      <c r="AL10" s="44">
        <v>8000.0</v>
      </c>
      <c r="AM10" s="44">
        <v>8000.0</v>
      </c>
      <c r="AN10" s="44">
        <v>900.0</v>
      </c>
      <c r="AO10" s="44">
        <v>6000.0</v>
      </c>
      <c r="AP10" s="44">
        <v>7500.0</v>
      </c>
      <c r="AQ10" s="44">
        <v>1.0</v>
      </c>
      <c r="AR10" s="57" t="s">
        <v>1144</v>
      </c>
      <c r="AS10" s="57" t="s">
        <v>1145</v>
      </c>
      <c r="AT10" s="57" t="s">
        <v>1146</v>
      </c>
      <c r="AU10" s="57" t="s">
        <v>1147</v>
      </c>
      <c r="AV10" s="57" t="s">
        <v>1148</v>
      </c>
      <c r="AW10" s="57" t="s">
        <v>1149</v>
      </c>
      <c r="AX10" s="57" t="s">
        <v>1150</v>
      </c>
      <c r="AY10" s="57" t="s">
        <v>1151</v>
      </c>
      <c r="AZ10" s="57" t="s">
        <v>1152</v>
      </c>
      <c r="BA10" s="57" t="s">
        <v>1153</v>
      </c>
      <c r="BB10" s="57" t="s">
        <v>1154</v>
      </c>
      <c r="BC10" s="57" t="s">
        <v>1155</v>
      </c>
      <c r="BD10" s="57" t="s">
        <v>1156</v>
      </c>
      <c r="BE10" s="57" t="s">
        <v>1157</v>
      </c>
      <c r="BF10" s="57" t="s">
        <v>1158</v>
      </c>
      <c r="BG10" s="57" t="s">
        <v>1159</v>
      </c>
      <c r="BH10" s="57" t="s">
        <v>1030</v>
      </c>
      <c r="BI10" s="57" t="s">
        <v>1031</v>
      </c>
      <c r="BJ10" s="57" t="s">
        <v>1032</v>
      </c>
      <c r="BK10" s="57" t="s">
        <v>1033</v>
      </c>
      <c r="BL10" s="57" t="s">
        <v>1034</v>
      </c>
      <c r="BM10" s="57" t="s">
        <v>1035</v>
      </c>
      <c r="BN10" s="57" t="s">
        <v>1036</v>
      </c>
      <c r="BO10" s="57" t="s">
        <v>1037</v>
      </c>
      <c r="BP10" s="44">
        <v>0.0</v>
      </c>
      <c r="BQ10" s="44">
        <v>6.0</v>
      </c>
      <c r="BR10" s="44">
        <v>3.432</v>
      </c>
      <c r="BS10" s="44">
        <v>2.288</v>
      </c>
      <c r="BT10" s="44">
        <v>1.743</v>
      </c>
      <c r="BU10" s="44">
        <v>1.357</v>
      </c>
      <c r="BV10" s="44">
        <v>1.072</v>
      </c>
      <c r="BW10" s="44">
        <v>0.856</v>
      </c>
      <c r="BX10" s="44">
        <v>0.0</v>
      </c>
      <c r="BY10" s="44">
        <v>0.0</v>
      </c>
      <c r="BZ10" s="44">
        <v>3.6</v>
      </c>
      <c r="CA10" s="44">
        <v>3.285</v>
      </c>
      <c r="CB10" s="44">
        <v>3.0</v>
      </c>
      <c r="CC10" s="44">
        <v>0.0</v>
      </c>
      <c r="CD10" s="44">
        <v>0.0</v>
      </c>
      <c r="CE10" s="44">
        <v>0.0</v>
      </c>
      <c r="CF10" s="44">
        <v>8000.0</v>
      </c>
      <c r="CG10" s="44">
        <v>0.0</v>
      </c>
      <c r="CH10" s="44">
        <v>1.0</v>
      </c>
      <c r="CI10" s="44">
        <v>0.0</v>
      </c>
      <c r="CJ10" s="2"/>
      <c r="CK10" s="2"/>
    </row>
    <row r="11">
      <c r="A11" s="46">
        <v>10.0</v>
      </c>
      <c r="B11" s="46">
        <v>13.0</v>
      </c>
      <c r="C11" s="46" t="s">
        <v>78</v>
      </c>
      <c r="D11" s="46" t="s">
        <v>79</v>
      </c>
      <c r="E11" s="46" t="s">
        <v>80</v>
      </c>
      <c r="F11" s="46">
        <v>1010.0</v>
      </c>
      <c r="G11" s="46">
        <v>4.305</v>
      </c>
      <c r="H11" s="46">
        <v>1.69</v>
      </c>
      <c r="I11" s="46">
        <v>1.285</v>
      </c>
      <c r="J11" s="46">
        <v>2.305</v>
      </c>
      <c r="K11" s="46">
        <v>1.355</v>
      </c>
      <c r="L11" s="46">
        <v>1.345</v>
      </c>
      <c r="M11" s="46">
        <v>0.16</v>
      </c>
      <c r="N11" s="46">
        <v>0.475</v>
      </c>
      <c r="O11" s="46">
        <v>0.0</v>
      </c>
      <c r="P11" s="46">
        <v>0.48</v>
      </c>
      <c r="Q11" s="46">
        <v>0.9</v>
      </c>
      <c r="R11" s="46">
        <v>0.0</v>
      </c>
      <c r="S11" s="46">
        <v>1.062</v>
      </c>
      <c r="T11" s="46">
        <v>0.175</v>
      </c>
      <c r="U11" s="46">
        <v>0.82</v>
      </c>
      <c r="V11" s="46">
        <v>14.0</v>
      </c>
      <c r="W11" s="46">
        <v>0.175</v>
      </c>
      <c r="X11" s="46">
        <v>0.82</v>
      </c>
      <c r="Y11" s="46">
        <v>14.0</v>
      </c>
      <c r="Z11" s="46">
        <v>0.0</v>
      </c>
      <c r="AA11" s="46">
        <v>0.5</v>
      </c>
      <c r="AB11" s="46">
        <v>2.55</v>
      </c>
      <c r="AC11" s="46">
        <v>12.1</v>
      </c>
      <c r="AD11" s="46">
        <v>1.5</v>
      </c>
      <c r="AE11" s="46">
        <v>1.0</v>
      </c>
      <c r="AF11" s="46">
        <v>0.0</v>
      </c>
      <c r="AG11" s="46">
        <v>0.48</v>
      </c>
      <c r="AH11" s="46">
        <v>1.5</v>
      </c>
      <c r="AI11" s="46">
        <v>0.0</v>
      </c>
      <c r="AJ11" s="46">
        <v>2393.0</v>
      </c>
      <c r="AK11" s="46">
        <v>0.0</v>
      </c>
      <c r="AL11" s="46">
        <v>7000.0</v>
      </c>
      <c r="AM11" s="46">
        <v>7200.0</v>
      </c>
      <c r="AN11" s="46">
        <v>700.0</v>
      </c>
      <c r="AO11" s="46">
        <v>4800.0</v>
      </c>
      <c r="AP11" s="46">
        <v>5600.0</v>
      </c>
      <c r="AQ11" s="46">
        <v>0.0</v>
      </c>
      <c r="AR11" s="58" t="s">
        <v>1160</v>
      </c>
      <c r="AS11" s="58" t="s">
        <v>1161</v>
      </c>
      <c r="AT11" s="58" t="s">
        <v>1162</v>
      </c>
      <c r="AU11" s="58" t="s">
        <v>1163</v>
      </c>
      <c r="AV11" s="58" t="s">
        <v>1164</v>
      </c>
      <c r="AW11" s="58" t="s">
        <v>1165</v>
      </c>
      <c r="AX11" s="58" t="s">
        <v>1166</v>
      </c>
      <c r="AY11" s="58" t="s">
        <v>1167</v>
      </c>
      <c r="AZ11" s="58" t="s">
        <v>1168</v>
      </c>
      <c r="BA11" s="58" t="s">
        <v>1169</v>
      </c>
      <c r="BB11" s="58" t="s">
        <v>1170</v>
      </c>
      <c r="BC11" s="58" t="s">
        <v>1171</v>
      </c>
      <c r="BD11" s="58" t="s">
        <v>1172</v>
      </c>
      <c r="BE11" s="58" t="s">
        <v>1173</v>
      </c>
      <c r="BF11" s="58" t="s">
        <v>1174</v>
      </c>
      <c r="BG11" s="58" t="s">
        <v>1029</v>
      </c>
      <c r="BH11" s="58" t="s">
        <v>1030</v>
      </c>
      <c r="BI11" s="58" t="s">
        <v>1031</v>
      </c>
      <c r="BJ11" s="58" t="s">
        <v>1032</v>
      </c>
      <c r="BK11" s="58" t="s">
        <v>1033</v>
      </c>
      <c r="BL11" s="58" t="s">
        <v>1034</v>
      </c>
      <c r="BM11" s="58" t="s">
        <v>1035</v>
      </c>
      <c r="BN11" s="58" t="s">
        <v>1036</v>
      </c>
      <c r="BO11" s="58" t="s">
        <v>1037</v>
      </c>
      <c r="BP11" s="46">
        <v>0.0</v>
      </c>
      <c r="BQ11" s="46">
        <v>5.0</v>
      </c>
      <c r="BR11" s="46">
        <v>2.906</v>
      </c>
      <c r="BS11" s="46">
        <v>1.902</v>
      </c>
      <c r="BT11" s="46">
        <v>1.308</v>
      </c>
      <c r="BU11" s="46">
        <v>1.0</v>
      </c>
      <c r="BV11" s="46">
        <v>0.864</v>
      </c>
      <c r="BW11" s="46">
        <v>0.0</v>
      </c>
      <c r="BX11" s="46">
        <v>0.0</v>
      </c>
      <c r="BY11" s="46">
        <v>0.0</v>
      </c>
      <c r="BZ11" s="46">
        <v>3.382</v>
      </c>
      <c r="CA11" s="46">
        <v>3.9</v>
      </c>
      <c r="CB11" s="46">
        <v>0.0</v>
      </c>
      <c r="CC11" s="46">
        <v>0.0</v>
      </c>
      <c r="CD11" s="46">
        <v>0.0</v>
      </c>
      <c r="CE11" s="46">
        <v>8000.0</v>
      </c>
      <c r="CF11" s="46">
        <v>7000.0</v>
      </c>
      <c r="CG11" s="46">
        <v>0.0</v>
      </c>
      <c r="CH11" s="46">
        <v>0.0</v>
      </c>
      <c r="CI11" s="46">
        <v>0.0</v>
      </c>
      <c r="CJ11" s="2"/>
      <c r="CK11" s="2"/>
    </row>
    <row r="12">
      <c r="A12" s="44">
        <v>11.0</v>
      </c>
      <c r="B12" s="44">
        <v>14.0</v>
      </c>
      <c r="C12" s="44" t="s">
        <v>81</v>
      </c>
      <c r="D12" s="44" t="s">
        <v>82</v>
      </c>
      <c r="E12" s="44" t="s">
        <v>83</v>
      </c>
      <c r="F12" s="44">
        <v>935.0</v>
      </c>
      <c r="G12" s="44">
        <v>4.095</v>
      </c>
      <c r="H12" s="44">
        <v>1.56</v>
      </c>
      <c r="I12" s="44">
        <v>1.405</v>
      </c>
      <c r="J12" s="44">
        <v>2.42</v>
      </c>
      <c r="K12" s="44">
        <v>1.27</v>
      </c>
      <c r="L12" s="44">
        <v>1.27</v>
      </c>
      <c r="M12" s="44">
        <v>0.215</v>
      </c>
      <c r="N12" s="44">
        <v>0.48</v>
      </c>
      <c r="O12" s="44">
        <v>0.0</v>
      </c>
      <c r="P12" s="44">
        <v>0.5</v>
      </c>
      <c r="Q12" s="44">
        <v>0.9</v>
      </c>
      <c r="R12" s="44">
        <v>0.0</v>
      </c>
      <c r="S12" s="44">
        <v>1.123</v>
      </c>
      <c r="T12" s="44">
        <v>0.165</v>
      </c>
      <c r="U12" s="44">
        <v>0.82</v>
      </c>
      <c r="V12" s="44">
        <v>13.0</v>
      </c>
      <c r="W12" s="44">
        <v>0.165</v>
      </c>
      <c r="X12" s="44">
        <v>0.82</v>
      </c>
      <c r="Y12" s="44">
        <v>13.0</v>
      </c>
      <c r="Z12" s="44">
        <v>0.0</v>
      </c>
      <c r="AA12" s="44">
        <v>1.0</v>
      </c>
      <c r="AB12" s="44">
        <v>5.0</v>
      </c>
      <c r="AC12" s="44">
        <v>14.0</v>
      </c>
      <c r="AD12" s="44">
        <v>1.4</v>
      </c>
      <c r="AE12" s="44">
        <v>1.0</v>
      </c>
      <c r="AF12" s="44">
        <v>0.0</v>
      </c>
      <c r="AG12" s="44">
        <v>0.0</v>
      </c>
      <c r="AH12" s="44">
        <v>1.4</v>
      </c>
      <c r="AI12" s="44">
        <v>0.0</v>
      </c>
      <c r="AJ12" s="44">
        <v>1595.0</v>
      </c>
      <c r="AK12" s="44">
        <v>0.0</v>
      </c>
      <c r="AL12" s="44">
        <v>7000.0</v>
      </c>
      <c r="AM12" s="44">
        <v>7400.0</v>
      </c>
      <c r="AN12" s="44">
        <v>700.0</v>
      </c>
      <c r="AO12" s="44">
        <v>4000.0</v>
      </c>
      <c r="AP12" s="44">
        <v>6000.0</v>
      </c>
      <c r="AQ12" s="44">
        <v>0.0</v>
      </c>
      <c r="AR12" s="57" t="s">
        <v>1175</v>
      </c>
      <c r="AS12" s="57" t="s">
        <v>1176</v>
      </c>
      <c r="AT12" s="57" t="s">
        <v>1177</v>
      </c>
      <c r="AU12" s="57" t="s">
        <v>1178</v>
      </c>
      <c r="AV12" s="57" t="s">
        <v>1179</v>
      </c>
      <c r="AW12" s="57" t="s">
        <v>1180</v>
      </c>
      <c r="AX12" s="57" t="s">
        <v>1181</v>
      </c>
      <c r="AY12" s="57" t="s">
        <v>1182</v>
      </c>
      <c r="AZ12" s="57" t="s">
        <v>1183</v>
      </c>
      <c r="BA12" s="57" t="s">
        <v>1184</v>
      </c>
      <c r="BB12" s="57" t="s">
        <v>1185</v>
      </c>
      <c r="BC12" s="57" t="s">
        <v>1186</v>
      </c>
      <c r="BD12" s="57" t="s">
        <v>1187</v>
      </c>
      <c r="BE12" s="57" t="s">
        <v>1051</v>
      </c>
      <c r="BF12" s="57" t="s">
        <v>1188</v>
      </c>
      <c r="BG12" s="57" t="s">
        <v>1029</v>
      </c>
      <c r="BH12" s="57" t="s">
        <v>1030</v>
      </c>
      <c r="BI12" s="57" t="s">
        <v>1031</v>
      </c>
      <c r="BJ12" s="57" t="s">
        <v>1032</v>
      </c>
      <c r="BK12" s="57" t="s">
        <v>1033</v>
      </c>
      <c r="BL12" s="57" t="s">
        <v>1034</v>
      </c>
      <c r="BM12" s="57" t="s">
        <v>1035</v>
      </c>
      <c r="BN12" s="57" t="s">
        <v>1036</v>
      </c>
      <c r="BO12" s="57" t="s">
        <v>1037</v>
      </c>
      <c r="BP12" s="44">
        <v>0.0</v>
      </c>
      <c r="BQ12" s="44">
        <v>4.0</v>
      </c>
      <c r="BR12" s="44">
        <v>3.657</v>
      </c>
      <c r="BS12" s="44">
        <v>2.177</v>
      </c>
      <c r="BT12" s="44">
        <v>1.419</v>
      </c>
      <c r="BU12" s="44">
        <v>1.0</v>
      </c>
      <c r="BV12" s="44">
        <v>0.0</v>
      </c>
      <c r="BW12" s="44">
        <v>0.0</v>
      </c>
      <c r="BX12" s="44">
        <v>0.0</v>
      </c>
      <c r="BY12" s="44">
        <v>0.0</v>
      </c>
      <c r="BZ12" s="44">
        <v>3.638</v>
      </c>
      <c r="CA12" s="44">
        <v>3.9</v>
      </c>
      <c r="CB12" s="44">
        <v>0.0</v>
      </c>
      <c r="CC12" s="44">
        <v>0.0</v>
      </c>
      <c r="CD12" s="44">
        <v>0.0</v>
      </c>
      <c r="CE12" s="44">
        <v>8000.0</v>
      </c>
      <c r="CF12" s="44">
        <v>7000.0</v>
      </c>
      <c r="CG12" s="44">
        <v>0.0</v>
      </c>
      <c r="CH12" s="44">
        <v>0.0</v>
      </c>
      <c r="CI12" s="44">
        <v>0.0</v>
      </c>
      <c r="CJ12" s="2"/>
      <c r="CK12" s="2"/>
    </row>
    <row r="13">
      <c r="A13" s="46">
        <v>12.0</v>
      </c>
      <c r="B13" s="46">
        <v>15.0</v>
      </c>
      <c r="C13" s="46" t="s">
        <v>84</v>
      </c>
      <c r="D13" s="46" t="s">
        <v>85</v>
      </c>
      <c r="E13" s="46" t="s">
        <v>86</v>
      </c>
      <c r="F13" s="46">
        <v>705.0</v>
      </c>
      <c r="G13" s="46">
        <v>3.65</v>
      </c>
      <c r="H13" s="46">
        <v>1.505</v>
      </c>
      <c r="I13" s="46">
        <v>1.32</v>
      </c>
      <c r="J13" s="46">
        <v>2.2</v>
      </c>
      <c r="K13" s="46">
        <v>1.305</v>
      </c>
      <c r="L13" s="46">
        <v>1.285</v>
      </c>
      <c r="M13" s="46">
        <v>0.165</v>
      </c>
      <c r="N13" s="46">
        <v>0.382</v>
      </c>
      <c r="O13" s="46">
        <v>1.0</v>
      </c>
      <c r="P13" s="46">
        <v>0.53</v>
      </c>
      <c r="Q13" s="46">
        <v>0.9</v>
      </c>
      <c r="R13" s="46">
        <v>0.0</v>
      </c>
      <c r="S13" s="46">
        <v>1.07</v>
      </c>
      <c r="T13" s="46">
        <v>0.155</v>
      </c>
      <c r="U13" s="46">
        <v>0.82</v>
      </c>
      <c r="V13" s="46">
        <v>13.0</v>
      </c>
      <c r="W13" s="46">
        <v>0.155</v>
      </c>
      <c r="X13" s="46">
        <v>0.82</v>
      </c>
      <c r="Y13" s="46">
        <v>13.0</v>
      </c>
      <c r="Z13" s="46">
        <v>-1.0</v>
      </c>
      <c r="AA13" s="46">
        <v>0.3</v>
      </c>
      <c r="AB13" s="46">
        <v>1.2</v>
      </c>
      <c r="AC13" s="46">
        <v>9.2</v>
      </c>
      <c r="AD13" s="46">
        <v>1.4</v>
      </c>
      <c r="AE13" s="46">
        <v>1.0</v>
      </c>
      <c r="AF13" s="46">
        <v>0.0</v>
      </c>
      <c r="AG13" s="46">
        <v>0.3</v>
      </c>
      <c r="AH13" s="46">
        <v>1.4</v>
      </c>
      <c r="AI13" s="46">
        <v>0.5</v>
      </c>
      <c r="AJ13" s="46">
        <v>1169.0</v>
      </c>
      <c r="AK13" s="46">
        <v>0.0</v>
      </c>
      <c r="AL13" s="46">
        <v>6500.0</v>
      </c>
      <c r="AM13" s="46">
        <v>6800.0</v>
      </c>
      <c r="AN13" s="46">
        <v>700.0</v>
      </c>
      <c r="AO13" s="46">
        <v>4000.0</v>
      </c>
      <c r="AP13" s="46">
        <v>6000.0</v>
      </c>
      <c r="AQ13" s="46">
        <v>0.0</v>
      </c>
      <c r="AR13" s="58" t="s">
        <v>1189</v>
      </c>
      <c r="AS13" s="58" t="s">
        <v>1190</v>
      </c>
      <c r="AT13" s="58" t="s">
        <v>1191</v>
      </c>
      <c r="AU13" s="58" t="s">
        <v>1192</v>
      </c>
      <c r="AV13" s="58" t="s">
        <v>1193</v>
      </c>
      <c r="AW13" s="58" t="s">
        <v>1194</v>
      </c>
      <c r="AX13" s="58" t="s">
        <v>1195</v>
      </c>
      <c r="AY13" s="58" t="s">
        <v>1196</v>
      </c>
      <c r="AZ13" s="58" t="s">
        <v>1197</v>
      </c>
      <c r="BA13" s="58" t="s">
        <v>1198</v>
      </c>
      <c r="BB13" s="58" t="s">
        <v>1199</v>
      </c>
      <c r="BC13" s="58" t="s">
        <v>1200</v>
      </c>
      <c r="BD13" s="58" t="s">
        <v>1201</v>
      </c>
      <c r="BE13" s="58" t="s">
        <v>1202</v>
      </c>
      <c r="BF13" s="58" t="s">
        <v>1052</v>
      </c>
      <c r="BG13" s="58" t="s">
        <v>1029</v>
      </c>
      <c r="BH13" s="58" t="s">
        <v>1030</v>
      </c>
      <c r="BI13" s="58" t="s">
        <v>1031</v>
      </c>
      <c r="BJ13" s="58" t="s">
        <v>1032</v>
      </c>
      <c r="BK13" s="58" t="s">
        <v>1033</v>
      </c>
      <c r="BL13" s="58" t="s">
        <v>1034</v>
      </c>
      <c r="BM13" s="58" t="s">
        <v>1035</v>
      </c>
      <c r="BN13" s="58" t="s">
        <v>1036</v>
      </c>
      <c r="BO13" s="58" t="s">
        <v>1037</v>
      </c>
      <c r="BP13" s="46">
        <v>0.0</v>
      </c>
      <c r="BQ13" s="46">
        <v>5.0</v>
      </c>
      <c r="BR13" s="46">
        <v>3.0</v>
      </c>
      <c r="BS13" s="46">
        <v>1.789</v>
      </c>
      <c r="BT13" s="46">
        <v>1.182</v>
      </c>
      <c r="BU13" s="46">
        <v>0.846</v>
      </c>
      <c r="BV13" s="46">
        <v>0.714</v>
      </c>
      <c r="BW13" s="46">
        <v>0.0</v>
      </c>
      <c r="BX13" s="46">
        <v>0.0</v>
      </c>
      <c r="BY13" s="46">
        <v>0.0</v>
      </c>
      <c r="BZ13" s="46">
        <v>2.916</v>
      </c>
      <c r="CA13" s="46">
        <v>4.733</v>
      </c>
      <c r="CB13" s="46">
        <v>0.0</v>
      </c>
      <c r="CC13" s="46">
        <v>0.0</v>
      </c>
      <c r="CD13" s="46">
        <v>0.0</v>
      </c>
      <c r="CE13" s="46">
        <v>7000.0</v>
      </c>
      <c r="CF13" s="46">
        <v>6500.0</v>
      </c>
      <c r="CG13" s="46">
        <v>0.0</v>
      </c>
      <c r="CH13" s="46">
        <v>0.0</v>
      </c>
      <c r="CI13" s="46">
        <v>0.0</v>
      </c>
      <c r="CJ13" s="2"/>
      <c r="CK13" s="2"/>
    </row>
    <row r="14">
      <c r="A14" s="44">
        <v>13.0</v>
      </c>
      <c r="B14" s="44">
        <v>16.0</v>
      </c>
      <c r="C14" s="44" t="s">
        <v>87</v>
      </c>
      <c r="D14" s="44" t="s">
        <v>88</v>
      </c>
      <c r="E14" s="44" t="s">
        <v>89</v>
      </c>
      <c r="F14" s="44">
        <v>720.0</v>
      </c>
      <c r="G14" s="44">
        <v>3.335</v>
      </c>
      <c r="H14" s="44">
        <v>1.4</v>
      </c>
      <c r="I14" s="44">
        <v>1.2</v>
      </c>
      <c r="J14" s="44">
        <v>2.0</v>
      </c>
      <c r="K14" s="44">
        <v>1.15</v>
      </c>
      <c r="L14" s="44">
        <v>1.128</v>
      </c>
      <c r="M14" s="44">
        <v>0.16</v>
      </c>
      <c r="N14" s="44">
        <v>0.458</v>
      </c>
      <c r="O14" s="44">
        <v>0.0</v>
      </c>
      <c r="P14" s="44">
        <v>0.453</v>
      </c>
      <c r="Q14" s="44">
        <v>0.85</v>
      </c>
      <c r="R14" s="44">
        <v>0.0</v>
      </c>
      <c r="S14" s="44">
        <v>0.959</v>
      </c>
      <c r="T14" s="44">
        <v>0.155</v>
      </c>
      <c r="U14" s="44">
        <v>0.82</v>
      </c>
      <c r="V14" s="44">
        <v>13.0</v>
      </c>
      <c r="W14" s="44">
        <v>0.155</v>
      </c>
      <c r="X14" s="44">
        <v>0.82</v>
      </c>
      <c r="Y14" s="44">
        <v>13.0</v>
      </c>
      <c r="Z14" s="44">
        <v>-1.0</v>
      </c>
      <c r="AA14" s="44">
        <v>1.5</v>
      </c>
      <c r="AB14" s="44">
        <v>3.0</v>
      </c>
      <c r="AC14" s="44">
        <v>6.5</v>
      </c>
      <c r="AD14" s="44">
        <v>1.4</v>
      </c>
      <c r="AE14" s="44">
        <v>1.0</v>
      </c>
      <c r="AF14" s="44">
        <v>-1.0</v>
      </c>
      <c r="AG14" s="44">
        <v>0.0</v>
      </c>
      <c r="AH14" s="44">
        <v>1.4</v>
      </c>
      <c r="AI14" s="44">
        <v>0.0</v>
      </c>
      <c r="AJ14" s="44">
        <v>791.0</v>
      </c>
      <c r="AK14" s="44">
        <v>0.0</v>
      </c>
      <c r="AL14" s="44">
        <v>8500.0</v>
      </c>
      <c r="AM14" s="44">
        <v>8900.0</v>
      </c>
      <c r="AN14" s="44">
        <v>700.0</v>
      </c>
      <c r="AO14" s="44">
        <v>6000.0</v>
      </c>
      <c r="AP14" s="44">
        <v>8000.0</v>
      </c>
      <c r="AQ14" s="44">
        <v>0.0</v>
      </c>
      <c r="AR14" s="57" t="s">
        <v>1203</v>
      </c>
      <c r="AS14" s="57" t="s">
        <v>1204</v>
      </c>
      <c r="AT14" s="57" t="s">
        <v>1205</v>
      </c>
      <c r="AU14" s="57" t="s">
        <v>1206</v>
      </c>
      <c r="AV14" s="57" t="s">
        <v>1207</v>
      </c>
      <c r="AW14" s="57" t="s">
        <v>1208</v>
      </c>
      <c r="AX14" s="57" t="s">
        <v>1209</v>
      </c>
      <c r="AY14" s="57" t="s">
        <v>1210</v>
      </c>
      <c r="AZ14" s="57" t="s">
        <v>1211</v>
      </c>
      <c r="BA14" s="57" t="s">
        <v>1212</v>
      </c>
      <c r="BB14" s="57" t="s">
        <v>1213</v>
      </c>
      <c r="BC14" s="57" t="s">
        <v>1214</v>
      </c>
      <c r="BD14" s="57" t="s">
        <v>1215</v>
      </c>
      <c r="BE14" s="57" t="s">
        <v>1216</v>
      </c>
      <c r="BF14" s="57" t="s">
        <v>1217</v>
      </c>
      <c r="BG14" s="57" t="s">
        <v>1218</v>
      </c>
      <c r="BH14" s="57" t="s">
        <v>1219</v>
      </c>
      <c r="BI14" s="57" t="s">
        <v>1220</v>
      </c>
      <c r="BJ14" s="57" t="s">
        <v>1032</v>
      </c>
      <c r="BK14" s="57" t="s">
        <v>1033</v>
      </c>
      <c r="BL14" s="57" t="s">
        <v>1034</v>
      </c>
      <c r="BM14" s="57" t="s">
        <v>1035</v>
      </c>
      <c r="BN14" s="57" t="s">
        <v>1036</v>
      </c>
      <c r="BO14" s="57" t="s">
        <v>1037</v>
      </c>
      <c r="BP14" s="44">
        <v>0.0</v>
      </c>
      <c r="BQ14" s="44">
        <v>4.0</v>
      </c>
      <c r="BR14" s="44">
        <v>3.409</v>
      </c>
      <c r="BS14" s="44">
        <v>1.981</v>
      </c>
      <c r="BT14" s="44">
        <v>1.289</v>
      </c>
      <c r="BU14" s="44">
        <v>0.913</v>
      </c>
      <c r="BV14" s="44">
        <v>0.0</v>
      </c>
      <c r="BW14" s="44">
        <v>0.0</v>
      </c>
      <c r="BX14" s="44">
        <v>0.0</v>
      </c>
      <c r="BY14" s="44">
        <v>0.0</v>
      </c>
      <c r="BZ14" s="44">
        <v>3.44</v>
      </c>
      <c r="CA14" s="44">
        <v>5.796</v>
      </c>
      <c r="CB14" s="44">
        <v>0.0</v>
      </c>
      <c r="CC14" s="44">
        <v>0.0</v>
      </c>
      <c r="CD14" s="44">
        <v>0.0</v>
      </c>
      <c r="CE14" s="44">
        <v>11000.0</v>
      </c>
      <c r="CF14" s="44">
        <v>8500.0</v>
      </c>
      <c r="CG14" s="44">
        <v>0.0</v>
      </c>
      <c r="CH14" s="44">
        <v>0.0</v>
      </c>
      <c r="CI14" s="44">
        <v>0.0</v>
      </c>
      <c r="CJ14" s="2"/>
      <c r="CK14" s="2"/>
    </row>
    <row r="15">
      <c r="A15" s="46">
        <v>14.0</v>
      </c>
      <c r="B15" s="46">
        <v>17.0</v>
      </c>
      <c r="C15" s="46" t="s">
        <v>90</v>
      </c>
      <c r="D15" s="46" t="s">
        <v>91</v>
      </c>
      <c r="E15" s="46" t="s">
        <v>92</v>
      </c>
      <c r="F15" s="46">
        <v>830.0</v>
      </c>
      <c r="G15" s="46">
        <v>4.782</v>
      </c>
      <c r="H15" s="46">
        <v>1.994</v>
      </c>
      <c r="I15" s="46">
        <v>1.003</v>
      </c>
      <c r="J15" s="46">
        <v>2.662</v>
      </c>
      <c r="K15" s="46">
        <v>1.534</v>
      </c>
      <c r="L15" s="46">
        <v>1.504</v>
      </c>
      <c r="M15" s="46">
        <v>0.04</v>
      </c>
      <c r="N15" s="46">
        <v>0.56</v>
      </c>
      <c r="O15" s="46">
        <v>2.0</v>
      </c>
      <c r="P15" s="46">
        <v>0.38</v>
      </c>
      <c r="Q15" s="46">
        <v>1.6</v>
      </c>
      <c r="R15" s="46">
        <v>500.0</v>
      </c>
      <c r="S15" s="46">
        <v>0.807</v>
      </c>
      <c r="T15" s="46">
        <v>0.3</v>
      </c>
      <c r="U15" s="46">
        <v>0.3</v>
      </c>
      <c r="V15" s="46">
        <v>18.0</v>
      </c>
      <c r="W15" s="46">
        <v>0.355</v>
      </c>
      <c r="X15" s="46">
        <v>0.35</v>
      </c>
      <c r="Y15" s="46">
        <v>18.0</v>
      </c>
      <c r="Z15" s="46">
        <v>0.0</v>
      </c>
      <c r="AA15" s="46">
        <v>-0.4</v>
      </c>
      <c r="AB15" s="46">
        <v>3.0</v>
      </c>
      <c r="AC15" s="46">
        <v>6.0</v>
      </c>
      <c r="AD15" s="46">
        <v>2.6</v>
      </c>
      <c r="AE15" s="46">
        <v>5.0</v>
      </c>
      <c r="AF15" s="46">
        <v>-2.0</v>
      </c>
      <c r="AG15" s="46">
        <v>-1.0</v>
      </c>
      <c r="AH15" s="46">
        <v>2.6</v>
      </c>
      <c r="AI15" s="46">
        <v>2.0</v>
      </c>
      <c r="AJ15" s="46">
        <v>2616.0</v>
      </c>
      <c r="AK15" s="46">
        <v>2.0</v>
      </c>
      <c r="AL15" s="46">
        <v>9000.0</v>
      </c>
      <c r="AM15" s="46">
        <v>9000.0</v>
      </c>
      <c r="AN15" s="46">
        <v>700.0</v>
      </c>
      <c r="AO15" s="46">
        <v>6500.0</v>
      </c>
      <c r="AP15" s="46">
        <v>9000.0</v>
      </c>
      <c r="AQ15" s="46">
        <v>1.0</v>
      </c>
      <c r="AR15" s="58" t="s">
        <v>1221</v>
      </c>
      <c r="AS15" s="58" t="s">
        <v>1222</v>
      </c>
      <c r="AT15" s="58" t="s">
        <v>1223</v>
      </c>
      <c r="AU15" s="58" t="s">
        <v>1224</v>
      </c>
      <c r="AV15" s="58" t="s">
        <v>1225</v>
      </c>
      <c r="AW15" s="58" t="s">
        <v>1226</v>
      </c>
      <c r="AX15" s="58" t="s">
        <v>1227</v>
      </c>
      <c r="AY15" s="58" t="s">
        <v>1228</v>
      </c>
      <c r="AZ15" s="58" t="s">
        <v>1229</v>
      </c>
      <c r="BA15" s="58" t="s">
        <v>1230</v>
      </c>
      <c r="BB15" s="58" t="s">
        <v>1231</v>
      </c>
      <c r="BC15" s="58" t="s">
        <v>1232</v>
      </c>
      <c r="BD15" s="58" t="s">
        <v>1233</v>
      </c>
      <c r="BE15" s="58" t="s">
        <v>1234</v>
      </c>
      <c r="BF15" s="58" t="s">
        <v>1235</v>
      </c>
      <c r="BG15" s="58" t="s">
        <v>1236</v>
      </c>
      <c r="BH15" s="58" t="s">
        <v>1237</v>
      </c>
      <c r="BI15" s="58" t="s">
        <v>1238</v>
      </c>
      <c r="BJ15" s="58" t="s">
        <v>1239</v>
      </c>
      <c r="BK15" s="58" t="s">
        <v>1240</v>
      </c>
      <c r="BL15" s="58" t="s">
        <v>1034</v>
      </c>
      <c r="BM15" s="58" t="s">
        <v>1035</v>
      </c>
      <c r="BN15" s="58" t="s">
        <v>1036</v>
      </c>
      <c r="BO15" s="58" t="s">
        <v>1037</v>
      </c>
      <c r="BP15" s="46">
        <v>0.0</v>
      </c>
      <c r="BQ15" s="46">
        <v>5.0</v>
      </c>
      <c r="BR15" s="46">
        <v>3.84</v>
      </c>
      <c r="BS15" s="46">
        <v>2.32</v>
      </c>
      <c r="BT15" s="46">
        <v>1.57</v>
      </c>
      <c r="BU15" s="46">
        <v>1.11</v>
      </c>
      <c r="BV15" s="46">
        <v>0.831</v>
      </c>
      <c r="BW15" s="46">
        <v>0.0</v>
      </c>
      <c r="BX15" s="46">
        <v>0.0</v>
      </c>
      <c r="BY15" s="46">
        <v>0.0</v>
      </c>
      <c r="BZ15" s="46">
        <v>4.1</v>
      </c>
      <c r="CA15" s="46">
        <v>3.426</v>
      </c>
      <c r="CB15" s="46">
        <v>0.0</v>
      </c>
      <c r="CC15" s="46">
        <v>0.0</v>
      </c>
      <c r="CD15" s="46">
        <v>0.0</v>
      </c>
      <c r="CE15" s="46">
        <v>0.0</v>
      </c>
      <c r="CF15" s="46">
        <v>9000.0</v>
      </c>
      <c r="CG15" s="46">
        <v>0.0</v>
      </c>
      <c r="CH15" s="46">
        <v>0.0</v>
      </c>
      <c r="CI15" s="46">
        <v>0.0</v>
      </c>
      <c r="CJ15" s="2"/>
      <c r="CK15" s="2"/>
    </row>
    <row r="16">
      <c r="A16" s="44">
        <v>15.0</v>
      </c>
      <c r="B16" s="44">
        <v>18.0</v>
      </c>
      <c r="C16" s="44" t="s">
        <v>93</v>
      </c>
      <c r="D16" s="44" t="s">
        <v>94</v>
      </c>
      <c r="E16" s="44" t="s">
        <v>95</v>
      </c>
      <c r="F16" s="44">
        <v>960.0</v>
      </c>
      <c r="G16" s="44">
        <v>4.13</v>
      </c>
      <c r="H16" s="44">
        <v>1.59</v>
      </c>
      <c r="I16" s="44">
        <v>1.165</v>
      </c>
      <c r="J16" s="44">
        <v>2.35</v>
      </c>
      <c r="K16" s="44">
        <v>1.26</v>
      </c>
      <c r="L16" s="44">
        <v>1.25</v>
      </c>
      <c r="M16" s="44">
        <v>0.125</v>
      </c>
      <c r="N16" s="44">
        <v>0.495</v>
      </c>
      <c r="O16" s="44">
        <v>0.0</v>
      </c>
      <c r="P16" s="44">
        <v>0.43</v>
      </c>
      <c r="Q16" s="44">
        <v>0.9</v>
      </c>
      <c r="R16" s="44">
        <v>0.0</v>
      </c>
      <c r="S16" s="44">
        <v>0.964</v>
      </c>
      <c r="T16" s="44">
        <v>0.155</v>
      </c>
      <c r="U16" s="44">
        <v>0.82</v>
      </c>
      <c r="V16" s="44">
        <v>15.0</v>
      </c>
      <c r="W16" s="44">
        <v>0.155</v>
      </c>
      <c r="X16" s="44">
        <v>0.82</v>
      </c>
      <c r="Y16" s="44">
        <v>15.0</v>
      </c>
      <c r="Z16" s="44">
        <v>-2.0</v>
      </c>
      <c r="AA16" s="44">
        <v>1.19</v>
      </c>
      <c r="AB16" s="44">
        <v>3.47</v>
      </c>
      <c r="AC16" s="44">
        <v>7.41</v>
      </c>
      <c r="AD16" s="44">
        <v>1.4</v>
      </c>
      <c r="AE16" s="44">
        <v>1.5</v>
      </c>
      <c r="AF16" s="44">
        <v>-2.0</v>
      </c>
      <c r="AG16" s="44">
        <v>1.2</v>
      </c>
      <c r="AH16" s="44">
        <v>1.3</v>
      </c>
      <c r="AI16" s="44">
        <v>0.5</v>
      </c>
      <c r="AJ16" s="44">
        <v>982.0</v>
      </c>
      <c r="AK16" s="44">
        <v>2.0</v>
      </c>
      <c r="AL16" s="44">
        <v>7000.0</v>
      </c>
      <c r="AM16" s="44">
        <v>7400.0</v>
      </c>
      <c r="AN16" s="44">
        <v>900.0</v>
      </c>
      <c r="AO16" s="44">
        <v>5000.0</v>
      </c>
      <c r="AP16" s="44">
        <v>7000.0</v>
      </c>
      <c r="AQ16" s="44">
        <v>0.0</v>
      </c>
      <c r="AR16" s="57" t="s">
        <v>1241</v>
      </c>
      <c r="AS16" s="57" t="s">
        <v>1242</v>
      </c>
      <c r="AT16" s="57" t="s">
        <v>1243</v>
      </c>
      <c r="AU16" s="57" t="s">
        <v>1244</v>
      </c>
      <c r="AV16" s="57" t="s">
        <v>1245</v>
      </c>
      <c r="AW16" s="57" t="s">
        <v>1246</v>
      </c>
      <c r="AX16" s="57" t="s">
        <v>1247</v>
      </c>
      <c r="AY16" s="57" t="s">
        <v>1248</v>
      </c>
      <c r="AZ16" s="57" t="s">
        <v>1249</v>
      </c>
      <c r="BA16" s="57" t="s">
        <v>1250</v>
      </c>
      <c r="BB16" s="57" t="s">
        <v>1251</v>
      </c>
      <c r="BC16" s="57" t="s">
        <v>1252</v>
      </c>
      <c r="BD16" s="57" t="s">
        <v>1253</v>
      </c>
      <c r="BE16" s="57" t="s">
        <v>1254</v>
      </c>
      <c r="BF16" s="57" t="s">
        <v>1255</v>
      </c>
      <c r="BG16" s="57" t="s">
        <v>1256</v>
      </c>
      <c r="BH16" s="57" t="s">
        <v>1030</v>
      </c>
      <c r="BI16" s="57" t="s">
        <v>1031</v>
      </c>
      <c r="BJ16" s="57" t="s">
        <v>1032</v>
      </c>
      <c r="BK16" s="57" t="s">
        <v>1033</v>
      </c>
      <c r="BL16" s="57" t="s">
        <v>1034</v>
      </c>
      <c r="BM16" s="57" t="s">
        <v>1035</v>
      </c>
      <c r="BN16" s="57" t="s">
        <v>1036</v>
      </c>
      <c r="BO16" s="57" t="s">
        <v>1037</v>
      </c>
      <c r="BP16" s="44">
        <v>0.0</v>
      </c>
      <c r="BQ16" s="44">
        <v>5.0</v>
      </c>
      <c r="BR16" s="44">
        <v>3.379</v>
      </c>
      <c r="BS16" s="44">
        <v>2.077</v>
      </c>
      <c r="BT16" s="44">
        <v>1.39</v>
      </c>
      <c r="BU16" s="44">
        <v>1.0</v>
      </c>
      <c r="BV16" s="44">
        <v>0.841</v>
      </c>
      <c r="BW16" s="44">
        <v>0.0</v>
      </c>
      <c r="BX16" s="44">
        <v>0.0</v>
      </c>
      <c r="BY16" s="44">
        <v>0.0</v>
      </c>
      <c r="BZ16" s="44">
        <v>3.389</v>
      </c>
      <c r="CA16" s="44">
        <v>4.111</v>
      </c>
      <c r="CB16" s="44">
        <v>0.0</v>
      </c>
      <c r="CC16" s="44">
        <v>0.0</v>
      </c>
      <c r="CD16" s="44">
        <v>0.0</v>
      </c>
      <c r="CE16" s="44">
        <v>9000.0</v>
      </c>
      <c r="CF16" s="44">
        <v>7000.0</v>
      </c>
      <c r="CG16" s="44">
        <v>0.0</v>
      </c>
      <c r="CH16" s="44">
        <v>0.0</v>
      </c>
      <c r="CI16" s="44">
        <v>0.0</v>
      </c>
      <c r="CJ16" s="2"/>
      <c r="CK16" s="2"/>
    </row>
    <row r="17">
      <c r="A17" s="46">
        <v>16.0</v>
      </c>
      <c r="B17" s="46">
        <v>19.0</v>
      </c>
      <c r="C17" s="46" t="s">
        <v>96</v>
      </c>
      <c r="D17" s="46" t="s">
        <v>97</v>
      </c>
      <c r="E17" s="46" t="s">
        <v>98</v>
      </c>
      <c r="F17" s="46">
        <v>980.0</v>
      </c>
      <c r="G17" s="46">
        <v>4.125</v>
      </c>
      <c r="H17" s="46">
        <v>1.58</v>
      </c>
      <c r="I17" s="46">
        <v>1.31</v>
      </c>
      <c r="J17" s="46">
        <v>2.42</v>
      </c>
      <c r="K17" s="46">
        <v>1.295</v>
      </c>
      <c r="L17" s="46">
        <v>1.285</v>
      </c>
      <c r="M17" s="46">
        <v>0.165</v>
      </c>
      <c r="N17" s="46">
        <v>0.459</v>
      </c>
      <c r="O17" s="46">
        <v>0.0</v>
      </c>
      <c r="P17" s="46">
        <v>0.48</v>
      </c>
      <c r="Q17" s="46">
        <v>0.9</v>
      </c>
      <c r="R17" s="46">
        <v>0.0</v>
      </c>
      <c r="S17" s="46">
        <v>1.074</v>
      </c>
      <c r="T17" s="46">
        <v>0.165</v>
      </c>
      <c r="U17" s="46">
        <v>0.82</v>
      </c>
      <c r="V17" s="46">
        <v>13.0</v>
      </c>
      <c r="W17" s="46">
        <v>0.165</v>
      </c>
      <c r="X17" s="46">
        <v>0.82</v>
      </c>
      <c r="Y17" s="46">
        <v>13.0</v>
      </c>
      <c r="Z17" s="46">
        <v>0.0</v>
      </c>
      <c r="AA17" s="46">
        <v>0.3</v>
      </c>
      <c r="AB17" s="46">
        <v>1.15</v>
      </c>
      <c r="AC17" s="46">
        <v>9.2</v>
      </c>
      <c r="AD17" s="46">
        <v>1.4</v>
      </c>
      <c r="AE17" s="46">
        <v>1.0</v>
      </c>
      <c r="AF17" s="46">
        <v>-4.0</v>
      </c>
      <c r="AG17" s="46">
        <v>-0.3</v>
      </c>
      <c r="AH17" s="46">
        <v>1.4</v>
      </c>
      <c r="AI17" s="46">
        <v>0.5</v>
      </c>
      <c r="AJ17" s="46">
        <v>1597.0</v>
      </c>
      <c r="AK17" s="46">
        <v>0.0</v>
      </c>
      <c r="AL17" s="46">
        <v>7000.0</v>
      </c>
      <c r="AM17" s="46">
        <v>7000.0</v>
      </c>
      <c r="AN17" s="46">
        <v>700.0</v>
      </c>
      <c r="AO17" s="46">
        <v>5000.0</v>
      </c>
      <c r="AP17" s="46">
        <v>6800.0</v>
      </c>
      <c r="AQ17" s="46">
        <v>0.0</v>
      </c>
      <c r="AR17" s="58" t="s">
        <v>1257</v>
      </c>
      <c r="AS17" s="58" t="s">
        <v>1258</v>
      </c>
      <c r="AT17" s="58" t="s">
        <v>1259</v>
      </c>
      <c r="AU17" s="58" t="s">
        <v>1260</v>
      </c>
      <c r="AV17" s="58" t="s">
        <v>1261</v>
      </c>
      <c r="AW17" s="58" t="s">
        <v>1262</v>
      </c>
      <c r="AX17" s="58" t="s">
        <v>1263</v>
      </c>
      <c r="AY17" s="58" t="s">
        <v>1264</v>
      </c>
      <c r="AZ17" s="58" t="s">
        <v>1265</v>
      </c>
      <c r="BA17" s="58" t="s">
        <v>1266</v>
      </c>
      <c r="BB17" s="58" t="s">
        <v>1267</v>
      </c>
      <c r="BC17" s="58" t="s">
        <v>1268</v>
      </c>
      <c r="BD17" s="58" t="s">
        <v>1269</v>
      </c>
      <c r="BE17" s="58" t="s">
        <v>1270</v>
      </c>
      <c r="BF17" s="58" t="s">
        <v>1271</v>
      </c>
      <c r="BG17" s="58" t="s">
        <v>1029</v>
      </c>
      <c r="BH17" s="58" t="s">
        <v>1030</v>
      </c>
      <c r="BI17" s="58" t="s">
        <v>1031</v>
      </c>
      <c r="BJ17" s="58" t="s">
        <v>1032</v>
      </c>
      <c r="BK17" s="58" t="s">
        <v>1033</v>
      </c>
      <c r="BL17" s="58" t="s">
        <v>1034</v>
      </c>
      <c r="BM17" s="58" t="s">
        <v>1035</v>
      </c>
      <c r="BN17" s="58" t="s">
        <v>1036</v>
      </c>
      <c r="BO17" s="58" t="s">
        <v>1037</v>
      </c>
      <c r="BP17" s="46">
        <v>0.0</v>
      </c>
      <c r="BQ17" s="46">
        <v>5.0</v>
      </c>
      <c r="BR17" s="46">
        <v>3.197</v>
      </c>
      <c r="BS17" s="46">
        <v>2.043</v>
      </c>
      <c r="BT17" s="46">
        <v>1.273</v>
      </c>
      <c r="BU17" s="46">
        <v>1.0</v>
      </c>
      <c r="BV17" s="46">
        <v>0.845</v>
      </c>
      <c r="BW17" s="46">
        <v>0.0</v>
      </c>
      <c r="BX17" s="46">
        <v>0.0</v>
      </c>
      <c r="BY17" s="46">
        <v>0.0</v>
      </c>
      <c r="BZ17" s="46">
        <v>3.72</v>
      </c>
      <c r="CA17" s="46">
        <v>4.222</v>
      </c>
      <c r="CB17" s="46">
        <v>0.0</v>
      </c>
      <c r="CC17" s="46">
        <v>0.0</v>
      </c>
      <c r="CD17" s="46">
        <v>0.0</v>
      </c>
      <c r="CE17" s="46">
        <v>8000.0</v>
      </c>
      <c r="CF17" s="46">
        <v>7000.0</v>
      </c>
      <c r="CG17" s="46">
        <v>0.0</v>
      </c>
      <c r="CH17" s="46">
        <v>0.0</v>
      </c>
      <c r="CI17" s="46">
        <v>0.0</v>
      </c>
      <c r="CJ17" s="2"/>
      <c r="CK17" s="2"/>
    </row>
    <row r="18">
      <c r="A18" s="44">
        <v>17.0</v>
      </c>
      <c r="B18" s="44">
        <v>20.0</v>
      </c>
      <c r="C18" s="44" t="s">
        <v>99</v>
      </c>
      <c r="D18" s="44" t="s">
        <v>100</v>
      </c>
      <c r="E18" s="44" t="s">
        <v>101</v>
      </c>
      <c r="F18" s="44">
        <v>790.0</v>
      </c>
      <c r="G18" s="44">
        <v>3.395</v>
      </c>
      <c r="H18" s="44">
        <v>1.475</v>
      </c>
      <c r="I18" s="44">
        <v>1.55</v>
      </c>
      <c r="J18" s="44">
        <v>2.34</v>
      </c>
      <c r="K18" s="44">
        <v>1.295</v>
      </c>
      <c r="L18" s="44">
        <v>1.295</v>
      </c>
      <c r="M18" s="44">
        <v>0.155</v>
      </c>
      <c r="N18" s="44">
        <v>0.38</v>
      </c>
      <c r="O18" s="44">
        <v>1.0</v>
      </c>
      <c r="P18" s="44">
        <v>0.52</v>
      </c>
      <c r="Q18" s="44">
        <v>0.9</v>
      </c>
      <c r="R18" s="44">
        <v>0.0</v>
      </c>
      <c r="S18" s="44">
        <v>1.231</v>
      </c>
      <c r="T18" s="44">
        <v>0.155</v>
      </c>
      <c r="U18" s="44">
        <v>0.65</v>
      </c>
      <c r="V18" s="44">
        <v>13.0</v>
      </c>
      <c r="W18" s="44">
        <v>0.155</v>
      </c>
      <c r="X18" s="44">
        <v>0.65</v>
      </c>
      <c r="Y18" s="44">
        <v>13.0</v>
      </c>
      <c r="Z18" s="44">
        <v>-1.0</v>
      </c>
      <c r="AA18" s="44">
        <v>0.45</v>
      </c>
      <c r="AB18" s="44">
        <v>3.55</v>
      </c>
      <c r="AC18" s="44">
        <v>10.35</v>
      </c>
      <c r="AD18" s="44">
        <v>1.4</v>
      </c>
      <c r="AE18" s="44">
        <v>1.0</v>
      </c>
      <c r="AF18" s="44">
        <v>0.0</v>
      </c>
      <c r="AG18" s="44">
        <v>0.0</v>
      </c>
      <c r="AH18" s="44">
        <v>1.4</v>
      </c>
      <c r="AI18" s="44">
        <v>0.0</v>
      </c>
      <c r="AJ18" s="44">
        <v>657.0</v>
      </c>
      <c r="AK18" s="44">
        <v>0.0</v>
      </c>
      <c r="AL18" s="44">
        <v>7000.0</v>
      </c>
      <c r="AM18" s="44">
        <v>7000.0</v>
      </c>
      <c r="AN18" s="44">
        <v>700.0</v>
      </c>
      <c r="AO18" s="44">
        <v>4000.0</v>
      </c>
      <c r="AP18" s="44">
        <v>6500.0</v>
      </c>
      <c r="AQ18" s="44">
        <v>0.0</v>
      </c>
      <c r="AR18" s="57" t="s">
        <v>1272</v>
      </c>
      <c r="AS18" s="57" t="s">
        <v>1273</v>
      </c>
      <c r="AT18" s="57" t="s">
        <v>1274</v>
      </c>
      <c r="AU18" s="57" t="s">
        <v>1275</v>
      </c>
      <c r="AV18" s="57" t="s">
        <v>1276</v>
      </c>
      <c r="AW18" s="57" t="s">
        <v>1277</v>
      </c>
      <c r="AX18" s="57" t="s">
        <v>1278</v>
      </c>
      <c r="AY18" s="57" t="s">
        <v>1279</v>
      </c>
      <c r="AZ18" s="57" t="s">
        <v>1280</v>
      </c>
      <c r="BA18" s="57" t="s">
        <v>1281</v>
      </c>
      <c r="BB18" s="57" t="s">
        <v>1282</v>
      </c>
      <c r="BC18" s="57" t="s">
        <v>1283</v>
      </c>
      <c r="BD18" s="57" t="s">
        <v>1284</v>
      </c>
      <c r="BE18" s="57" t="s">
        <v>1285</v>
      </c>
      <c r="BF18" s="57" t="s">
        <v>1286</v>
      </c>
      <c r="BG18" s="57" t="s">
        <v>1029</v>
      </c>
      <c r="BH18" s="57" t="s">
        <v>1030</v>
      </c>
      <c r="BI18" s="57" t="s">
        <v>1031</v>
      </c>
      <c r="BJ18" s="57" t="s">
        <v>1032</v>
      </c>
      <c r="BK18" s="57" t="s">
        <v>1033</v>
      </c>
      <c r="BL18" s="57" t="s">
        <v>1034</v>
      </c>
      <c r="BM18" s="57" t="s">
        <v>1035</v>
      </c>
      <c r="BN18" s="57" t="s">
        <v>1036</v>
      </c>
      <c r="BO18" s="57" t="s">
        <v>1037</v>
      </c>
      <c r="BP18" s="44">
        <v>1.0</v>
      </c>
      <c r="BQ18" s="44">
        <v>3.0</v>
      </c>
      <c r="BR18" s="44">
        <v>2.846</v>
      </c>
      <c r="BS18" s="44">
        <v>1.581</v>
      </c>
      <c r="BT18" s="44">
        <v>1.0</v>
      </c>
      <c r="BU18" s="44">
        <v>0.0</v>
      </c>
      <c r="BV18" s="44">
        <v>0.0</v>
      </c>
      <c r="BW18" s="44">
        <v>0.0</v>
      </c>
      <c r="BX18" s="44">
        <v>0.0</v>
      </c>
      <c r="BY18" s="44">
        <v>0.0</v>
      </c>
      <c r="BZ18" s="44">
        <v>2.176</v>
      </c>
      <c r="CA18" s="44">
        <v>4.845</v>
      </c>
      <c r="CB18" s="44">
        <v>0.0</v>
      </c>
      <c r="CC18" s="44">
        <v>0.0</v>
      </c>
      <c r="CD18" s="44">
        <v>0.0</v>
      </c>
      <c r="CE18" s="44">
        <v>8000.0</v>
      </c>
      <c r="CF18" s="44">
        <v>7000.0</v>
      </c>
      <c r="CG18" s="44">
        <v>0.0</v>
      </c>
      <c r="CH18" s="44">
        <v>0.0</v>
      </c>
      <c r="CI18" s="44">
        <v>0.0</v>
      </c>
      <c r="CJ18" s="2"/>
      <c r="CK18" s="2"/>
    </row>
    <row r="19">
      <c r="A19" s="46">
        <v>18.0</v>
      </c>
      <c r="B19" s="46">
        <v>21.0</v>
      </c>
      <c r="C19" s="46" t="s">
        <v>102</v>
      </c>
      <c r="D19" s="46" t="s">
        <v>103</v>
      </c>
      <c r="E19" s="46" t="s">
        <v>104</v>
      </c>
      <c r="F19" s="46">
        <v>425.0</v>
      </c>
      <c r="G19" s="46">
        <v>2.995</v>
      </c>
      <c r="H19" s="46">
        <v>1.3</v>
      </c>
      <c r="I19" s="46">
        <v>1.335</v>
      </c>
      <c r="J19" s="46">
        <v>1.8</v>
      </c>
      <c r="K19" s="46">
        <v>1.14</v>
      </c>
      <c r="L19" s="46">
        <v>1.09</v>
      </c>
      <c r="M19" s="46">
        <v>0.15</v>
      </c>
      <c r="N19" s="46">
        <v>0.624</v>
      </c>
      <c r="O19" s="46">
        <v>3.0</v>
      </c>
      <c r="P19" s="46">
        <v>0.48</v>
      </c>
      <c r="Q19" s="46">
        <v>0.85</v>
      </c>
      <c r="R19" s="46">
        <v>0.0</v>
      </c>
      <c r="S19" s="46">
        <v>1.046</v>
      </c>
      <c r="T19" s="46">
        <v>0.137</v>
      </c>
      <c r="U19" s="46">
        <v>0.77</v>
      </c>
      <c r="V19" s="46">
        <v>10.0</v>
      </c>
      <c r="W19" s="46">
        <v>0.137</v>
      </c>
      <c r="X19" s="46">
        <v>0.77</v>
      </c>
      <c r="Y19" s="46">
        <v>10.0</v>
      </c>
      <c r="Z19" s="46">
        <v>0.0</v>
      </c>
      <c r="AA19" s="46">
        <v>2.0</v>
      </c>
      <c r="AB19" s="46">
        <v>12.0</v>
      </c>
      <c r="AC19" s="46">
        <v>7.0</v>
      </c>
      <c r="AD19" s="46">
        <v>1.4</v>
      </c>
      <c r="AE19" s="46">
        <v>0.5</v>
      </c>
      <c r="AF19" s="46">
        <v>0.0</v>
      </c>
      <c r="AG19" s="46">
        <v>0.0</v>
      </c>
      <c r="AH19" s="46">
        <v>1.4</v>
      </c>
      <c r="AI19" s="46">
        <v>0.0</v>
      </c>
      <c r="AJ19" s="46">
        <v>356.0</v>
      </c>
      <c r="AK19" s="46">
        <v>0.0</v>
      </c>
      <c r="AL19" s="46">
        <v>6000.0</v>
      </c>
      <c r="AM19" s="46">
        <v>7000.0</v>
      </c>
      <c r="AN19" s="46">
        <v>900.0</v>
      </c>
      <c r="AO19" s="46">
        <v>6400.0</v>
      </c>
      <c r="AP19" s="46">
        <v>7000.0</v>
      </c>
      <c r="AQ19" s="46">
        <v>0.0</v>
      </c>
      <c r="AR19" s="58" t="s">
        <v>1287</v>
      </c>
      <c r="AS19" s="58" t="s">
        <v>1288</v>
      </c>
      <c r="AT19" s="58" t="s">
        <v>1289</v>
      </c>
      <c r="AU19" s="58" t="s">
        <v>1290</v>
      </c>
      <c r="AV19" s="58" t="s">
        <v>1291</v>
      </c>
      <c r="AW19" s="58" t="s">
        <v>1292</v>
      </c>
      <c r="AX19" s="58" t="s">
        <v>1293</v>
      </c>
      <c r="AY19" s="58" t="s">
        <v>1294</v>
      </c>
      <c r="AZ19" s="58" t="s">
        <v>1295</v>
      </c>
      <c r="BA19" s="58" t="s">
        <v>1296</v>
      </c>
      <c r="BB19" s="58" t="s">
        <v>1297</v>
      </c>
      <c r="BC19" s="58" t="s">
        <v>1298</v>
      </c>
      <c r="BD19" s="58" t="s">
        <v>1299</v>
      </c>
      <c r="BE19" s="58" t="s">
        <v>1300</v>
      </c>
      <c r="BF19" s="58" t="s">
        <v>1301</v>
      </c>
      <c r="BG19" s="58" t="s">
        <v>1302</v>
      </c>
      <c r="BH19" s="58" t="s">
        <v>1030</v>
      </c>
      <c r="BI19" s="58" t="s">
        <v>1031</v>
      </c>
      <c r="BJ19" s="58" t="s">
        <v>1032</v>
      </c>
      <c r="BK19" s="58" t="s">
        <v>1033</v>
      </c>
      <c r="BL19" s="58" t="s">
        <v>1034</v>
      </c>
      <c r="BM19" s="58" t="s">
        <v>1035</v>
      </c>
      <c r="BN19" s="58" t="s">
        <v>1036</v>
      </c>
      <c r="BO19" s="58" t="s">
        <v>1037</v>
      </c>
      <c r="BP19" s="46">
        <v>0.0</v>
      </c>
      <c r="BQ19" s="46">
        <v>4.0</v>
      </c>
      <c r="BR19" s="46">
        <v>3.13</v>
      </c>
      <c r="BS19" s="46">
        <v>1.601</v>
      </c>
      <c r="BT19" s="46">
        <v>1.0</v>
      </c>
      <c r="BU19" s="46">
        <v>0.806</v>
      </c>
      <c r="BV19" s="46">
        <v>0.0</v>
      </c>
      <c r="BW19" s="46">
        <v>0.0</v>
      </c>
      <c r="BX19" s="46">
        <v>0.0</v>
      </c>
      <c r="BY19" s="46">
        <v>0.0</v>
      </c>
      <c r="BZ19" s="46">
        <v>4.248</v>
      </c>
      <c r="CA19" s="46">
        <v>6.232</v>
      </c>
      <c r="CB19" s="46">
        <v>0.0</v>
      </c>
      <c r="CC19" s="46">
        <v>0.0</v>
      </c>
      <c r="CD19" s="46">
        <v>0.0</v>
      </c>
      <c r="CE19" s="46">
        <v>8000.0</v>
      </c>
      <c r="CF19" s="46">
        <v>6000.0</v>
      </c>
      <c r="CG19" s="46">
        <v>0.0</v>
      </c>
      <c r="CH19" s="46">
        <v>0.0</v>
      </c>
      <c r="CI19" s="46">
        <v>0.0</v>
      </c>
      <c r="CJ19" s="2"/>
      <c r="CK19" s="2"/>
    </row>
    <row r="20">
      <c r="A20" s="44">
        <v>19.0</v>
      </c>
      <c r="B20" s="44">
        <v>25.0</v>
      </c>
      <c r="C20" s="44" t="s">
        <v>105</v>
      </c>
      <c r="D20" s="44" t="s">
        <v>106</v>
      </c>
      <c r="E20" s="44" t="s">
        <v>107</v>
      </c>
      <c r="F20" s="44">
        <v>1468.0</v>
      </c>
      <c r="G20" s="44">
        <v>4.448</v>
      </c>
      <c r="H20" s="44">
        <v>1.768</v>
      </c>
      <c r="I20" s="44">
        <v>1.26</v>
      </c>
      <c r="J20" s="44">
        <v>2.489</v>
      </c>
      <c r="K20" s="44">
        <v>1.429</v>
      </c>
      <c r="L20" s="44">
        <v>1.448</v>
      </c>
      <c r="M20" s="44">
        <v>0.12</v>
      </c>
      <c r="N20" s="44">
        <v>0.48</v>
      </c>
      <c r="O20" s="44">
        <v>0.0</v>
      </c>
      <c r="P20" s="44">
        <v>0.5</v>
      </c>
      <c r="Q20" s="44">
        <v>1.0</v>
      </c>
      <c r="R20" s="44">
        <v>0.0</v>
      </c>
      <c r="S20" s="44">
        <v>1.047</v>
      </c>
      <c r="T20" s="44">
        <v>0.17</v>
      </c>
      <c r="U20" s="44">
        <v>0.75</v>
      </c>
      <c r="V20" s="44">
        <v>15.0</v>
      </c>
      <c r="W20" s="44">
        <v>0.17</v>
      </c>
      <c r="X20" s="44">
        <v>0.75</v>
      </c>
      <c r="Y20" s="44">
        <v>15.0</v>
      </c>
      <c r="Z20" s="44">
        <v>2.0</v>
      </c>
      <c r="AA20" s="44">
        <v>0.0</v>
      </c>
      <c r="AB20" s="44">
        <v>8.0</v>
      </c>
      <c r="AC20" s="44">
        <v>14.0</v>
      </c>
      <c r="AD20" s="44">
        <v>1.4</v>
      </c>
      <c r="AE20" s="44">
        <v>2.0</v>
      </c>
      <c r="AF20" s="44">
        <v>-6.0</v>
      </c>
      <c r="AG20" s="44">
        <v>-0.3</v>
      </c>
      <c r="AH20" s="44">
        <v>1.4</v>
      </c>
      <c r="AI20" s="44">
        <v>0.0</v>
      </c>
      <c r="AJ20" s="44">
        <v>5359.0</v>
      </c>
      <c r="AK20" s="44">
        <v>0.0</v>
      </c>
      <c r="AL20" s="44">
        <v>6500.0</v>
      </c>
      <c r="AM20" s="44">
        <v>6700.0</v>
      </c>
      <c r="AN20" s="44">
        <v>700.0</v>
      </c>
      <c r="AO20" s="44">
        <v>4000.0</v>
      </c>
      <c r="AP20" s="44">
        <v>6000.0</v>
      </c>
      <c r="AQ20" s="44">
        <v>2.0</v>
      </c>
      <c r="AR20" s="57" t="s">
        <v>1303</v>
      </c>
      <c r="AS20" s="57" t="s">
        <v>1304</v>
      </c>
      <c r="AT20" s="57" t="s">
        <v>1305</v>
      </c>
      <c r="AU20" s="57" t="s">
        <v>1306</v>
      </c>
      <c r="AV20" s="57" t="s">
        <v>1307</v>
      </c>
      <c r="AW20" s="57" t="s">
        <v>1308</v>
      </c>
      <c r="AX20" s="57" t="s">
        <v>1309</v>
      </c>
      <c r="AY20" s="57" t="s">
        <v>1310</v>
      </c>
      <c r="AZ20" s="57" t="s">
        <v>1311</v>
      </c>
      <c r="BA20" s="57" t="s">
        <v>1312</v>
      </c>
      <c r="BB20" s="57" t="s">
        <v>1313</v>
      </c>
      <c r="BC20" s="57" t="s">
        <v>1314</v>
      </c>
      <c r="BD20" s="57" t="s">
        <v>1315</v>
      </c>
      <c r="BE20" s="57" t="s">
        <v>1316</v>
      </c>
      <c r="BF20" s="57" t="s">
        <v>1052</v>
      </c>
      <c r="BG20" s="57" t="s">
        <v>1029</v>
      </c>
      <c r="BH20" s="57" t="s">
        <v>1030</v>
      </c>
      <c r="BI20" s="57" t="s">
        <v>1031</v>
      </c>
      <c r="BJ20" s="57" t="s">
        <v>1032</v>
      </c>
      <c r="BK20" s="57" t="s">
        <v>1033</v>
      </c>
      <c r="BL20" s="57" t="s">
        <v>1034</v>
      </c>
      <c r="BM20" s="57" t="s">
        <v>1035</v>
      </c>
      <c r="BN20" s="57" t="s">
        <v>1036</v>
      </c>
      <c r="BO20" s="57" t="s">
        <v>1037</v>
      </c>
      <c r="BP20" s="44">
        <v>0.0</v>
      </c>
      <c r="BQ20" s="44">
        <v>4.0</v>
      </c>
      <c r="BR20" s="44">
        <v>2.2</v>
      </c>
      <c r="BS20" s="44">
        <v>1.64</v>
      </c>
      <c r="BT20" s="44">
        <v>1.31</v>
      </c>
      <c r="BU20" s="44">
        <v>1.0</v>
      </c>
      <c r="BV20" s="44">
        <v>0.0</v>
      </c>
      <c r="BW20" s="44">
        <v>0.0</v>
      </c>
      <c r="BX20" s="44">
        <v>0.0</v>
      </c>
      <c r="BY20" s="44">
        <v>0.0</v>
      </c>
      <c r="BZ20" s="44">
        <v>2.2</v>
      </c>
      <c r="CA20" s="44">
        <v>3.366</v>
      </c>
      <c r="CB20" s="44">
        <v>0.0</v>
      </c>
      <c r="CC20" s="44">
        <v>0.0</v>
      </c>
      <c r="CD20" s="44">
        <v>0.0</v>
      </c>
      <c r="CE20" s="44">
        <v>7000.0</v>
      </c>
      <c r="CF20" s="44">
        <v>6500.0</v>
      </c>
      <c r="CG20" s="44">
        <v>1.0</v>
      </c>
      <c r="CH20" s="44">
        <v>0.0</v>
      </c>
      <c r="CI20" s="44">
        <v>0.0</v>
      </c>
      <c r="CJ20" s="2"/>
      <c r="CK20" s="2"/>
    </row>
    <row r="21">
      <c r="A21" s="46">
        <v>20.0</v>
      </c>
      <c r="B21" s="46">
        <v>26.0</v>
      </c>
      <c r="C21" s="46" t="s">
        <v>108</v>
      </c>
      <c r="D21" s="46" t="s">
        <v>109</v>
      </c>
      <c r="E21" s="46" t="s">
        <v>110</v>
      </c>
      <c r="F21" s="46">
        <v>1350.0</v>
      </c>
      <c r="G21" s="46">
        <v>4.613</v>
      </c>
      <c r="H21" s="46">
        <v>1.732</v>
      </c>
      <c r="I21" s="46">
        <v>1.298</v>
      </c>
      <c r="J21" s="46">
        <v>2.743</v>
      </c>
      <c r="K21" s="46">
        <v>1.422</v>
      </c>
      <c r="L21" s="46">
        <v>1.422</v>
      </c>
      <c r="M21" s="46">
        <v>0.16</v>
      </c>
      <c r="N21" s="46">
        <v>0.52</v>
      </c>
      <c r="O21" s="46">
        <v>0.0</v>
      </c>
      <c r="P21" s="46">
        <v>0.55</v>
      </c>
      <c r="Q21" s="46">
        <v>1.0</v>
      </c>
      <c r="R21" s="46">
        <v>0.0</v>
      </c>
      <c r="S21" s="46">
        <v>1.076</v>
      </c>
      <c r="T21" s="46">
        <v>0.195</v>
      </c>
      <c r="U21" s="46">
        <v>0.7</v>
      </c>
      <c r="V21" s="46">
        <v>14.0</v>
      </c>
      <c r="W21" s="46">
        <v>0.195</v>
      </c>
      <c r="X21" s="46">
        <v>0.7</v>
      </c>
      <c r="Y21" s="46">
        <v>14.0</v>
      </c>
      <c r="Z21" s="46">
        <v>1.0</v>
      </c>
      <c r="AA21" s="46">
        <v>0.0</v>
      </c>
      <c r="AB21" s="46">
        <v>4.0</v>
      </c>
      <c r="AC21" s="46">
        <v>12.0</v>
      </c>
      <c r="AD21" s="46">
        <v>1.4</v>
      </c>
      <c r="AE21" s="46">
        <v>1.5</v>
      </c>
      <c r="AF21" s="46">
        <v>-4.0</v>
      </c>
      <c r="AG21" s="46">
        <v>0.0</v>
      </c>
      <c r="AH21" s="46">
        <v>1.4</v>
      </c>
      <c r="AI21" s="46">
        <v>0.5</v>
      </c>
      <c r="AJ21" s="46">
        <v>4736.0</v>
      </c>
      <c r="AK21" s="46">
        <v>0.0</v>
      </c>
      <c r="AL21" s="46">
        <v>6000.0</v>
      </c>
      <c r="AM21" s="46">
        <v>6200.0</v>
      </c>
      <c r="AN21" s="46">
        <v>900.0</v>
      </c>
      <c r="AO21" s="46">
        <v>3400.0</v>
      </c>
      <c r="AP21" s="46">
        <v>6000.0</v>
      </c>
      <c r="AQ21" s="46">
        <v>2.0</v>
      </c>
      <c r="AR21" s="58" t="s">
        <v>1317</v>
      </c>
      <c r="AS21" s="58" t="s">
        <v>1318</v>
      </c>
      <c r="AT21" s="58" t="s">
        <v>1319</v>
      </c>
      <c r="AU21" s="58" t="s">
        <v>1320</v>
      </c>
      <c r="AV21" s="58" t="s">
        <v>1321</v>
      </c>
      <c r="AW21" s="58" t="s">
        <v>1322</v>
      </c>
      <c r="AX21" s="58" t="s">
        <v>1323</v>
      </c>
      <c r="AY21" s="58" t="s">
        <v>1324</v>
      </c>
      <c r="AZ21" s="58" t="s">
        <v>1325</v>
      </c>
      <c r="BA21" s="58" t="s">
        <v>1326</v>
      </c>
      <c r="BB21" s="58" t="s">
        <v>1327</v>
      </c>
      <c r="BC21" s="58" t="s">
        <v>1328</v>
      </c>
      <c r="BD21" s="58" t="s">
        <v>1329</v>
      </c>
      <c r="BE21" s="58" t="s">
        <v>1330</v>
      </c>
      <c r="BF21" s="58" t="s">
        <v>1052</v>
      </c>
      <c r="BG21" s="58" t="s">
        <v>1029</v>
      </c>
      <c r="BH21" s="58" t="s">
        <v>1030</v>
      </c>
      <c r="BI21" s="58" t="s">
        <v>1031</v>
      </c>
      <c r="BJ21" s="58" t="s">
        <v>1032</v>
      </c>
      <c r="BK21" s="58" t="s">
        <v>1033</v>
      </c>
      <c r="BL21" s="58" t="s">
        <v>1034</v>
      </c>
      <c r="BM21" s="58" t="s">
        <v>1035</v>
      </c>
      <c r="BN21" s="58" t="s">
        <v>1036</v>
      </c>
      <c r="BO21" s="58" t="s">
        <v>1037</v>
      </c>
      <c r="BP21" s="46">
        <v>0.0</v>
      </c>
      <c r="BQ21" s="46">
        <v>4.0</v>
      </c>
      <c r="BR21" s="46">
        <v>2.32</v>
      </c>
      <c r="BS21" s="46">
        <v>1.69</v>
      </c>
      <c r="BT21" s="46">
        <v>1.29</v>
      </c>
      <c r="BU21" s="46">
        <v>1.0</v>
      </c>
      <c r="BV21" s="46">
        <v>0.0</v>
      </c>
      <c r="BW21" s="46">
        <v>0.0</v>
      </c>
      <c r="BX21" s="46">
        <v>0.0</v>
      </c>
      <c r="BY21" s="46">
        <v>0.0</v>
      </c>
      <c r="BZ21" s="46">
        <v>2.32</v>
      </c>
      <c r="CA21" s="46">
        <v>3.5</v>
      </c>
      <c r="CB21" s="46">
        <v>0.0</v>
      </c>
      <c r="CC21" s="46">
        <v>0.0</v>
      </c>
      <c r="CD21" s="46">
        <v>0.0</v>
      </c>
      <c r="CE21" s="46">
        <v>8000.0</v>
      </c>
      <c r="CF21" s="46">
        <v>6000.0</v>
      </c>
      <c r="CG21" s="46">
        <v>0.0</v>
      </c>
      <c r="CH21" s="46">
        <v>0.0</v>
      </c>
      <c r="CI21" s="46">
        <v>37.0</v>
      </c>
      <c r="CJ21" s="2"/>
      <c r="CK21" s="2"/>
    </row>
    <row r="22">
      <c r="A22" s="44">
        <v>21.0</v>
      </c>
      <c r="B22" s="44">
        <v>27.0</v>
      </c>
      <c r="C22" s="44" t="s">
        <v>111</v>
      </c>
      <c r="D22" s="44" t="s">
        <v>112</v>
      </c>
      <c r="E22" s="44" t="s">
        <v>113</v>
      </c>
      <c r="F22" s="44">
        <v>602.0</v>
      </c>
      <c r="G22" s="44">
        <v>3.49</v>
      </c>
      <c r="H22" s="44">
        <v>1.35</v>
      </c>
      <c r="I22" s="44">
        <v>1.26</v>
      </c>
      <c r="J22" s="44">
        <v>2.03</v>
      </c>
      <c r="K22" s="44">
        <v>1.16</v>
      </c>
      <c r="L22" s="44">
        <v>1.14</v>
      </c>
      <c r="M22" s="44">
        <v>0.127</v>
      </c>
      <c r="N22" s="44">
        <v>0.46</v>
      </c>
      <c r="O22" s="44">
        <v>0.0</v>
      </c>
      <c r="P22" s="44">
        <v>0.47</v>
      </c>
      <c r="Q22" s="44">
        <v>0.85</v>
      </c>
      <c r="R22" s="44">
        <v>0.0</v>
      </c>
      <c r="S22" s="44">
        <v>0.997</v>
      </c>
      <c r="T22" s="44">
        <v>0.135</v>
      </c>
      <c r="U22" s="44">
        <v>0.82</v>
      </c>
      <c r="V22" s="44">
        <v>13.0</v>
      </c>
      <c r="W22" s="44">
        <v>0.135</v>
      </c>
      <c r="X22" s="44">
        <v>0.82</v>
      </c>
      <c r="Y22" s="44">
        <v>13.0</v>
      </c>
      <c r="Z22" s="44">
        <v>0.0</v>
      </c>
      <c r="AA22" s="44">
        <v>1.0</v>
      </c>
      <c r="AB22" s="44">
        <v>3.0</v>
      </c>
      <c r="AC22" s="44">
        <v>6.5</v>
      </c>
      <c r="AD22" s="44">
        <v>1.4</v>
      </c>
      <c r="AE22" s="44">
        <v>1.0</v>
      </c>
      <c r="AF22" s="44">
        <v>0.0</v>
      </c>
      <c r="AG22" s="44">
        <v>0.0</v>
      </c>
      <c r="AH22" s="44">
        <v>1.4</v>
      </c>
      <c r="AI22" s="44">
        <v>0.5</v>
      </c>
      <c r="AJ22" s="44">
        <v>948.0</v>
      </c>
      <c r="AK22" s="44">
        <v>0.0</v>
      </c>
      <c r="AL22" s="44">
        <v>5500.0</v>
      </c>
      <c r="AM22" s="44">
        <v>5500.0</v>
      </c>
      <c r="AN22" s="44">
        <v>700.0</v>
      </c>
      <c r="AO22" s="44">
        <v>3300.0</v>
      </c>
      <c r="AP22" s="44">
        <v>5000.0</v>
      </c>
      <c r="AQ22" s="44">
        <v>0.0</v>
      </c>
      <c r="AR22" s="57" t="s">
        <v>1331</v>
      </c>
      <c r="AS22" s="57" t="s">
        <v>1332</v>
      </c>
      <c r="AT22" s="57" t="s">
        <v>1333</v>
      </c>
      <c r="AU22" s="57" t="s">
        <v>1334</v>
      </c>
      <c r="AV22" s="57" t="s">
        <v>1335</v>
      </c>
      <c r="AW22" s="57" t="s">
        <v>1336</v>
      </c>
      <c r="AX22" s="57" t="s">
        <v>1337</v>
      </c>
      <c r="AY22" s="57" t="s">
        <v>1137</v>
      </c>
      <c r="AZ22" s="57" t="s">
        <v>1338</v>
      </c>
      <c r="BA22" s="57" t="s">
        <v>1339</v>
      </c>
      <c r="BB22" s="57" t="s">
        <v>1340</v>
      </c>
      <c r="BC22" s="57" t="s">
        <v>1341</v>
      </c>
      <c r="BD22" s="57" t="s">
        <v>1342</v>
      </c>
      <c r="BE22" s="57" t="s">
        <v>1143</v>
      </c>
      <c r="BF22" s="57" t="s">
        <v>1052</v>
      </c>
      <c r="BG22" s="57" t="s">
        <v>1029</v>
      </c>
      <c r="BH22" s="57" t="s">
        <v>1030</v>
      </c>
      <c r="BI22" s="57" t="s">
        <v>1031</v>
      </c>
      <c r="BJ22" s="57" t="s">
        <v>1032</v>
      </c>
      <c r="BK22" s="57" t="s">
        <v>1033</v>
      </c>
      <c r="BL22" s="57" t="s">
        <v>1034</v>
      </c>
      <c r="BM22" s="57" t="s">
        <v>1035</v>
      </c>
      <c r="BN22" s="57" t="s">
        <v>1036</v>
      </c>
      <c r="BO22" s="57" t="s">
        <v>1037</v>
      </c>
      <c r="BP22" s="44">
        <v>0.0</v>
      </c>
      <c r="BQ22" s="44">
        <v>4.0</v>
      </c>
      <c r="BR22" s="44">
        <v>3.627</v>
      </c>
      <c r="BS22" s="44">
        <v>2.374</v>
      </c>
      <c r="BT22" s="44">
        <v>1.412</v>
      </c>
      <c r="BU22" s="44">
        <v>1.0</v>
      </c>
      <c r="BV22" s="44">
        <v>0.0</v>
      </c>
      <c r="BW22" s="44">
        <v>0.0</v>
      </c>
      <c r="BX22" s="44">
        <v>0.0</v>
      </c>
      <c r="BY22" s="44">
        <v>0.0</v>
      </c>
      <c r="BZ22" s="44">
        <v>4.664</v>
      </c>
      <c r="CA22" s="44">
        <v>4.22</v>
      </c>
      <c r="CB22" s="44">
        <v>0.0</v>
      </c>
      <c r="CC22" s="44">
        <v>0.0</v>
      </c>
      <c r="CD22" s="44">
        <v>0.0</v>
      </c>
      <c r="CE22" s="44">
        <v>6000.0</v>
      </c>
      <c r="CF22" s="44">
        <v>5500.0</v>
      </c>
      <c r="CG22" s="44">
        <v>0.0</v>
      </c>
      <c r="CH22" s="44">
        <v>0.0</v>
      </c>
      <c r="CI22" s="44">
        <v>0.0</v>
      </c>
      <c r="CJ22" s="2"/>
      <c r="CK22" s="2"/>
    </row>
    <row r="23">
      <c r="A23" s="46">
        <v>22.0</v>
      </c>
      <c r="B23" s="46">
        <v>28.0</v>
      </c>
      <c r="C23" s="46" t="s">
        <v>114</v>
      </c>
      <c r="D23" s="46" t="s">
        <v>115</v>
      </c>
      <c r="E23" s="46" t="s">
        <v>116</v>
      </c>
      <c r="F23" s="46">
        <v>980.0</v>
      </c>
      <c r="G23" s="46">
        <v>3.71</v>
      </c>
      <c r="H23" s="46">
        <v>1.75</v>
      </c>
      <c r="I23" s="46">
        <v>1.114</v>
      </c>
      <c r="J23" s="46">
        <v>2.18</v>
      </c>
      <c r="K23" s="46">
        <v>1.43</v>
      </c>
      <c r="L23" s="46">
        <v>1.46</v>
      </c>
      <c r="M23" s="46">
        <v>0.1</v>
      </c>
      <c r="N23" s="46">
        <v>0.54</v>
      </c>
      <c r="O23" s="46">
        <v>2.0</v>
      </c>
      <c r="P23" s="46">
        <v>0.43</v>
      </c>
      <c r="Q23" s="46">
        <v>1.0</v>
      </c>
      <c r="R23" s="46">
        <v>0.0</v>
      </c>
      <c r="S23" s="46">
        <v>0.929</v>
      </c>
      <c r="T23" s="46">
        <v>0.205</v>
      </c>
      <c r="U23" s="46">
        <v>0.7</v>
      </c>
      <c r="V23" s="46">
        <v>14.0</v>
      </c>
      <c r="W23" s="46">
        <v>0.205</v>
      </c>
      <c r="X23" s="46">
        <v>0.7</v>
      </c>
      <c r="Y23" s="46">
        <v>14.0</v>
      </c>
      <c r="Z23" s="46">
        <v>2.0</v>
      </c>
      <c r="AA23" s="46">
        <v>1.0</v>
      </c>
      <c r="AB23" s="46">
        <v>4.0</v>
      </c>
      <c r="AC23" s="46">
        <v>14.0</v>
      </c>
      <c r="AD23" s="46">
        <v>1.5</v>
      </c>
      <c r="AE23" s="46">
        <v>2.0</v>
      </c>
      <c r="AF23" s="46">
        <v>-5.0</v>
      </c>
      <c r="AG23" s="46">
        <v>0.0</v>
      </c>
      <c r="AH23" s="46">
        <v>1.5</v>
      </c>
      <c r="AI23" s="46">
        <v>1.0</v>
      </c>
      <c r="AJ23" s="46">
        <v>2418.0</v>
      </c>
      <c r="AK23" s="46">
        <v>0.0</v>
      </c>
      <c r="AL23" s="46">
        <v>7800.0</v>
      </c>
      <c r="AM23" s="46">
        <v>8000.0</v>
      </c>
      <c r="AN23" s="46">
        <v>700.0</v>
      </c>
      <c r="AO23" s="46">
        <v>4000.0</v>
      </c>
      <c r="AP23" s="46">
        <v>7000.0</v>
      </c>
      <c r="AQ23" s="46">
        <v>0.0</v>
      </c>
      <c r="AR23" s="58" t="s">
        <v>1343</v>
      </c>
      <c r="AS23" s="58" t="s">
        <v>1344</v>
      </c>
      <c r="AT23" s="58" t="s">
        <v>1345</v>
      </c>
      <c r="AU23" s="58" t="s">
        <v>1346</v>
      </c>
      <c r="AV23" s="58" t="s">
        <v>1347</v>
      </c>
      <c r="AW23" s="58" t="s">
        <v>1348</v>
      </c>
      <c r="AX23" s="58" t="s">
        <v>1349</v>
      </c>
      <c r="AY23" s="58" t="s">
        <v>1350</v>
      </c>
      <c r="AZ23" s="58" t="s">
        <v>1351</v>
      </c>
      <c r="BA23" s="58" t="s">
        <v>1352</v>
      </c>
      <c r="BB23" s="58" t="s">
        <v>1353</v>
      </c>
      <c r="BC23" s="58" t="s">
        <v>1354</v>
      </c>
      <c r="BD23" s="58" t="s">
        <v>1355</v>
      </c>
      <c r="BE23" s="58" t="s">
        <v>1356</v>
      </c>
      <c r="BF23" s="58" t="s">
        <v>1357</v>
      </c>
      <c r="BG23" s="58" t="s">
        <v>1358</v>
      </c>
      <c r="BH23" s="58" t="s">
        <v>1030</v>
      </c>
      <c r="BI23" s="58" t="s">
        <v>1031</v>
      </c>
      <c r="BJ23" s="58" t="s">
        <v>1032</v>
      </c>
      <c r="BK23" s="58" t="s">
        <v>1033</v>
      </c>
      <c r="BL23" s="58" t="s">
        <v>1034</v>
      </c>
      <c r="BM23" s="58" t="s">
        <v>1035</v>
      </c>
      <c r="BN23" s="58" t="s">
        <v>1036</v>
      </c>
      <c r="BO23" s="58" t="s">
        <v>1037</v>
      </c>
      <c r="BP23" s="46">
        <v>0.0</v>
      </c>
      <c r="BQ23" s="46">
        <v>5.0</v>
      </c>
      <c r="BR23" s="46">
        <v>3.554</v>
      </c>
      <c r="BS23" s="46">
        <v>2.459</v>
      </c>
      <c r="BT23" s="46">
        <v>1.781</v>
      </c>
      <c r="BU23" s="46">
        <v>1.32</v>
      </c>
      <c r="BV23" s="46">
        <v>0.986</v>
      </c>
      <c r="BW23" s="46">
        <v>0.0</v>
      </c>
      <c r="BX23" s="46">
        <v>0.0</v>
      </c>
      <c r="BY23" s="46">
        <v>0.0</v>
      </c>
      <c r="BZ23" s="46">
        <v>3.3</v>
      </c>
      <c r="CA23" s="46">
        <v>3.824</v>
      </c>
      <c r="CB23" s="46">
        <v>3.0</v>
      </c>
      <c r="CC23" s="46">
        <v>0.0</v>
      </c>
      <c r="CD23" s="46">
        <v>0.0</v>
      </c>
      <c r="CE23" s="46">
        <v>9000.0</v>
      </c>
      <c r="CF23" s="46">
        <v>8000.0</v>
      </c>
      <c r="CG23" s="46">
        <v>1.0</v>
      </c>
      <c r="CH23" s="46">
        <v>0.0</v>
      </c>
      <c r="CI23" s="46">
        <v>0.0</v>
      </c>
      <c r="CJ23" s="2"/>
      <c r="CK23" s="2"/>
    </row>
    <row r="24">
      <c r="A24" s="44">
        <v>23.0</v>
      </c>
      <c r="B24" s="44">
        <v>29.0</v>
      </c>
      <c r="C24" s="44" t="s">
        <v>117</v>
      </c>
      <c r="D24" s="44" t="s">
        <v>118</v>
      </c>
      <c r="E24" s="44" t="s">
        <v>119</v>
      </c>
      <c r="F24" s="44">
        <v>970.0</v>
      </c>
      <c r="G24" s="44">
        <v>3.665</v>
      </c>
      <c r="H24" s="44">
        <v>1.75</v>
      </c>
      <c r="I24" s="44">
        <v>1.325</v>
      </c>
      <c r="J24" s="44">
        <v>2.43</v>
      </c>
      <c r="K24" s="44">
        <v>1.345</v>
      </c>
      <c r="L24" s="44">
        <v>1.47</v>
      </c>
      <c r="M24" s="44">
        <v>0.11</v>
      </c>
      <c r="N24" s="44">
        <v>0.6</v>
      </c>
      <c r="O24" s="44">
        <v>2.0</v>
      </c>
      <c r="P24" s="44">
        <v>0.49</v>
      </c>
      <c r="Q24" s="44">
        <v>1.0</v>
      </c>
      <c r="R24" s="44">
        <v>0.0</v>
      </c>
      <c r="S24" s="44">
        <v>1.068</v>
      </c>
      <c r="T24" s="44">
        <v>0.19</v>
      </c>
      <c r="U24" s="44">
        <v>0.55</v>
      </c>
      <c r="V24" s="44">
        <v>13.0</v>
      </c>
      <c r="W24" s="44">
        <v>0.22</v>
      </c>
      <c r="X24" s="44">
        <v>0.55</v>
      </c>
      <c r="Y24" s="44">
        <v>14.0</v>
      </c>
      <c r="Z24" s="44">
        <v>0.0</v>
      </c>
      <c r="AA24" s="44">
        <v>0.0</v>
      </c>
      <c r="AB24" s="44">
        <v>11.3</v>
      </c>
      <c r="AC24" s="44">
        <v>15.0</v>
      </c>
      <c r="AD24" s="44">
        <v>1.5</v>
      </c>
      <c r="AE24" s="44">
        <v>1.5</v>
      </c>
      <c r="AF24" s="44">
        <v>-2.5</v>
      </c>
      <c r="AG24" s="44">
        <v>-0.3</v>
      </c>
      <c r="AH24" s="44">
        <v>1.5</v>
      </c>
      <c r="AI24" s="44">
        <v>1.0</v>
      </c>
      <c r="AJ24" s="44">
        <v>1397.0</v>
      </c>
      <c r="AK24" s="44">
        <v>1.0</v>
      </c>
      <c r="AL24" s="44">
        <v>6200.0</v>
      </c>
      <c r="AM24" s="44">
        <v>6200.0</v>
      </c>
      <c r="AN24" s="44">
        <v>900.0</v>
      </c>
      <c r="AO24" s="44">
        <v>3250.0</v>
      </c>
      <c r="AP24" s="44">
        <v>6000.0</v>
      </c>
      <c r="AQ24" s="44">
        <v>0.0</v>
      </c>
      <c r="AR24" s="57" t="s">
        <v>1359</v>
      </c>
      <c r="AS24" s="57" t="s">
        <v>1360</v>
      </c>
      <c r="AT24" s="57" t="s">
        <v>1361</v>
      </c>
      <c r="AU24" s="57" t="s">
        <v>1362</v>
      </c>
      <c r="AV24" s="57" t="s">
        <v>1363</v>
      </c>
      <c r="AW24" s="57" t="s">
        <v>1364</v>
      </c>
      <c r="AX24" s="57" t="s">
        <v>1365</v>
      </c>
      <c r="AY24" s="57" t="s">
        <v>1366</v>
      </c>
      <c r="AZ24" s="57" t="s">
        <v>1367</v>
      </c>
      <c r="BA24" s="57" t="s">
        <v>1368</v>
      </c>
      <c r="BB24" s="57" t="s">
        <v>1369</v>
      </c>
      <c r="BC24" s="57" t="s">
        <v>1370</v>
      </c>
      <c r="BD24" s="57" t="s">
        <v>1371</v>
      </c>
      <c r="BE24" s="57" t="s">
        <v>1372</v>
      </c>
      <c r="BF24" s="57" t="s">
        <v>1052</v>
      </c>
      <c r="BG24" s="57" t="s">
        <v>1029</v>
      </c>
      <c r="BH24" s="57" t="s">
        <v>1030</v>
      </c>
      <c r="BI24" s="57" t="s">
        <v>1031</v>
      </c>
      <c r="BJ24" s="57" t="s">
        <v>1032</v>
      </c>
      <c r="BK24" s="57" t="s">
        <v>1033</v>
      </c>
      <c r="BL24" s="57" t="s">
        <v>1034</v>
      </c>
      <c r="BM24" s="57" t="s">
        <v>1035</v>
      </c>
      <c r="BN24" s="57" t="s">
        <v>1036</v>
      </c>
      <c r="BO24" s="57" t="s">
        <v>1037</v>
      </c>
      <c r="BP24" s="44">
        <v>0.0</v>
      </c>
      <c r="BQ24" s="44">
        <v>5.0</v>
      </c>
      <c r="BR24" s="44">
        <v>3.364</v>
      </c>
      <c r="BS24" s="44">
        <v>2.059</v>
      </c>
      <c r="BT24" s="44">
        <v>1.381</v>
      </c>
      <c r="BU24" s="44">
        <v>1.057</v>
      </c>
      <c r="BV24" s="44">
        <v>0.868</v>
      </c>
      <c r="BW24" s="44">
        <v>0.0</v>
      </c>
      <c r="BX24" s="44">
        <v>0.0</v>
      </c>
      <c r="BY24" s="44">
        <v>0.0</v>
      </c>
      <c r="BZ24" s="44">
        <v>3.182</v>
      </c>
      <c r="CA24" s="44">
        <v>3.889</v>
      </c>
      <c r="CB24" s="44">
        <v>3.0</v>
      </c>
      <c r="CC24" s="44">
        <v>0.0</v>
      </c>
      <c r="CD24" s="44">
        <v>0.0</v>
      </c>
      <c r="CE24" s="44">
        <v>8000.0</v>
      </c>
      <c r="CF24" s="44">
        <v>6200.0</v>
      </c>
      <c r="CG24" s="44">
        <v>0.0</v>
      </c>
      <c r="CH24" s="44">
        <v>0.0</v>
      </c>
      <c r="CI24" s="44">
        <v>0.0</v>
      </c>
      <c r="CJ24" s="2"/>
      <c r="CK24" s="2"/>
    </row>
    <row r="25">
      <c r="A25" s="46">
        <v>24.0</v>
      </c>
      <c r="B25" s="46">
        <v>31.0</v>
      </c>
      <c r="C25" s="46" t="s">
        <v>120</v>
      </c>
      <c r="D25" s="46" t="s">
        <v>121</v>
      </c>
      <c r="E25" s="46" t="s">
        <v>122</v>
      </c>
      <c r="F25" s="46">
        <v>1550.0</v>
      </c>
      <c r="G25" s="46">
        <v>4.86</v>
      </c>
      <c r="H25" s="46">
        <v>1.79</v>
      </c>
      <c r="I25" s="46">
        <v>1.35</v>
      </c>
      <c r="J25" s="46">
        <v>2.69</v>
      </c>
      <c r="K25" s="46">
        <v>1.52</v>
      </c>
      <c r="L25" s="46">
        <v>1.52</v>
      </c>
      <c r="M25" s="46">
        <v>0.13</v>
      </c>
      <c r="N25" s="46">
        <v>0.445</v>
      </c>
      <c r="O25" s="46">
        <v>0.0</v>
      </c>
      <c r="P25" s="46">
        <v>0.5</v>
      </c>
      <c r="Q25" s="46">
        <v>1.1</v>
      </c>
      <c r="R25" s="46">
        <v>0.0</v>
      </c>
      <c r="S25" s="46">
        <v>1.1</v>
      </c>
      <c r="T25" s="46">
        <v>0.225</v>
      </c>
      <c r="U25" s="46">
        <v>0.55</v>
      </c>
      <c r="V25" s="46">
        <v>16.0</v>
      </c>
      <c r="W25" s="46">
        <v>0.225</v>
      </c>
      <c r="X25" s="46">
        <v>0.55</v>
      </c>
      <c r="Y25" s="46">
        <v>16.0</v>
      </c>
      <c r="Z25" s="46">
        <v>-1.0</v>
      </c>
      <c r="AA25" s="46">
        <v>0.0</v>
      </c>
      <c r="AB25" s="46">
        <v>2.55</v>
      </c>
      <c r="AC25" s="46">
        <v>9.0</v>
      </c>
      <c r="AD25" s="46">
        <v>1.4</v>
      </c>
      <c r="AE25" s="46">
        <v>2.0</v>
      </c>
      <c r="AF25" s="46">
        <v>-4.0</v>
      </c>
      <c r="AG25" s="46">
        <v>-0.5</v>
      </c>
      <c r="AH25" s="46">
        <v>1.4</v>
      </c>
      <c r="AI25" s="46">
        <v>2.0</v>
      </c>
      <c r="AJ25" s="46">
        <v>2491.0</v>
      </c>
      <c r="AK25" s="46">
        <v>1.0</v>
      </c>
      <c r="AL25" s="46">
        <v>7000.0</v>
      </c>
      <c r="AM25" s="46">
        <v>7200.0</v>
      </c>
      <c r="AN25" s="46">
        <v>900.0</v>
      </c>
      <c r="AO25" s="46">
        <v>4800.0</v>
      </c>
      <c r="AP25" s="46">
        <v>6200.0</v>
      </c>
      <c r="AQ25" s="46">
        <v>0.0</v>
      </c>
      <c r="AR25" s="58" t="s">
        <v>1373</v>
      </c>
      <c r="AS25" s="58" t="s">
        <v>1374</v>
      </c>
      <c r="AT25" s="58" t="s">
        <v>1375</v>
      </c>
      <c r="AU25" s="58" t="s">
        <v>1376</v>
      </c>
      <c r="AV25" s="58" t="s">
        <v>1377</v>
      </c>
      <c r="AW25" s="58" t="s">
        <v>1378</v>
      </c>
      <c r="AX25" s="58" t="s">
        <v>1379</v>
      </c>
      <c r="AY25" s="58" t="s">
        <v>1380</v>
      </c>
      <c r="AZ25" s="58" t="s">
        <v>1381</v>
      </c>
      <c r="BA25" s="58" t="s">
        <v>1382</v>
      </c>
      <c r="BB25" s="58" t="s">
        <v>1383</v>
      </c>
      <c r="BC25" s="58" t="s">
        <v>1384</v>
      </c>
      <c r="BD25" s="58" t="s">
        <v>1385</v>
      </c>
      <c r="BE25" s="58" t="s">
        <v>1386</v>
      </c>
      <c r="BF25" s="58" t="s">
        <v>1387</v>
      </c>
      <c r="BG25" s="58" t="s">
        <v>1388</v>
      </c>
      <c r="BH25" s="58" t="s">
        <v>1030</v>
      </c>
      <c r="BI25" s="58" t="s">
        <v>1031</v>
      </c>
      <c r="BJ25" s="58" t="s">
        <v>1032</v>
      </c>
      <c r="BK25" s="58" t="s">
        <v>1033</v>
      </c>
      <c r="BL25" s="58" t="s">
        <v>1034</v>
      </c>
      <c r="BM25" s="58" t="s">
        <v>1035</v>
      </c>
      <c r="BN25" s="58" t="s">
        <v>1036</v>
      </c>
      <c r="BO25" s="58" t="s">
        <v>1037</v>
      </c>
      <c r="BP25" s="46">
        <v>0.0</v>
      </c>
      <c r="BQ25" s="46">
        <v>5.0</v>
      </c>
      <c r="BR25" s="46">
        <v>3.251</v>
      </c>
      <c r="BS25" s="46">
        <v>1.955</v>
      </c>
      <c r="BT25" s="46">
        <v>1.31</v>
      </c>
      <c r="BU25" s="46">
        <v>1.0</v>
      </c>
      <c r="BV25" s="46">
        <v>0.753</v>
      </c>
      <c r="BW25" s="46">
        <v>0.0</v>
      </c>
      <c r="BX25" s="46">
        <v>0.0</v>
      </c>
      <c r="BY25" s="46">
        <v>0.0</v>
      </c>
      <c r="BZ25" s="46">
        <v>3.18</v>
      </c>
      <c r="CA25" s="46">
        <v>4.083</v>
      </c>
      <c r="CB25" s="46">
        <v>2.0</v>
      </c>
      <c r="CC25" s="46">
        <v>0.0</v>
      </c>
      <c r="CD25" s="46">
        <v>0.0</v>
      </c>
      <c r="CE25" s="46">
        <v>8000.0</v>
      </c>
      <c r="CF25" s="46">
        <v>7000.0</v>
      </c>
      <c r="CG25" s="46">
        <v>0.0</v>
      </c>
      <c r="CH25" s="46">
        <v>0.0</v>
      </c>
      <c r="CI25" s="46">
        <v>0.0</v>
      </c>
      <c r="CJ25" s="2"/>
      <c r="CK25" s="2"/>
    </row>
    <row r="26">
      <c r="A26" s="44">
        <v>25.0</v>
      </c>
      <c r="B26" s="44">
        <v>32.0</v>
      </c>
      <c r="C26" s="44" t="s">
        <v>123</v>
      </c>
      <c r="D26" s="44" t="s">
        <v>124</v>
      </c>
      <c r="E26" s="44" t="s">
        <v>125</v>
      </c>
      <c r="F26" s="44">
        <v>1880.0</v>
      </c>
      <c r="G26" s="44">
        <v>4.805</v>
      </c>
      <c r="H26" s="44">
        <v>1.8</v>
      </c>
      <c r="I26" s="44">
        <v>1.435</v>
      </c>
      <c r="J26" s="44">
        <v>2.8</v>
      </c>
      <c r="K26" s="44">
        <v>1.535</v>
      </c>
      <c r="L26" s="44">
        <v>1.515</v>
      </c>
      <c r="M26" s="44">
        <v>0.13</v>
      </c>
      <c r="N26" s="44">
        <v>0.446</v>
      </c>
      <c r="O26" s="44">
        <v>0.0</v>
      </c>
      <c r="P26" s="44">
        <v>0.5</v>
      </c>
      <c r="Q26" s="44">
        <v>1.05</v>
      </c>
      <c r="R26" s="44">
        <v>0.0</v>
      </c>
      <c r="S26" s="44">
        <v>1.173</v>
      </c>
      <c r="T26" s="44">
        <v>0.235</v>
      </c>
      <c r="U26" s="44">
        <v>0.45</v>
      </c>
      <c r="V26" s="44">
        <v>17.0</v>
      </c>
      <c r="W26" s="44">
        <v>0.235</v>
      </c>
      <c r="X26" s="44">
        <v>0.45</v>
      </c>
      <c r="Y26" s="44">
        <v>17.0</v>
      </c>
      <c r="Z26" s="44">
        <v>2.0</v>
      </c>
      <c r="AA26" s="44">
        <v>-0.2</v>
      </c>
      <c r="AB26" s="44">
        <v>7.4</v>
      </c>
      <c r="AC26" s="44">
        <v>8.55</v>
      </c>
      <c r="AD26" s="44">
        <v>1.8</v>
      </c>
      <c r="AE26" s="44">
        <v>4.0</v>
      </c>
      <c r="AF26" s="44">
        <v>-4.0</v>
      </c>
      <c r="AG26" s="44">
        <v>-0.55</v>
      </c>
      <c r="AH26" s="44">
        <v>1.8</v>
      </c>
      <c r="AI26" s="44">
        <v>1.0</v>
      </c>
      <c r="AJ26" s="44">
        <v>2997.0</v>
      </c>
      <c r="AK26" s="44">
        <v>1.0</v>
      </c>
      <c r="AL26" s="44">
        <v>6500.0</v>
      </c>
      <c r="AM26" s="44">
        <v>6700.0</v>
      </c>
      <c r="AN26" s="44">
        <v>700.0</v>
      </c>
      <c r="AO26" s="44">
        <v>3600.0</v>
      </c>
      <c r="AP26" s="44">
        <v>5600.0</v>
      </c>
      <c r="AQ26" s="44">
        <v>0.0</v>
      </c>
      <c r="AR26" s="57" t="s">
        <v>1389</v>
      </c>
      <c r="AS26" s="57" t="s">
        <v>1390</v>
      </c>
      <c r="AT26" s="57" t="s">
        <v>1391</v>
      </c>
      <c r="AU26" s="57" t="s">
        <v>1392</v>
      </c>
      <c r="AV26" s="57" t="s">
        <v>1393</v>
      </c>
      <c r="AW26" s="57" t="s">
        <v>1394</v>
      </c>
      <c r="AX26" s="57" t="s">
        <v>1395</v>
      </c>
      <c r="AY26" s="57" t="s">
        <v>1396</v>
      </c>
      <c r="AZ26" s="57" t="s">
        <v>1397</v>
      </c>
      <c r="BA26" s="57" t="s">
        <v>1398</v>
      </c>
      <c r="BB26" s="57" t="s">
        <v>1399</v>
      </c>
      <c r="BC26" s="57" t="s">
        <v>1400</v>
      </c>
      <c r="BD26" s="57" t="s">
        <v>1401</v>
      </c>
      <c r="BE26" s="57" t="s">
        <v>1402</v>
      </c>
      <c r="BF26" s="57" t="s">
        <v>1052</v>
      </c>
      <c r="BG26" s="57" t="s">
        <v>1029</v>
      </c>
      <c r="BH26" s="57" t="s">
        <v>1030</v>
      </c>
      <c r="BI26" s="57" t="s">
        <v>1031</v>
      </c>
      <c r="BJ26" s="57" t="s">
        <v>1032</v>
      </c>
      <c r="BK26" s="57" t="s">
        <v>1033</v>
      </c>
      <c r="BL26" s="57" t="s">
        <v>1034</v>
      </c>
      <c r="BM26" s="57" t="s">
        <v>1035</v>
      </c>
      <c r="BN26" s="57" t="s">
        <v>1036</v>
      </c>
      <c r="BO26" s="57" t="s">
        <v>1037</v>
      </c>
      <c r="BP26" s="44">
        <v>1.0</v>
      </c>
      <c r="BQ26" s="44">
        <v>4.0</v>
      </c>
      <c r="BR26" s="44">
        <v>2.804</v>
      </c>
      <c r="BS26" s="44">
        <v>1.531</v>
      </c>
      <c r="BT26" s="44">
        <v>1.0</v>
      </c>
      <c r="BU26" s="44">
        <v>0.705</v>
      </c>
      <c r="BV26" s="44">
        <v>0.0</v>
      </c>
      <c r="BW26" s="44">
        <v>0.0</v>
      </c>
      <c r="BX26" s="44">
        <v>0.0</v>
      </c>
      <c r="BY26" s="44">
        <v>0.0</v>
      </c>
      <c r="BZ26" s="44">
        <v>2.393</v>
      </c>
      <c r="CA26" s="44">
        <v>3.769</v>
      </c>
      <c r="CB26" s="44">
        <v>2.0</v>
      </c>
      <c r="CC26" s="44">
        <v>0.0</v>
      </c>
      <c r="CD26" s="44">
        <v>0.0</v>
      </c>
      <c r="CE26" s="44">
        <v>8000.0</v>
      </c>
      <c r="CF26" s="44">
        <v>6500.0</v>
      </c>
      <c r="CG26" s="44">
        <v>0.0</v>
      </c>
      <c r="CH26" s="44">
        <v>1.0</v>
      </c>
      <c r="CI26" s="44">
        <v>0.0</v>
      </c>
      <c r="CJ26" s="2"/>
      <c r="CK26" s="2"/>
    </row>
    <row r="27">
      <c r="A27" s="46">
        <v>26.0</v>
      </c>
      <c r="B27" s="46">
        <v>35.0</v>
      </c>
      <c r="C27" s="46" t="s">
        <v>126</v>
      </c>
      <c r="D27" s="46" t="s">
        <v>127</v>
      </c>
      <c r="E27" s="46" t="s">
        <v>128</v>
      </c>
      <c r="F27" s="46">
        <v>1240.0</v>
      </c>
      <c r="G27" s="46">
        <v>4.275</v>
      </c>
      <c r="H27" s="46">
        <v>1.695</v>
      </c>
      <c r="I27" s="46">
        <v>1.49</v>
      </c>
      <c r="J27" s="46">
        <v>2.55</v>
      </c>
      <c r="K27" s="46">
        <v>1.475</v>
      </c>
      <c r="L27" s="46">
        <v>1.48</v>
      </c>
      <c r="M27" s="46">
        <v>0.14</v>
      </c>
      <c r="N27" s="46">
        <v>0.395</v>
      </c>
      <c r="O27" s="46">
        <v>1.0</v>
      </c>
      <c r="P27" s="46">
        <v>0.5</v>
      </c>
      <c r="Q27" s="46">
        <v>0.9</v>
      </c>
      <c r="R27" s="46">
        <v>0.0</v>
      </c>
      <c r="S27" s="46">
        <v>1.175</v>
      </c>
      <c r="T27" s="46">
        <v>0.165</v>
      </c>
      <c r="U27" s="46">
        <v>0.65</v>
      </c>
      <c r="V27" s="46">
        <v>15.0</v>
      </c>
      <c r="W27" s="46">
        <v>0.165</v>
      </c>
      <c r="X27" s="46">
        <v>0.65</v>
      </c>
      <c r="Y27" s="46">
        <v>15.0</v>
      </c>
      <c r="Z27" s="46">
        <v>-1.0</v>
      </c>
      <c r="AA27" s="46">
        <v>-0.25</v>
      </c>
      <c r="AB27" s="46">
        <v>0.5</v>
      </c>
      <c r="AC27" s="46">
        <v>9.5</v>
      </c>
      <c r="AD27" s="46">
        <v>1.3</v>
      </c>
      <c r="AE27" s="46">
        <v>0.5</v>
      </c>
      <c r="AF27" s="46">
        <v>0.0</v>
      </c>
      <c r="AG27" s="46">
        <v>-0.3</v>
      </c>
      <c r="AH27" s="46">
        <v>1.3</v>
      </c>
      <c r="AI27" s="46">
        <v>0.0</v>
      </c>
      <c r="AJ27" s="46">
        <v>1496.0</v>
      </c>
      <c r="AK27" s="46">
        <v>0.0</v>
      </c>
      <c r="AL27" s="46">
        <v>6000.0</v>
      </c>
      <c r="AM27" s="46">
        <v>6000.0</v>
      </c>
      <c r="AN27" s="46">
        <v>0.0</v>
      </c>
      <c r="AO27" s="46">
        <v>4000.0</v>
      </c>
      <c r="AP27" s="46">
        <v>4000.0</v>
      </c>
      <c r="AQ27" s="46">
        <v>0.0</v>
      </c>
      <c r="AR27" s="58" t="s">
        <v>1403</v>
      </c>
      <c r="AS27" s="58" t="s">
        <v>1404</v>
      </c>
      <c r="AT27" s="58" t="s">
        <v>1405</v>
      </c>
      <c r="AU27" s="58" t="s">
        <v>1406</v>
      </c>
      <c r="AV27" s="58" t="s">
        <v>1407</v>
      </c>
      <c r="AW27" s="58" t="s">
        <v>1408</v>
      </c>
      <c r="AX27" s="58" t="s">
        <v>1409</v>
      </c>
      <c r="AY27" s="58" t="s">
        <v>1410</v>
      </c>
      <c r="AZ27" s="58" t="s">
        <v>1411</v>
      </c>
      <c r="BA27" s="58" t="s">
        <v>1412</v>
      </c>
      <c r="BB27" s="58" t="s">
        <v>1413</v>
      </c>
      <c r="BC27" s="58" t="s">
        <v>1414</v>
      </c>
      <c r="BD27" s="58" t="s">
        <v>1415</v>
      </c>
      <c r="BE27" s="58" t="s">
        <v>1143</v>
      </c>
      <c r="BF27" s="58" t="s">
        <v>1052</v>
      </c>
      <c r="BG27" s="58" t="s">
        <v>1029</v>
      </c>
      <c r="BH27" s="58" t="s">
        <v>1030</v>
      </c>
      <c r="BI27" s="58" t="s">
        <v>1031</v>
      </c>
      <c r="BJ27" s="58" t="s">
        <v>1032</v>
      </c>
      <c r="BK27" s="58" t="s">
        <v>1033</v>
      </c>
      <c r="BL27" s="58" t="s">
        <v>1034</v>
      </c>
      <c r="BM27" s="58" t="s">
        <v>1035</v>
      </c>
      <c r="BN27" s="58" t="s">
        <v>1036</v>
      </c>
      <c r="BO27" s="58" t="s">
        <v>1037</v>
      </c>
      <c r="BP27" s="46">
        <v>2.0</v>
      </c>
      <c r="BQ27" s="46">
        <v>2.0</v>
      </c>
      <c r="BR27" s="46">
        <v>2.8</v>
      </c>
      <c r="BS27" s="46">
        <v>0.8</v>
      </c>
      <c r="BT27" s="46">
        <v>0.0</v>
      </c>
      <c r="BU27" s="46">
        <v>0.0</v>
      </c>
      <c r="BV27" s="46">
        <v>0.0</v>
      </c>
      <c r="BW27" s="46">
        <v>0.0</v>
      </c>
      <c r="BX27" s="46">
        <v>0.0</v>
      </c>
      <c r="BY27" s="46">
        <v>0.0</v>
      </c>
      <c r="BZ27" s="46">
        <v>3.1</v>
      </c>
      <c r="CA27" s="46">
        <v>3.927</v>
      </c>
      <c r="CB27" s="46">
        <v>0.0</v>
      </c>
      <c r="CC27" s="46">
        <v>0.0</v>
      </c>
      <c r="CD27" s="46">
        <v>0.0</v>
      </c>
      <c r="CE27" s="46">
        <v>0.0</v>
      </c>
      <c r="CF27" s="46">
        <v>0.0</v>
      </c>
      <c r="CG27" s="46">
        <v>0.0</v>
      </c>
      <c r="CH27" s="46">
        <v>0.0</v>
      </c>
      <c r="CI27" s="46">
        <v>0.0</v>
      </c>
      <c r="CJ27" s="2"/>
      <c r="CK27" s="2"/>
    </row>
    <row r="28">
      <c r="A28" s="44">
        <v>27.0</v>
      </c>
      <c r="B28" s="44">
        <v>36.0</v>
      </c>
      <c r="C28" s="44" t="s">
        <v>129</v>
      </c>
      <c r="D28" s="44" t="s">
        <v>130</v>
      </c>
      <c r="E28" s="44" t="s">
        <v>131</v>
      </c>
      <c r="F28" s="44">
        <v>2100.0</v>
      </c>
      <c r="G28" s="44">
        <v>4.995</v>
      </c>
      <c r="H28" s="44">
        <v>1.83</v>
      </c>
      <c r="I28" s="44">
        <v>1.47</v>
      </c>
      <c r="J28" s="44">
        <v>2.925</v>
      </c>
      <c r="K28" s="44">
        <v>1.575</v>
      </c>
      <c r="L28" s="44">
        <v>1.575</v>
      </c>
      <c r="M28" s="44">
        <v>0.15</v>
      </c>
      <c r="N28" s="44">
        <v>0.467</v>
      </c>
      <c r="O28" s="44">
        <v>0.0</v>
      </c>
      <c r="P28" s="44">
        <v>0.52</v>
      </c>
      <c r="Q28" s="44">
        <v>1.05</v>
      </c>
      <c r="R28" s="44">
        <v>0.0</v>
      </c>
      <c r="S28" s="44">
        <v>1.189</v>
      </c>
      <c r="T28" s="44">
        <v>0.225</v>
      </c>
      <c r="U28" s="44">
        <v>0.6</v>
      </c>
      <c r="V28" s="44">
        <v>16.0</v>
      </c>
      <c r="W28" s="44">
        <v>0.225</v>
      </c>
      <c r="X28" s="44">
        <v>0.6</v>
      </c>
      <c r="Y28" s="44">
        <v>16.0</v>
      </c>
      <c r="Z28" s="44">
        <v>1.0</v>
      </c>
      <c r="AA28" s="44">
        <v>-0.15</v>
      </c>
      <c r="AB28" s="44">
        <v>7.15</v>
      </c>
      <c r="AC28" s="44">
        <v>9.15</v>
      </c>
      <c r="AD28" s="44">
        <v>1.7</v>
      </c>
      <c r="AE28" s="44">
        <v>3.0</v>
      </c>
      <c r="AF28" s="44">
        <v>-3.0</v>
      </c>
      <c r="AG28" s="44">
        <v>-1.35</v>
      </c>
      <c r="AH28" s="44">
        <v>1.7</v>
      </c>
      <c r="AI28" s="44">
        <v>1.0</v>
      </c>
      <c r="AJ28" s="44">
        <v>4292.0</v>
      </c>
      <c r="AK28" s="44">
        <v>0.0</v>
      </c>
      <c r="AL28" s="44">
        <v>6200.0</v>
      </c>
      <c r="AM28" s="44">
        <v>6200.0</v>
      </c>
      <c r="AN28" s="44">
        <v>700.0</v>
      </c>
      <c r="AO28" s="44">
        <v>3400.0</v>
      </c>
      <c r="AP28" s="44">
        <v>5600.0</v>
      </c>
      <c r="AQ28" s="44">
        <v>0.0</v>
      </c>
      <c r="AR28" s="57" t="s">
        <v>1416</v>
      </c>
      <c r="AS28" s="57" t="s">
        <v>1417</v>
      </c>
      <c r="AT28" s="57" t="s">
        <v>1418</v>
      </c>
      <c r="AU28" s="57" t="s">
        <v>1419</v>
      </c>
      <c r="AV28" s="57" t="s">
        <v>1420</v>
      </c>
      <c r="AW28" s="57" t="s">
        <v>1421</v>
      </c>
      <c r="AX28" s="57" t="s">
        <v>1422</v>
      </c>
      <c r="AY28" s="57" t="s">
        <v>1423</v>
      </c>
      <c r="AZ28" s="57" t="s">
        <v>1424</v>
      </c>
      <c r="BA28" s="57" t="s">
        <v>1425</v>
      </c>
      <c r="BB28" s="57" t="s">
        <v>1426</v>
      </c>
      <c r="BC28" s="57" t="s">
        <v>1427</v>
      </c>
      <c r="BD28" s="57" t="s">
        <v>1428</v>
      </c>
      <c r="BE28" s="57" t="s">
        <v>1143</v>
      </c>
      <c r="BF28" s="57" t="s">
        <v>1052</v>
      </c>
      <c r="BG28" s="57" t="s">
        <v>1029</v>
      </c>
      <c r="BH28" s="57" t="s">
        <v>1030</v>
      </c>
      <c r="BI28" s="57" t="s">
        <v>1031</v>
      </c>
      <c r="BJ28" s="57" t="s">
        <v>1032</v>
      </c>
      <c r="BK28" s="57" t="s">
        <v>1033</v>
      </c>
      <c r="BL28" s="57" t="s">
        <v>1034</v>
      </c>
      <c r="BM28" s="57" t="s">
        <v>1035</v>
      </c>
      <c r="BN28" s="57" t="s">
        <v>1036</v>
      </c>
      <c r="BO28" s="57" t="s">
        <v>1037</v>
      </c>
      <c r="BP28" s="44">
        <v>1.0</v>
      </c>
      <c r="BQ28" s="44">
        <v>5.0</v>
      </c>
      <c r="BR28" s="44">
        <v>3.357</v>
      </c>
      <c r="BS28" s="44">
        <v>2.18</v>
      </c>
      <c r="BT28" s="44">
        <v>1.424</v>
      </c>
      <c r="BU28" s="44">
        <v>1.0</v>
      </c>
      <c r="BV28" s="44">
        <v>0.753</v>
      </c>
      <c r="BW28" s="44">
        <v>0.0</v>
      </c>
      <c r="BX28" s="44">
        <v>0.0</v>
      </c>
      <c r="BY28" s="44">
        <v>0.0</v>
      </c>
      <c r="BZ28" s="44">
        <v>3.431</v>
      </c>
      <c r="CA28" s="44">
        <v>3.266</v>
      </c>
      <c r="CB28" s="44">
        <v>0.0</v>
      </c>
      <c r="CC28" s="44">
        <v>0.0</v>
      </c>
      <c r="CD28" s="44">
        <v>0.0</v>
      </c>
      <c r="CE28" s="44">
        <v>8000.0</v>
      </c>
      <c r="CF28" s="44">
        <v>6200.0</v>
      </c>
      <c r="CG28" s="44">
        <v>0.0</v>
      </c>
      <c r="CH28" s="44">
        <v>1.0</v>
      </c>
      <c r="CI28" s="44">
        <v>0.0</v>
      </c>
      <c r="CJ28" s="2"/>
      <c r="CK28" s="2"/>
    </row>
    <row r="29">
      <c r="A29" s="46">
        <v>28.0</v>
      </c>
      <c r="B29" s="46">
        <v>37.0</v>
      </c>
      <c r="C29" s="46" t="s">
        <v>132</v>
      </c>
      <c r="D29" s="46" t="s">
        <v>133</v>
      </c>
      <c r="E29" s="46" t="s">
        <v>134</v>
      </c>
      <c r="F29" s="46">
        <v>1360.0</v>
      </c>
      <c r="G29" s="46">
        <v>4.4</v>
      </c>
      <c r="H29" s="46">
        <v>1.725</v>
      </c>
      <c r="I29" s="46">
        <v>1.41</v>
      </c>
      <c r="J29" s="46">
        <v>2.67</v>
      </c>
      <c r="K29" s="46">
        <v>1.495</v>
      </c>
      <c r="L29" s="46">
        <v>1.485</v>
      </c>
      <c r="M29" s="46">
        <v>0.135</v>
      </c>
      <c r="N29" s="46">
        <v>0.456</v>
      </c>
      <c r="O29" s="46">
        <v>0.0</v>
      </c>
      <c r="P29" s="46">
        <v>0.5</v>
      </c>
      <c r="Q29" s="46">
        <v>1.05</v>
      </c>
      <c r="R29" s="46">
        <v>0.0</v>
      </c>
      <c r="S29" s="46">
        <v>1.155</v>
      </c>
      <c r="T29" s="46">
        <v>0.215</v>
      </c>
      <c r="U29" s="46">
        <v>0.45</v>
      </c>
      <c r="V29" s="46">
        <v>17.0</v>
      </c>
      <c r="W29" s="46">
        <v>0.215</v>
      </c>
      <c r="X29" s="46">
        <v>0.45</v>
      </c>
      <c r="Y29" s="46">
        <v>17.0</v>
      </c>
      <c r="Z29" s="46">
        <v>-1.0</v>
      </c>
      <c r="AA29" s="46">
        <v>-0.3</v>
      </c>
      <c r="AB29" s="46">
        <v>6.05</v>
      </c>
      <c r="AC29" s="46">
        <v>9.25</v>
      </c>
      <c r="AD29" s="46">
        <v>1.4</v>
      </c>
      <c r="AE29" s="46">
        <v>2.0</v>
      </c>
      <c r="AF29" s="46">
        <v>-2.0</v>
      </c>
      <c r="AG29" s="46">
        <v>-0.55</v>
      </c>
      <c r="AH29" s="46">
        <v>1.4</v>
      </c>
      <c r="AI29" s="46">
        <v>1.0</v>
      </c>
      <c r="AJ29" s="46">
        <v>1998.0</v>
      </c>
      <c r="AK29" s="46">
        <v>0.0</v>
      </c>
      <c r="AL29" s="46">
        <v>7800.0</v>
      </c>
      <c r="AM29" s="46">
        <v>8000.0</v>
      </c>
      <c r="AN29" s="46">
        <v>700.0</v>
      </c>
      <c r="AO29" s="46">
        <v>6400.0</v>
      </c>
      <c r="AP29" s="46">
        <v>7600.0</v>
      </c>
      <c r="AQ29" s="46">
        <v>0.0</v>
      </c>
      <c r="AR29" s="58" t="s">
        <v>1429</v>
      </c>
      <c r="AS29" s="58" t="s">
        <v>1430</v>
      </c>
      <c r="AT29" s="58" t="s">
        <v>1431</v>
      </c>
      <c r="AU29" s="58" t="s">
        <v>1432</v>
      </c>
      <c r="AV29" s="58" t="s">
        <v>1433</v>
      </c>
      <c r="AW29" s="58" t="s">
        <v>1434</v>
      </c>
      <c r="AX29" s="58" t="s">
        <v>1435</v>
      </c>
      <c r="AY29" s="58" t="s">
        <v>1436</v>
      </c>
      <c r="AZ29" s="58" t="s">
        <v>1437</v>
      </c>
      <c r="BA29" s="58" t="s">
        <v>1438</v>
      </c>
      <c r="BB29" s="58" t="s">
        <v>1439</v>
      </c>
      <c r="BC29" s="58" t="s">
        <v>1440</v>
      </c>
      <c r="BD29" s="58" t="s">
        <v>1441</v>
      </c>
      <c r="BE29" s="58" t="s">
        <v>1442</v>
      </c>
      <c r="BF29" s="58" t="s">
        <v>1443</v>
      </c>
      <c r="BG29" s="58" t="s">
        <v>1444</v>
      </c>
      <c r="BH29" s="58" t="s">
        <v>1445</v>
      </c>
      <c r="BI29" s="58" t="s">
        <v>1031</v>
      </c>
      <c r="BJ29" s="58" t="s">
        <v>1032</v>
      </c>
      <c r="BK29" s="58" t="s">
        <v>1033</v>
      </c>
      <c r="BL29" s="58" t="s">
        <v>1034</v>
      </c>
      <c r="BM29" s="58" t="s">
        <v>1035</v>
      </c>
      <c r="BN29" s="58" t="s">
        <v>1036</v>
      </c>
      <c r="BO29" s="58" t="s">
        <v>1037</v>
      </c>
      <c r="BP29" s="46">
        <v>0.0</v>
      </c>
      <c r="BQ29" s="46">
        <v>6.0</v>
      </c>
      <c r="BR29" s="46">
        <v>3.874</v>
      </c>
      <c r="BS29" s="46">
        <v>2.175</v>
      </c>
      <c r="BT29" s="46">
        <v>1.484</v>
      </c>
      <c r="BU29" s="46">
        <v>1.223</v>
      </c>
      <c r="BV29" s="46">
        <v>1.0</v>
      </c>
      <c r="BW29" s="46">
        <v>0.869</v>
      </c>
      <c r="BX29" s="46">
        <v>0.0</v>
      </c>
      <c r="BY29" s="46">
        <v>0.0</v>
      </c>
      <c r="BZ29" s="46">
        <v>3.672</v>
      </c>
      <c r="CA29" s="46">
        <v>4.3</v>
      </c>
      <c r="CB29" s="46">
        <v>2.0</v>
      </c>
      <c r="CC29" s="46">
        <v>0.0</v>
      </c>
      <c r="CD29" s="46">
        <v>0.0</v>
      </c>
      <c r="CE29" s="46">
        <v>9000.0</v>
      </c>
      <c r="CF29" s="46">
        <v>7800.0</v>
      </c>
      <c r="CG29" s="46">
        <v>0.0</v>
      </c>
      <c r="CH29" s="46">
        <v>1.0</v>
      </c>
      <c r="CI29" s="46">
        <v>0.0</v>
      </c>
      <c r="CJ29" s="2"/>
      <c r="CK29" s="2"/>
    </row>
    <row r="30">
      <c r="A30" s="44">
        <v>29.0</v>
      </c>
      <c r="B30" s="44">
        <v>38.0</v>
      </c>
      <c r="C30" s="44" t="s">
        <v>135</v>
      </c>
      <c r="D30" s="44" t="s">
        <v>136</v>
      </c>
      <c r="E30" s="44" t="s">
        <v>137</v>
      </c>
      <c r="F30" s="44">
        <v>1850.0</v>
      </c>
      <c r="G30" s="44">
        <v>4.77</v>
      </c>
      <c r="H30" s="44">
        <v>1.79</v>
      </c>
      <c r="I30" s="44">
        <v>1.78</v>
      </c>
      <c r="J30" s="44">
        <v>2.9</v>
      </c>
      <c r="K30" s="44">
        <v>1.545</v>
      </c>
      <c r="L30" s="44">
        <v>1.53</v>
      </c>
      <c r="M30" s="44">
        <v>0.15</v>
      </c>
      <c r="N30" s="44">
        <v>0.443</v>
      </c>
      <c r="O30" s="44">
        <v>4.0</v>
      </c>
      <c r="P30" s="44">
        <v>0.53</v>
      </c>
      <c r="Q30" s="44">
        <v>0.9</v>
      </c>
      <c r="R30" s="44">
        <v>0.0</v>
      </c>
      <c r="S30" s="44">
        <v>1.42</v>
      </c>
      <c r="T30" s="44">
        <v>0.205</v>
      </c>
      <c r="U30" s="44">
        <v>0.65</v>
      </c>
      <c r="V30" s="44">
        <v>15.0</v>
      </c>
      <c r="W30" s="44">
        <v>0.205</v>
      </c>
      <c r="X30" s="44">
        <v>0.65</v>
      </c>
      <c r="Y30" s="44">
        <v>15.0</v>
      </c>
      <c r="Z30" s="44">
        <v>0.0</v>
      </c>
      <c r="AA30" s="44">
        <v>-0.2</v>
      </c>
      <c r="AB30" s="44">
        <v>2.25</v>
      </c>
      <c r="AC30" s="44">
        <v>11.05</v>
      </c>
      <c r="AD30" s="44">
        <v>1.4</v>
      </c>
      <c r="AE30" s="44">
        <v>1.0</v>
      </c>
      <c r="AF30" s="44">
        <v>-1.0</v>
      </c>
      <c r="AG30" s="44">
        <v>-1.25</v>
      </c>
      <c r="AH30" s="44">
        <v>1.4</v>
      </c>
      <c r="AI30" s="44">
        <v>0.5</v>
      </c>
      <c r="AJ30" s="44">
        <v>2362.0</v>
      </c>
      <c r="AK30" s="44">
        <v>5.0</v>
      </c>
      <c r="AL30" s="44">
        <v>6000.0</v>
      </c>
      <c r="AM30" s="44">
        <v>6000.0</v>
      </c>
      <c r="AN30" s="44">
        <v>0.0</v>
      </c>
      <c r="AO30" s="44">
        <v>4000.0</v>
      </c>
      <c r="AP30" s="44">
        <v>5600.0</v>
      </c>
      <c r="AQ30" s="44">
        <v>0.0</v>
      </c>
      <c r="AR30" s="57" t="s">
        <v>1446</v>
      </c>
      <c r="AS30" s="57" t="s">
        <v>1447</v>
      </c>
      <c r="AT30" s="57" t="s">
        <v>1448</v>
      </c>
      <c r="AU30" s="57" t="s">
        <v>1449</v>
      </c>
      <c r="AV30" s="57" t="s">
        <v>1450</v>
      </c>
      <c r="AW30" s="57" t="s">
        <v>1451</v>
      </c>
      <c r="AX30" s="57" t="s">
        <v>1452</v>
      </c>
      <c r="AY30" s="57" t="s">
        <v>1453</v>
      </c>
      <c r="AZ30" s="57" t="s">
        <v>1454</v>
      </c>
      <c r="BA30" s="57" t="s">
        <v>1455</v>
      </c>
      <c r="BB30" s="57" t="s">
        <v>1456</v>
      </c>
      <c r="BC30" s="57" t="s">
        <v>1457</v>
      </c>
      <c r="BD30" s="57" t="s">
        <v>1342</v>
      </c>
      <c r="BE30" s="57" t="s">
        <v>1143</v>
      </c>
      <c r="BF30" s="57" t="s">
        <v>1052</v>
      </c>
      <c r="BG30" s="57" t="s">
        <v>1029</v>
      </c>
      <c r="BH30" s="57" t="s">
        <v>1030</v>
      </c>
      <c r="BI30" s="57" t="s">
        <v>1031</v>
      </c>
      <c r="BJ30" s="57" t="s">
        <v>1032</v>
      </c>
      <c r="BK30" s="57" t="s">
        <v>1033</v>
      </c>
      <c r="BL30" s="57" t="s">
        <v>1034</v>
      </c>
      <c r="BM30" s="57" t="s">
        <v>1035</v>
      </c>
      <c r="BN30" s="57" t="s">
        <v>1036</v>
      </c>
      <c r="BO30" s="57" t="s">
        <v>1037</v>
      </c>
      <c r="BP30" s="44">
        <v>2.0</v>
      </c>
      <c r="BQ30" s="44">
        <v>2.0</v>
      </c>
      <c r="BR30" s="44">
        <v>2.396</v>
      </c>
      <c r="BS30" s="44">
        <v>0.428</v>
      </c>
      <c r="BT30" s="44">
        <v>0.0</v>
      </c>
      <c r="BU30" s="44">
        <v>0.0</v>
      </c>
      <c r="BV30" s="44">
        <v>0.0</v>
      </c>
      <c r="BW30" s="44">
        <v>0.0</v>
      </c>
      <c r="BX30" s="44">
        <v>0.0</v>
      </c>
      <c r="BY30" s="44">
        <v>0.0</v>
      </c>
      <c r="BZ30" s="44">
        <v>2.396</v>
      </c>
      <c r="CA30" s="44">
        <v>5.182</v>
      </c>
      <c r="CB30" s="44">
        <v>0.0</v>
      </c>
      <c r="CC30" s="44">
        <v>0.0</v>
      </c>
      <c r="CD30" s="44">
        <v>1.0</v>
      </c>
      <c r="CE30" s="44">
        <v>0.0</v>
      </c>
      <c r="CF30" s="44">
        <v>0.0</v>
      </c>
      <c r="CG30" s="44">
        <v>0.0</v>
      </c>
      <c r="CH30" s="44">
        <v>1.0</v>
      </c>
      <c r="CI30" s="44">
        <v>0.0</v>
      </c>
      <c r="CJ30" s="2"/>
      <c r="CK30" s="2"/>
    </row>
    <row r="31">
      <c r="A31" s="46">
        <v>30.0</v>
      </c>
      <c r="B31" s="46">
        <v>39.0</v>
      </c>
      <c r="C31" s="46" t="s">
        <v>138</v>
      </c>
      <c r="D31" s="46" t="s">
        <v>139</v>
      </c>
      <c r="E31" s="46" t="s">
        <v>140</v>
      </c>
      <c r="F31" s="46">
        <v>1080.0</v>
      </c>
      <c r="G31" s="46">
        <v>4.365</v>
      </c>
      <c r="H31" s="46">
        <v>1.695</v>
      </c>
      <c r="I31" s="46">
        <v>1.47</v>
      </c>
      <c r="J31" s="46">
        <v>2.6</v>
      </c>
      <c r="K31" s="46">
        <v>1.48</v>
      </c>
      <c r="L31" s="46">
        <v>1.46</v>
      </c>
      <c r="M31" s="46">
        <v>0.14</v>
      </c>
      <c r="N31" s="46">
        <v>0.361</v>
      </c>
      <c r="O31" s="46">
        <v>1.0</v>
      </c>
      <c r="P31" s="46">
        <v>0.5</v>
      </c>
      <c r="Q31" s="46">
        <v>0.95</v>
      </c>
      <c r="R31" s="46">
        <v>0.0</v>
      </c>
      <c r="S31" s="46">
        <v>1.182</v>
      </c>
      <c r="T31" s="46">
        <v>0.185</v>
      </c>
      <c r="U31" s="46">
        <v>0.7</v>
      </c>
      <c r="V31" s="46">
        <v>14.0</v>
      </c>
      <c r="W31" s="46">
        <v>0.185</v>
      </c>
      <c r="X31" s="46">
        <v>0.7</v>
      </c>
      <c r="Y31" s="46">
        <v>14.0</v>
      </c>
      <c r="Z31" s="46">
        <v>0.0</v>
      </c>
      <c r="AA31" s="46">
        <v>-0.3</v>
      </c>
      <c r="AB31" s="46">
        <v>2.45</v>
      </c>
      <c r="AC31" s="46">
        <v>11.15</v>
      </c>
      <c r="AD31" s="46">
        <v>1.4</v>
      </c>
      <c r="AE31" s="46">
        <v>0.5</v>
      </c>
      <c r="AF31" s="46">
        <v>-2.0</v>
      </c>
      <c r="AG31" s="46">
        <v>-0.3</v>
      </c>
      <c r="AH31" s="46">
        <v>1.4</v>
      </c>
      <c r="AI31" s="46">
        <v>0.5</v>
      </c>
      <c r="AJ31" s="46">
        <v>1794.0</v>
      </c>
      <c r="AK31" s="46">
        <v>0.0</v>
      </c>
      <c r="AL31" s="46">
        <v>6200.0</v>
      </c>
      <c r="AM31" s="46">
        <v>6200.0</v>
      </c>
      <c r="AN31" s="46">
        <v>600.0</v>
      </c>
      <c r="AO31" s="46">
        <v>4200.0</v>
      </c>
      <c r="AP31" s="46">
        <v>6000.0</v>
      </c>
      <c r="AQ31" s="46">
        <v>0.0</v>
      </c>
      <c r="AR31" s="58" t="s">
        <v>1458</v>
      </c>
      <c r="AS31" s="58" t="s">
        <v>1459</v>
      </c>
      <c r="AT31" s="58" t="s">
        <v>1460</v>
      </c>
      <c r="AU31" s="58" t="s">
        <v>1461</v>
      </c>
      <c r="AV31" s="58" t="s">
        <v>1462</v>
      </c>
      <c r="AW31" s="58" t="s">
        <v>1463</v>
      </c>
      <c r="AX31" s="58" t="s">
        <v>1464</v>
      </c>
      <c r="AY31" s="58" t="s">
        <v>1465</v>
      </c>
      <c r="AZ31" s="58" t="s">
        <v>1466</v>
      </c>
      <c r="BA31" s="58" t="s">
        <v>1467</v>
      </c>
      <c r="BB31" s="58" t="s">
        <v>1468</v>
      </c>
      <c r="BC31" s="58" t="s">
        <v>1469</v>
      </c>
      <c r="BD31" s="58" t="s">
        <v>1470</v>
      </c>
      <c r="BE31" s="58" t="s">
        <v>1471</v>
      </c>
      <c r="BF31" s="58" t="s">
        <v>1472</v>
      </c>
      <c r="BG31" s="58" t="s">
        <v>1029</v>
      </c>
      <c r="BH31" s="58" t="s">
        <v>1030</v>
      </c>
      <c r="BI31" s="58" t="s">
        <v>1031</v>
      </c>
      <c r="BJ31" s="58" t="s">
        <v>1032</v>
      </c>
      <c r="BK31" s="58" t="s">
        <v>1033</v>
      </c>
      <c r="BL31" s="58" t="s">
        <v>1034</v>
      </c>
      <c r="BM31" s="58" t="s">
        <v>1035</v>
      </c>
      <c r="BN31" s="58" t="s">
        <v>1036</v>
      </c>
      <c r="BO31" s="58" t="s">
        <v>1037</v>
      </c>
      <c r="BP31" s="46">
        <v>1.0</v>
      </c>
      <c r="BQ31" s="46">
        <v>4.0</v>
      </c>
      <c r="BR31" s="46">
        <v>2.847</v>
      </c>
      <c r="BS31" s="46">
        <v>1.552</v>
      </c>
      <c r="BT31" s="46">
        <v>1.0</v>
      </c>
      <c r="BU31" s="46">
        <v>0.7</v>
      </c>
      <c r="BV31" s="46">
        <v>0.0</v>
      </c>
      <c r="BW31" s="46">
        <v>0.0</v>
      </c>
      <c r="BX31" s="46">
        <v>0.0</v>
      </c>
      <c r="BY31" s="46">
        <v>0.0</v>
      </c>
      <c r="BZ31" s="46">
        <v>2.343</v>
      </c>
      <c r="CA31" s="46">
        <v>4.13</v>
      </c>
      <c r="CB31" s="46">
        <v>0.0</v>
      </c>
      <c r="CC31" s="46">
        <v>0.0</v>
      </c>
      <c r="CD31" s="46">
        <v>0.0</v>
      </c>
      <c r="CE31" s="46">
        <v>8000.0</v>
      </c>
      <c r="CF31" s="46">
        <v>6200.0</v>
      </c>
      <c r="CG31" s="46">
        <v>0.0</v>
      </c>
      <c r="CH31" s="46">
        <v>0.0</v>
      </c>
      <c r="CI31" s="46">
        <v>0.0</v>
      </c>
      <c r="CJ31" s="2"/>
      <c r="CK31" s="2"/>
    </row>
    <row r="32">
      <c r="A32" s="44">
        <v>31.0</v>
      </c>
      <c r="B32" s="44">
        <v>40.0</v>
      </c>
      <c r="C32" s="44" t="s">
        <v>141</v>
      </c>
      <c r="D32" s="44" t="s">
        <v>142</v>
      </c>
      <c r="E32" s="44" t="s">
        <v>143</v>
      </c>
      <c r="F32" s="44">
        <v>1020.0</v>
      </c>
      <c r="G32" s="44">
        <v>3.855</v>
      </c>
      <c r="H32" s="44">
        <v>1.695</v>
      </c>
      <c r="I32" s="44">
        <v>1.53</v>
      </c>
      <c r="J32" s="44">
        <v>2.37</v>
      </c>
      <c r="K32" s="44">
        <v>1.455</v>
      </c>
      <c r="L32" s="44">
        <v>1.435</v>
      </c>
      <c r="M32" s="44">
        <v>0.155</v>
      </c>
      <c r="N32" s="44">
        <v>0.373</v>
      </c>
      <c r="O32" s="44">
        <v>1.0</v>
      </c>
      <c r="P32" s="44">
        <v>0.5</v>
      </c>
      <c r="Q32" s="44">
        <v>0.95</v>
      </c>
      <c r="R32" s="44">
        <v>0.0</v>
      </c>
      <c r="S32" s="44">
        <v>1.257</v>
      </c>
      <c r="T32" s="44">
        <v>0.185</v>
      </c>
      <c r="U32" s="44">
        <v>0.65</v>
      </c>
      <c r="V32" s="44">
        <v>15.0</v>
      </c>
      <c r="W32" s="44">
        <v>0.185</v>
      </c>
      <c r="X32" s="44">
        <v>0.65</v>
      </c>
      <c r="Y32" s="44">
        <v>15.0</v>
      </c>
      <c r="Z32" s="44">
        <v>0.0</v>
      </c>
      <c r="AA32" s="44">
        <v>-0.4</v>
      </c>
      <c r="AB32" s="44">
        <v>1.55</v>
      </c>
      <c r="AC32" s="44">
        <v>10.15</v>
      </c>
      <c r="AD32" s="44">
        <v>1.3</v>
      </c>
      <c r="AE32" s="44">
        <v>0.5</v>
      </c>
      <c r="AF32" s="44">
        <v>-3.0</v>
      </c>
      <c r="AG32" s="44">
        <v>-1.0</v>
      </c>
      <c r="AH32" s="44">
        <v>1.3</v>
      </c>
      <c r="AI32" s="44">
        <v>0.5</v>
      </c>
      <c r="AJ32" s="44">
        <v>1496.0</v>
      </c>
      <c r="AK32" s="44">
        <v>0.0</v>
      </c>
      <c r="AL32" s="44">
        <v>6500.0</v>
      </c>
      <c r="AM32" s="44">
        <v>6500.0</v>
      </c>
      <c r="AN32" s="44">
        <v>700.0</v>
      </c>
      <c r="AO32" s="44">
        <v>4200.0</v>
      </c>
      <c r="AP32" s="44">
        <v>6000.0</v>
      </c>
      <c r="AQ32" s="44">
        <v>0.0</v>
      </c>
      <c r="AR32" s="57" t="s">
        <v>1473</v>
      </c>
      <c r="AS32" s="57" t="s">
        <v>1474</v>
      </c>
      <c r="AT32" s="57" t="s">
        <v>1475</v>
      </c>
      <c r="AU32" s="57" t="s">
        <v>1476</v>
      </c>
      <c r="AV32" s="57" t="s">
        <v>1091</v>
      </c>
      <c r="AW32" s="57" t="s">
        <v>1477</v>
      </c>
      <c r="AX32" s="57" t="s">
        <v>1478</v>
      </c>
      <c r="AY32" s="57" t="s">
        <v>1479</v>
      </c>
      <c r="AZ32" s="57" t="s">
        <v>1480</v>
      </c>
      <c r="BA32" s="57" t="s">
        <v>1481</v>
      </c>
      <c r="BB32" s="57" t="s">
        <v>1482</v>
      </c>
      <c r="BC32" s="57" t="s">
        <v>1483</v>
      </c>
      <c r="BD32" s="57" t="s">
        <v>1484</v>
      </c>
      <c r="BE32" s="57" t="s">
        <v>1485</v>
      </c>
      <c r="BF32" s="57" t="s">
        <v>1052</v>
      </c>
      <c r="BG32" s="57" t="s">
        <v>1029</v>
      </c>
      <c r="BH32" s="57" t="s">
        <v>1030</v>
      </c>
      <c r="BI32" s="57" t="s">
        <v>1031</v>
      </c>
      <c r="BJ32" s="57" t="s">
        <v>1032</v>
      </c>
      <c r="BK32" s="57" t="s">
        <v>1033</v>
      </c>
      <c r="BL32" s="57" t="s">
        <v>1034</v>
      </c>
      <c r="BM32" s="57" t="s">
        <v>1035</v>
      </c>
      <c r="BN32" s="57" t="s">
        <v>1036</v>
      </c>
      <c r="BO32" s="57" t="s">
        <v>1037</v>
      </c>
      <c r="BP32" s="44">
        <v>1.0</v>
      </c>
      <c r="BQ32" s="44">
        <v>4.0</v>
      </c>
      <c r="BR32" s="44">
        <v>2.847</v>
      </c>
      <c r="BS32" s="44">
        <v>1.552</v>
      </c>
      <c r="BT32" s="44">
        <v>1.0</v>
      </c>
      <c r="BU32" s="44">
        <v>0.7</v>
      </c>
      <c r="BV32" s="44">
        <v>0.0</v>
      </c>
      <c r="BW32" s="44">
        <v>0.0</v>
      </c>
      <c r="BX32" s="44">
        <v>0.0</v>
      </c>
      <c r="BY32" s="44">
        <v>0.0</v>
      </c>
      <c r="BZ32" s="44">
        <v>2.343</v>
      </c>
      <c r="CA32" s="44">
        <v>4.237</v>
      </c>
      <c r="CB32" s="44">
        <v>0.0</v>
      </c>
      <c r="CC32" s="44">
        <v>0.0</v>
      </c>
      <c r="CD32" s="44">
        <v>0.0</v>
      </c>
      <c r="CE32" s="44">
        <v>8000.0</v>
      </c>
      <c r="CF32" s="44">
        <v>6500.0</v>
      </c>
      <c r="CG32" s="44">
        <v>0.0</v>
      </c>
      <c r="CH32" s="44">
        <v>1.0</v>
      </c>
      <c r="CI32" s="44">
        <v>0.0</v>
      </c>
      <c r="CJ32" s="2"/>
      <c r="CK32" s="2"/>
    </row>
    <row r="33">
      <c r="A33" s="46">
        <v>32.0</v>
      </c>
      <c r="B33" s="46">
        <v>42.0</v>
      </c>
      <c r="C33" s="46" t="s">
        <v>144</v>
      </c>
      <c r="D33" s="46" t="s">
        <v>145</v>
      </c>
      <c r="E33" s="46" t="s">
        <v>146</v>
      </c>
      <c r="F33" s="46">
        <v>1550.0</v>
      </c>
      <c r="G33" s="46">
        <v>4.675</v>
      </c>
      <c r="H33" s="46">
        <v>1.75</v>
      </c>
      <c r="I33" s="46">
        <v>1.47</v>
      </c>
      <c r="J33" s="46">
        <v>2.85</v>
      </c>
      <c r="K33" s="46">
        <v>1.5</v>
      </c>
      <c r="L33" s="46">
        <v>1.505</v>
      </c>
      <c r="M33" s="46">
        <v>0.12</v>
      </c>
      <c r="N33" s="46">
        <v>0.452</v>
      </c>
      <c r="O33" s="46">
        <v>0.0</v>
      </c>
      <c r="P33" s="46">
        <v>0.5</v>
      </c>
      <c r="Q33" s="46">
        <v>1.05</v>
      </c>
      <c r="R33" s="46">
        <v>0.0</v>
      </c>
      <c r="S33" s="46">
        <v>1.196</v>
      </c>
      <c r="T33" s="46">
        <v>0.215</v>
      </c>
      <c r="U33" s="46">
        <v>0.55</v>
      </c>
      <c r="V33" s="46">
        <v>17.0</v>
      </c>
      <c r="W33" s="46">
        <v>0.215</v>
      </c>
      <c r="X33" s="46">
        <v>0.55</v>
      </c>
      <c r="Y33" s="46">
        <v>17.0</v>
      </c>
      <c r="Z33" s="46">
        <v>-1.0</v>
      </c>
      <c r="AA33" s="46">
        <v>-0.1</v>
      </c>
      <c r="AB33" s="46">
        <v>7.45</v>
      </c>
      <c r="AC33" s="46">
        <v>4.4</v>
      </c>
      <c r="AD33" s="46">
        <v>1.5</v>
      </c>
      <c r="AE33" s="46">
        <v>2.0</v>
      </c>
      <c r="AF33" s="46">
        <v>-2.0</v>
      </c>
      <c r="AG33" s="46">
        <v>-0.35</v>
      </c>
      <c r="AH33" s="46">
        <v>1.5</v>
      </c>
      <c r="AI33" s="46">
        <v>1.0</v>
      </c>
      <c r="AJ33" s="46">
        <v>3498.0</v>
      </c>
      <c r="AK33" s="46">
        <v>0.0</v>
      </c>
      <c r="AL33" s="46">
        <v>6700.0</v>
      </c>
      <c r="AM33" s="46">
        <v>7000.0</v>
      </c>
      <c r="AN33" s="46">
        <v>700.0</v>
      </c>
      <c r="AO33" s="46">
        <v>4800.0</v>
      </c>
      <c r="AP33" s="46">
        <v>6000.0</v>
      </c>
      <c r="AQ33" s="46">
        <v>0.0</v>
      </c>
      <c r="AR33" s="58" t="s">
        <v>1486</v>
      </c>
      <c r="AS33" s="58" t="s">
        <v>1487</v>
      </c>
      <c r="AT33" s="58" t="s">
        <v>1488</v>
      </c>
      <c r="AU33" s="58" t="s">
        <v>1489</v>
      </c>
      <c r="AV33" s="58" t="s">
        <v>1490</v>
      </c>
      <c r="AW33" s="58" t="s">
        <v>1491</v>
      </c>
      <c r="AX33" s="58" t="s">
        <v>1492</v>
      </c>
      <c r="AY33" s="58" t="s">
        <v>1493</v>
      </c>
      <c r="AZ33" s="58" t="s">
        <v>1494</v>
      </c>
      <c r="BA33" s="58" t="s">
        <v>1495</v>
      </c>
      <c r="BB33" s="58" t="s">
        <v>1496</v>
      </c>
      <c r="BC33" s="58" t="s">
        <v>1497</v>
      </c>
      <c r="BD33" s="58" t="s">
        <v>1498</v>
      </c>
      <c r="BE33" s="58" t="s">
        <v>1499</v>
      </c>
      <c r="BF33" s="58" t="s">
        <v>1500</v>
      </c>
      <c r="BG33" s="58" t="s">
        <v>1029</v>
      </c>
      <c r="BH33" s="58" t="s">
        <v>1030</v>
      </c>
      <c r="BI33" s="58" t="s">
        <v>1031</v>
      </c>
      <c r="BJ33" s="58" t="s">
        <v>1032</v>
      </c>
      <c r="BK33" s="58" t="s">
        <v>1033</v>
      </c>
      <c r="BL33" s="58" t="s">
        <v>1034</v>
      </c>
      <c r="BM33" s="58" t="s">
        <v>1035</v>
      </c>
      <c r="BN33" s="58" t="s">
        <v>1036</v>
      </c>
      <c r="BO33" s="58" t="s">
        <v>1037</v>
      </c>
      <c r="BP33" s="46">
        <v>3.0</v>
      </c>
      <c r="BQ33" s="46">
        <v>8.0</v>
      </c>
      <c r="BR33" s="46">
        <v>2.86</v>
      </c>
      <c r="BS33" s="46">
        <v>2.288</v>
      </c>
      <c r="BT33" s="46">
        <v>1.83</v>
      </c>
      <c r="BU33" s="46">
        <v>1.464</v>
      </c>
      <c r="BV33" s="46">
        <v>1.171</v>
      </c>
      <c r="BW33" s="46">
        <v>0.937</v>
      </c>
      <c r="BX33" s="46">
        <v>0.749</v>
      </c>
      <c r="BY33" s="46">
        <v>0.66</v>
      </c>
      <c r="BZ33" s="46">
        <v>1.96</v>
      </c>
      <c r="CA33" s="46">
        <v>3.69</v>
      </c>
      <c r="CB33" s="46">
        <v>2.0</v>
      </c>
      <c r="CC33" s="46">
        <v>0.0</v>
      </c>
      <c r="CD33" s="46">
        <v>0.0</v>
      </c>
      <c r="CE33" s="46">
        <v>8000.0</v>
      </c>
      <c r="CF33" s="46">
        <v>6700.0</v>
      </c>
      <c r="CG33" s="46">
        <v>0.0</v>
      </c>
      <c r="CH33" s="46">
        <v>1.0</v>
      </c>
      <c r="CI33" s="46">
        <v>0.0</v>
      </c>
      <c r="CJ33" s="2"/>
      <c r="CK33" s="2"/>
    </row>
    <row r="34">
      <c r="A34" s="44">
        <v>33.0</v>
      </c>
      <c r="B34" s="44">
        <v>45.0</v>
      </c>
      <c r="C34" s="44" t="s">
        <v>147</v>
      </c>
      <c r="D34" s="44" t="s">
        <v>148</v>
      </c>
      <c r="E34" s="44" t="s">
        <v>149</v>
      </c>
      <c r="F34" s="44">
        <v>1680.0</v>
      </c>
      <c r="G34" s="44">
        <v>4.765</v>
      </c>
      <c r="H34" s="44">
        <v>1.76</v>
      </c>
      <c r="I34" s="44">
        <v>1.51</v>
      </c>
      <c r="J34" s="44">
        <v>2.85</v>
      </c>
      <c r="K34" s="44">
        <v>1.505</v>
      </c>
      <c r="L34" s="44">
        <v>1.505</v>
      </c>
      <c r="M34" s="44">
        <v>0.14</v>
      </c>
      <c r="N34" s="44">
        <v>0.476</v>
      </c>
      <c r="O34" s="44">
        <v>4.0</v>
      </c>
      <c r="P34" s="44">
        <v>0.5</v>
      </c>
      <c r="Q34" s="44">
        <v>1.05</v>
      </c>
      <c r="R34" s="44">
        <v>0.0</v>
      </c>
      <c r="S34" s="44">
        <v>1.187</v>
      </c>
      <c r="T34" s="44">
        <v>0.215</v>
      </c>
      <c r="U34" s="44">
        <v>0.55</v>
      </c>
      <c r="V34" s="44">
        <v>17.0</v>
      </c>
      <c r="W34" s="44">
        <v>0.215</v>
      </c>
      <c r="X34" s="44">
        <v>0.55</v>
      </c>
      <c r="Y34" s="44">
        <v>17.0</v>
      </c>
      <c r="Z34" s="44">
        <v>-1.0</v>
      </c>
      <c r="AA34" s="44">
        <v>-0.1</v>
      </c>
      <c r="AB34" s="44">
        <v>6.35</v>
      </c>
      <c r="AC34" s="44">
        <v>6.0</v>
      </c>
      <c r="AD34" s="44">
        <v>1.4</v>
      </c>
      <c r="AE34" s="44">
        <v>2.0</v>
      </c>
      <c r="AF34" s="44">
        <v>-2.0</v>
      </c>
      <c r="AG34" s="44">
        <v>-0.3</v>
      </c>
      <c r="AH34" s="44">
        <v>1.4</v>
      </c>
      <c r="AI34" s="44">
        <v>1.0</v>
      </c>
      <c r="AJ34" s="44">
        <v>2495.0</v>
      </c>
      <c r="AK34" s="44">
        <v>1.0</v>
      </c>
      <c r="AL34" s="44">
        <v>6600.0</v>
      </c>
      <c r="AM34" s="44">
        <v>6600.0</v>
      </c>
      <c r="AN34" s="44">
        <v>700.0</v>
      </c>
      <c r="AO34" s="44">
        <v>3200.0</v>
      </c>
      <c r="AP34" s="44">
        <v>6400.0</v>
      </c>
      <c r="AQ34" s="44">
        <v>0.0</v>
      </c>
      <c r="AR34" s="57" t="s">
        <v>1501</v>
      </c>
      <c r="AS34" s="57" t="s">
        <v>1502</v>
      </c>
      <c r="AT34" s="57" t="s">
        <v>1503</v>
      </c>
      <c r="AU34" s="57" t="s">
        <v>1504</v>
      </c>
      <c r="AV34" s="57" t="s">
        <v>1505</v>
      </c>
      <c r="AW34" s="57" t="s">
        <v>1506</v>
      </c>
      <c r="AX34" s="57" t="s">
        <v>1507</v>
      </c>
      <c r="AY34" s="57" t="s">
        <v>1508</v>
      </c>
      <c r="AZ34" s="57" t="s">
        <v>1509</v>
      </c>
      <c r="BA34" s="57" t="s">
        <v>1510</v>
      </c>
      <c r="BB34" s="57" t="s">
        <v>1511</v>
      </c>
      <c r="BC34" s="57" t="s">
        <v>1512</v>
      </c>
      <c r="BD34" s="57" t="s">
        <v>1513</v>
      </c>
      <c r="BE34" s="57" t="s">
        <v>1514</v>
      </c>
      <c r="BF34" s="57" t="s">
        <v>1515</v>
      </c>
      <c r="BG34" s="57" t="s">
        <v>1516</v>
      </c>
      <c r="BH34" s="57" t="s">
        <v>1030</v>
      </c>
      <c r="BI34" s="57" t="s">
        <v>1031</v>
      </c>
      <c r="BJ34" s="57" t="s">
        <v>1032</v>
      </c>
      <c r="BK34" s="57" t="s">
        <v>1033</v>
      </c>
      <c r="BL34" s="57" t="s">
        <v>1034</v>
      </c>
      <c r="BM34" s="57" t="s">
        <v>1035</v>
      </c>
      <c r="BN34" s="57" t="s">
        <v>1036</v>
      </c>
      <c r="BO34" s="57" t="s">
        <v>1037</v>
      </c>
      <c r="BP34" s="44">
        <v>1.0</v>
      </c>
      <c r="BQ34" s="44">
        <v>5.0</v>
      </c>
      <c r="BR34" s="44">
        <v>3.54</v>
      </c>
      <c r="BS34" s="44">
        <v>2.264</v>
      </c>
      <c r="BT34" s="44">
        <v>1.471</v>
      </c>
      <c r="BU34" s="44">
        <v>1.0</v>
      </c>
      <c r="BV34" s="44">
        <v>0.834</v>
      </c>
      <c r="BW34" s="44">
        <v>0.0</v>
      </c>
      <c r="BX34" s="44">
        <v>0.0</v>
      </c>
      <c r="BY34" s="44">
        <v>0.0</v>
      </c>
      <c r="BZ34" s="44">
        <v>2.37</v>
      </c>
      <c r="CA34" s="44">
        <v>3.133</v>
      </c>
      <c r="CB34" s="44">
        <v>0.0</v>
      </c>
      <c r="CC34" s="44">
        <v>1.0</v>
      </c>
      <c r="CD34" s="44">
        <v>5.0</v>
      </c>
      <c r="CE34" s="44">
        <v>8000.0</v>
      </c>
      <c r="CF34" s="44">
        <v>6600.0</v>
      </c>
      <c r="CG34" s="44">
        <v>0.0</v>
      </c>
      <c r="CH34" s="44">
        <v>1.0</v>
      </c>
      <c r="CI34" s="44">
        <v>0.0</v>
      </c>
      <c r="CJ34" s="2"/>
      <c r="CK34" s="2"/>
    </row>
    <row r="35">
      <c r="A35" s="46">
        <v>34.0</v>
      </c>
      <c r="B35" s="46">
        <v>46.0</v>
      </c>
      <c r="C35" s="46" t="s">
        <v>150</v>
      </c>
      <c r="D35" s="46" t="s">
        <v>151</v>
      </c>
      <c r="E35" s="46" t="s">
        <v>152</v>
      </c>
      <c r="F35" s="46">
        <v>2110.0</v>
      </c>
      <c r="G35" s="46">
        <v>4.995</v>
      </c>
      <c r="H35" s="46">
        <v>1.845</v>
      </c>
      <c r="I35" s="46">
        <v>1.49</v>
      </c>
      <c r="J35" s="46">
        <v>2.87</v>
      </c>
      <c r="K35" s="46">
        <v>1.58</v>
      </c>
      <c r="L35" s="46">
        <v>1.56</v>
      </c>
      <c r="M35" s="46">
        <v>0.14</v>
      </c>
      <c r="N35" s="46">
        <v>0.448</v>
      </c>
      <c r="O35" s="46">
        <v>0.0</v>
      </c>
      <c r="P35" s="46">
        <v>0.5</v>
      </c>
      <c r="Q35" s="46">
        <v>1.03</v>
      </c>
      <c r="R35" s="46">
        <v>0.0</v>
      </c>
      <c r="S35" s="46">
        <v>1.207</v>
      </c>
      <c r="T35" s="46">
        <v>0.225</v>
      </c>
      <c r="U35" s="46">
        <v>0.55</v>
      </c>
      <c r="V35" s="46">
        <v>17.0</v>
      </c>
      <c r="W35" s="46">
        <v>0.225</v>
      </c>
      <c r="X35" s="46">
        <v>0.55</v>
      </c>
      <c r="Y35" s="46">
        <v>17.0</v>
      </c>
      <c r="Z35" s="46">
        <v>0.0</v>
      </c>
      <c r="AA35" s="46">
        <v>-0.45</v>
      </c>
      <c r="AB35" s="46">
        <v>6.1</v>
      </c>
      <c r="AC35" s="46">
        <v>14.0</v>
      </c>
      <c r="AD35" s="46">
        <v>1.7</v>
      </c>
      <c r="AE35" s="46">
        <v>4.0</v>
      </c>
      <c r="AF35" s="46">
        <v>-3.0</v>
      </c>
      <c r="AG35" s="46">
        <v>-0.45</v>
      </c>
      <c r="AH35" s="46">
        <v>1.7</v>
      </c>
      <c r="AI35" s="46">
        <v>2.0</v>
      </c>
      <c r="AJ35" s="46">
        <v>4494.0</v>
      </c>
      <c r="AK35" s="46">
        <v>0.0</v>
      </c>
      <c r="AL35" s="46">
        <v>6400.0</v>
      </c>
      <c r="AM35" s="46">
        <v>6500.0</v>
      </c>
      <c r="AN35" s="46">
        <v>700.0</v>
      </c>
      <c r="AO35" s="46">
        <v>3600.0</v>
      </c>
      <c r="AP35" s="46">
        <v>6000.0</v>
      </c>
      <c r="AQ35" s="46">
        <v>0.0</v>
      </c>
      <c r="AR35" s="58" t="s">
        <v>1517</v>
      </c>
      <c r="AS35" s="58" t="s">
        <v>1518</v>
      </c>
      <c r="AT35" s="58" t="s">
        <v>1519</v>
      </c>
      <c r="AU35" s="58" t="s">
        <v>1520</v>
      </c>
      <c r="AV35" s="58" t="s">
        <v>1521</v>
      </c>
      <c r="AW35" s="58" t="s">
        <v>1522</v>
      </c>
      <c r="AX35" s="58" t="s">
        <v>1523</v>
      </c>
      <c r="AY35" s="58" t="s">
        <v>1524</v>
      </c>
      <c r="AZ35" s="58" t="s">
        <v>1525</v>
      </c>
      <c r="BA35" s="58" t="s">
        <v>1526</v>
      </c>
      <c r="BB35" s="58" t="s">
        <v>1527</v>
      </c>
      <c r="BC35" s="58" t="s">
        <v>1528</v>
      </c>
      <c r="BD35" s="58" t="s">
        <v>1529</v>
      </c>
      <c r="BE35" s="58" t="s">
        <v>1530</v>
      </c>
      <c r="BF35" s="58" t="s">
        <v>1052</v>
      </c>
      <c r="BG35" s="58" t="s">
        <v>1029</v>
      </c>
      <c r="BH35" s="58" t="s">
        <v>1030</v>
      </c>
      <c r="BI35" s="58" t="s">
        <v>1031</v>
      </c>
      <c r="BJ35" s="58" t="s">
        <v>1032</v>
      </c>
      <c r="BK35" s="58" t="s">
        <v>1033</v>
      </c>
      <c r="BL35" s="58" t="s">
        <v>1034</v>
      </c>
      <c r="BM35" s="58" t="s">
        <v>1035</v>
      </c>
      <c r="BN35" s="58" t="s">
        <v>1036</v>
      </c>
      <c r="BO35" s="58" t="s">
        <v>1037</v>
      </c>
      <c r="BP35" s="46">
        <v>1.0</v>
      </c>
      <c r="BQ35" s="46">
        <v>5.0</v>
      </c>
      <c r="BR35" s="46">
        <v>3.54</v>
      </c>
      <c r="BS35" s="46">
        <v>2.264</v>
      </c>
      <c r="BT35" s="46">
        <v>1.471</v>
      </c>
      <c r="BU35" s="46">
        <v>1.0</v>
      </c>
      <c r="BV35" s="46">
        <v>0.834</v>
      </c>
      <c r="BW35" s="46">
        <v>0.0</v>
      </c>
      <c r="BX35" s="46">
        <v>0.0</v>
      </c>
      <c r="BY35" s="46">
        <v>0.0</v>
      </c>
      <c r="BZ35" s="46">
        <v>2.37</v>
      </c>
      <c r="CA35" s="46">
        <v>2.764</v>
      </c>
      <c r="CB35" s="46">
        <v>0.0</v>
      </c>
      <c r="CC35" s="46">
        <v>0.0</v>
      </c>
      <c r="CD35" s="46">
        <v>0.0</v>
      </c>
      <c r="CE35" s="46">
        <v>8000.0</v>
      </c>
      <c r="CF35" s="46">
        <v>6400.0</v>
      </c>
      <c r="CG35" s="46">
        <v>0.0</v>
      </c>
      <c r="CH35" s="46">
        <v>1.0</v>
      </c>
      <c r="CI35" s="46">
        <v>0.0</v>
      </c>
      <c r="CJ35" s="2"/>
      <c r="CK35" s="2"/>
    </row>
    <row r="36">
      <c r="A36" s="44">
        <v>35.0</v>
      </c>
      <c r="B36" s="44">
        <v>47.0</v>
      </c>
      <c r="C36" s="44" t="s">
        <v>153</v>
      </c>
      <c r="D36" s="44" t="s">
        <v>154</v>
      </c>
      <c r="E36" s="44" t="s">
        <v>155</v>
      </c>
      <c r="F36" s="44">
        <v>820.0</v>
      </c>
      <c r="G36" s="44">
        <v>3.94</v>
      </c>
      <c r="H36" s="44">
        <v>1.695</v>
      </c>
      <c r="I36" s="44">
        <v>1.355</v>
      </c>
      <c r="J36" s="44">
        <v>2.4</v>
      </c>
      <c r="K36" s="44">
        <v>1.435</v>
      </c>
      <c r="L36" s="44">
        <v>1.325</v>
      </c>
      <c r="M36" s="44">
        <v>0.15</v>
      </c>
      <c r="N36" s="44">
        <v>0.39</v>
      </c>
      <c r="O36" s="44">
        <v>1.0</v>
      </c>
      <c r="P36" s="44">
        <v>0.5</v>
      </c>
      <c r="Q36" s="44">
        <v>0.9</v>
      </c>
      <c r="R36" s="44">
        <v>0.0</v>
      </c>
      <c r="S36" s="44">
        <v>1.091</v>
      </c>
      <c r="T36" s="44">
        <v>0.165</v>
      </c>
      <c r="U36" s="44">
        <v>0.65</v>
      </c>
      <c r="V36" s="44">
        <v>14.0</v>
      </c>
      <c r="W36" s="44">
        <v>0.165</v>
      </c>
      <c r="X36" s="44">
        <v>0.65</v>
      </c>
      <c r="Y36" s="44">
        <v>14.0</v>
      </c>
      <c r="Z36" s="44">
        <v>0.0</v>
      </c>
      <c r="AA36" s="44">
        <v>0.0</v>
      </c>
      <c r="AB36" s="44">
        <v>2.0</v>
      </c>
      <c r="AC36" s="44">
        <v>14.5</v>
      </c>
      <c r="AD36" s="44">
        <v>1.3</v>
      </c>
      <c r="AE36" s="44">
        <v>1.0</v>
      </c>
      <c r="AF36" s="44">
        <v>-3.0</v>
      </c>
      <c r="AG36" s="44">
        <v>-1.0</v>
      </c>
      <c r="AH36" s="44">
        <v>1.3</v>
      </c>
      <c r="AI36" s="44">
        <v>0.5</v>
      </c>
      <c r="AJ36" s="44">
        <v>995.0</v>
      </c>
      <c r="AK36" s="44">
        <v>5.0</v>
      </c>
      <c r="AL36" s="44">
        <v>6000.0</v>
      </c>
      <c r="AM36" s="44">
        <v>6000.0</v>
      </c>
      <c r="AN36" s="44">
        <v>700.0</v>
      </c>
      <c r="AO36" s="44">
        <v>4800.0</v>
      </c>
      <c r="AP36" s="44">
        <v>5700.0</v>
      </c>
      <c r="AQ36" s="44">
        <v>0.0</v>
      </c>
      <c r="AR36" s="57" t="s">
        <v>1531</v>
      </c>
      <c r="AS36" s="57" t="s">
        <v>1532</v>
      </c>
      <c r="AT36" s="57" t="s">
        <v>1533</v>
      </c>
      <c r="AU36" s="57" t="s">
        <v>1534</v>
      </c>
      <c r="AV36" s="57" t="s">
        <v>1535</v>
      </c>
      <c r="AW36" s="57" t="s">
        <v>1536</v>
      </c>
      <c r="AX36" s="57" t="s">
        <v>1537</v>
      </c>
      <c r="AY36" s="57" t="s">
        <v>1538</v>
      </c>
      <c r="AZ36" s="57" t="s">
        <v>1539</v>
      </c>
      <c r="BA36" s="57" t="s">
        <v>1540</v>
      </c>
      <c r="BB36" s="57" t="s">
        <v>1541</v>
      </c>
      <c r="BC36" s="57" t="s">
        <v>1542</v>
      </c>
      <c r="BD36" s="57" t="s">
        <v>1543</v>
      </c>
      <c r="BE36" s="57" t="s">
        <v>1143</v>
      </c>
      <c r="BF36" s="57" t="s">
        <v>1052</v>
      </c>
      <c r="BG36" s="57" t="s">
        <v>1029</v>
      </c>
      <c r="BH36" s="57" t="s">
        <v>1030</v>
      </c>
      <c r="BI36" s="57" t="s">
        <v>1031</v>
      </c>
      <c r="BJ36" s="57" t="s">
        <v>1032</v>
      </c>
      <c r="BK36" s="57" t="s">
        <v>1033</v>
      </c>
      <c r="BL36" s="57" t="s">
        <v>1034</v>
      </c>
      <c r="BM36" s="57" t="s">
        <v>1035</v>
      </c>
      <c r="BN36" s="57" t="s">
        <v>1036</v>
      </c>
      <c r="BO36" s="57" t="s">
        <v>1037</v>
      </c>
      <c r="BP36" s="44">
        <v>0.0</v>
      </c>
      <c r="BQ36" s="44">
        <v>5.0</v>
      </c>
      <c r="BR36" s="44">
        <v>3.461</v>
      </c>
      <c r="BS36" s="44">
        <v>1.75</v>
      </c>
      <c r="BT36" s="44">
        <v>1.166</v>
      </c>
      <c r="BU36" s="44">
        <v>0.857</v>
      </c>
      <c r="BV36" s="44">
        <v>0.71</v>
      </c>
      <c r="BW36" s="44">
        <v>0.0</v>
      </c>
      <c r="BX36" s="44">
        <v>0.0</v>
      </c>
      <c r="BY36" s="44">
        <v>0.0</v>
      </c>
      <c r="BZ36" s="44">
        <v>3.23</v>
      </c>
      <c r="CA36" s="44">
        <v>3.391</v>
      </c>
      <c r="CB36" s="44">
        <v>0.0</v>
      </c>
      <c r="CC36" s="44">
        <v>0.0</v>
      </c>
      <c r="CD36" s="44">
        <v>0.0</v>
      </c>
      <c r="CE36" s="44">
        <v>7000.0</v>
      </c>
      <c r="CF36" s="44">
        <v>6000.0</v>
      </c>
      <c r="CG36" s="44">
        <v>0.0</v>
      </c>
      <c r="CH36" s="44">
        <v>0.0</v>
      </c>
      <c r="CI36" s="44">
        <v>0.0</v>
      </c>
      <c r="CJ36" s="2"/>
      <c r="CK36" s="2"/>
    </row>
    <row r="37">
      <c r="A37" s="46">
        <v>36.0</v>
      </c>
      <c r="B37" s="46">
        <v>48.0</v>
      </c>
      <c r="C37" s="46" t="s">
        <v>156</v>
      </c>
      <c r="D37" s="46" t="s">
        <v>157</v>
      </c>
      <c r="E37" s="46" t="s">
        <v>158</v>
      </c>
      <c r="F37" s="46">
        <v>1170.0</v>
      </c>
      <c r="G37" s="46">
        <v>4.385</v>
      </c>
      <c r="H37" s="46">
        <v>1.725</v>
      </c>
      <c r="I37" s="46">
        <v>1.385</v>
      </c>
      <c r="J37" s="46">
        <v>2.57</v>
      </c>
      <c r="K37" s="46">
        <v>1.49</v>
      </c>
      <c r="L37" s="46">
        <v>1.49</v>
      </c>
      <c r="M37" s="46">
        <v>0.13</v>
      </c>
      <c r="N37" s="46">
        <v>0.376</v>
      </c>
      <c r="O37" s="46">
        <v>1.0</v>
      </c>
      <c r="P37" s="46">
        <v>0.49</v>
      </c>
      <c r="Q37" s="46">
        <v>1.15</v>
      </c>
      <c r="R37" s="46">
        <v>0.0</v>
      </c>
      <c r="S37" s="46">
        <v>1.124</v>
      </c>
      <c r="T37" s="46">
        <v>0.215</v>
      </c>
      <c r="U37" s="46">
        <v>0.45</v>
      </c>
      <c r="V37" s="46">
        <v>17.0</v>
      </c>
      <c r="W37" s="46">
        <v>0.215</v>
      </c>
      <c r="X37" s="46">
        <v>0.45</v>
      </c>
      <c r="Y37" s="46">
        <v>17.0</v>
      </c>
      <c r="Z37" s="46">
        <v>0.0</v>
      </c>
      <c r="AA37" s="46">
        <v>-0.3</v>
      </c>
      <c r="AB37" s="46">
        <v>1.3</v>
      </c>
      <c r="AC37" s="46">
        <v>11.1</v>
      </c>
      <c r="AD37" s="46">
        <v>1.5</v>
      </c>
      <c r="AE37" s="46">
        <v>2.0</v>
      </c>
      <c r="AF37" s="46">
        <v>-1.0</v>
      </c>
      <c r="AG37" s="46">
        <v>-0.55</v>
      </c>
      <c r="AH37" s="46">
        <v>1.6</v>
      </c>
      <c r="AI37" s="46">
        <v>1.0</v>
      </c>
      <c r="AJ37" s="46">
        <v>1998.0</v>
      </c>
      <c r="AK37" s="46">
        <v>0.0</v>
      </c>
      <c r="AL37" s="46">
        <v>8400.0</v>
      </c>
      <c r="AM37" s="46">
        <v>8500.0</v>
      </c>
      <c r="AN37" s="46">
        <v>700.0</v>
      </c>
      <c r="AO37" s="46">
        <v>7000.0</v>
      </c>
      <c r="AP37" s="46">
        <v>8000.0</v>
      </c>
      <c r="AQ37" s="46">
        <v>0.0</v>
      </c>
      <c r="AR37" s="58" t="s">
        <v>1544</v>
      </c>
      <c r="AS37" s="58" t="s">
        <v>1545</v>
      </c>
      <c r="AT37" s="58" t="s">
        <v>1546</v>
      </c>
      <c r="AU37" s="58" t="s">
        <v>1547</v>
      </c>
      <c r="AV37" s="58" t="s">
        <v>1548</v>
      </c>
      <c r="AW37" s="58" t="s">
        <v>1549</v>
      </c>
      <c r="AX37" s="58" t="s">
        <v>1550</v>
      </c>
      <c r="AY37" s="58" t="s">
        <v>1551</v>
      </c>
      <c r="AZ37" s="58" t="s">
        <v>1552</v>
      </c>
      <c r="BA37" s="58" t="s">
        <v>1553</v>
      </c>
      <c r="BB37" s="58" t="s">
        <v>1554</v>
      </c>
      <c r="BC37" s="58" t="s">
        <v>1555</v>
      </c>
      <c r="BD37" s="58" t="s">
        <v>1556</v>
      </c>
      <c r="BE37" s="58" t="s">
        <v>1557</v>
      </c>
      <c r="BF37" s="58" t="s">
        <v>1558</v>
      </c>
      <c r="BG37" s="58" t="s">
        <v>1559</v>
      </c>
      <c r="BH37" s="58" t="s">
        <v>1560</v>
      </c>
      <c r="BI37" s="58" t="s">
        <v>1561</v>
      </c>
      <c r="BJ37" s="58" t="s">
        <v>1032</v>
      </c>
      <c r="BK37" s="58" t="s">
        <v>1033</v>
      </c>
      <c r="BL37" s="58" t="s">
        <v>1034</v>
      </c>
      <c r="BM37" s="58" t="s">
        <v>1035</v>
      </c>
      <c r="BN37" s="58" t="s">
        <v>1036</v>
      </c>
      <c r="BO37" s="58" t="s">
        <v>1037</v>
      </c>
      <c r="BP37" s="46">
        <v>0.0</v>
      </c>
      <c r="BQ37" s="46">
        <v>6.0</v>
      </c>
      <c r="BR37" s="46">
        <v>3.266</v>
      </c>
      <c r="BS37" s="46">
        <v>2.13</v>
      </c>
      <c r="BT37" s="46">
        <v>1.517</v>
      </c>
      <c r="BU37" s="46">
        <v>1.212</v>
      </c>
      <c r="BV37" s="46">
        <v>0.972</v>
      </c>
      <c r="BW37" s="46">
        <v>0.78</v>
      </c>
      <c r="BX37" s="46">
        <v>0.0</v>
      </c>
      <c r="BY37" s="46">
        <v>0.0</v>
      </c>
      <c r="BZ37" s="46">
        <v>3.583</v>
      </c>
      <c r="CA37" s="46">
        <v>4.764</v>
      </c>
      <c r="CB37" s="46">
        <v>2.0</v>
      </c>
      <c r="CC37" s="46">
        <v>0.0</v>
      </c>
      <c r="CD37" s="46">
        <v>0.0</v>
      </c>
      <c r="CE37" s="46">
        <v>9000.0</v>
      </c>
      <c r="CF37" s="46">
        <v>8400.0</v>
      </c>
      <c r="CG37" s="46">
        <v>0.0</v>
      </c>
      <c r="CH37" s="46">
        <v>1.0</v>
      </c>
      <c r="CI37" s="46">
        <v>0.0</v>
      </c>
      <c r="CJ37" s="2"/>
      <c r="CK37" s="2"/>
    </row>
    <row r="38">
      <c r="A38" s="44">
        <v>37.0</v>
      </c>
      <c r="B38" s="44">
        <v>49.0</v>
      </c>
      <c r="C38" s="44" t="s">
        <v>159</v>
      </c>
      <c r="D38" s="44" t="s">
        <v>160</v>
      </c>
      <c r="E38" s="44" t="s">
        <v>161</v>
      </c>
      <c r="F38" s="44">
        <v>1190.0</v>
      </c>
      <c r="G38" s="44">
        <v>4.135</v>
      </c>
      <c r="H38" s="44">
        <v>1.695</v>
      </c>
      <c r="I38" s="44">
        <v>1.43</v>
      </c>
      <c r="J38" s="44">
        <v>2.57</v>
      </c>
      <c r="K38" s="44">
        <v>1.47</v>
      </c>
      <c r="L38" s="44">
        <v>1.47</v>
      </c>
      <c r="M38" s="44">
        <v>0.13</v>
      </c>
      <c r="N38" s="44">
        <v>0.378</v>
      </c>
      <c r="O38" s="44">
        <v>1.0</v>
      </c>
      <c r="P38" s="44">
        <v>0.49</v>
      </c>
      <c r="Q38" s="44">
        <v>1.15</v>
      </c>
      <c r="R38" s="44">
        <v>0.0</v>
      </c>
      <c r="S38" s="44">
        <v>1.129</v>
      </c>
      <c r="T38" s="44">
        <v>0.205</v>
      </c>
      <c r="U38" s="44">
        <v>0.45</v>
      </c>
      <c r="V38" s="44">
        <v>17.0</v>
      </c>
      <c r="W38" s="44">
        <v>0.205</v>
      </c>
      <c r="X38" s="44">
        <v>0.45</v>
      </c>
      <c r="Y38" s="44">
        <v>17.0</v>
      </c>
      <c r="Z38" s="44">
        <v>0.0</v>
      </c>
      <c r="AA38" s="44">
        <v>0.0</v>
      </c>
      <c r="AB38" s="44">
        <v>1.4</v>
      </c>
      <c r="AC38" s="44">
        <v>11.1</v>
      </c>
      <c r="AD38" s="44">
        <v>1.5</v>
      </c>
      <c r="AE38" s="44">
        <v>2.0</v>
      </c>
      <c r="AF38" s="44">
        <v>-2.0</v>
      </c>
      <c r="AG38" s="44">
        <v>-0.4</v>
      </c>
      <c r="AH38" s="44">
        <v>1.5</v>
      </c>
      <c r="AI38" s="44">
        <v>1.5</v>
      </c>
      <c r="AJ38" s="44">
        <v>1998.0</v>
      </c>
      <c r="AK38" s="44">
        <v>0.0</v>
      </c>
      <c r="AL38" s="44">
        <v>8400.0</v>
      </c>
      <c r="AM38" s="44">
        <v>8400.0</v>
      </c>
      <c r="AN38" s="44">
        <v>700.0</v>
      </c>
      <c r="AO38" s="44">
        <v>7000.0</v>
      </c>
      <c r="AP38" s="44">
        <v>8000.0</v>
      </c>
      <c r="AQ38" s="44">
        <v>0.0</v>
      </c>
      <c r="AR38" s="57" t="s">
        <v>1562</v>
      </c>
      <c r="AS38" s="57" t="s">
        <v>1563</v>
      </c>
      <c r="AT38" s="57" t="s">
        <v>1564</v>
      </c>
      <c r="AU38" s="57" t="s">
        <v>1565</v>
      </c>
      <c r="AV38" s="57" t="s">
        <v>1566</v>
      </c>
      <c r="AW38" s="57" t="s">
        <v>1567</v>
      </c>
      <c r="AX38" s="57" t="s">
        <v>1568</v>
      </c>
      <c r="AY38" s="57" t="s">
        <v>1569</v>
      </c>
      <c r="AZ38" s="57" t="s">
        <v>1570</v>
      </c>
      <c r="BA38" s="57" t="s">
        <v>1571</v>
      </c>
      <c r="BB38" s="57" t="s">
        <v>1572</v>
      </c>
      <c r="BC38" s="57" t="s">
        <v>1573</v>
      </c>
      <c r="BD38" s="57" t="s">
        <v>1574</v>
      </c>
      <c r="BE38" s="57" t="s">
        <v>1575</v>
      </c>
      <c r="BF38" s="57" t="s">
        <v>1576</v>
      </c>
      <c r="BG38" s="57" t="s">
        <v>1577</v>
      </c>
      <c r="BH38" s="57" t="s">
        <v>1578</v>
      </c>
      <c r="BI38" s="57" t="s">
        <v>1031</v>
      </c>
      <c r="BJ38" s="57" t="s">
        <v>1032</v>
      </c>
      <c r="BK38" s="57" t="s">
        <v>1033</v>
      </c>
      <c r="BL38" s="57" t="s">
        <v>1034</v>
      </c>
      <c r="BM38" s="57" t="s">
        <v>1035</v>
      </c>
      <c r="BN38" s="57" t="s">
        <v>1036</v>
      </c>
      <c r="BO38" s="57" t="s">
        <v>1037</v>
      </c>
      <c r="BP38" s="44">
        <v>0.0</v>
      </c>
      <c r="BQ38" s="44">
        <v>6.0</v>
      </c>
      <c r="BR38" s="44">
        <v>3.266</v>
      </c>
      <c r="BS38" s="44">
        <v>2.13</v>
      </c>
      <c r="BT38" s="44">
        <v>1.517</v>
      </c>
      <c r="BU38" s="44">
        <v>1.212</v>
      </c>
      <c r="BV38" s="44">
        <v>0.972</v>
      </c>
      <c r="BW38" s="44">
        <v>0.78</v>
      </c>
      <c r="BX38" s="44">
        <v>0.0</v>
      </c>
      <c r="BY38" s="44">
        <v>0.0</v>
      </c>
      <c r="BZ38" s="44">
        <v>3.583</v>
      </c>
      <c r="CA38" s="44">
        <v>4.764</v>
      </c>
      <c r="CB38" s="44">
        <v>2.0</v>
      </c>
      <c r="CC38" s="44">
        <v>0.0</v>
      </c>
      <c r="CD38" s="44">
        <v>0.0</v>
      </c>
      <c r="CE38" s="44">
        <v>9500.0</v>
      </c>
      <c r="CF38" s="44">
        <v>8400.0</v>
      </c>
      <c r="CG38" s="44">
        <v>0.0</v>
      </c>
      <c r="CH38" s="44">
        <v>1.0</v>
      </c>
      <c r="CI38" s="44">
        <v>0.0</v>
      </c>
      <c r="CJ38" s="2"/>
      <c r="CK38" s="2"/>
    </row>
    <row r="39">
      <c r="A39" s="46">
        <v>38.0</v>
      </c>
      <c r="B39" s="46">
        <v>50.0</v>
      </c>
      <c r="C39" s="46" t="s">
        <v>162</v>
      </c>
      <c r="D39" s="46" t="s">
        <v>163</v>
      </c>
      <c r="E39" s="46" t="s">
        <v>164</v>
      </c>
      <c r="F39" s="46">
        <v>1080.0</v>
      </c>
      <c r="G39" s="46">
        <v>4.38</v>
      </c>
      <c r="H39" s="46">
        <v>1.695</v>
      </c>
      <c r="I39" s="46">
        <v>1.33</v>
      </c>
      <c r="J39" s="46">
        <v>2.57</v>
      </c>
      <c r="K39" s="46">
        <v>1.48</v>
      </c>
      <c r="L39" s="46">
        <v>1.485</v>
      </c>
      <c r="M39" s="46">
        <v>0.135</v>
      </c>
      <c r="N39" s="46">
        <v>0.361</v>
      </c>
      <c r="O39" s="46">
        <v>1.0</v>
      </c>
      <c r="P39" s="46">
        <v>0.48</v>
      </c>
      <c r="Q39" s="46">
        <v>1.1</v>
      </c>
      <c r="R39" s="46">
        <v>0.0</v>
      </c>
      <c r="S39" s="46">
        <v>1.065</v>
      </c>
      <c r="T39" s="46">
        <v>0.215</v>
      </c>
      <c r="U39" s="46">
        <v>0.45</v>
      </c>
      <c r="V39" s="46">
        <v>16.0</v>
      </c>
      <c r="W39" s="46">
        <v>0.215</v>
      </c>
      <c r="X39" s="46">
        <v>0.45</v>
      </c>
      <c r="Y39" s="46">
        <v>16.0</v>
      </c>
      <c r="Z39" s="46">
        <v>0.0</v>
      </c>
      <c r="AA39" s="46">
        <v>-0.3</v>
      </c>
      <c r="AB39" s="46">
        <v>1.15</v>
      </c>
      <c r="AC39" s="46">
        <v>11.1</v>
      </c>
      <c r="AD39" s="46">
        <v>1.5</v>
      </c>
      <c r="AE39" s="46">
        <v>2.0</v>
      </c>
      <c r="AF39" s="46">
        <v>-2.0</v>
      </c>
      <c r="AG39" s="46">
        <v>-0.45</v>
      </c>
      <c r="AH39" s="46">
        <v>1.5</v>
      </c>
      <c r="AI39" s="46">
        <v>1.5</v>
      </c>
      <c r="AJ39" s="46">
        <v>1797.0</v>
      </c>
      <c r="AK39" s="46">
        <v>0.0</v>
      </c>
      <c r="AL39" s="46">
        <v>8500.0</v>
      </c>
      <c r="AM39" s="46">
        <v>9000.0</v>
      </c>
      <c r="AN39" s="46">
        <v>700.0</v>
      </c>
      <c r="AO39" s="46">
        <v>6200.0</v>
      </c>
      <c r="AP39" s="46">
        <v>8000.0</v>
      </c>
      <c r="AQ39" s="46">
        <v>0.0</v>
      </c>
      <c r="AR39" s="58" t="s">
        <v>1579</v>
      </c>
      <c r="AS39" s="58" t="s">
        <v>1580</v>
      </c>
      <c r="AT39" s="58" t="s">
        <v>1581</v>
      </c>
      <c r="AU39" s="58" t="s">
        <v>1582</v>
      </c>
      <c r="AV39" s="58" t="s">
        <v>1583</v>
      </c>
      <c r="AW39" s="58" t="s">
        <v>1584</v>
      </c>
      <c r="AX39" s="58" t="s">
        <v>1585</v>
      </c>
      <c r="AY39" s="58" t="s">
        <v>1586</v>
      </c>
      <c r="AZ39" s="58" t="s">
        <v>1587</v>
      </c>
      <c r="BA39" s="58" t="s">
        <v>1588</v>
      </c>
      <c r="BB39" s="58" t="s">
        <v>1589</v>
      </c>
      <c r="BC39" s="58" t="s">
        <v>1590</v>
      </c>
      <c r="BD39" s="58" t="s">
        <v>1591</v>
      </c>
      <c r="BE39" s="58" t="s">
        <v>1592</v>
      </c>
      <c r="BF39" s="58" t="s">
        <v>1593</v>
      </c>
      <c r="BG39" s="58" t="s">
        <v>1594</v>
      </c>
      <c r="BH39" s="58" t="s">
        <v>1595</v>
      </c>
      <c r="BI39" s="58" t="s">
        <v>1596</v>
      </c>
      <c r="BJ39" s="58" t="s">
        <v>1597</v>
      </c>
      <c r="BK39" s="58" t="s">
        <v>1598</v>
      </c>
      <c r="BL39" s="58" t="s">
        <v>1034</v>
      </c>
      <c r="BM39" s="58" t="s">
        <v>1035</v>
      </c>
      <c r="BN39" s="58" t="s">
        <v>1036</v>
      </c>
      <c r="BO39" s="58" t="s">
        <v>1037</v>
      </c>
      <c r="BP39" s="46">
        <v>0.0</v>
      </c>
      <c r="BQ39" s="46">
        <v>5.0</v>
      </c>
      <c r="BR39" s="46">
        <v>3.23</v>
      </c>
      <c r="BS39" s="46">
        <v>2.105</v>
      </c>
      <c r="BT39" s="46">
        <v>1.458</v>
      </c>
      <c r="BU39" s="46">
        <v>1.034</v>
      </c>
      <c r="BV39" s="46">
        <v>0.787</v>
      </c>
      <c r="BW39" s="46">
        <v>0.0</v>
      </c>
      <c r="BX39" s="46">
        <v>0.0</v>
      </c>
      <c r="BY39" s="46">
        <v>0.0</v>
      </c>
      <c r="BZ39" s="46">
        <v>3.0</v>
      </c>
      <c r="CA39" s="46">
        <v>4.785</v>
      </c>
      <c r="CB39" s="46">
        <v>2.0</v>
      </c>
      <c r="CC39" s="46">
        <v>0.0</v>
      </c>
      <c r="CD39" s="46">
        <v>0.0</v>
      </c>
      <c r="CE39" s="46">
        <v>10000.0</v>
      </c>
      <c r="CF39" s="46">
        <v>8500.0</v>
      </c>
      <c r="CG39" s="46">
        <v>0.0</v>
      </c>
      <c r="CH39" s="46">
        <v>1.0</v>
      </c>
      <c r="CI39" s="46">
        <v>0.0</v>
      </c>
      <c r="CJ39" s="2"/>
      <c r="CK39" s="2"/>
    </row>
    <row r="40">
      <c r="A40" s="44">
        <v>39.0</v>
      </c>
      <c r="B40" s="44">
        <v>51.0</v>
      </c>
      <c r="C40" s="44" t="s">
        <v>165</v>
      </c>
      <c r="D40" s="44" t="s">
        <v>166</v>
      </c>
      <c r="E40" s="44" t="s">
        <v>167</v>
      </c>
      <c r="F40" s="44">
        <v>1240.0</v>
      </c>
      <c r="G40" s="44">
        <v>4.135</v>
      </c>
      <c r="H40" s="44">
        <v>1.75</v>
      </c>
      <c r="I40" s="44">
        <v>1.285</v>
      </c>
      <c r="J40" s="44">
        <v>2.4</v>
      </c>
      <c r="K40" s="44">
        <v>1.47</v>
      </c>
      <c r="L40" s="44">
        <v>1.51</v>
      </c>
      <c r="M40" s="44">
        <v>0.13</v>
      </c>
      <c r="N40" s="44">
        <v>0.5</v>
      </c>
      <c r="O40" s="44">
        <v>0.0</v>
      </c>
      <c r="P40" s="44">
        <v>0.48</v>
      </c>
      <c r="Q40" s="44">
        <v>1.15</v>
      </c>
      <c r="R40" s="44">
        <v>0.0</v>
      </c>
      <c r="S40" s="44">
        <v>1.096</v>
      </c>
      <c r="T40" s="44">
        <v>0.205</v>
      </c>
      <c r="U40" s="44">
        <v>0.55</v>
      </c>
      <c r="V40" s="44">
        <v>16.0</v>
      </c>
      <c r="W40" s="44">
        <v>0.225</v>
      </c>
      <c r="X40" s="44">
        <v>0.5</v>
      </c>
      <c r="Y40" s="44">
        <v>16.0</v>
      </c>
      <c r="Z40" s="44">
        <v>0.0</v>
      </c>
      <c r="AA40" s="44">
        <v>-0.3</v>
      </c>
      <c r="AB40" s="44">
        <v>6.0</v>
      </c>
      <c r="AC40" s="44">
        <v>10.0</v>
      </c>
      <c r="AD40" s="44">
        <v>1.8</v>
      </c>
      <c r="AE40" s="44">
        <v>3.0</v>
      </c>
      <c r="AF40" s="44">
        <v>-6.0</v>
      </c>
      <c r="AG40" s="44">
        <v>-1.3</v>
      </c>
      <c r="AH40" s="44">
        <v>1.8</v>
      </c>
      <c r="AI40" s="44">
        <v>2.0</v>
      </c>
      <c r="AJ40" s="44">
        <v>1997.0</v>
      </c>
      <c r="AK40" s="44">
        <v>0.0</v>
      </c>
      <c r="AL40" s="44">
        <v>9000.0</v>
      </c>
      <c r="AM40" s="44">
        <v>9000.0</v>
      </c>
      <c r="AN40" s="44">
        <v>700.0</v>
      </c>
      <c r="AO40" s="44">
        <v>7500.0</v>
      </c>
      <c r="AP40" s="44">
        <v>8300.0</v>
      </c>
      <c r="AQ40" s="44">
        <v>0.0</v>
      </c>
      <c r="AR40" s="57" t="s">
        <v>1599</v>
      </c>
      <c r="AS40" s="57" t="s">
        <v>1600</v>
      </c>
      <c r="AT40" s="57" t="s">
        <v>1601</v>
      </c>
      <c r="AU40" s="57" t="s">
        <v>1602</v>
      </c>
      <c r="AV40" s="57" t="s">
        <v>1603</v>
      </c>
      <c r="AW40" s="57" t="s">
        <v>1604</v>
      </c>
      <c r="AX40" s="57" t="s">
        <v>1605</v>
      </c>
      <c r="AY40" s="57" t="s">
        <v>1606</v>
      </c>
      <c r="AZ40" s="57" t="s">
        <v>1607</v>
      </c>
      <c r="BA40" s="57" t="s">
        <v>1608</v>
      </c>
      <c r="BB40" s="57" t="s">
        <v>1609</v>
      </c>
      <c r="BC40" s="57" t="s">
        <v>1610</v>
      </c>
      <c r="BD40" s="57" t="s">
        <v>1611</v>
      </c>
      <c r="BE40" s="57" t="s">
        <v>1612</v>
      </c>
      <c r="BF40" s="57" t="s">
        <v>1613</v>
      </c>
      <c r="BG40" s="57" t="s">
        <v>1614</v>
      </c>
      <c r="BH40" s="57" t="s">
        <v>1615</v>
      </c>
      <c r="BI40" s="57" t="s">
        <v>1616</v>
      </c>
      <c r="BJ40" s="57" t="s">
        <v>1617</v>
      </c>
      <c r="BK40" s="57" t="s">
        <v>1033</v>
      </c>
      <c r="BL40" s="57" t="s">
        <v>1034</v>
      </c>
      <c r="BM40" s="57" t="s">
        <v>1035</v>
      </c>
      <c r="BN40" s="57" t="s">
        <v>1036</v>
      </c>
      <c r="BO40" s="57" t="s">
        <v>1037</v>
      </c>
      <c r="BP40" s="44">
        <v>0.0</v>
      </c>
      <c r="BQ40" s="44">
        <v>6.0</v>
      </c>
      <c r="BR40" s="44">
        <v>3.133</v>
      </c>
      <c r="BS40" s="44">
        <v>2.045</v>
      </c>
      <c r="BT40" s="44">
        <v>1.481</v>
      </c>
      <c r="BU40" s="44">
        <v>1.161</v>
      </c>
      <c r="BV40" s="44">
        <v>0.97</v>
      </c>
      <c r="BW40" s="44">
        <v>0.81</v>
      </c>
      <c r="BX40" s="44">
        <v>0.0</v>
      </c>
      <c r="BY40" s="44">
        <v>0.0</v>
      </c>
      <c r="BZ40" s="44">
        <v>2.8</v>
      </c>
      <c r="CA40" s="44">
        <v>4.756</v>
      </c>
      <c r="CB40" s="44">
        <v>2.0</v>
      </c>
      <c r="CC40" s="44">
        <v>0.0</v>
      </c>
      <c r="CD40" s="44">
        <v>0.0</v>
      </c>
      <c r="CE40" s="44">
        <v>9400.0</v>
      </c>
      <c r="CF40" s="44">
        <v>9000.0</v>
      </c>
      <c r="CG40" s="44">
        <v>0.0</v>
      </c>
      <c r="CH40" s="44">
        <v>1.0</v>
      </c>
      <c r="CI40" s="44">
        <v>0.0</v>
      </c>
      <c r="CJ40" s="2"/>
      <c r="CK40" s="2"/>
    </row>
    <row r="41">
      <c r="A41" s="46">
        <v>40.0</v>
      </c>
      <c r="B41" s="46">
        <v>52.0</v>
      </c>
      <c r="C41" s="46" t="s">
        <v>168</v>
      </c>
      <c r="D41" s="46" t="s">
        <v>169</v>
      </c>
      <c r="E41" s="46" t="s">
        <v>170</v>
      </c>
      <c r="F41" s="46">
        <v>1710.0</v>
      </c>
      <c r="G41" s="46">
        <v>4.845</v>
      </c>
      <c r="H41" s="46">
        <v>1.8</v>
      </c>
      <c r="I41" s="46">
        <v>1.615</v>
      </c>
      <c r="J41" s="46">
        <v>2.83</v>
      </c>
      <c r="K41" s="46">
        <v>1.565</v>
      </c>
      <c r="L41" s="46">
        <v>1.56</v>
      </c>
      <c r="M41" s="46">
        <v>0.14</v>
      </c>
      <c r="N41" s="46">
        <v>0.392</v>
      </c>
      <c r="O41" s="46">
        <v>1.0</v>
      </c>
      <c r="P41" s="46">
        <v>0.52</v>
      </c>
      <c r="Q41" s="46">
        <v>1.0</v>
      </c>
      <c r="R41" s="46">
        <v>0.0</v>
      </c>
      <c r="S41" s="46">
        <v>1.304</v>
      </c>
      <c r="T41" s="46">
        <v>0.215</v>
      </c>
      <c r="U41" s="46">
        <v>0.55</v>
      </c>
      <c r="V41" s="46">
        <v>17.0</v>
      </c>
      <c r="W41" s="46">
        <v>0.215</v>
      </c>
      <c r="X41" s="46">
        <v>0.55</v>
      </c>
      <c r="Y41" s="46">
        <v>17.0</v>
      </c>
      <c r="Z41" s="46">
        <v>0.0</v>
      </c>
      <c r="AA41" s="46">
        <v>-0.15</v>
      </c>
      <c r="AB41" s="46">
        <v>3.0</v>
      </c>
      <c r="AC41" s="46">
        <v>7.55</v>
      </c>
      <c r="AD41" s="46">
        <v>1.4</v>
      </c>
      <c r="AE41" s="46">
        <v>2.0</v>
      </c>
      <c r="AF41" s="46">
        <v>-2.0</v>
      </c>
      <c r="AG41" s="46">
        <v>-1.0</v>
      </c>
      <c r="AH41" s="46">
        <v>1.4</v>
      </c>
      <c r="AI41" s="46">
        <v>1.0</v>
      </c>
      <c r="AJ41" s="46">
        <v>2997.0</v>
      </c>
      <c r="AK41" s="46">
        <v>0.0</v>
      </c>
      <c r="AL41" s="46">
        <v>6800.0</v>
      </c>
      <c r="AM41" s="46">
        <v>6900.0</v>
      </c>
      <c r="AN41" s="46">
        <v>700.0</v>
      </c>
      <c r="AO41" s="46">
        <v>5000.0</v>
      </c>
      <c r="AP41" s="46">
        <v>5800.0</v>
      </c>
      <c r="AQ41" s="46">
        <v>0.0</v>
      </c>
      <c r="AR41" s="58" t="s">
        <v>1618</v>
      </c>
      <c r="AS41" s="58" t="s">
        <v>1619</v>
      </c>
      <c r="AT41" s="58" t="s">
        <v>1620</v>
      </c>
      <c r="AU41" s="58" t="s">
        <v>1621</v>
      </c>
      <c r="AV41" s="58" t="s">
        <v>1622</v>
      </c>
      <c r="AW41" s="58" t="s">
        <v>1623</v>
      </c>
      <c r="AX41" s="58" t="s">
        <v>1624</v>
      </c>
      <c r="AY41" s="58" t="s">
        <v>1625</v>
      </c>
      <c r="AZ41" s="58" t="s">
        <v>1626</v>
      </c>
      <c r="BA41" s="58" t="s">
        <v>1627</v>
      </c>
      <c r="BB41" s="58" t="s">
        <v>1628</v>
      </c>
      <c r="BC41" s="58" t="s">
        <v>1629</v>
      </c>
      <c r="BD41" s="58" t="s">
        <v>1630</v>
      </c>
      <c r="BE41" s="58" t="s">
        <v>1631</v>
      </c>
      <c r="BF41" s="58" t="s">
        <v>1052</v>
      </c>
      <c r="BG41" s="58" t="s">
        <v>1029</v>
      </c>
      <c r="BH41" s="58" t="s">
        <v>1030</v>
      </c>
      <c r="BI41" s="58" t="s">
        <v>1031</v>
      </c>
      <c r="BJ41" s="58" t="s">
        <v>1032</v>
      </c>
      <c r="BK41" s="58" t="s">
        <v>1033</v>
      </c>
      <c r="BL41" s="58" t="s">
        <v>1034</v>
      </c>
      <c r="BM41" s="58" t="s">
        <v>1035</v>
      </c>
      <c r="BN41" s="58" t="s">
        <v>1036</v>
      </c>
      <c r="BO41" s="58" t="s">
        <v>1037</v>
      </c>
      <c r="BP41" s="46">
        <v>1.0</v>
      </c>
      <c r="BQ41" s="46">
        <v>5.0</v>
      </c>
      <c r="BR41" s="46">
        <v>2.563</v>
      </c>
      <c r="BS41" s="46">
        <v>1.452</v>
      </c>
      <c r="BT41" s="46">
        <v>1.021</v>
      </c>
      <c r="BU41" s="46">
        <v>0.767</v>
      </c>
      <c r="BV41" s="46">
        <v>0.551</v>
      </c>
      <c r="BW41" s="46">
        <v>0.0</v>
      </c>
      <c r="BX41" s="46">
        <v>0.0</v>
      </c>
      <c r="BY41" s="46">
        <v>0.0</v>
      </c>
      <c r="BZ41" s="46">
        <v>1.846</v>
      </c>
      <c r="CA41" s="46">
        <v>4.428</v>
      </c>
      <c r="CB41" s="46">
        <v>0.0</v>
      </c>
      <c r="CC41" s="46">
        <v>0.0</v>
      </c>
      <c r="CD41" s="46">
        <v>0.0</v>
      </c>
      <c r="CE41" s="46">
        <v>8500.0</v>
      </c>
      <c r="CF41" s="46">
        <v>6800.0</v>
      </c>
      <c r="CG41" s="46">
        <v>0.0</v>
      </c>
      <c r="CH41" s="46">
        <v>1.0</v>
      </c>
      <c r="CI41" s="46">
        <v>0.0</v>
      </c>
      <c r="CJ41" s="2"/>
      <c r="CK41" s="2"/>
    </row>
    <row r="42">
      <c r="A42" s="44">
        <v>41.0</v>
      </c>
      <c r="B42" s="44">
        <v>54.0</v>
      </c>
      <c r="C42" s="44" t="s">
        <v>171</v>
      </c>
      <c r="D42" s="44" t="s">
        <v>172</v>
      </c>
      <c r="E42" s="44" t="s">
        <v>173</v>
      </c>
      <c r="F42" s="44">
        <v>1270.0</v>
      </c>
      <c r="G42" s="44">
        <v>4.285</v>
      </c>
      <c r="H42" s="44">
        <v>1.76</v>
      </c>
      <c r="I42" s="44">
        <v>1.23</v>
      </c>
      <c r="J42" s="44">
        <v>2.425</v>
      </c>
      <c r="K42" s="44">
        <v>1.46</v>
      </c>
      <c r="L42" s="44">
        <v>1.46</v>
      </c>
      <c r="M42" s="44">
        <v>0.1</v>
      </c>
      <c r="N42" s="44">
        <v>0.504</v>
      </c>
      <c r="O42" s="44">
        <v>0.0</v>
      </c>
      <c r="P42" s="44">
        <v>0.45</v>
      </c>
      <c r="Q42" s="44">
        <v>1.2</v>
      </c>
      <c r="R42" s="44">
        <v>200.0</v>
      </c>
      <c r="S42" s="44">
        <v>1.032</v>
      </c>
      <c r="T42" s="44">
        <v>0.235</v>
      </c>
      <c r="U42" s="44">
        <v>0.45</v>
      </c>
      <c r="V42" s="44">
        <v>17.0</v>
      </c>
      <c r="W42" s="44">
        <v>0.255</v>
      </c>
      <c r="X42" s="44">
        <v>0.4</v>
      </c>
      <c r="Y42" s="44">
        <v>17.0</v>
      </c>
      <c r="Z42" s="44">
        <v>-1.0</v>
      </c>
      <c r="AA42" s="44">
        <v>-0.05</v>
      </c>
      <c r="AB42" s="44">
        <v>6.4</v>
      </c>
      <c r="AC42" s="44">
        <v>14.05</v>
      </c>
      <c r="AD42" s="44">
        <v>1.7</v>
      </c>
      <c r="AE42" s="44">
        <v>4.0</v>
      </c>
      <c r="AF42" s="44">
        <v>-2.0</v>
      </c>
      <c r="AG42" s="44">
        <v>-1.15</v>
      </c>
      <c r="AH42" s="44">
        <v>1.6</v>
      </c>
      <c r="AI42" s="44">
        <v>1.0</v>
      </c>
      <c r="AJ42" s="44">
        <v>1308.0</v>
      </c>
      <c r="AK42" s="44">
        <v>3.0</v>
      </c>
      <c r="AL42" s="44">
        <v>8000.0</v>
      </c>
      <c r="AM42" s="44">
        <v>8200.0</v>
      </c>
      <c r="AN42" s="44">
        <v>700.0</v>
      </c>
      <c r="AO42" s="44">
        <v>5000.0</v>
      </c>
      <c r="AP42" s="44">
        <v>6500.0</v>
      </c>
      <c r="AQ42" s="44">
        <v>0.0</v>
      </c>
      <c r="AR42" s="57" t="s">
        <v>1632</v>
      </c>
      <c r="AS42" s="57" t="s">
        <v>1633</v>
      </c>
      <c r="AT42" s="57" t="s">
        <v>1634</v>
      </c>
      <c r="AU42" s="57" t="s">
        <v>1635</v>
      </c>
      <c r="AV42" s="57" t="s">
        <v>1636</v>
      </c>
      <c r="AW42" s="57" t="s">
        <v>1637</v>
      </c>
      <c r="AX42" s="57" t="s">
        <v>1638</v>
      </c>
      <c r="AY42" s="57" t="s">
        <v>1639</v>
      </c>
      <c r="AZ42" s="57" t="s">
        <v>1640</v>
      </c>
      <c r="BA42" s="57" t="s">
        <v>1641</v>
      </c>
      <c r="BB42" s="57" t="s">
        <v>1642</v>
      </c>
      <c r="BC42" s="57" t="s">
        <v>1643</v>
      </c>
      <c r="BD42" s="57" t="s">
        <v>1644</v>
      </c>
      <c r="BE42" s="57" t="s">
        <v>1645</v>
      </c>
      <c r="BF42" s="57" t="s">
        <v>1646</v>
      </c>
      <c r="BG42" s="57" t="s">
        <v>1647</v>
      </c>
      <c r="BH42" s="57" t="s">
        <v>1648</v>
      </c>
      <c r="BI42" s="57" t="s">
        <v>1031</v>
      </c>
      <c r="BJ42" s="57" t="s">
        <v>1032</v>
      </c>
      <c r="BK42" s="57" t="s">
        <v>1033</v>
      </c>
      <c r="BL42" s="57" t="s">
        <v>1034</v>
      </c>
      <c r="BM42" s="57" t="s">
        <v>1035</v>
      </c>
      <c r="BN42" s="57" t="s">
        <v>1036</v>
      </c>
      <c r="BO42" s="57" t="s">
        <v>1037</v>
      </c>
      <c r="BP42" s="44">
        <v>0.0</v>
      </c>
      <c r="BQ42" s="44">
        <v>5.0</v>
      </c>
      <c r="BR42" s="44">
        <v>3.483</v>
      </c>
      <c r="BS42" s="44">
        <v>2.015</v>
      </c>
      <c r="BT42" s="44">
        <v>1.391</v>
      </c>
      <c r="BU42" s="44">
        <v>1.0</v>
      </c>
      <c r="BV42" s="44">
        <v>0.762</v>
      </c>
      <c r="BW42" s="44">
        <v>0.0</v>
      </c>
      <c r="BX42" s="44">
        <v>0.0</v>
      </c>
      <c r="BY42" s="44">
        <v>0.0</v>
      </c>
      <c r="BZ42" s="44">
        <v>3.288</v>
      </c>
      <c r="CA42" s="44">
        <v>4.3</v>
      </c>
      <c r="CB42" s="44">
        <v>2.0</v>
      </c>
      <c r="CC42" s="44">
        <v>0.0</v>
      </c>
      <c r="CD42" s="44">
        <v>0.0</v>
      </c>
      <c r="CE42" s="44">
        <v>9000.0</v>
      </c>
      <c r="CF42" s="44">
        <v>8000.0</v>
      </c>
      <c r="CG42" s="44">
        <v>1.0</v>
      </c>
      <c r="CH42" s="44">
        <v>0.0</v>
      </c>
      <c r="CI42" s="44">
        <v>0.0</v>
      </c>
      <c r="CJ42" s="2"/>
      <c r="CK42" s="2"/>
    </row>
    <row r="43">
      <c r="A43" s="46">
        <v>42.0</v>
      </c>
      <c r="B43" s="46">
        <v>56.0</v>
      </c>
      <c r="C43" s="46" t="s">
        <v>174</v>
      </c>
      <c r="D43" s="46" t="s">
        <v>175</v>
      </c>
      <c r="E43" s="46" t="s">
        <v>176</v>
      </c>
      <c r="F43" s="46">
        <v>1500.0</v>
      </c>
      <c r="G43" s="46">
        <v>4.68</v>
      </c>
      <c r="H43" s="46">
        <v>1.695</v>
      </c>
      <c r="I43" s="46">
        <v>1.485</v>
      </c>
      <c r="J43" s="46">
        <v>2.65</v>
      </c>
      <c r="K43" s="46">
        <v>1.465</v>
      </c>
      <c r="L43" s="46">
        <v>1.46</v>
      </c>
      <c r="M43" s="46">
        <v>0.16</v>
      </c>
      <c r="N43" s="46">
        <v>0.433</v>
      </c>
      <c r="O43" s="46">
        <v>4.0</v>
      </c>
      <c r="P43" s="46">
        <v>0.49</v>
      </c>
      <c r="Q43" s="46">
        <v>1.0</v>
      </c>
      <c r="R43" s="46">
        <v>0.0</v>
      </c>
      <c r="S43" s="46">
        <v>1.175</v>
      </c>
      <c r="T43" s="46">
        <v>0.215</v>
      </c>
      <c r="U43" s="46">
        <v>0.45</v>
      </c>
      <c r="V43" s="46">
        <v>17.0</v>
      </c>
      <c r="W43" s="46">
        <v>0.215</v>
      </c>
      <c r="X43" s="46">
        <v>0.45</v>
      </c>
      <c r="Y43" s="46">
        <v>17.0</v>
      </c>
      <c r="Z43" s="46">
        <v>0.0</v>
      </c>
      <c r="AA43" s="46">
        <v>-0.15</v>
      </c>
      <c r="AB43" s="46">
        <v>2.55</v>
      </c>
      <c r="AC43" s="46">
        <v>14.3</v>
      </c>
      <c r="AD43" s="46">
        <v>1.4</v>
      </c>
      <c r="AE43" s="46">
        <v>1.0</v>
      </c>
      <c r="AF43" s="46">
        <v>0.0</v>
      </c>
      <c r="AG43" s="46">
        <v>-0.3</v>
      </c>
      <c r="AH43" s="46">
        <v>1.4</v>
      </c>
      <c r="AI43" s="46">
        <v>1.0</v>
      </c>
      <c r="AJ43" s="46">
        <v>1994.0</v>
      </c>
      <c r="AK43" s="46">
        <v>1.0</v>
      </c>
      <c r="AL43" s="46">
        <v>7000.0</v>
      </c>
      <c r="AM43" s="46">
        <v>7000.0</v>
      </c>
      <c r="AN43" s="46">
        <v>700.0</v>
      </c>
      <c r="AO43" s="46">
        <v>5000.0</v>
      </c>
      <c r="AP43" s="46">
        <v>6500.0</v>
      </c>
      <c r="AQ43" s="46">
        <v>0.0</v>
      </c>
      <c r="AR43" s="58" t="s">
        <v>1649</v>
      </c>
      <c r="AS43" s="58" t="s">
        <v>1650</v>
      </c>
      <c r="AT43" s="58" t="s">
        <v>1651</v>
      </c>
      <c r="AU43" s="58" t="s">
        <v>1652</v>
      </c>
      <c r="AV43" s="58" t="s">
        <v>1653</v>
      </c>
      <c r="AW43" s="58" t="s">
        <v>1654</v>
      </c>
      <c r="AX43" s="58" t="s">
        <v>1655</v>
      </c>
      <c r="AY43" s="58" t="s">
        <v>1656</v>
      </c>
      <c r="AZ43" s="58" t="s">
        <v>1657</v>
      </c>
      <c r="BA43" s="58" t="s">
        <v>1658</v>
      </c>
      <c r="BB43" s="58" t="s">
        <v>1659</v>
      </c>
      <c r="BC43" s="58" t="s">
        <v>1660</v>
      </c>
      <c r="BD43" s="58" t="s">
        <v>1661</v>
      </c>
      <c r="BE43" s="58" t="s">
        <v>1662</v>
      </c>
      <c r="BF43" s="58" t="s">
        <v>1663</v>
      </c>
      <c r="BG43" s="58" t="s">
        <v>1029</v>
      </c>
      <c r="BH43" s="58" t="s">
        <v>1030</v>
      </c>
      <c r="BI43" s="58" t="s">
        <v>1031</v>
      </c>
      <c r="BJ43" s="58" t="s">
        <v>1032</v>
      </c>
      <c r="BK43" s="58" t="s">
        <v>1033</v>
      </c>
      <c r="BL43" s="58" t="s">
        <v>1034</v>
      </c>
      <c r="BM43" s="58" t="s">
        <v>1035</v>
      </c>
      <c r="BN43" s="58" t="s">
        <v>1036</v>
      </c>
      <c r="BO43" s="58" t="s">
        <v>1037</v>
      </c>
      <c r="BP43" s="46">
        <v>0.0</v>
      </c>
      <c r="BQ43" s="46">
        <v>5.0</v>
      </c>
      <c r="BR43" s="46">
        <v>3.166</v>
      </c>
      <c r="BS43" s="46">
        <v>1.882</v>
      </c>
      <c r="BT43" s="46">
        <v>1.296</v>
      </c>
      <c r="BU43" s="46">
        <v>0.972</v>
      </c>
      <c r="BV43" s="46">
        <v>0.738</v>
      </c>
      <c r="BW43" s="46">
        <v>0.0</v>
      </c>
      <c r="BX43" s="46">
        <v>0.0</v>
      </c>
      <c r="BY43" s="46">
        <v>0.0</v>
      </c>
      <c r="BZ43" s="46">
        <v>3.333</v>
      </c>
      <c r="CA43" s="46">
        <v>4.111</v>
      </c>
      <c r="CB43" s="46">
        <v>0.0</v>
      </c>
      <c r="CC43" s="46">
        <v>1.0</v>
      </c>
      <c r="CD43" s="46">
        <v>1.0</v>
      </c>
      <c r="CE43" s="46">
        <v>8000.0</v>
      </c>
      <c r="CF43" s="46">
        <v>7000.0</v>
      </c>
      <c r="CG43" s="46">
        <v>0.0</v>
      </c>
      <c r="CH43" s="46">
        <v>1.0</v>
      </c>
      <c r="CI43" s="46">
        <v>0.0</v>
      </c>
      <c r="CJ43" s="2"/>
      <c r="CK43" s="2"/>
    </row>
    <row r="44">
      <c r="A44" s="44">
        <v>43.0</v>
      </c>
      <c r="B44" s="44">
        <v>57.0</v>
      </c>
      <c r="C44" s="44" t="s">
        <v>177</v>
      </c>
      <c r="D44" s="44" t="s">
        <v>178</v>
      </c>
      <c r="E44" s="44" t="s">
        <v>179</v>
      </c>
      <c r="F44" s="44">
        <v>1470.0</v>
      </c>
      <c r="G44" s="44">
        <v>4.605</v>
      </c>
      <c r="H44" s="44">
        <v>1.695</v>
      </c>
      <c r="I44" s="44">
        <v>1.41</v>
      </c>
      <c r="J44" s="44">
        <v>2.65</v>
      </c>
      <c r="K44" s="44">
        <v>1.465</v>
      </c>
      <c r="L44" s="44">
        <v>1.465</v>
      </c>
      <c r="M44" s="44">
        <v>0.155</v>
      </c>
      <c r="N44" s="44">
        <v>0.408</v>
      </c>
      <c r="O44" s="44">
        <v>4.0</v>
      </c>
      <c r="P44" s="44">
        <v>0.49</v>
      </c>
      <c r="Q44" s="44">
        <v>1.05</v>
      </c>
      <c r="R44" s="44">
        <v>0.0</v>
      </c>
      <c r="S44" s="44">
        <v>1.143</v>
      </c>
      <c r="T44" s="44">
        <v>0.215</v>
      </c>
      <c r="U44" s="44">
        <v>0.45</v>
      </c>
      <c r="V44" s="44">
        <v>17.0</v>
      </c>
      <c r="W44" s="44">
        <v>0.215</v>
      </c>
      <c r="X44" s="44">
        <v>0.45</v>
      </c>
      <c r="Y44" s="44">
        <v>17.0</v>
      </c>
      <c r="Z44" s="44">
        <v>0.0</v>
      </c>
      <c r="AA44" s="44">
        <v>-0.15</v>
      </c>
      <c r="AB44" s="44">
        <v>3.1</v>
      </c>
      <c r="AC44" s="44">
        <v>14.3</v>
      </c>
      <c r="AD44" s="44">
        <v>1.5</v>
      </c>
      <c r="AE44" s="44">
        <v>2.0</v>
      </c>
      <c r="AF44" s="44">
        <v>0.0</v>
      </c>
      <c r="AG44" s="44">
        <v>-0.45</v>
      </c>
      <c r="AH44" s="44">
        <v>1.5</v>
      </c>
      <c r="AI44" s="44">
        <v>2.0</v>
      </c>
      <c r="AJ44" s="44">
        <v>1994.0</v>
      </c>
      <c r="AK44" s="44">
        <v>1.0</v>
      </c>
      <c r="AL44" s="44">
        <v>7000.0</v>
      </c>
      <c r="AM44" s="44">
        <v>7100.0</v>
      </c>
      <c r="AN44" s="44">
        <v>700.0</v>
      </c>
      <c r="AO44" s="44">
        <v>5000.0</v>
      </c>
      <c r="AP44" s="44">
        <v>6500.0</v>
      </c>
      <c r="AQ44" s="44">
        <v>0.0</v>
      </c>
      <c r="AR44" s="57" t="s">
        <v>1664</v>
      </c>
      <c r="AS44" s="57" t="s">
        <v>1665</v>
      </c>
      <c r="AT44" s="57" t="s">
        <v>1666</v>
      </c>
      <c r="AU44" s="57" t="s">
        <v>1667</v>
      </c>
      <c r="AV44" s="57" t="s">
        <v>1668</v>
      </c>
      <c r="AW44" s="57" t="s">
        <v>1669</v>
      </c>
      <c r="AX44" s="57" t="s">
        <v>1670</v>
      </c>
      <c r="AY44" s="57" t="s">
        <v>1671</v>
      </c>
      <c r="AZ44" s="57" t="s">
        <v>1672</v>
      </c>
      <c r="BA44" s="57" t="s">
        <v>1658</v>
      </c>
      <c r="BB44" s="57" t="s">
        <v>1673</v>
      </c>
      <c r="BC44" s="57" t="s">
        <v>1674</v>
      </c>
      <c r="BD44" s="57" t="s">
        <v>1644</v>
      </c>
      <c r="BE44" s="57" t="s">
        <v>1514</v>
      </c>
      <c r="BF44" s="57" t="s">
        <v>1675</v>
      </c>
      <c r="BG44" s="57" t="s">
        <v>1029</v>
      </c>
      <c r="BH44" s="57" t="s">
        <v>1030</v>
      </c>
      <c r="BI44" s="57" t="s">
        <v>1031</v>
      </c>
      <c r="BJ44" s="57" t="s">
        <v>1032</v>
      </c>
      <c r="BK44" s="57" t="s">
        <v>1033</v>
      </c>
      <c r="BL44" s="57" t="s">
        <v>1034</v>
      </c>
      <c r="BM44" s="57" t="s">
        <v>1035</v>
      </c>
      <c r="BN44" s="57" t="s">
        <v>1036</v>
      </c>
      <c r="BO44" s="57" t="s">
        <v>1037</v>
      </c>
      <c r="BP44" s="44">
        <v>0.0</v>
      </c>
      <c r="BQ44" s="44">
        <v>5.0</v>
      </c>
      <c r="BR44" s="44">
        <v>3.166</v>
      </c>
      <c r="BS44" s="44">
        <v>1.882</v>
      </c>
      <c r="BT44" s="44">
        <v>1.296</v>
      </c>
      <c r="BU44" s="44">
        <v>0.972</v>
      </c>
      <c r="BV44" s="44">
        <v>0.738</v>
      </c>
      <c r="BW44" s="44">
        <v>0.0</v>
      </c>
      <c r="BX44" s="44">
        <v>0.0</v>
      </c>
      <c r="BY44" s="44">
        <v>0.0</v>
      </c>
      <c r="BZ44" s="44">
        <v>3.333</v>
      </c>
      <c r="CA44" s="44">
        <v>4.111</v>
      </c>
      <c r="CB44" s="44">
        <v>0.0</v>
      </c>
      <c r="CC44" s="44">
        <v>1.0</v>
      </c>
      <c r="CD44" s="44">
        <v>1.0</v>
      </c>
      <c r="CE44" s="44">
        <v>8000.0</v>
      </c>
      <c r="CF44" s="44">
        <v>7000.0</v>
      </c>
      <c r="CG44" s="44">
        <v>0.0</v>
      </c>
      <c r="CH44" s="44">
        <v>1.0</v>
      </c>
      <c r="CI44" s="44">
        <v>0.0</v>
      </c>
      <c r="CJ44" s="2"/>
      <c r="CK44" s="2"/>
    </row>
    <row r="45">
      <c r="A45" s="46">
        <v>44.0</v>
      </c>
      <c r="B45" s="46">
        <v>58.0</v>
      </c>
      <c r="C45" s="46" t="s">
        <v>180</v>
      </c>
      <c r="D45" s="46" t="s">
        <v>181</v>
      </c>
      <c r="E45" s="46" t="s">
        <v>182</v>
      </c>
      <c r="F45" s="46">
        <v>1420.0</v>
      </c>
      <c r="G45" s="46">
        <v>4.45</v>
      </c>
      <c r="H45" s="46">
        <v>1.735</v>
      </c>
      <c r="I45" s="46">
        <v>1.585</v>
      </c>
      <c r="J45" s="46">
        <v>2.525</v>
      </c>
      <c r="K45" s="46">
        <v>1.495</v>
      </c>
      <c r="L45" s="46">
        <v>1.485</v>
      </c>
      <c r="M45" s="46">
        <v>0.2</v>
      </c>
      <c r="N45" s="46">
        <v>0.401</v>
      </c>
      <c r="O45" s="46">
        <v>4.0</v>
      </c>
      <c r="P45" s="46">
        <v>0.5</v>
      </c>
      <c r="Q45" s="46">
        <v>1.0</v>
      </c>
      <c r="R45" s="46">
        <v>0.0</v>
      </c>
      <c r="S45" s="46">
        <v>1.267</v>
      </c>
      <c r="T45" s="46">
        <v>0.215</v>
      </c>
      <c r="U45" s="46">
        <v>0.6</v>
      </c>
      <c r="V45" s="46">
        <v>16.0</v>
      </c>
      <c r="W45" s="46">
        <v>0.215</v>
      </c>
      <c r="X45" s="46">
        <v>0.6</v>
      </c>
      <c r="Y45" s="46">
        <v>16.0</v>
      </c>
      <c r="Z45" s="46">
        <v>0.0</v>
      </c>
      <c r="AA45" s="46">
        <v>-0.25</v>
      </c>
      <c r="AB45" s="46">
        <v>3.05</v>
      </c>
      <c r="AC45" s="46">
        <v>13.1</v>
      </c>
      <c r="AD45" s="46">
        <v>1.4</v>
      </c>
      <c r="AE45" s="46">
        <v>2.0</v>
      </c>
      <c r="AF45" s="46">
        <v>-2.0</v>
      </c>
      <c r="AG45" s="46">
        <v>-0.55</v>
      </c>
      <c r="AH45" s="46">
        <v>1.4</v>
      </c>
      <c r="AI45" s="46">
        <v>2.0</v>
      </c>
      <c r="AJ45" s="46">
        <v>1994.0</v>
      </c>
      <c r="AK45" s="46">
        <v>1.0</v>
      </c>
      <c r="AL45" s="46">
        <v>6600.0</v>
      </c>
      <c r="AM45" s="46">
        <v>7000.0</v>
      </c>
      <c r="AN45" s="46">
        <v>750.0</v>
      </c>
      <c r="AO45" s="46">
        <v>3500.0</v>
      </c>
      <c r="AP45" s="46">
        <v>5500.0</v>
      </c>
      <c r="AQ45" s="46">
        <v>0.0</v>
      </c>
      <c r="AR45" s="58" t="s">
        <v>1676</v>
      </c>
      <c r="AS45" s="58" t="s">
        <v>1677</v>
      </c>
      <c r="AT45" s="58" t="s">
        <v>1678</v>
      </c>
      <c r="AU45" s="58" t="s">
        <v>1679</v>
      </c>
      <c r="AV45" s="58" t="s">
        <v>1680</v>
      </c>
      <c r="AW45" s="58" t="s">
        <v>1681</v>
      </c>
      <c r="AX45" s="58" t="s">
        <v>1682</v>
      </c>
      <c r="AY45" s="58" t="s">
        <v>1683</v>
      </c>
      <c r="AZ45" s="58" t="s">
        <v>1684</v>
      </c>
      <c r="BA45" s="58" t="s">
        <v>1685</v>
      </c>
      <c r="BB45" s="58" t="s">
        <v>1686</v>
      </c>
      <c r="BC45" s="58" t="s">
        <v>1687</v>
      </c>
      <c r="BD45" s="58" t="s">
        <v>1688</v>
      </c>
      <c r="BE45" s="58" t="s">
        <v>1689</v>
      </c>
      <c r="BF45" s="58" t="s">
        <v>1052</v>
      </c>
      <c r="BG45" s="58" t="s">
        <v>1029</v>
      </c>
      <c r="BH45" s="58" t="s">
        <v>1030</v>
      </c>
      <c r="BI45" s="58" t="s">
        <v>1031</v>
      </c>
      <c r="BJ45" s="58" t="s">
        <v>1032</v>
      </c>
      <c r="BK45" s="58" t="s">
        <v>1033</v>
      </c>
      <c r="BL45" s="58" t="s">
        <v>1034</v>
      </c>
      <c r="BM45" s="58" t="s">
        <v>1035</v>
      </c>
      <c r="BN45" s="58" t="s">
        <v>1036</v>
      </c>
      <c r="BO45" s="58" t="s">
        <v>1037</v>
      </c>
      <c r="BP45" s="46">
        <v>1.0</v>
      </c>
      <c r="BQ45" s="46">
        <v>4.0</v>
      </c>
      <c r="BR45" s="46">
        <v>2.785</v>
      </c>
      <c r="BS45" s="46">
        <v>1.545</v>
      </c>
      <c r="BT45" s="46">
        <v>1.0</v>
      </c>
      <c r="BU45" s="46">
        <v>0.694</v>
      </c>
      <c r="BV45" s="46">
        <v>0.0</v>
      </c>
      <c r="BW45" s="46">
        <v>0.0</v>
      </c>
      <c r="BX45" s="46">
        <v>0.0</v>
      </c>
      <c r="BY45" s="46">
        <v>0.0</v>
      </c>
      <c r="BZ45" s="46">
        <v>2.272</v>
      </c>
      <c r="CA45" s="46">
        <v>4.444</v>
      </c>
      <c r="CB45" s="46">
        <v>0.0</v>
      </c>
      <c r="CC45" s="46">
        <v>1.0</v>
      </c>
      <c r="CD45" s="46">
        <v>5.0</v>
      </c>
      <c r="CE45" s="46">
        <v>8000.0</v>
      </c>
      <c r="CF45" s="46">
        <v>6600.0</v>
      </c>
      <c r="CG45" s="46">
        <v>0.0</v>
      </c>
      <c r="CH45" s="46">
        <v>1.0</v>
      </c>
      <c r="CI45" s="46">
        <v>0.0</v>
      </c>
      <c r="CJ45" s="2"/>
      <c r="CK45" s="2"/>
    </row>
    <row r="46">
      <c r="A46" s="44">
        <v>45.0</v>
      </c>
      <c r="B46" s="44">
        <v>60.0</v>
      </c>
      <c r="C46" s="44" t="s">
        <v>183</v>
      </c>
      <c r="D46" s="44" t="s">
        <v>184</v>
      </c>
      <c r="E46" s="44" t="s">
        <v>185</v>
      </c>
      <c r="F46" s="44">
        <v>1430.0</v>
      </c>
      <c r="G46" s="44">
        <v>4.405</v>
      </c>
      <c r="H46" s="44">
        <v>1.73</v>
      </c>
      <c r="I46" s="44">
        <v>1.435</v>
      </c>
      <c r="J46" s="44">
        <v>2.525</v>
      </c>
      <c r="K46" s="44">
        <v>1.49</v>
      </c>
      <c r="L46" s="44">
        <v>1.48</v>
      </c>
      <c r="M46" s="44">
        <v>0.15</v>
      </c>
      <c r="N46" s="44">
        <v>0.392</v>
      </c>
      <c r="O46" s="44">
        <v>4.0</v>
      </c>
      <c r="P46" s="44">
        <v>0.49</v>
      </c>
      <c r="Q46" s="44">
        <v>1.15</v>
      </c>
      <c r="R46" s="44">
        <v>100.0</v>
      </c>
      <c r="S46" s="44">
        <v>1.146</v>
      </c>
      <c r="T46" s="44">
        <v>0.225</v>
      </c>
      <c r="U46" s="44">
        <v>0.45</v>
      </c>
      <c r="V46" s="44">
        <v>17.0</v>
      </c>
      <c r="W46" s="44">
        <v>0.225</v>
      </c>
      <c r="X46" s="44">
        <v>0.45</v>
      </c>
      <c r="Y46" s="44">
        <v>17.0</v>
      </c>
      <c r="Z46" s="44">
        <v>0.0</v>
      </c>
      <c r="AA46" s="44">
        <v>-0.25</v>
      </c>
      <c r="AB46" s="44">
        <v>3.35</v>
      </c>
      <c r="AC46" s="44">
        <v>14.35</v>
      </c>
      <c r="AD46" s="44">
        <v>1.5</v>
      </c>
      <c r="AE46" s="44">
        <v>2.0</v>
      </c>
      <c r="AF46" s="44">
        <v>0.0</v>
      </c>
      <c r="AG46" s="44">
        <v>-1.3</v>
      </c>
      <c r="AH46" s="44">
        <v>1.5</v>
      </c>
      <c r="AI46" s="44">
        <v>2.0</v>
      </c>
      <c r="AJ46" s="44">
        <v>1994.0</v>
      </c>
      <c r="AK46" s="44">
        <v>1.0</v>
      </c>
      <c r="AL46" s="44">
        <v>8000.0</v>
      </c>
      <c r="AM46" s="44">
        <v>8000.0</v>
      </c>
      <c r="AN46" s="44">
        <v>700.0</v>
      </c>
      <c r="AO46" s="44">
        <v>4400.0</v>
      </c>
      <c r="AP46" s="44">
        <v>6400.0</v>
      </c>
      <c r="AQ46" s="44">
        <v>0.0</v>
      </c>
      <c r="AR46" s="57" t="s">
        <v>1690</v>
      </c>
      <c r="AS46" s="57" t="s">
        <v>1691</v>
      </c>
      <c r="AT46" s="57" t="s">
        <v>1692</v>
      </c>
      <c r="AU46" s="57" t="s">
        <v>1693</v>
      </c>
      <c r="AV46" s="57" t="s">
        <v>1694</v>
      </c>
      <c r="AW46" s="57" t="s">
        <v>1695</v>
      </c>
      <c r="AX46" s="57" t="s">
        <v>1696</v>
      </c>
      <c r="AY46" s="57" t="s">
        <v>1697</v>
      </c>
      <c r="AZ46" s="57" t="s">
        <v>1698</v>
      </c>
      <c r="BA46" s="57" t="s">
        <v>1699</v>
      </c>
      <c r="BB46" s="57" t="s">
        <v>1700</v>
      </c>
      <c r="BC46" s="57" t="s">
        <v>1701</v>
      </c>
      <c r="BD46" s="57" t="s">
        <v>1702</v>
      </c>
      <c r="BE46" s="57" t="s">
        <v>1703</v>
      </c>
      <c r="BF46" s="57" t="s">
        <v>1704</v>
      </c>
      <c r="BG46" s="57" t="s">
        <v>1705</v>
      </c>
      <c r="BH46" s="57" t="s">
        <v>1030</v>
      </c>
      <c r="BI46" s="57" t="s">
        <v>1031</v>
      </c>
      <c r="BJ46" s="57" t="s">
        <v>1032</v>
      </c>
      <c r="BK46" s="57" t="s">
        <v>1033</v>
      </c>
      <c r="BL46" s="57" t="s">
        <v>1034</v>
      </c>
      <c r="BM46" s="57" t="s">
        <v>1035</v>
      </c>
      <c r="BN46" s="57" t="s">
        <v>1036</v>
      </c>
      <c r="BO46" s="57" t="s">
        <v>1037</v>
      </c>
      <c r="BP46" s="44">
        <v>0.0</v>
      </c>
      <c r="BQ46" s="44">
        <v>6.0</v>
      </c>
      <c r="BR46" s="44">
        <v>3.636</v>
      </c>
      <c r="BS46" s="44">
        <v>2.375</v>
      </c>
      <c r="BT46" s="44">
        <v>1.761</v>
      </c>
      <c r="BU46" s="44">
        <v>1.346</v>
      </c>
      <c r="BV46" s="44">
        <v>1.062</v>
      </c>
      <c r="BW46" s="44">
        <v>0.842</v>
      </c>
      <c r="BX46" s="44">
        <v>0.0</v>
      </c>
      <c r="BY46" s="44">
        <v>0.0</v>
      </c>
      <c r="BZ46" s="44">
        <v>3.545</v>
      </c>
      <c r="CA46" s="44">
        <v>3.9</v>
      </c>
      <c r="CB46" s="44">
        <v>0.0</v>
      </c>
      <c r="CC46" s="44">
        <v>3.0</v>
      </c>
      <c r="CD46" s="44">
        <v>1.0</v>
      </c>
      <c r="CE46" s="44">
        <v>9000.0</v>
      </c>
      <c r="CF46" s="44">
        <v>8000.0</v>
      </c>
      <c r="CG46" s="44">
        <v>0.0</v>
      </c>
      <c r="CH46" s="44">
        <v>0.0</v>
      </c>
      <c r="CI46" s="44">
        <v>0.0</v>
      </c>
      <c r="CJ46" s="2"/>
      <c r="CK46" s="2"/>
    </row>
    <row r="47">
      <c r="A47" s="46">
        <v>46.0</v>
      </c>
      <c r="B47" s="46">
        <v>61.0</v>
      </c>
      <c r="C47" s="46" t="s">
        <v>186</v>
      </c>
      <c r="D47" s="46" t="s">
        <v>187</v>
      </c>
      <c r="E47" s="46" t="s">
        <v>188</v>
      </c>
      <c r="F47" s="46">
        <v>850.0</v>
      </c>
      <c r="G47" s="46">
        <v>3.69</v>
      </c>
      <c r="H47" s="46">
        <v>1.6</v>
      </c>
      <c r="I47" s="46">
        <v>1.45</v>
      </c>
      <c r="J47" s="46">
        <v>2.37</v>
      </c>
      <c r="K47" s="46">
        <v>1.38</v>
      </c>
      <c r="L47" s="46">
        <v>1.36</v>
      </c>
      <c r="M47" s="46">
        <v>0.15</v>
      </c>
      <c r="N47" s="46">
        <v>0.388</v>
      </c>
      <c r="O47" s="46">
        <v>4.0</v>
      </c>
      <c r="P47" s="46">
        <v>0.5</v>
      </c>
      <c r="Q47" s="46">
        <v>1.0</v>
      </c>
      <c r="R47" s="46">
        <v>0.0</v>
      </c>
      <c r="S47" s="46">
        <v>1.185</v>
      </c>
      <c r="T47" s="46">
        <v>0.165</v>
      </c>
      <c r="U47" s="46">
        <v>0.65</v>
      </c>
      <c r="V47" s="46">
        <v>14.0</v>
      </c>
      <c r="W47" s="46">
        <v>0.165</v>
      </c>
      <c r="X47" s="46">
        <v>0.65</v>
      </c>
      <c r="Y47" s="46">
        <v>14.0</v>
      </c>
      <c r="Z47" s="46">
        <v>0.0</v>
      </c>
      <c r="AA47" s="46">
        <v>0.0</v>
      </c>
      <c r="AB47" s="46">
        <v>2.5</v>
      </c>
      <c r="AC47" s="46">
        <v>11.25</v>
      </c>
      <c r="AD47" s="46">
        <v>1.5</v>
      </c>
      <c r="AE47" s="46">
        <v>1.5</v>
      </c>
      <c r="AF47" s="46">
        <v>0.0</v>
      </c>
      <c r="AG47" s="46">
        <v>0.0</v>
      </c>
      <c r="AH47" s="46">
        <v>1.5</v>
      </c>
      <c r="AI47" s="46">
        <v>1.0</v>
      </c>
      <c r="AJ47" s="46">
        <v>713.0</v>
      </c>
      <c r="AK47" s="46">
        <v>1.0</v>
      </c>
      <c r="AL47" s="46">
        <v>8500.0</v>
      </c>
      <c r="AM47" s="46">
        <v>9000.0</v>
      </c>
      <c r="AN47" s="46">
        <v>800.0</v>
      </c>
      <c r="AO47" s="46">
        <v>4800.0</v>
      </c>
      <c r="AP47" s="46">
        <v>7200.0</v>
      </c>
      <c r="AQ47" s="46">
        <v>0.0</v>
      </c>
      <c r="AR47" s="58" t="s">
        <v>1706</v>
      </c>
      <c r="AS47" s="58" t="s">
        <v>1707</v>
      </c>
      <c r="AT47" s="58" t="s">
        <v>1708</v>
      </c>
      <c r="AU47" s="58" t="s">
        <v>1709</v>
      </c>
      <c r="AV47" s="58" t="s">
        <v>1710</v>
      </c>
      <c r="AW47" s="58" t="s">
        <v>1711</v>
      </c>
      <c r="AX47" s="58" t="s">
        <v>1712</v>
      </c>
      <c r="AY47" s="58" t="s">
        <v>1713</v>
      </c>
      <c r="AZ47" s="58" t="s">
        <v>1714</v>
      </c>
      <c r="BA47" s="58" t="s">
        <v>1715</v>
      </c>
      <c r="BB47" s="58" t="s">
        <v>1716</v>
      </c>
      <c r="BC47" s="58" t="s">
        <v>1717</v>
      </c>
      <c r="BD47" s="58" t="s">
        <v>1718</v>
      </c>
      <c r="BE47" s="58" t="s">
        <v>1719</v>
      </c>
      <c r="BF47" s="58" t="s">
        <v>1720</v>
      </c>
      <c r="BG47" s="58" t="s">
        <v>1721</v>
      </c>
      <c r="BH47" s="58" t="s">
        <v>1722</v>
      </c>
      <c r="BI47" s="58" t="s">
        <v>1723</v>
      </c>
      <c r="BJ47" s="58" t="s">
        <v>1032</v>
      </c>
      <c r="BK47" s="58" t="s">
        <v>1033</v>
      </c>
      <c r="BL47" s="58" t="s">
        <v>1034</v>
      </c>
      <c r="BM47" s="58" t="s">
        <v>1035</v>
      </c>
      <c r="BN47" s="58" t="s">
        <v>1036</v>
      </c>
      <c r="BO47" s="58" t="s">
        <v>1037</v>
      </c>
      <c r="BP47" s="46">
        <v>0.0</v>
      </c>
      <c r="BQ47" s="46">
        <v>5.0</v>
      </c>
      <c r="BR47" s="46">
        <v>3.09</v>
      </c>
      <c r="BS47" s="46">
        <v>2.055</v>
      </c>
      <c r="BT47" s="46">
        <v>1.518</v>
      </c>
      <c r="BU47" s="46">
        <v>1.058</v>
      </c>
      <c r="BV47" s="46">
        <v>0.75</v>
      </c>
      <c r="BW47" s="46">
        <v>0.0</v>
      </c>
      <c r="BX47" s="46">
        <v>0.0</v>
      </c>
      <c r="BY47" s="46">
        <v>0.0</v>
      </c>
      <c r="BZ47" s="46">
        <v>3.142</v>
      </c>
      <c r="CA47" s="46">
        <v>5.545</v>
      </c>
      <c r="CB47" s="46">
        <v>3.0</v>
      </c>
      <c r="CC47" s="46">
        <v>3.0</v>
      </c>
      <c r="CD47" s="46">
        <v>1.0</v>
      </c>
      <c r="CE47" s="46">
        <v>10000.0</v>
      </c>
      <c r="CF47" s="46">
        <v>8500.0</v>
      </c>
      <c r="CG47" s="46">
        <v>0.0</v>
      </c>
      <c r="CH47" s="46">
        <v>0.0</v>
      </c>
      <c r="CI47" s="46">
        <v>0.0</v>
      </c>
      <c r="CJ47" s="2"/>
      <c r="CK47" s="2"/>
    </row>
    <row r="48">
      <c r="A48" s="44">
        <v>47.0</v>
      </c>
      <c r="B48" s="44">
        <v>63.0</v>
      </c>
      <c r="C48" s="44" t="s">
        <v>189</v>
      </c>
      <c r="D48" s="44" t="s">
        <v>190</v>
      </c>
      <c r="E48" s="44" t="s">
        <v>191</v>
      </c>
      <c r="F48" s="44">
        <v>2340.0</v>
      </c>
      <c r="G48" s="44">
        <v>4.49</v>
      </c>
      <c r="H48" s="44">
        <v>1.81</v>
      </c>
      <c r="I48" s="44">
        <v>1.97</v>
      </c>
      <c r="J48" s="44">
        <v>2.85</v>
      </c>
      <c r="K48" s="44">
        <v>1.475</v>
      </c>
      <c r="L48" s="44">
        <v>1.475</v>
      </c>
      <c r="M48" s="44">
        <v>0.235</v>
      </c>
      <c r="N48" s="44">
        <v>0.483</v>
      </c>
      <c r="O48" s="44">
        <v>4.0</v>
      </c>
      <c r="P48" s="44">
        <v>0.6</v>
      </c>
      <c r="Q48" s="44">
        <v>1.0</v>
      </c>
      <c r="R48" s="44">
        <v>0.0</v>
      </c>
      <c r="S48" s="44">
        <v>1.583</v>
      </c>
      <c r="T48" s="44">
        <v>0.265</v>
      </c>
      <c r="U48" s="44">
        <v>0.6</v>
      </c>
      <c r="V48" s="44">
        <v>18.0</v>
      </c>
      <c r="W48" s="44">
        <v>0.265</v>
      </c>
      <c r="X48" s="44">
        <v>0.6</v>
      </c>
      <c r="Y48" s="44">
        <v>18.0</v>
      </c>
      <c r="Z48" s="44">
        <v>0.0</v>
      </c>
      <c r="AA48" s="44">
        <v>0.0</v>
      </c>
      <c r="AB48" s="44">
        <v>4.5</v>
      </c>
      <c r="AC48" s="44">
        <v>10.0</v>
      </c>
      <c r="AD48" s="44">
        <v>1.4</v>
      </c>
      <c r="AE48" s="44">
        <v>2.0</v>
      </c>
      <c r="AF48" s="44">
        <v>-2.0</v>
      </c>
      <c r="AG48" s="44">
        <v>-0.4</v>
      </c>
      <c r="AH48" s="44">
        <v>1.4</v>
      </c>
      <c r="AI48" s="44">
        <v>1.0</v>
      </c>
      <c r="AJ48" s="44">
        <v>4965.0</v>
      </c>
      <c r="AK48" s="44">
        <v>0.0</v>
      </c>
      <c r="AL48" s="44">
        <v>6000.0</v>
      </c>
      <c r="AM48" s="44">
        <v>6000.0</v>
      </c>
      <c r="AN48" s="44">
        <v>700.0</v>
      </c>
      <c r="AO48" s="44">
        <v>2800.0</v>
      </c>
      <c r="AP48" s="44">
        <v>5500.0</v>
      </c>
      <c r="AQ48" s="44">
        <v>0.0</v>
      </c>
      <c r="AR48" s="57" t="s">
        <v>1724</v>
      </c>
      <c r="AS48" s="57" t="s">
        <v>1725</v>
      </c>
      <c r="AT48" s="57" t="s">
        <v>1726</v>
      </c>
      <c r="AU48" s="57" t="s">
        <v>1727</v>
      </c>
      <c r="AV48" s="57" t="s">
        <v>1728</v>
      </c>
      <c r="AW48" s="57" t="s">
        <v>1729</v>
      </c>
      <c r="AX48" s="57" t="s">
        <v>1730</v>
      </c>
      <c r="AY48" s="57" t="s">
        <v>1123</v>
      </c>
      <c r="AZ48" s="57" t="s">
        <v>1731</v>
      </c>
      <c r="BA48" s="57" t="s">
        <v>1732</v>
      </c>
      <c r="BB48" s="57" t="s">
        <v>1733</v>
      </c>
      <c r="BC48" s="57" t="s">
        <v>1734</v>
      </c>
      <c r="BD48" s="57" t="s">
        <v>1342</v>
      </c>
      <c r="BE48" s="57" t="s">
        <v>1143</v>
      </c>
      <c r="BF48" s="57" t="s">
        <v>1052</v>
      </c>
      <c r="BG48" s="57" t="s">
        <v>1029</v>
      </c>
      <c r="BH48" s="57" t="s">
        <v>1030</v>
      </c>
      <c r="BI48" s="57" t="s">
        <v>1031</v>
      </c>
      <c r="BJ48" s="57" t="s">
        <v>1032</v>
      </c>
      <c r="BK48" s="57" t="s">
        <v>1033</v>
      </c>
      <c r="BL48" s="57" t="s">
        <v>1034</v>
      </c>
      <c r="BM48" s="57" t="s">
        <v>1035</v>
      </c>
      <c r="BN48" s="57" t="s">
        <v>1036</v>
      </c>
      <c r="BO48" s="57" t="s">
        <v>1037</v>
      </c>
      <c r="BP48" s="44">
        <v>1.0</v>
      </c>
      <c r="BQ48" s="44">
        <v>5.0</v>
      </c>
      <c r="BR48" s="44">
        <v>3.595</v>
      </c>
      <c r="BS48" s="44">
        <v>2.186</v>
      </c>
      <c r="BT48" s="44">
        <v>1.405</v>
      </c>
      <c r="BU48" s="44">
        <v>1.0</v>
      </c>
      <c r="BV48" s="44">
        <v>0.831</v>
      </c>
      <c r="BW48" s="44">
        <v>0.0</v>
      </c>
      <c r="BX48" s="44">
        <v>0.0</v>
      </c>
      <c r="BY48" s="44">
        <v>0.0</v>
      </c>
      <c r="BZ48" s="44">
        <v>3.167</v>
      </c>
      <c r="CA48" s="44">
        <v>4.375</v>
      </c>
      <c r="CB48" s="44">
        <v>0.0</v>
      </c>
      <c r="CC48" s="44">
        <v>1.0</v>
      </c>
      <c r="CD48" s="44">
        <v>1.0</v>
      </c>
      <c r="CE48" s="44">
        <v>7000.0</v>
      </c>
      <c r="CF48" s="44">
        <v>6000.0</v>
      </c>
      <c r="CG48" s="44">
        <v>0.0</v>
      </c>
      <c r="CH48" s="44">
        <v>0.0</v>
      </c>
      <c r="CI48" s="44">
        <v>0.0</v>
      </c>
      <c r="CJ48" s="2"/>
      <c r="CK48" s="2"/>
    </row>
    <row r="49">
      <c r="A49" s="46">
        <v>48.0</v>
      </c>
      <c r="B49" s="46">
        <v>64.0</v>
      </c>
      <c r="C49" s="46" t="s">
        <v>192</v>
      </c>
      <c r="D49" s="46" t="s">
        <v>193</v>
      </c>
      <c r="E49" s="46" t="s">
        <v>194</v>
      </c>
      <c r="F49" s="46">
        <v>1610.0</v>
      </c>
      <c r="G49" s="46">
        <v>4.535</v>
      </c>
      <c r="H49" s="46">
        <v>1.73</v>
      </c>
      <c r="I49" s="46">
        <v>1.41</v>
      </c>
      <c r="J49" s="46">
        <v>2.715</v>
      </c>
      <c r="K49" s="46">
        <v>1.495</v>
      </c>
      <c r="L49" s="46">
        <v>1.475</v>
      </c>
      <c r="M49" s="46">
        <v>0.12</v>
      </c>
      <c r="N49" s="46">
        <v>0.447</v>
      </c>
      <c r="O49" s="46">
        <v>0.0</v>
      </c>
      <c r="P49" s="46">
        <v>0.5</v>
      </c>
      <c r="Q49" s="46">
        <v>1.1</v>
      </c>
      <c r="R49" s="46">
        <v>0.0</v>
      </c>
      <c r="S49" s="46">
        <v>1.15</v>
      </c>
      <c r="T49" s="46">
        <v>0.225</v>
      </c>
      <c r="U49" s="46">
        <v>0.45</v>
      </c>
      <c r="V49" s="46">
        <v>17.0</v>
      </c>
      <c r="W49" s="46">
        <v>0.245</v>
      </c>
      <c r="X49" s="46">
        <v>0.4</v>
      </c>
      <c r="Y49" s="46">
        <v>17.0</v>
      </c>
      <c r="Z49" s="46">
        <v>0.0</v>
      </c>
      <c r="AA49" s="46">
        <v>-0.1</v>
      </c>
      <c r="AB49" s="46">
        <v>4.4</v>
      </c>
      <c r="AC49" s="46">
        <v>7.45</v>
      </c>
      <c r="AD49" s="46">
        <v>1.5</v>
      </c>
      <c r="AE49" s="46">
        <v>3.0</v>
      </c>
      <c r="AF49" s="46">
        <v>-4.0</v>
      </c>
      <c r="AG49" s="46">
        <v>-0.35</v>
      </c>
      <c r="AH49" s="46">
        <v>1.5</v>
      </c>
      <c r="AI49" s="46">
        <v>1.0</v>
      </c>
      <c r="AJ49" s="46">
        <v>3199.0</v>
      </c>
      <c r="AK49" s="46">
        <v>4.0</v>
      </c>
      <c r="AL49" s="46">
        <v>6000.0</v>
      </c>
      <c r="AM49" s="46">
        <v>6500.0</v>
      </c>
      <c r="AN49" s="46">
        <v>700.0</v>
      </c>
      <c r="AO49" s="46">
        <v>4400.0</v>
      </c>
      <c r="AP49" s="46">
        <v>6100.0</v>
      </c>
      <c r="AQ49" s="46">
        <v>0.0</v>
      </c>
      <c r="AR49" s="58" t="s">
        <v>1735</v>
      </c>
      <c r="AS49" s="58" t="s">
        <v>1736</v>
      </c>
      <c r="AT49" s="58" t="s">
        <v>1737</v>
      </c>
      <c r="AU49" s="58" t="s">
        <v>1738</v>
      </c>
      <c r="AV49" s="58" t="s">
        <v>1739</v>
      </c>
      <c r="AW49" s="58" t="s">
        <v>1740</v>
      </c>
      <c r="AX49" s="58" t="s">
        <v>1741</v>
      </c>
      <c r="AY49" s="58" t="s">
        <v>1742</v>
      </c>
      <c r="AZ49" s="58" t="s">
        <v>1743</v>
      </c>
      <c r="BA49" s="58" t="s">
        <v>1744</v>
      </c>
      <c r="BB49" s="58" t="s">
        <v>1745</v>
      </c>
      <c r="BC49" s="58" t="s">
        <v>1746</v>
      </c>
      <c r="BD49" s="58" t="s">
        <v>1747</v>
      </c>
      <c r="BE49" s="58" t="s">
        <v>1748</v>
      </c>
      <c r="BF49" s="58" t="s">
        <v>1052</v>
      </c>
      <c r="BG49" s="58" t="s">
        <v>1029</v>
      </c>
      <c r="BH49" s="58" t="s">
        <v>1030</v>
      </c>
      <c r="BI49" s="58" t="s">
        <v>1031</v>
      </c>
      <c r="BJ49" s="58" t="s">
        <v>1032</v>
      </c>
      <c r="BK49" s="58" t="s">
        <v>1033</v>
      </c>
      <c r="BL49" s="58" t="s">
        <v>1034</v>
      </c>
      <c r="BM49" s="58" t="s">
        <v>1035</v>
      </c>
      <c r="BN49" s="58" t="s">
        <v>1036</v>
      </c>
      <c r="BO49" s="58" t="s">
        <v>1037</v>
      </c>
      <c r="BP49" s="46">
        <v>1.0</v>
      </c>
      <c r="BQ49" s="46">
        <v>5.0</v>
      </c>
      <c r="BR49" s="46">
        <v>3.595</v>
      </c>
      <c r="BS49" s="46">
        <v>2.186</v>
      </c>
      <c r="BT49" s="46">
        <v>1.405</v>
      </c>
      <c r="BU49" s="46">
        <v>1.0</v>
      </c>
      <c r="BV49" s="46">
        <v>0.831</v>
      </c>
      <c r="BW49" s="46">
        <v>0.0</v>
      </c>
      <c r="BX49" s="46">
        <v>0.0</v>
      </c>
      <c r="BY49" s="46">
        <v>0.0</v>
      </c>
      <c r="BZ49" s="46">
        <v>3.167</v>
      </c>
      <c r="CA49" s="46">
        <v>3.058</v>
      </c>
      <c r="CB49" s="46">
        <v>0.0</v>
      </c>
      <c r="CC49" s="46">
        <v>0.0</v>
      </c>
      <c r="CD49" s="46">
        <v>0.0</v>
      </c>
      <c r="CE49" s="46">
        <v>7000.0</v>
      </c>
      <c r="CF49" s="46">
        <v>6000.0</v>
      </c>
      <c r="CG49" s="46">
        <v>0.0</v>
      </c>
      <c r="CH49" s="46">
        <v>1.0</v>
      </c>
      <c r="CI49" s="46">
        <v>0.0</v>
      </c>
      <c r="CJ49" s="2"/>
      <c r="CK49" s="2"/>
    </row>
    <row r="50">
      <c r="A50" s="44">
        <v>49.0</v>
      </c>
      <c r="B50" s="44">
        <v>66.0</v>
      </c>
      <c r="C50" s="44" t="s">
        <v>195</v>
      </c>
      <c r="D50" s="44" t="s">
        <v>196</v>
      </c>
      <c r="E50" s="44" t="s">
        <v>197</v>
      </c>
      <c r="F50" s="44">
        <v>2200.0</v>
      </c>
      <c r="G50" s="44">
        <v>5.165</v>
      </c>
      <c r="H50" s="44">
        <v>1.855</v>
      </c>
      <c r="I50" s="44">
        <v>1.445</v>
      </c>
      <c r="J50" s="44">
        <v>3.085</v>
      </c>
      <c r="K50" s="44">
        <v>1.58</v>
      </c>
      <c r="L50" s="44">
        <v>1.575</v>
      </c>
      <c r="M50" s="44">
        <v>0.13</v>
      </c>
      <c r="N50" s="44">
        <v>0.476</v>
      </c>
      <c r="O50" s="44">
        <v>0.0</v>
      </c>
      <c r="P50" s="44">
        <v>0.55</v>
      </c>
      <c r="Q50" s="44">
        <v>1.1</v>
      </c>
      <c r="R50" s="44">
        <v>0.0</v>
      </c>
      <c r="S50" s="44">
        <v>1.217</v>
      </c>
      <c r="T50" s="44">
        <v>0.245</v>
      </c>
      <c r="U50" s="44">
        <v>0.45</v>
      </c>
      <c r="V50" s="44">
        <v>18.0</v>
      </c>
      <c r="W50" s="44">
        <v>0.265</v>
      </c>
      <c r="X50" s="44">
        <v>0.4</v>
      </c>
      <c r="Y50" s="44">
        <v>18.0</v>
      </c>
      <c r="Z50" s="44">
        <v>0.0</v>
      </c>
      <c r="AA50" s="44">
        <v>0.0</v>
      </c>
      <c r="AB50" s="44">
        <v>6.0</v>
      </c>
      <c r="AC50" s="44">
        <v>14.0</v>
      </c>
      <c r="AD50" s="44">
        <v>1.6</v>
      </c>
      <c r="AE50" s="44">
        <v>5.0</v>
      </c>
      <c r="AF50" s="44">
        <v>-6.0</v>
      </c>
      <c r="AG50" s="44">
        <v>-0.3</v>
      </c>
      <c r="AH50" s="44">
        <v>1.5</v>
      </c>
      <c r="AI50" s="44">
        <v>2.0</v>
      </c>
      <c r="AJ50" s="44">
        <v>5513.0</v>
      </c>
      <c r="AK50" s="44">
        <v>6.0</v>
      </c>
      <c r="AL50" s="44">
        <v>5800.0</v>
      </c>
      <c r="AM50" s="44">
        <v>6000.0</v>
      </c>
      <c r="AN50" s="44">
        <v>500.0</v>
      </c>
      <c r="AO50" s="44">
        <v>1800.0</v>
      </c>
      <c r="AP50" s="44">
        <v>5000.0</v>
      </c>
      <c r="AQ50" s="44">
        <v>0.0</v>
      </c>
      <c r="AR50" s="57" t="s">
        <v>1749</v>
      </c>
      <c r="AS50" s="57" t="s">
        <v>1750</v>
      </c>
      <c r="AT50" s="57" t="s">
        <v>1751</v>
      </c>
      <c r="AU50" s="57" t="s">
        <v>1752</v>
      </c>
      <c r="AV50" s="57" t="s">
        <v>1753</v>
      </c>
      <c r="AW50" s="57" t="s">
        <v>1754</v>
      </c>
      <c r="AX50" s="57" t="s">
        <v>1755</v>
      </c>
      <c r="AY50" s="57" t="s">
        <v>1756</v>
      </c>
      <c r="AZ50" s="57" t="s">
        <v>1757</v>
      </c>
      <c r="BA50" s="57" t="s">
        <v>1758</v>
      </c>
      <c r="BB50" s="57" t="s">
        <v>1759</v>
      </c>
      <c r="BC50" s="57" t="s">
        <v>1760</v>
      </c>
      <c r="BD50" s="57" t="s">
        <v>1342</v>
      </c>
      <c r="BE50" s="57" t="s">
        <v>1143</v>
      </c>
      <c r="BF50" s="57" t="s">
        <v>1052</v>
      </c>
      <c r="BG50" s="57" t="s">
        <v>1029</v>
      </c>
      <c r="BH50" s="57" t="s">
        <v>1030</v>
      </c>
      <c r="BI50" s="57" t="s">
        <v>1031</v>
      </c>
      <c r="BJ50" s="57" t="s">
        <v>1032</v>
      </c>
      <c r="BK50" s="57" t="s">
        <v>1033</v>
      </c>
      <c r="BL50" s="57" t="s">
        <v>1034</v>
      </c>
      <c r="BM50" s="57" t="s">
        <v>1035</v>
      </c>
      <c r="BN50" s="57" t="s">
        <v>1036</v>
      </c>
      <c r="BO50" s="57" t="s">
        <v>1037</v>
      </c>
      <c r="BP50" s="44">
        <v>1.0</v>
      </c>
      <c r="BQ50" s="44">
        <v>5.0</v>
      </c>
      <c r="BR50" s="44">
        <v>3.595</v>
      </c>
      <c r="BS50" s="44">
        <v>2.186</v>
      </c>
      <c r="BT50" s="44">
        <v>1.405</v>
      </c>
      <c r="BU50" s="44">
        <v>1.0</v>
      </c>
      <c r="BV50" s="44">
        <v>0.831</v>
      </c>
      <c r="BW50" s="44">
        <v>0.0</v>
      </c>
      <c r="BX50" s="44">
        <v>0.0</v>
      </c>
      <c r="BY50" s="44">
        <v>0.0</v>
      </c>
      <c r="BZ50" s="44">
        <v>3.167</v>
      </c>
      <c r="CA50" s="44">
        <v>2.647</v>
      </c>
      <c r="CB50" s="44">
        <v>0.0</v>
      </c>
      <c r="CC50" s="44">
        <v>0.0</v>
      </c>
      <c r="CD50" s="44">
        <v>0.0</v>
      </c>
      <c r="CE50" s="44">
        <v>6400.0</v>
      </c>
      <c r="CF50" s="44">
        <v>5800.0</v>
      </c>
      <c r="CG50" s="44">
        <v>0.0</v>
      </c>
      <c r="CH50" s="44">
        <v>1.0</v>
      </c>
      <c r="CI50" s="44">
        <v>0.0</v>
      </c>
      <c r="CJ50" s="2"/>
      <c r="CK50" s="2"/>
    </row>
    <row r="51">
      <c r="A51" s="46">
        <v>50.0</v>
      </c>
      <c r="B51" s="46">
        <v>67.0</v>
      </c>
      <c r="C51" s="46" t="s">
        <v>198</v>
      </c>
      <c r="D51" s="46" t="s">
        <v>199</v>
      </c>
      <c r="E51" s="46" t="s">
        <v>200</v>
      </c>
      <c r="F51" s="46">
        <v>2065.0</v>
      </c>
      <c r="G51" s="46">
        <v>4.993</v>
      </c>
      <c r="H51" s="46">
        <v>1.857</v>
      </c>
      <c r="I51" s="46">
        <v>1.422</v>
      </c>
      <c r="J51" s="46">
        <v>2.885</v>
      </c>
      <c r="K51" s="46">
        <v>1.577</v>
      </c>
      <c r="L51" s="46">
        <v>1.578</v>
      </c>
      <c r="M51" s="46">
        <v>0.08</v>
      </c>
      <c r="N51" s="46">
        <v>0.478</v>
      </c>
      <c r="O51" s="46">
        <v>0.0</v>
      </c>
      <c r="P51" s="46">
        <v>0.5</v>
      </c>
      <c r="Q51" s="46">
        <v>1.1</v>
      </c>
      <c r="R51" s="46">
        <v>0.0</v>
      </c>
      <c r="S51" s="46">
        <v>1.133</v>
      </c>
      <c r="T51" s="46">
        <v>0.245</v>
      </c>
      <c r="U51" s="46">
        <v>0.45</v>
      </c>
      <c r="V51" s="46">
        <v>18.0</v>
      </c>
      <c r="W51" s="46">
        <v>0.275</v>
      </c>
      <c r="X51" s="46">
        <v>0.4</v>
      </c>
      <c r="Y51" s="46">
        <v>18.0</v>
      </c>
      <c r="Z51" s="46">
        <v>0.0</v>
      </c>
      <c r="AA51" s="46">
        <v>-0.3</v>
      </c>
      <c r="AB51" s="46">
        <v>6.1</v>
      </c>
      <c r="AC51" s="46">
        <v>14.0</v>
      </c>
      <c r="AD51" s="46">
        <v>2.0</v>
      </c>
      <c r="AE51" s="46">
        <v>4.0</v>
      </c>
      <c r="AF51" s="46">
        <v>-6.0</v>
      </c>
      <c r="AG51" s="46">
        <v>-0.3</v>
      </c>
      <c r="AH51" s="46">
        <v>2.0</v>
      </c>
      <c r="AI51" s="46">
        <v>2.0</v>
      </c>
      <c r="AJ51" s="46">
        <v>5439.0</v>
      </c>
      <c r="AK51" s="46">
        <v>0.0</v>
      </c>
      <c r="AL51" s="46">
        <v>6000.0</v>
      </c>
      <c r="AM51" s="46">
        <v>6000.0</v>
      </c>
      <c r="AN51" s="46">
        <v>700.0</v>
      </c>
      <c r="AO51" s="46">
        <v>3150.0</v>
      </c>
      <c r="AP51" s="46">
        <v>5500.0</v>
      </c>
      <c r="AQ51" s="46">
        <v>0.0</v>
      </c>
      <c r="AR51" s="58" t="s">
        <v>1761</v>
      </c>
      <c r="AS51" s="58" t="s">
        <v>1762</v>
      </c>
      <c r="AT51" s="58" t="s">
        <v>1763</v>
      </c>
      <c r="AU51" s="58" t="s">
        <v>1764</v>
      </c>
      <c r="AV51" s="58" t="s">
        <v>1765</v>
      </c>
      <c r="AW51" s="58" t="s">
        <v>1766</v>
      </c>
      <c r="AX51" s="58" t="s">
        <v>1767</v>
      </c>
      <c r="AY51" s="58" t="s">
        <v>1768</v>
      </c>
      <c r="AZ51" s="58" t="s">
        <v>1769</v>
      </c>
      <c r="BA51" s="58" t="s">
        <v>1770</v>
      </c>
      <c r="BB51" s="58" t="s">
        <v>1771</v>
      </c>
      <c r="BC51" s="58" t="s">
        <v>1772</v>
      </c>
      <c r="BD51" s="58" t="s">
        <v>1773</v>
      </c>
      <c r="BE51" s="58" t="s">
        <v>1774</v>
      </c>
      <c r="BF51" s="58" t="s">
        <v>1052</v>
      </c>
      <c r="BG51" s="58" t="s">
        <v>1029</v>
      </c>
      <c r="BH51" s="58" t="s">
        <v>1030</v>
      </c>
      <c r="BI51" s="58" t="s">
        <v>1031</v>
      </c>
      <c r="BJ51" s="58" t="s">
        <v>1032</v>
      </c>
      <c r="BK51" s="58" t="s">
        <v>1033</v>
      </c>
      <c r="BL51" s="58" t="s">
        <v>1034</v>
      </c>
      <c r="BM51" s="58" t="s">
        <v>1035</v>
      </c>
      <c r="BN51" s="58" t="s">
        <v>1036</v>
      </c>
      <c r="BO51" s="58" t="s">
        <v>1037</v>
      </c>
      <c r="BP51" s="46">
        <v>1.0</v>
      </c>
      <c r="BQ51" s="46">
        <v>5.0</v>
      </c>
      <c r="BR51" s="46">
        <v>3.59</v>
      </c>
      <c r="BS51" s="46">
        <v>2.19</v>
      </c>
      <c r="BT51" s="46">
        <v>1.41</v>
      </c>
      <c r="BU51" s="46">
        <v>1.0</v>
      </c>
      <c r="BV51" s="46">
        <v>0.83</v>
      </c>
      <c r="BW51" s="46">
        <v>0.0</v>
      </c>
      <c r="BX51" s="46">
        <v>0.0</v>
      </c>
      <c r="BY51" s="46">
        <v>0.0</v>
      </c>
      <c r="BZ51" s="46">
        <v>3.16</v>
      </c>
      <c r="CA51" s="46">
        <v>2.82</v>
      </c>
      <c r="CB51" s="46">
        <v>0.0</v>
      </c>
      <c r="CC51" s="46">
        <v>0.0</v>
      </c>
      <c r="CD51" s="46">
        <v>0.0</v>
      </c>
      <c r="CE51" s="46">
        <v>6500.0</v>
      </c>
      <c r="CF51" s="46">
        <v>6000.0</v>
      </c>
      <c r="CG51" s="46">
        <v>0.0</v>
      </c>
      <c r="CH51" s="46">
        <v>1.0</v>
      </c>
      <c r="CI51" s="46">
        <v>0.0</v>
      </c>
      <c r="CJ51" s="2"/>
      <c r="CK51" s="2"/>
    </row>
    <row r="52">
      <c r="A52" s="44">
        <v>51.0</v>
      </c>
      <c r="B52" s="44">
        <v>69.0</v>
      </c>
      <c r="C52" s="44" t="s">
        <v>201</v>
      </c>
      <c r="D52" s="44" t="s">
        <v>202</v>
      </c>
      <c r="E52" s="44" t="s">
        <v>203</v>
      </c>
      <c r="F52" s="44">
        <v>1840.0</v>
      </c>
      <c r="G52" s="44">
        <v>4.535</v>
      </c>
      <c r="H52" s="44">
        <v>1.83</v>
      </c>
      <c r="I52" s="44">
        <v>1.3</v>
      </c>
      <c r="J52" s="44">
        <v>2.56</v>
      </c>
      <c r="K52" s="44">
        <v>1.56</v>
      </c>
      <c r="L52" s="44">
        <v>1.535</v>
      </c>
      <c r="M52" s="44">
        <v>0.125</v>
      </c>
      <c r="N52" s="44">
        <v>0.5</v>
      </c>
      <c r="O52" s="44">
        <v>0.0</v>
      </c>
      <c r="P52" s="44">
        <v>0.53</v>
      </c>
      <c r="Q52" s="44">
        <v>1.1</v>
      </c>
      <c r="R52" s="44">
        <v>0.0</v>
      </c>
      <c r="S52" s="44">
        <v>1.098</v>
      </c>
      <c r="T52" s="44">
        <v>0.255</v>
      </c>
      <c r="U52" s="44">
        <v>0.4</v>
      </c>
      <c r="V52" s="44">
        <v>18.0</v>
      </c>
      <c r="W52" s="44">
        <v>0.285</v>
      </c>
      <c r="X52" s="44">
        <v>0.35</v>
      </c>
      <c r="Y52" s="44">
        <v>18.0</v>
      </c>
      <c r="Z52" s="44">
        <v>1.0</v>
      </c>
      <c r="AA52" s="44">
        <v>-0.3</v>
      </c>
      <c r="AB52" s="44">
        <v>6.0</v>
      </c>
      <c r="AC52" s="44">
        <v>14.0</v>
      </c>
      <c r="AD52" s="44">
        <v>1.5</v>
      </c>
      <c r="AE52" s="44">
        <v>4.0</v>
      </c>
      <c r="AF52" s="44">
        <v>-4.0</v>
      </c>
      <c r="AG52" s="44">
        <v>-1.0</v>
      </c>
      <c r="AH52" s="44">
        <v>1.5</v>
      </c>
      <c r="AI52" s="44">
        <v>2.0</v>
      </c>
      <c r="AJ52" s="44">
        <v>4965.0</v>
      </c>
      <c r="AK52" s="44">
        <v>0.0</v>
      </c>
      <c r="AL52" s="44">
        <v>6000.0</v>
      </c>
      <c r="AM52" s="44">
        <v>6200.0</v>
      </c>
      <c r="AN52" s="44">
        <v>700.0</v>
      </c>
      <c r="AO52" s="44">
        <v>2700.0</v>
      </c>
      <c r="AP52" s="44">
        <v>5600.0</v>
      </c>
      <c r="AQ52" s="44">
        <v>0.0</v>
      </c>
      <c r="AR52" s="57" t="s">
        <v>1775</v>
      </c>
      <c r="AS52" s="57" t="s">
        <v>1776</v>
      </c>
      <c r="AT52" s="57" t="s">
        <v>1777</v>
      </c>
      <c r="AU52" s="57" t="s">
        <v>1778</v>
      </c>
      <c r="AV52" s="57" t="s">
        <v>1779</v>
      </c>
      <c r="AW52" s="57" t="s">
        <v>1780</v>
      </c>
      <c r="AX52" s="57" t="s">
        <v>1781</v>
      </c>
      <c r="AY52" s="57" t="s">
        <v>1782</v>
      </c>
      <c r="AZ52" s="57" t="s">
        <v>1783</v>
      </c>
      <c r="BA52" s="57" t="s">
        <v>1784</v>
      </c>
      <c r="BB52" s="57" t="s">
        <v>1785</v>
      </c>
      <c r="BC52" s="57" t="s">
        <v>1786</v>
      </c>
      <c r="BD52" s="57" t="s">
        <v>1787</v>
      </c>
      <c r="BE52" s="57" t="s">
        <v>1143</v>
      </c>
      <c r="BF52" s="57" t="s">
        <v>1052</v>
      </c>
      <c r="BG52" s="57" t="s">
        <v>1029</v>
      </c>
      <c r="BH52" s="57" t="s">
        <v>1030</v>
      </c>
      <c r="BI52" s="57" t="s">
        <v>1031</v>
      </c>
      <c r="BJ52" s="57" t="s">
        <v>1032</v>
      </c>
      <c r="BK52" s="57" t="s">
        <v>1033</v>
      </c>
      <c r="BL52" s="57" t="s">
        <v>1034</v>
      </c>
      <c r="BM52" s="57" t="s">
        <v>1035</v>
      </c>
      <c r="BN52" s="57" t="s">
        <v>1036</v>
      </c>
      <c r="BO52" s="57" t="s">
        <v>1037</v>
      </c>
      <c r="BP52" s="44">
        <v>1.0</v>
      </c>
      <c r="BQ52" s="44">
        <v>5.0</v>
      </c>
      <c r="BR52" s="44">
        <v>3.595</v>
      </c>
      <c r="BS52" s="44">
        <v>2.186</v>
      </c>
      <c r="BT52" s="44">
        <v>1.405</v>
      </c>
      <c r="BU52" s="44">
        <v>1.0</v>
      </c>
      <c r="BV52" s="44">
        <v>0.831</v>
      </c>
      <c r="BW52" s="44">
        <v>0.0</v>
      </c>
      <c r="BX52" s="44">
        <v>0.0</v>
      </c>
      <c r="BY52" s="44">
        <v>0.0</v>
      </c>
      <c r="BZ52" s="44">
        <v>3.167</v>
      </c>
      <c r="CA52" s="44">
        <v>2.823</v>
      </c>
      <c r="CB52" s="44">
        <v>0.0</v>
      </c>
      <c r="CC52" s="44">
        <v>0.0</v>
      </c>
      <c r="CD52" s="44">
        <v>0.0</v>
      </c>
      <c r="CE52" s="44">
        <v>6500.0</v>
      </c>
      <c r="CF52" s="44">
        <v>6000.0</v>
      </c>
      <c r="CG52" s="44">
        <v>0.0</v>
      </c>
      <c r="CH52" s="44">
        <v>1.0</v>
      </c>
      <c r="CI52" s="44">
        <v>0.0</v>
      </c>
      <c r="CJ52" s="2"/>
      <c r="CK52" s="2"/>
    </row>
    <row r="53">
      <c r="A53" s="46">
        <v>52.0</v>
      </c>
      <c r="B53" s="46">
        <v>79.0</v>
      </c>
      <c r="C53" s="46" t="s">
        <v>204</v>
      </c>
      <c r="D53" s="46" t="s">
        <v>205</v>
      </c>
      <c r="E53" s="46" t="s">
        <v>206</v>
      </c>
      <c r="F53" s="46">
        <v>1160.0</v>
      </c>
      <c r="G53" s="46">
        <v>3.89</v>
      </c>
      <c r="H53" s="46">
        <v>1.665</v>
      </c>
      <c r="I53" s="46">
        <v>1.48</v>
      </c>
      <c r="J53" s="46">
        <v>2.47</v>
      </c>
      <c r="K53" s="46">
        <v>1.415</v>
      </c>
      <c r="L53" s="46">
        <v>1.41</v>
      </c>
      <c r="M53" s="46">
        <v>0.135</v>
      </c>
      <c r="N53" s="46">
        <v>0.379</v>
      </c>
      <c r="O53" s="46">
        <v>1.0</v>
      </c>
      <c r="P53" s="46">
        <v>0.5</v>
      </c>
      <c r="Q53" s="46">
        <v>0.9</v>
      </c>
      <c r="R53" s="46">
        <v>0.0</v>
      </c>
      <c r="S53" s="46">
        <v>1.171</v>
      </c>
      <c r="T53" s="46">
        <v>0.185</v>
      </c>
      <c r="U53" s="46">
        <v>0.6</v>
      </c>
      <c r="V53" s="46">
        <v>14.0</v>
      </c>
      <c r="W53" s="46">
        <v>0.185</v>
      </c>
      <c r="X53" s="46">
        <v>0.6</v>
      </c>
      <c r="Y53" s="46">
        <v>14.0</v>
      </c>
      <c r="Z53" s="46">
        <v>0.0</v>
      </c>
      <c r="AA53" s="46">
        <v>-0.35</v>
      </c>
      <c r="AB53" s="46">
        <v>4.0</v>
      </c>
      <c r="AC53" s="46">
        <v>10.0</v>
      </c>
      <c r="AD53" s="46">
        <v>1.4</v>
      </c>
      <c r="AE53" s="46">
        <v>1.0</v>
      </c>
      <c r="AF53" s="46">
        <v>-2.0</v>
      </c>
      <c r="AG53" s="46">
        <v>-0.3</v>
      </c>
      <c r="AH53" s="46">
        <v>1.4</v>
      </c>
      <c r="AI53" s="46">
        <v>0.5</v>
      </c>
      <c r="AJ53" s="46">
        <v>1389.0</v>
      </c>
      <c r="AK53" s="46">
        <v>0.0</v>
      </c>
      <c r="AL53" s="46">
        <v>5800.0</v>
      </c>
      <c r="AM53" s="46">
        <v>6000.0</v>
      </c>
      <c r="AN53" s="46">
        <v>700.0</v>
      </c>
      <c r="AO53" s="46">
        <v>3800.0</v>
      </c>
      <c r="AP53" s="46">
        <v>5000.0</v>
      </c>
      <c r="AQ53" s="46">
        <v>0.0</v>
      </c>
      <c r="AR53" s="58" t="s">
        <v>1788</v>
      </c>
      <c r="AS53" s="58" t="s">
        <v>1789</v>
      </c>
      <c r="AT53" s="58" t="s">
        <v>1790</v>
      </c>
      <c r="AU53" s="58" t="s">
        <v>1791</v>
      </c>
      <c r="AV53" s="58" t="s">
        <v>1792</v>
      </c>
      <c r="AW53" s="58" t="s">
        <v>1793</v>
      </c>
      <c r="AX53" s="58" t="s">
        <v>1794</v>
      </c>
      <c r="AY53" s="58" t="s">
        <v>1795</v>
      </c>
      <c r="AZ53" s="58" t="s">
        <v>1796</v>
      </c>
      <c r="BA53" s="58" t="s">
        <v>1797</v>
      </c>
      <c r="BB53" s="58" t="s">
        <v>1798</v>
      </c>
      <c r="BC53" s="58" t="s">
        <v>1799</v>
      </c>
      <c r="BD53" s="58" t="s">
        <v>1800</v>
      </c>
      <c r="BE53" s="58" t="s">
        <v>1801</v>
      </c>
      <c r="BF53" s="58" t="s">
        <v>1052</v>
      </c>
      <c r="BG53" s="58" t="s">
        <v>1029</v>
      </c>
      <c r="BH53" s="58" t="s">
        <v>1030</v>
      </c>
      <c r="BI53" s="58" t="s">
        <v>1031</v>
      </c>
      <c r="BJ53" s="58" t="s">
        <v>1032</v>
      </c>
      <c r="BK53" s="58" t="s">
        <v>1033</v>
      </c>
      <c r="BL53" s="58" t="s">
        <v>1034</v>
      </c>
      <c r="BM53" s="58" t="s">
        <v>1035</v>
      </c>
      <c r="BN53" s="58" t="s">
        <v>1036</v>
      </c>
      <c r="BO53" s="58" t="s">
        <v>1037</v>
      </c>
      <c r="BP53" s="46">
        <v>1.0</v>
      </c>
      <c r="BQ53" s="46">
        <v>4.0</v>
      </c>
      <c r="BR53" s="46">
        <v>2.875</v>
      </c>
      <c r="BS53" s="46">
        <v>1.512</v>
      </c>
      <c r="BT53" s="46">
        <v>1.0</v>
      </c>
      <c r="BU53" s="46">
        <v>0.726</v>
      </c>
      <c r="BV53" s="46">
        <v>0.0</v>
      </c>
      <c r="BW53" s="46">
        <v>0.0</v>
      </c>
      <c r="BX53" s="46">
        <v>0.0</v>
      </c>
      <c r="BY53" s="46">
        <v>0.0</v>
      </c>
      <c r="BZ53" s="46">
        <v>2.656</v>
      </c>
      <c r="CA53" s="46">
        <v>4.361</v>
      </c>
      <c r="CB53" s="46">
        <v>0.0</v>
      </c>
      <c r="CC53" s="46">
        <v>0.0</v>
      </c>
      <c r="CD53" s="46">
        <v>0.0</v>
      </c>
      <c r="CE53" s="46">
        <v>6500.0</v>
      </c>
      <c r="CF53" s="46">
        <v>5800.0</v>
      </c>
      <c r="CG53" s="46">
        <v>0.0</v>
      </c>
      <c r="CH53" s="46">
        <v>0.0</v>
      </c>
      <c r="CI53" s="46">
        <v>0.0</v>
      </c>
      <c r="CJ53" s="2"/>
      <c r="CK53" s="2"/>
    </row>
    <row r="54">
      <c r="A54" s="44">
        <v>53.0</v>
      </c>
      <c r="B54" s="44">
        <v>82.0</v>
      </c>
      <c r="C54" s="44" t="s">
        <v>207</v>
      </c>
      <c r="D54" s="44" t="s">
        <v>208</v>
      </c>
      <c r="E54" s="44" t="s">
        <v>209</v>
      </c>
      <c r="F54" s="44">
        <v>1860.0</v>
      </c>
      <c r="G54" s="44">
        <v>4.815</v>
      </c>
      <c r="H54" s="44">
        <v>1.85</v>
      </c>
      <c r="I54" s="44">
        <v>1.53</v>
      </c>
      <c r="J54" s="44">
        <v>2.76</v>
      </c>
      <c r="K54" s="44">
        <v>1.585</v>
      </c>
      <c r="L54" s="44">
        <v>1.59</v>
      </c>
      <c r="M54" s="44">
        <v>0.13</v>
      </c>
      <c r="N54" s="44">
        <v>0.409</v>
      </c>
      <c r="O54" s="44">
        <v>4.0</v>
      </c>
      <c r="P54" s="44">
        <v>0.5</v>
      </c>
      <c r="Q54" s="44">
        <v>1.0</v>
      </c>
      <c r="R54" s="44">
        <v>0.0</v>
      </c>
      <c r="S54" s="44">
        <v>1.242</v>
      </c>
      <c r="T54" s="44">
        <v>0.225</v>
      </c>
      <c r="U54" s="44">
        <v>0.55</v>
      </c>
      <c r="V54" s="44">
        <v>17.0</v>
      </c>
      <c r="W54" s="44">
        <v>0.225</v>
      </c>
      <c r="X54" s="44">
        <v>0.55</v>
      </c>
      <c r="Y54" s="44">
        <v>17.0</v>
      </c>
      <c r="Z54" s="44">
        <v>0.0</v>
      </c>
      <c r="AA54" s="44">
        <v>-0.15</v>
      </c>
      <c r="AB54" s="44">
        <v>2.55</v>
      </c>
      <c r="AC54" s="44">
        <v>14.3</v>
      </c>
      <c r="AD54" s="44">
        <v>1.5</v>
      </c>
      <c r="AE54" s="44">
        <v>1.0</v>
      </c>
      <c r="AF54" s="44">
        <v>0.0</v>
      </c>
      <c r="AG54" s="44">
        <v>-0.3</v>
      </c>
      <c r="AH54" s="44">
        <v>1.5</v>
      </c>
      <c r="AI54" s="44">
        <v>1.0</v>
      </c>
      <c r="AJ54" s="44">
        <v>2671.0</v>
      </c>
      <c r="AK54" s="44">
        <v>6.0</v>
      </c>
      <c r="AL54" s="44">
        <v>6500.0</v>
      </c>
      <c r="AM54" s="44">
        <v>6500.0</v>
      </c>
      <c r="AN54" s="44">
        <v>700.0</v>
      </c>
      <c r="AO54" s="44">
        <v>1800.0</v>
      </c>
      <c r="AP54" s="44">
        <v>5800.0</v>
      </c>
      <c r="AQ54" s="44">
        <v>0.0</v>
      </c>
      <c r="AR54" s="57" t="s">
        <v>1802</v>
      </c>
      <c r="AS54" s="57" t="s">
        <v>1803</v>
      </c>
      <c r="AT54" s="57" t="s">
        <v>1804</v>
      </c>
      <c r="AU54" s="57" t="s">
        <v>1805</v>
      </c>
      <c r="AV54" s="57" t="s">
        <v>1806</v>
      </c>
      <c r="AW54" s="57" t="s">
        <v>1807</v>
      </c>
      <c r="AX54" s="57" t="s">
        <v>1808</v>
      </c>
      <c r="AY54" s="57" t="s">
        <v>1809</v>
      </c>
      <c r="AZ54" s="57" t="s">
        <v>1494</v>
      </c>
      <c r="BA54" s="57" t="s">
        <v>1810</v>
      </c>
      <c r="BB54" s="57" t="s">
        <v>1811</v>
      </c>
      <c r="BC54" s="57" t="s">
        <v>1812</v>
      </c>
      <c r="BD54" s="57" t="s">
        <v>1813</v>
      </c>
      <c r="BE54" s="57" t="s">
        <v>1814</v>
      </c>
      <c r="BF54" s="57" t="s">
        <v>1815</v>
      </c>
      <c r="BG54" s="57" t="s">
        <v>1029</v>
      </c>
      <c r="BH54" s="57" t="s">
        <v>1030</v>
      </c>
      <c r="BI54" s="57" t="s">
        <v>1031</v>
      </c>
      <c r="BJ54" s="57" t="s">
        <v>1032</v>
      </c>
      <c r="BK54" s="57" t="s">
        <v>1033</v>
      </c>
      <c r="BL54" s="57" t="s">
        <v>1034</v>
      </c>
      <c r="BM54" s="57" t="s">
        <v>1035</v>
      </c>
      <c r="BN54" s="57" t="s">
        <v>1036</v>
      </c>
      <c r="BO54" s="57" t="s">
        <v>1037</v>
      </c>
      <c r="BP54" s="44">
        <v>1.0</v>
      </c>
      <c r="BQ54" s="44">
        <v>5.0</v>
      </c>
      <c r="BR54" s="44">
        <v>3.664</v>
      </c>
      <c r="BS54" s="44">
        <v>1.998</v>
      </c>
      <c r="BT54" s="44">
        <v>1.406</v>
      </c>
      <c r="BU54" s="44">
        <v>1.0</v>
      </c>
      <c r="BV54" s="44">
        <v>0.742</v>
      </c>
      <c r="BW54" s="44">
        <v>0.0</v>
      </c>
      <c r="BX54" s="44">
        <v>0.0</v>
      </c>
      <c r="BY54" s="44">
        <v>0.0</v>
      </c>
      <c r="BZ54" s="44">
        <v>4.095</v>
      </c>
      <c r="CA54" s="44">
        <v>3.197</v>
      </c>
      <c r="CB54" s="44">
        <v>0.0</v>
      </c>
      <c r="CC54" s="44">
        <v>0.0</v>
      </c>
      <c r="CD54" s="44">
        <v>2.0</v>
      </c>
      <c r="CE54" s="44">
        <v>8000.0</v>
      </c>
      <c r="CF54" s="44">
        <v>6500.0</v>
      </c>
      <c r="CG54" s="44">
        <v>0.0</v>
      </c>
      <c r="CH54" s="44">
        <v>1.0</v>
      </c>
      <c r="CI54" s="44">
        <v>0.0</v>
      </c>
      <c r="CJ54" s="2"/>
      <c r="CK54" s="2"/>
    </row>
    <row r="55">
      <c r="A55" s="46">
        <v>54.0</v>
      </c>
      <c r="B55" s="46">
        <v>83.0</v>
      </c>
      <c r="C55" s="46" t="s">
        <v>210</v>
      </c>
      <c r="D55" s="46" t="s">
        <v>211</v>
      </c>
      <c r="E55" s="46" t="s">
        <v>212</v>
      </c>
      <c r="F55" s="46">
        <v>1520.0</v>
      </c>
      <c r="G55" s="46">
        <v>4.06</v>
      </c>
      <c r="H55" s="46">
        <v>1.765</v>
      </c>
      <c r="I55" s="46">
        <v>1.34</v>
      </c>
      <c r="J55" s="46">
        <v>2.43</v>
      </c>
      <c r="K55" s="46">
        <v>1.53</v>
      </c>
      <c r="L55" s="46">
        <v>1.5</v>
      </c>
      <c r="M55" s="46">
        <v>0.08</v>
      </c>
      <c r="N55" s="46">
        <v>0.401</v>
      </c>
      <c r="O55" s="46">
        <v>4.0</v>
      </c>
      <c r="P55" s="46">
        <v>0.5</v>
      </c>
      <c r="Q55" s="46">
        <v>1.0</v>
      </c>
      <c r="R55" s="46">
        <v>0.0</v>
      </c>
      <c r="S55" s="46">
        <v>1.123</v>
      </c>
      <c r="T55" s="46">
        <v>0.225</v>
      </c>
      <c r="U55" s="46">
        <v>0.45</v>
      </c>
      <c r="V55" s="46">
        <v>17.0</v>
      </c>
      <c r="W55" s="46">
        <v>0.225</v>
      </c>
      <c r="X55" s="46">
        <v>0.45</v>
      </c>
      <c r="Y55" s="46">
        <v>17.0</v>
      </c>
      <c r="Z55" s="46">
        <v>0.0</v>
      </c>
      <c r="AA55" s="46">
        <v>-0.3</v>
      </c>
      <c r="AB55" s="46">
        <v>3.0</v>
      </c>
      <c r="AC55" s="46">
        <v>14.3</v>
      </c>
      <c r="AD55" s="46">
        <v>2.0</v>
      </c>
      <c r="AE55" s="46">
        <v>2.0</v>
      </c>
      <c r="AF55" s="46">
        <v>0.0</v>
      </c>
      <c r="AG55" s="46">
        <v>-0.3</v>
      </c>
      <c r="AH55" s="46">
        <v>2.0</v>
      </c>
      <c r="AI55" s="46">
        <v>2.0</v>
      </c>
      <c r="AJ55" s="46">
        <v>1780.0</v>
      </c>
      <c r="AK55" s="46">
        <v>6.0</v>
      </c>
      <c r="AL55" s="46">
        <v>6600.0</v>
      </c>
      <c r="AM55" s="46">
        <v>6600.0</v>
      </c>
      <c r="AN55" s="46">
        <v>700.0</v>
      </c>
      <c r="AO55" s="46">
        <v>2200.0</v>
      </c>
      <c r="AP55" s="46">
        <v>5900.0</v>
      </c>
      <c r="AQ55" s="46">
        <v>0.0</v>
      </c>
      <c r="AR55" s="58" t="s">
        <v>1816</v>
      </c>
      <c r="AS55" s="58" t="s">
        <v>1817</v>
      </c>
      <c r="AT55" s="58" t="s">
        <v>1818</v>
      </c>
      <c r="AU55" s="58" t="s">
        <v>1819</v>
      </c>
      <c r="AV55" s="58" t="s">
        <v>1820</v>
      </c>
      <c r="AW55" s="58" t="s">
        <v>1821</v>
      </c>
      <c r="AX55" s="58" t="s">
        <v>1822</v>
      </c>
      <c r="AY55" s="58" t="s">
        <v>1823</v>
      </c>
      <c r="AZ55" s="58" t="s">
        <v>1824</v>
      </c>
      <c r="BA55" s="58" t="s">
        <v>1825</v>
      </c>
      <c r="BB55" s="58" t="s">
        <v>1826</v>
      </c>
      <c r="BC55" s="58" t="s">
        <v>1827</v>
      </c>
      <c r="BD55" s="58" t="s">
        <v>1828</v>
      </c>
      <c r="BE55" s="58" t="s">
        <v>1829</v>
      </c>
      <c r="BF55" s="58" t="s">
        <v>1052</v>
      </c>
      <c r="BG55" s="58" t="s">
        <v>1029</v>
      </c>
      <c r="BH55" s="58" t="s">
        <v>1030</v>
      </c>
      <c r="BI55" s="58" t="s">
        <v>1031</v>
      </c>
      <c r="BJ55" s="58" t="s">
        <v>1032</v>
      </c>
      <c r="BK55" s="58" t="s">
        <v>1033</v>
      </c>
      <c r="BL55" s="58" t="s">
        <v>1034</v>
      </c>
      <c r="BM55" s="58" t="s">
        <v>1035</v>
      </c>
      <c r="BN55" s="58" t="s">
        <v>1036</v>
      </c>
      <c r="BO55" s="58" t="s">
        <v>1037</v>
      </c>
      <c r="BP55" s="46">
        <v>0.0</v>
      </c>
      <c r="BQ55" s="46">
        <v>6.0</v>
      </c>
      <c r="BR55" s="46">
        <v>3.416</v>
      </c>
      <c r="BS55" s="46">
        <v>2.105</v>
      </c>
      <c r="BT55" s="46">
        <v>1.428</v>
      </c>
      <c r="BU55" s="46">
        <v>1.088</v>
      </c>
      <c r="BV55" s="46">
        <v>0.865</v>
      </c>
      <c r="BW55" s="46">
        <v>0.719</v>
      </c>
      <c r="BX55" s="46">
        <v>0.0</v>
      </c>
      <c r="BY55" s="46">
        <v>0.0</v>
      </c>
      <c r="BZ55" s="46">
        <v>3.242</v>
      </c>
      <c r="CA55" s="46">
        <v>4.2</v>
      </c>
      <c r="CB55" s="46">
        <v>0.0</v>
      </c>
      <c r="CC55" s="46">
        <v>2.0</v>
      </c>
      <c r="CD55" s="46">
        <v>1.0</v>
      </c>
      <c r="CE55" s="46">
        <v>7500.0</v>
      </c>
      <c r="CF55" s="46">
        <v>6600.0</v>
      </c>
      <c r="CG55" s="46">
        <v>0.0</v>
      </c>
      <c r="CH55" s="46">
        <v>1.0</v>
      </c>
      <c r="CI55" s="46">
        <v>0.0</v>
      </c>
      <c r="CJ55" s="2"/>
      <c r="CK55" s="2"/>
    </row>
    <row r="56">
      <c r="A56" s="44">
        <v>55.0</v>
      </c>
      <c r="B56" s="44">
        <v>84.0</v>
      </c>
      <c r="C56" s="44" t="s">
        <v>213</v>
      </c>
      <c r="D56" s="44" t="s">
        <v>214</v>
      </c>
      <c r="E56" s="44" t="s">
        <v>215</v>
      </c>
      <c r="F56" s="44">
        <v>1660.0</v>
      </c>
      <c r="G56" s="44">
        <v>4.555</v>
      </c>
      <c r="H56" s="44">
        <v>1.765</v>
      </c>
      <c r="I56" s="44">
        <v>1.41</v>
      </c>
      <c r="J56" s="44">
        <v>2.645</v>
      </c>
      <c r="K56" s="44">
        <v>1.51</v>
      </c>
      <c r="L56" s="44">
        <v>1.505</v>
      </c>
      <c r="M56" s="44">
        <v>0.11</v>
      </c>
      <c r="N56" s="44">
        <v>0.398</v>
      </c>
      <c r="O56" s="44">
        <v>4.0</v>
      </c>
      <c r="P56" s="44">
        <v>0.5</v>
      </c>
      <c r="Q56" s="44">
        <v>1.0</v>
      </c>
      <c r="R56" s="44">
        <v>0.0</v>
      </c>
      <c r="S56" s="44">
        <v>1.153</v>
      </c>
      <c r="T56" s="44">
        <v>0.235</v>
      </c>
      <c r="U56" s="44">
        <v>0.45</v>
      </c>
      <c r="V56" s="44">
        <v>17.0</v>
      </c>
      <c r="W56" s="44">
        <v>0.235</v>
      </c>
      <c r="X56" s="44">
        <v>0.45</v>
      </c>
      <c r="Y56" s="44">
        <v>17.0</v>
      </c>
      <c r="Z56" s="44">
        <v>0.0</v>
      </c>
      <c r="AA56" s="44">
        <v>-0.15</v>
      </c>
      <c r="AB56" s="44">
        <v>2.55</v>
      </c>
      <c r="AC56" s="44">
        <v>14.3</v>
      </c>
      <c r="AD56" s="44">
        <v>1.5</v>
      </c>
      <c r="AE56" s="44">
        <v>2.0</v>
      </c>
      <c r="AF56" s="44">
        <v>0.0</v>
      </c>
      <c r="AG56" s="44">
        <v>-0.3</v>
      </c>
      <c r="AH56" s="44">
        <v>1.5</v>
      </c>
      <c r="AI56" s="44">
        <v>2.0</v>
      </c>
      <c r="AJ56" s="44">
        <v>2976.0</v>
      </c>
      <c r="AK56" s="44">
        <v>0.0</v>
      </c>
      <c r="AL56" s="44">
        <v>6500.0</v>
      </c>
      <c r="AM56" s="44">
        <v>6500.0</v>
      </c>
      <c r="AN56" s="44">
        <v>700.0</v>
      </c>
      <c r="AO56" s="44">
        <v>3200.0</v>
      </c>
      <c r="AP56" s="44">
        <v>6300.0</v>
      </c>
      <c r="AQ56" s="44">
        <v>0.0</v>
      </c>
      <c r="AR56" s="57" t="s">
        <v>1830</v>
      </c>
      <c r="AS56" s="57" t="s">
        <v>1831</v>
      </c>
      <c r="AT56" s="57" t="s">
        <v>1832</v>
      </c>
      <c r="AU56" s="57" t="s">
        <v>1072</v>
      </c>
      <c r="AV56" s="57" t="s">
        <v>1833</v>
      </c>
      <c r="AW56" s="57" t="s">
        <v>1834</v>
      </c>
      <c r="AX56" s="57" t="s">
        <v>1835</v>
      </c>
      <c r="AY56" s="57" t="s">
        <v>1836</v>
      </c>
      <c r="AZ56" s="57" t="s">
        <v>1837</v>
      </c>
      <c r="BA56" s="57" t="s">
        <v>1838</v>
      </c>
      <c r="BB56" s="57" t="s">
        <v>1839</v>
      </c>
      <c r="BC56" s="57" t="s">
        <v>1840</v>
      </c>
      <c r="BD56" s="57" t="s">
        <v>1841</v>
      </c>
      <c r="BE56" s="57" t="s">
        <v>1842</v>
      </c>
      <c r="BF56" s="57" t="s">
        <v>1052</v>
      </c>
      <c r="BG56" s="57" t="s">
        <v>1029</v>
      </c>
      <c r="BH56" s="57" t="s">
        <v>1030</v>
      </c>
      <c r="BI56" s="57" t="s">
        <v>1031</v>
      </c>
      <c r="BJ56" s="57" t="s">
        <v>1032</v>
      </c>
      <c r="BK56" s="57" t="s">
        <v>1033</v>
      </c>
      <c r="BL56" s="57" t="s">
        <v>1034</v>
      </c>
      <c r="BM56" s="57" t="s">
        <v>1035</v>
      </c>
      <c r="BN56" s="57" t="s">
        <v>1036</v>
      </c>
      <c r="BO56" s="57" t="s">
        <v>1037</v>
      </c>
      <c r="BP56" s="44">
        <v>1.0</v>
      </c>
      <c r="BQ56" s="44">
        <v>5.0</v>
      </c>
      <c r="BR56" s="44">
        <v>3.664</v>
      </c>
      <c r="BS56" s="44">
        <v>1.998</v>
      </c>
      <c r="BT56" s="44">
        <v>1.406</v>
      </c>
      <c r="BU56" s="44">
        <v>1.0</v>
      </c>
      <c r="BV56" s="44">
        <v>0.742</v>
      </c>
      <c r="BW56" s="44">
        <v>0.0</v>
      </c>
      <c r="BX56" s="44">
        <v>0.0</v>
      </c>
      <c r="BY56" s="44">
        <v>0.0</v>
      </c>
      <c r="BZ56" s="44">
        <v>4.095</v>
      </c>
      <c r="CA56" s="44">
        <v>3.09</v>
      </c>
      <c r="CB56" s="44">
        <v>0.0</v>
      </c>
      <c r="CC56" s="44">
        <v>0.0</v>
      </c>
      <c r="CD56" s="44">
        <v>2.0</v>
      </c>
      <c r="CE56" s="44">
        <v>8000.0</v>
      </c>
      <c r="CF56" s="44">
        <v>6500.0</v>
      </c>
      <c r="CG56" s="44">
        <v>0.0</v>
      </c>
      <c r="CH56" s="44">
        <v>1.0</v>
      </c>
      <c r="CI56" s="44">
        <v>0.0</v>
      </c>
      <c r="CJ56" s="2"/>
      <c r="CK56" s="2"/>
    </row>
    <row r="57">
      <c r="A57" s="46">
        <v>56.0</v>
      </c>
      <c r="B57" s="46">
        <v>85.0</v>
      </c>
      <c r="C57" s="46" t="s">
        <v>216</v>
      </c>
      <c r="D57" s="46" t="s">
        <v>217</v>
      </c>
      <c r="E57" s="46" t="s">
        <v>218</v>
      </c>
      <c r="F57" s="46">
        <v>1100.0</v>
      </c>
      <c r="G57" s="46">
        <v>3.815</v>
      </c>
      <c r="H57" s="46">
        <v>1.645</v>
      </c>
      <c r="I57" s="46">
        <v>1.44</v>
      </c>
      <c r="J57" s="46">
        <v>2.49</v>
      </c>
      <c r="K57" s="46">
        <v>1.42</v>
      </c>
      <c r="L57" s="46">
        <v>1.41</v>
      </c>
      <c r="M57" s="46">
        <v>0.13</v>
      </c>
      <c r="N57" s="46">
        <v>0.364</v>
      </c>
      <c r="O57" s="46">
        <v>1.0</v>
      </c>
      <c r="P57" s="46">
        <v>0.5</v>
      </c>
      <c r="Q57" s="46">
        <v>0.95</v>
      </c>
      <c r="R57" s="46">
        <v>0.0</v>
      </c>
      <c r="S57" s="46">
        <v>1.17</v>
      </c>
      <c r="T57" s="46">
        <v>0.185</v>
      </c>
      <c r="U57" s="46">
        <v>0.55</v>
      </c>
      <c r="V57" s="46">
        <v>15.0</v>
      </c>
      <c r="W57" s="46">
        <v>0.185</v>
      </c>
      <c r="X57" s="46">
        <v>0.55</v>
      </c>
      <c r="Y57" s="46">
        <v>15.0</v>
      </c>
      <c r="Z57" s="46">
        <v>0.0</v>
      </c>
      <c r="AA57" s="46">
        <v>-0.3</v>
      </c>
      <c r="AB57" s="46">
        <v>2.0</v>
      </c>
      <c r="AC57" s="46">
        <v>10.0</v>
      </c>
      <c r="AD57" s="46">
        <v>1.5</v>
      </c>
      <c r="AE57" s="46">
        <v>1.0</v>
      </c>
      <c r="AF57" s="46">
        <v>-2.0</v>
      </c>
      <c r="AG57" s="46">
        <v>-1.0</v>
      </c>
      <c r="AH57" s="46">
        <v>1.5</v>
      </c>
      <c r="AI57" s="46">
        <v>0.5</v>
      </c>
      <c r="AJ57" s="46">
        <v>1795.0</v>
      </c>
      <c r="AK57" s="46">
        <v>0.0</v>
      </c>
      <c r="AL57" s="46">
        <v>6600.0</v>
      </c>
      <c r="AM57" s="46">
        <v>6800.0</v>
      </c>
      <c r="AN57" s="46">
        <v>700.0</v>
      </c>
      <c r="AO57" s="46">
        <v>4600.0</v>
      </c>
      <c r="AP57" s="46">
        <v>6000.0</v>
      </c>
      <c r="AQ57" s="46">
        <v>0.0</v>
      </c>
      <c r="AR57" s="58" t="s">
        <v>1843</v>
      </c>
      <c r="AS57" s="58" t="s">
        <v>1844</v>
      </c>
      <c r="AT57" s="58" t="s">
        <v>1845</v>
      </c>
      <c r="AU57" s="58" t="s">
        <v>1104</v>
      </c>
      <c r="AV57" s="58" t="s">
        <v>1846</v>
      </c>
      <c r="AW57" s="58" t="s">
        <v>1847</v>
      </c>
      <c r="AX57" s="58" t="s">
        <v>1848</v>
      </c>
      <c r="AY57" s="58" t="s">
        <v>1849</v>
      </c>
      <c r="AZ57" s="58" t="s">
        <v>1850</v>
      </c>
      <c r="BA57" s="58" t="s">
        <v>1851</v>
      </c>
      <c r="BB57" s="58" t="s">
        <v>1852</v>
      </c>
      <c r="BC57" s="58" t="s">
        <v>1853</v>
      </c>
      <c r="BD57" s="58" t="s">
        <v>1854</v>
      </c>
      <c r="BE57" s="58" t="s">
        <v>1855</v>
      </c>
      <c r="BF57" s="58" t="s">
        <v>1052</v>
      </c>
      <c r="BG57" s="58" t="s">
        <v>1029</v>
      </c>
      <c r="BH57" s="58" t="s">
        <v>1030</v>
      </c>
      <c r="BI57" s="58" t="s">
        <v>1031</v>
      </c>
      <c r="BJ57" s="58" t="s">
        <v>1032</v>
      </c>
      <c r="BK57" s="58" t="s">
        <v>1033</v>
      </c>
      <c r="BL57" s="58" t="s">
        <v>1034</v>
      </c>
      <c r="BM57" s="58" t="s">
        <v>1035</v>
      </c>
      <c r="BN57" s="58" t="s">
        <v>1036</v>
      </c>
      <c r="BO57" s="58" t="s">
        <v>1037</v>
      </c>
      <c r="BP57" s="46">
        <v>0.0</v>
      </c>
      <c r="BQ57" s="46">
        <v>5.0</v>
      </c>
      <c r="BR57" s="46">
        <v>3.727</v>
      </c>
      <c r="BS57" s="46">
        <v>2.136</v>
      </c>
      <c r="BT57" s="46">
        <v>1.413</v>
      </c>
      <c r="BU57" s="46">
        <v>1.121</v>
      </c>
      <c r="BV57" s="46">
        <v>0.891</v>
      </c>
      <c r="BW57" s="46">
        <v>0.0</v>
      </c>
      <c r="BX57" s="46">
        <v>0.0</v>
      </c>
      <c r="BY57" s="46">
        <v>0.0</v>
      </c>
      <c r="BZ57" s="46">
        <v>3.307</v>
      </c>
      <c r="CA57" s="46">
        <v>3.736</v>
      </c>
      <c r="CB57" s="46">
        <v>0.0</v>
      </c>
      <c r="CC57" s="46">
        <v>0.0</v>
      </c>
      <c r="CD57" s="46">
        <v>0.0</v>
      </c>
      <c r="CE57" s="46">
        <v>7000.0</v>
      </c>
      <c r="CF57" s="46">
        <v>6600.0</v>
      </c>
      <c r="CG57" s="46">
        <v>0.0</v>
      </c>
      <c r="CH57" s="46">
        <v>0.0</v>
      </c>
      <c r="CI57" s="46">
        <v>0.0</v>
      </c>
      <c r="CJ57" s="2"/>
      <c r="CK57" s="2"/>
    </row>
    <row r="58">
      <c r="A58" s="44">
        <v>57.0</v>
      </c>
      <c r="B58" s="44">
        <v>86.0</v>
      </c>
      <c r="C58" s="44" t="s">
        <v>219</v>
      </c>
      <c r="D58" s="44" t="s">
        <v>220</v>
      </c>
      <c r="E58" s="44" t="s">
        <v>221</v>
      </c>
      <c r="F58" s="44">
        <v>1180.0</v>
      </c>
      <c r="G58" s="44">
        <v>3.655</v>
      </c>
      <c r="H58" s="44">
        <v>1.69</v>
      </c>
      <c r="I58" s="44">
        <v>1.425</v>
      </c>
      <c r="J58" s="44">
        <v>2.465</v>
      </c>
      <c r="K58" s="44">
        <v>1.455</v>
      </c>
      <c r="L58" s="44">
        <v>1.46</v>
      </c>
      <c r="M58" s="44">
        <v>0.13</v>
      </c>
      <c r="N58" s="44">
        <v>0.381</v>
      </c>
      <c r="O58" s="44">
        <v>1.0</v>
      </c>
      <c r="P58" s="44">
        <v>0.5</v>
      </c>
      <c r="Q58" s="44">
        <v>1.1</v>
      </c>
      <c r="R58" s="44">
        <v>0.0</v>
      </c>
      <c r="S58" s="44">
        <v>1.174</v>
      </c>
      <c r="T58" s="44">
        <v>0.195</v>
      </c>
      <c r="U58" s="44">
        <v>0.55</v>
      </c>
      <c r="V58" s="44">
        <v>16.0</v>
      </c>
      <c r="W58" s="44">
        <v>0.195</v>
      </c>
      <c r="X58" s="44">
        <v>0.55</v>
      </c>
      <c r="Y58" s="44">
        <v>16.0</v>
      </c>
      <c r="Z58" s="44">
        <v>0.0</v>
      </c>
      <c r="AA58" s="44">
        <v>-0.3</v>
      </c>
      <c r="AB58" s="44">
        <v>4.0</v>
      </c>
      <c r="AC58" s="44">
        <v>10.0</v>
      </c>
      <c r="AD58" s="44">
        <v>1.5</v>
      </c>
      <c r="AE58" s="44">
        <v>1.5</v>
      </c>
      <c r="AF58" s="44">
        <v>-3.0</v>
      </c>
      <c r="AG58" s="44">
        <v>-1.0</v>
      </c>
      <c r="AH58" s="44">
        <v>1.5</v>
      </c>
      <c r="AI58" s="44">
        <v>1.0</v>
      </c>
      <c r="AJ58" s="44">
        <v>1598.0</v>
      </c>
      <c r="AK58" s="44">
        <v>4.0</v>
      </c>
      <c r="AL58" s="44">
        <v>6750.0</v>
      </c>
      <c r="AM58" s="44">
        <v>7200.0</v>
      </c>
      <c r="AN58" s="44">
        <v>700.0</v>
      </c>
      <c r="AO58" s="44">
        <v>4000.0</v>
      </c>
      <c r="AP58" s="44">
        <v>6000.0</v>
      </c>
      <c r="AQ58" s="44">
        <v>0.0</v>
      </c>
      <c r="AR58" s="57" t="s">
        <v>1856</v>
      </c>
      <c r="AS58" s="57" t="s">
        <v>1857</v>
      </c>
      <c r="AT58" s="57" t="s">
        <v>1858</v>
      </c>
      <c r="AU58" s="57" t="s">
        <v>1859</v>
      </c>
      <c r="AV58" s="57" t="s">
        <v>1860</v>
      </c>
      <c r="AW58" s="57" t="s">
        <v>1861</v>
      </c>
      <c r="AX58" s="57" t="s">
        <v>1862</v>
      </c>
      <c r="AY58" s="57" t="s">
        <v>1863</v>
      </c>
      <c r="AZ58" s="57" t="s">
        <v>1864</v>
      </c>
      <c r="BA58" s="57" t="s">
        <v>1865</v>
      </c>
      <c r="BB58" s="57" t="s">
        <v>1866</v>
      </c>
      <c r="BC58" s="57" t="s">
        <v>1867</v>
      </c>
      <c r="BD58" s="57" t="s">
        <v>1868</v>
      </c>
      <c r="BE58" s="57" t="s">
        <v>1869</v>
      </c>
      <c r="BF58" s="57" t="s">
        <v>1870</v>
      </c>
      <c r="BG58" s="57" t="s">
        <v>1029</v>
      </c>
      <c r="BH58" s="57" t="s">
        <v>1030</v>
      </c>
      <c r="BI58" s="57" t="s">
        <v>1031</v>
      </c>
      <c r="BJ58" s="57" t="s">
        <v>1032</v>
      </c>
      <c r="BK58" s="57" t="s">
        <v>1033</v>
      </c>
      <c r="BL58" s="57" t="s">
        <v>1034</v>
      </c>
      <c r="BM58" s="57" t="s">
        <v>1035</v>
      </c>
      <c r="BN58" s="57" t="s">
        <v>1036</v>
      </c>
      <c r="BO58" s="57" t="s">
        <v>1037</v>
      </c>
      <c r="BP58" s="44">
        <v>0.0</v>
      </c>
      <c r="BQ58" s="44">
        <v>6.0</v>
      </c>
      <c r="BR58" s="44">
        <v>2.823</v>
      </c>
      <c r="BS58" s="44">
        <v>1.774</v>
      </c>
      <c r="BT58" s="44">
        <v>1.33</v>
      </c>
      <c r="BU58" s="44">
        <v>1.0</v>
      </c>
      <c r="BV58" s="44">
        <v>0.814</v>
      </c>
      <c r="BW58" s="44">
        <v>0.738</v>
      </c>
      <c r="BX58" s="44">
        <v>0.0</v>
      </c>
      <c r="BY58" s="44">
        <v>0.0</v>
      </c>
      <c r="BZ58" s="44">
        <v>2.75</v>
      </c>
      <c r="CA58" s="44">
        <v>4.048</v>
      </c>
      <c r="CB58" s="44">
        <v>0.0</v>
      </c>
      <c r="CC58" s="44">
        <v>0.0</v>
      </c>
      <c r="CD58" s="44">
        <v>0.0</v>
      </c>
      <c r="CE58" s="44">
        <v>8000.0</v>
      </c>
      <c r="CF58" s="44">
        <v>6750.0</v>
      </c>
      <c r="CG58" s="44">
        <v>0.0</v>
      </c>
      <c r="CH58" s="44">
        <v>1.0</v>
      </c>
      <c r="CI58" s="44">
        <v>0.0</v>
      </c>
      <c r="CJ58" s="2"/>
      <c r="CK58" s="2"/>
    </row>
    <row r="59">
      <c r="A59" s="46">
        <v>58.0</v>
      </c>
      <c r="B59" s="46">
        <v>87.0</v>
      </c>
      <c r="C59" s="46" t="s">
        <v>222</v>
      </c>
      <c r="D59" s="46" t="s">
        <v>223</v>
      </c>
      <c r="E59" s="46" t="s">
        <v>224</v>
      </c>
      <c r="F59" s="46">
        <v>1660.0</v>
      </c>
      <c r="G59" s="46">
        <v>4.91</v>
      </c>
      <c r="H59" s="46">
        <v>1.89</v>
      </c>
      <c r="I59" s="46">
        <v>1.32</v>
      </c>
      <c r="J59" s="46">
        <v>2.565</v>
      </c>
      <c r="K59" s="46">
        <v>1.54</v>
      </c>
      <c r="L59" s="46">
        <v>1.54</v>
      </c>
      <c r="M59" s="46">
        <v>0.12</v>
      </c>
      <c r="N59" s="46">
        <v>0.429</v>
      </c>
      <c r="O59" s="46">
        <v>0.0</v>
      </c>
      <c r="P59" s="46">
        <v>0.5</v>
      </c>
      <c r="Q59" s="46">
        <v>1.1</v>
      </c>
      <c r="R59" s="46">
        <v>0.0</v>
      </c>
      <c r="S59" s="46">
        <v>1.098</v>
      </c>
      <c r="T59" s="46">
        <v>0.245</v>
      </c>
      <c r="U59" s="46">
        <v>0.5</v>
      </c>
      <c r="V59" s="46">
        <v>16.0</v>
      </c>
      <c r="W59" s="46">
        <v>0.245</v>
      </c>
      <c r="X59" s="46">
        <v>0.5</v>
      </c>
      <c r="Y59" s="46">
        <v>16.0</v>
      </c>
      <c r="Z59" s="46">
        <v>1.0</v>
      </c>
      <c r="AA59" s="46">
        <v>-0.2</v>
      </c>
      <c r="AB59" s="46">
        <v>6.0</v>
      </c>
      <c r="AC59" s="46">
        <v>14.0</v>
      </c>
      <c r="AD59" s="46">
        <v>1.5</v>
      </c>
      <c r="AE59" s="46">
        <v>2.0</v>
      </c>
      <c r="AF59" s="46">
        <v>-4.0</v>
      </c>
      <c r="AG59" s="46">
        <v>-1.0</v>
      </c>
      <c r="AH59" s="46">
        <v>1.5</v>
      </c>
      <c r="AI59" s="46">
        <v>1.0</v>
      </c>
      <c r="AJ59" s="46">
        <v>5665.0</v>
      </c>
      <c r="AK59" s="46">
        <v>0.0</v>
      </c>
      <c r="AL59" s="46">
        <v>6000.0</v>
      </c>
      <c r="AM59" s="46">
        <v>6000.0</v>
      </c>
      <c r="AN59" s="46">
        <v>700.0</v>
      </c>
      <c r="AO59" s="46">
        <v>4000.0</v>
      </c>
      <c r="AP59" s="46">
        <v>5200.0</v>
      </c>
      <c r="AQ59" s="46">
        <v>0.0</v>
      </c>
      <c r="AR59" s="58" t="s">
        <v>1871</v>
      </c>
      <c r="AS59" s="58" t="s">
        <v>1872</v>
      </c>
      <c r="AT59" s="58" t="s">
        <v>1873</v>
      </c>
      <c r="AU59" s="58" t="s">
        <v>1874</v>
      </c>
      <c r="AV59" s="58" t="s">
        <v>1875</v>
      </c>
      <c r="AW59" s="58" t="s">
        <v>1876</v>
      </c>
      <c r="AX59" s="58" t="s">
        <v>1877</v>
      </c>
      <c r="AY59" s="58" t="s">
        <v>1878</v>
      </c>
      <c r="AZ59" s="58" t="s">
        <v>1879</v>
      </c>
      <c r="BA59" s="58" t="s">
        <v>1880</v>
      </c>
      <c r="BB59" s="58" t="s">
        <v>1881</v>
      </c>
      <c r="BC59" s="58" t="s">
        <v>1882</v>
      </c>
      <c r="BD59" s="58" t="s">
        <v>1342</v>
      </c>
      <c r="BE59" s="58" t="s">
        <v>1143</v>
      </c>
      <c r="BF59" s="58" t="s">
        <v>1052</v>
      </c>
      <c r="BG59" s="58" t="s">
        <v>1029</v>
      </c>
      <c r="BH59" s="58" t="s">
        <v>1030</v>
      </c>
      <c r="BI59" s="58" t="s">
        <v>1031</v>
      </c>
      <c r="BJ59" s="58" t="s">
        <v>1032</v>
      </c>
      <c r="BK59" s="58" t="s">
        <v>1033</v>
      </c>
      <c r="BL59" s="58" t="s">
        <v>1034</v>
      </c>
      <c r="BM59" s="58" t="s">
        <v>1035</v>
      </c>
      <c r="BN59" s="58" t="s">
        <v>1036</v>
      </c>
      <c r="BO59" s="58" t="s">
        <v>1037</v>
      </c>
      <c r="BP59" s="46">
        <v>1.0</v>
      </c>
      <c r="BQ59" s="46">
        <v>4.0</v>
      </c>
      <c r="BR59" s="46">
        <v>3.058</v>
      </c>
      <c r="BS59" s="46">
        <v>1.625</v>
      </c>
      <c r="BT59" s="46">
        <v>1.0</v>
      </c>
      <c r="BU59" s="46">
        <v>0.696</v>
      </c>
      <c r="BV59" s="46">
        <v>0.0</v>
      </c>
      <c r="BW59" s="46">
        <v>0.0</v>
      </c>
      <c r="BX59" s="46">
        <v>0.0</v>
      </c>
      <c r="BY59" s="46">
        <v>0.0</v>
      </c>
      <c r="BZ59" s="46">
        <v>2.294</v>
      </c>
      <c r="CA59" s="46">
        <v>2.733</v>
      </c>
      <c r="CB59" s="46">
        <v>1.0</v>
      </c>
      <c r="CC59" s="46">
        <v>0.0</v>
      </c>
      <c r="CD59" s="46">
        <v>0.0</v>
      </c>
      <c r="CE59" s="46">
        <v>7000.0</v>
      </c>
      <c r="CF59" s="46">
        <v>6000.0</v>
      </c>
      <c r="CG59" s="46">
        <v>0.0</v>
      </c>
      <c r="CH59" s="46">
        <v>0.0</v>
      </c>
      <c r="CI59" s="46">
        <v>0.0</v>
      </c>
      <c r="CJ59" s="2"/>
      <c r="CK59" s="2"/>
    </row>
    <row r="60">
      <c r="A60" s="44">
        <v>59.0</v>
      </c>
      <c r="B60" s="44">
        <v>88.0</v>
      </c>
      <c r="C60" s="44" t="s">
        <v>225</v>
      </c>
      <c r="D60" s="44" t="s">
        <v>226</v>
      </c>
      <c r="E60" s="44" t="s">
        <v>227</v>
      </c>
      <c r="F60" s="44">
        <v>1620.0</v>
      </c>
      <c r="G60" s="44">
        <v>4.685</v>
      </c>
      <c r="H60" s="44">
        <v>1.79</v>
      </c>
      <c r="I60" s="44">
        <v>1.42</v>
      </c>
      <c r="J60" s="44">
        <v>2.71</v>
      </c>
      <c r="K60" s="44">
        <v>1.52</v>
      </c>
      <c r="L60" s="44">
        <v>1.535</v>
      </c>
      <c r="M60" s="44">
        <v>0.12</v>
      </c>
      <c r="N60" s="44">
        <v>0.383</v>
      </c>
      <c r="O60" s="44">
        <v>4.0</v>
      </c>
      <c r="P60" s="44">
        <v>0.5</v>
      </c>
      <c r="Q60" s="44">
        <v>1.0</v>
      </c>
      <c r="R60" s="44">
        <v>0.0</v>
      </c>
      <c r="S60" s="44">
        <v>1.164</v>
      </c>
      <c r="T60" s="44">
        <v>0.225</v>
      </c>
      <c r="U60" s="44">
        <v>0.45</v>
      </c>
      <c r="V60" s="44">
        <v>17.0</v>
      </c>
      <c r="W60" s="44">
        <v>0.225</v>
      </c>
      <c r="X60" s="44">
        <v>0.45</v>
      </c>
      <c r="Y60" s="44">
        <v>17.0</v>
      </c>
      <c r="Z60" s="44">
        <v>0.0</v>
      </c>
      <c r="AA60" s="44">
        <v>-0.3</v>
      </c>
      <c r="AB60" s="44">
        <v>6.0</v>
      </c>
      <c r="AC60" s="44">
        <v>12.0</v>
      </c>
      <c r="AD60" s="44">
        <v>1.5</v>
      </c>
      <c r="AE60" s="44">
        <v>2.0</v>
      </c>
      <c r="AF60" s="44">
        <v>-2.0</v>
      </c>
      <c r="AG60" s="44">
        <v>-0.45</v>
      </c>
      <c r="AH60" s="44">
        <v>1.5</v>
      </c>
      <c r="AI60" s="44">
        <v>1.0</v>
      </c>
      <c r="AJ60" s="44">
        <v>2494.0</v>
      </c>
      <c r="AK60" s="44">
        <v>0.0</v>
      </c>
      <c r="AL60" s="44">
        <v>7000.0</v>
      </c>
      <c r="AM60" s="44">
        <v>7200.0</v>
      </c>
      <c r="AN60" s="44">
        <v>700.0</v>
      </c>
      <c r="AO60" s="44">
        <v>3000.0</v>
      </c>
      <c r="AP60" s="44">
        <v>6800.0</v>
      </c>
      <c r="AQ60" s="44">
        <v>0.0</v>
      </c>
      <c r="AR60" s="57" t="s">
        <v>1883</v>
      </c>
      <c r="AS60" s="57" t="s">
        <v>1884</v>
      </c>
      <c r="AT60" s="57" t="s">
        <v>1885</v>
      </c>
      <c r="AU60" s="57" t="s">
        <v>1886</v>
      </c>
      <c r="AV60" s="57" t="s">
        <v>1887</v>
      </c>
      <c r="AW60" s="57" t="s">
        <v>1888</v>
      </c>
      <c r="AX60" s="57" t="s">
        <v>1889</v>
      </c>
      <c r="AY60" s="57" t="s">
        <v>1890</v>
      </c>
      <c r="AZ60" s="57" t="s">
        <v>1891</v>
      </c>
      <c r="BA60" s="57" t="s">
        <v>1892</v>
      </c>
      <c r="BB60" s="57" t="s">
        <v>1893</v>
      </c>
      <c r="BC60" s="57" t="s">
        <v>1894</v>
      </c>
      <c r="BD60" s="57" t="s">
        <v>1895</v>
      </c>
      <c r="BE60" s="57" t="s">
        <v>1829</v>
      </c>
      <c r="BF60" s="57" t="s">
        <v>1896</v>
      </c>
      <c r="BG60" s="57" t="s">
        <v>1897</v>
      </c>
      <c r="BH60" s="57" t="s">
        <v>1030</v>
      </c>
      <c r="BI60" s="57" t="s">
        <v>1031</v>
      </c>
      <c r="BJ60" s="57" t="s">
        <v>1032</v>
      </c>
      <c r="BK60" s="57" t="s">
        <v>1033</v>
      </c>
      <c r="BL60" s="57" t="s">
        <v>1034</v>
      </c>
      <c r="BM60" s="57" t="s">
        <v>1035</v>
      </c>
      <c r="BN60" s="57" t="s">
        <v>1036</v>
      </c>
      <c r="BO60" s="57" t="s">
        <v>1037</v>
      </c>
      <c r="BP60" s="44">
        <v>1.0</v>
      </c>
      <c r="BQ60" s="44">
        <v>5.0</v>
      </c>
      <c r="BR60" s="44">
        <v>3.802</v>
      </c>
      <c r="BS60" s="44">
        <v>2.132</v>
      </c>
      <c r="BT60" s="44">
        <v>1.365</v>
      </c>
      <c r="BU60" s="44">
        <v>0.935</v>
      </c>
      <c r="BV60" s="44">
        <v>0.685</v>
      </c>
      <c r="BW60" s="44">
        <v>0.0</v>
      </c>
      <c r="BX60" s="44">
        <v>0.0</v>
      </c>
      <c r="BY60" s="44">
        <v>0.0</v>
      </c>
      <c r="BZ60" s="44">
        <v>2.97</v>
      </c>
      <c r="CA60" s="44">
        <v>3.898</v>
      </c>
      <c r="CB60" s="44">
        <v>0.0</v>
      </c>
      <c r="CC60" s="44">
        <v>0.0</v>
      </c>
      <c r="CD60" s="44">
        <v>1.0</v>
      </c>
      <c r="CE60" s="44">
        <v>8000.0</v>
      </c>
      <c r="CF60" s="44">
        <v>7000.0</v>
      </c>
      <c r="CG60" s="44">
        <v>0.0</v>
      </c>
      <c r="CH60" s="44">
        <v>1.0</v>
      </c>
      <c r="CI60" s="44">
        <v>0.0</v>
      </c>
      <c r="CJ60" s="2"/>
      <c r="CK60" s="2"/>
    </row>
    <row r="61">
      <c r="A61" s="46">
        <v>60.0</v>
      </c>
      <c r="B61" s="46">
        <v>89.0</v>
      </c>
      <c r="C61" s="46" t="s">
        <v>228</v>
      </c>
      <c r="D61" s="46" t="s">
        <v>229</v>
      </c>
      <c r="E61" s="46" t="s">
        <v>230</v>
      </c>
      <c r="F61" s="46">
        <v>1800.0</v>
      </c>
      <c r="G61" s="46">
        <v>4.88</v>
      </c>
      <c r="H61" s="46">
        <v>1.82</v>
      </c>
      <c r="I61" s="46">
        <v>1.445</v>
      </c>
      <c r="J61" s="46">
        <v>2.91</v>
      </c>
      <c r="K61" s="46">
        <v>1.54</v>
      </c>
      <c r="L61" s="46">
        <v>1.545</v>
      </c>
      <c r="M61" s="46">
        <v>0.11</v>
      </c>
      <c r="N61" s="46">
        <v>0.48</v>
      </c>
      <c r="O61" s="46">
        <v>0.0</v>
      </c>
      <c r="P61" s="46">
        <v>0.5</v>
      </c>
      <c r="Q61" s="46">
        <v>1.1</v>
      </c>
      <c r="R61" s="46">
        <v>0.0</v>
      </c>
      <c r="S61" s="46">
        <v>1.169</v>
      </c>
      <c r="T61" s="46">
        <v>0.245</v>
      </c>
      <c r="U61" s="46">
        <v>0.4</v>
      </c>
      <c r="V61" s="46">
        <v>18.0</v>
      </c>
      <c r="W61" s="46">
        <v>0.275</v>
      </c>
      <c r="X61" s="46">
        <v>0.35</v>
      </c>
      <c r="Y61" s="46">
        <v>18.0</v>
      </c>
      <c r="Z61" s="46">
        <v>0.0</v>
      </c>
      <c r="AA61" s="46">
        <v>-0.3</v>
      </c>
      <c r="AB61" s="46">
        <v>5.3</v>
      </c>
      <c r="AC61" s="46">
        <v>10.0</v>
      </c>
      <c r="AD61" s="46">
        <v>1.5</v>
      </c>
      <c r="AE61" s="46">
        <v>2.0</v>
      </c>
      <c r="AF61" s="46">
        <v>-4.0</v>
      </c>
      <c r="AG61" s="46">
        <v>-0.3</v>
      </c>
      <c r="AH61" s="46">
        <v>1.5</v>
      </c>
      <c r="AI61" s="46">
        <v>1.0</v>
      </c>
      <c r="AJ61" s="46">
        <v>4196.0</v>
      </c>
      <c r="AK61" s="46">
        <v>4.0</v>
      </c>
      <c r="AL61" s="46">
        <v>6500.0</v>
      </c>
      <c r="AM61" s="46">
        <v>6700.0</v>
      </c>
      <c r="AN61" s="46">
        <v>700.0</v>
      </c>
      <c r="AO61" s="46">
        <v>3500.0</v>
      </c>
      <c r="AP61" s="46">
        <v>6100.0</v>
      </c>
      <c r="AQ61" s="46">
        <v>0.0</v>
      </c>
      <c r="AR61" s="58" t="s">
        <v>1898</v>
      </c>
      <c r="AS61" s="58" t="s">
        <v>1899</v>
      </c>
      <c r="AT61" s="58" t="s">
        <v>1900</v>
      </c>
      <c r="AU61" s="58" t="s">
        <v>1901</v>
      </c>
      <c r="AV61" s="58" t="s">
        <v>1902</v>
      </c>
      <c r="AW61" s="58" t="s">
        <v>1903</v>
      </c>
      <c r="AX61" s="58" t="s">
        <v>1904</v>
      </c>
      <c r="AY61" s="58" t="s">
        <v>1905</v>
      </c>
      <c r="AZ61" s="58" t="s">
        <v>1906</v>
      </c>
      <c r="BA61" s="58" t="s">
        <v>1907</v>
      </c>
      <c r="BB61" s="58" t="s">
        <v>1908</v>
      </c>
      <c r="BC61" s="58" t="s">
        <v>1909</v>
      </c>
      <c r="BD61" s="58" t="s">
        <v>1910</v>
      </c>
      <c r="BE61" s="58" t="s">
        <v>1911</v>
      </c>
      <c r="BF61" s="58" t="s">
        <v>1052</v>
      </c>
      <c r="BG61" s="58" t="s">
        <v>1029</v>
      </c>
      <c r="BH61" s="58" t="s">
        <v>1030</v>
      </c>
      <c r="BI61" s="58" t="s">
        <v>1031</v>
      </c>
      <c r="BJ61" s="58" t="s">
        <v>1032</v>
      </c>
      <c r="BK61" s="58" t="s">
        <v>1033</v>
      </c>
      <c r="BL61" s="58" t="s">
        <v>1034</v>
      </c>
      <c r="BM61" s="58" t="s">
        <v>1035</v>
      </c>
      <c r="BN61" s="58" t="s">
        <v>1036</v>
      </c>
      <c r="BO61" s="58" t="s">
        <v>1037</v>
      </c>
      <c r="BP61" s="46">
        <v>1.0</v>
      </c>
      <c r="BQ61" s="46">
        <v>6.0</v>
      </c>
      <c r="BR61" s="46">
        <v>4.171</v>
      </c>
      <c r="BS61" s="46">
        <v>2.34</v>
      </c>
      <c r="BT61" s="46">
        <v>1.521</v>
      </c>
      <c r="BU61" s="46">
        <v>1.143</v>
      </c>
      <c r="BV61" s="46">
        <v>0.867</v>
      </c>
      <c r="BW61" s="46">
        <v>0.691</v>
      </c>
      <c r="BX61" s="46">
        <v>0.0</v>
      </c>
      <c r="BY61" s="46">
        <v>0.0</v>
      </c>
      <c r="BZ61" s="46">
        <v>3.403</v>
      </c>
      <c r="CA61" s="46">
        <v>2.867</v>
      </c>
      <c r="CB61" s="46">
        <v>0.0</v>
      </c>
      <c r="CC61" s="46">
        <v>0.0</v>
      </c>
      <c r="CD61" s="46">
        <v>0.0</v>
      </c>
      <c r="CE61" s="46">
        <v>8000.0</v>
      </c>
      <c r="CF61" s="46">
        <v>6500.0</v>
      </c>
      <c r="CG61" s="46">
        <v>0.0</v>
      </c>
      <c r="CH61" s="46">
        <v>1.0</v>
      </c>
      <c r="CI61" s="46">
        <v>0.0</v>
      </c>
      <c r="CJ61" s="2"/>
      <c r="CK61" s="2"/>
    </row>
    <row r="62">
      <c r="A62" s="44">
        <v>61.0</v>
      </c>
      <c r="B62" s="44">
        <v>90.0</v>
      </c>
      <c r="C62" s="44" t="s">
        <v>231</v>
      </c>
      <c r="D62" s="44" t="s">
        <v>232</v>
      </c>
      <c r="E62" s="44" t="s">
        <v>233</v>
      </c>
      <c r="F62" s="44">
        <v>1970.0</v>
      </c>
      <c r="G62" s="44">
        <v>5.025</v>
      </c>
      <c r="H62" s="44">
        <v>1.8</v>
      </c>
      <c r="I62" s="44">
        <v>1.36</v>
      </c>
      <c r="J62" s="44">
        <v>2.87</v>
      </c>
      <c r="K62" s="44">
        <v>1.5</v>
      </c>
      <c r="L62" s="44">
        <v>1.5</v>
      </c>
      <c r="M62" s="44">
        <v>0.12</v>
      </c>
      <c r="N62" s="44">
        <v>0.463</v>
      </c>
      <c r="O62" s="44">
        <v>0.0</v>
      </c>
      <c r="P62" s="44">
        <v>0.5</v>
      </c>
      <c r="Q62" s="44">
        <v>1.1</v>
      </c>
      <c r="R62" s="44">
        <v>0.0</v>
      </c>
      <c r="S62" s="44">
        <v>1.12</v>
      </c>
      <c r="T62" s="44">
        <v>0.255</v>
      </c>
      <c r="U62" s="44">
        <v>0.4</v>
      </c>
      <c r="V62" s="44">
        <v>18.0</v>
      </c>
      <c r="W62" s="44">
        <v>0.255</v>
      </c>
      <c r="X62" s="44">
        <v>0.4</v>
      </c>
      <c r="Y62" s="44">
        <v>18.0</v>
      </c>
      <c r="Z62" s="44">
        <v>2.0</v>
      </c>
      <c r="AA62" s="44">
        <v>0.0</v>
      </c>
      <c r="AB62" s="44">
        <v>6.0</v>
      </c>
      <c r="AC62" s="44">
        <v>10.0</v>
      </c>
      <c r="AD62" s="44">
        <v>1.6</v>
      </c>
      <c r="AE62" s="44">
        <v>3.0</v>
      </c>
      <c r="AF62" s="44">
        <v>-5.0</v>
      </c>
      <c r="AG62" s="44">
        <v>-0.3</v>
      </c>
      <c r="AH62" s="44">
        <v>1.6</v>
      </c>
      <c r="AI62" s="44">
        <v>1.0</v>
      </c>
      <c r="AJ62" s="44">
        <v>3996.0</v>
      </c>
      <c r="AK62" s="44">
        <v>4.0</v>
      </c>
      <c r="AL62" s="44">
        <v>6800.0</v>
      </c>
      <c r="AM62" s="44">
        <v>7000.0</v>
      </c>
      <c r="AN62" s="44">
        <v>700.0</v>
      </c>
      <c r="AO62" s="44">
        <v>3600.0</v>
      </c>
      <c r="AP62" s="44">
        <v>6150.0</v>
      </c>
      <c r="AQ62" s="44">
        <v>0.0</v>
      </c>
      <c r="AR62" s="57" t="s">
        <v>1912</v>
      </c>
      <c r="AS62" s="57" t="s">
        <v>1913</v>
      </c>
      <c r="AT62" s="57" t="s">
        <v>1914</v>
      </c>
      <c r="AU62" s="57" t="s">
        <v>1915</v>
      </c>
      <c r="AV62" s="57" t="s">
        <v>1916</v>
      </c>
      <c r="AW62" s="57" t="s">
        <v>1917</v>
      </c>
      <c r="AX62" s="57" t="s">
        <v>1918</v>
      </c>
      <c r="AY62" s="57" t="s">
        <v>1919</v>
      </c>
      <c r="AZ62" s="57" t="s">
        <v>1920</v>
      </c>
      <c r="BA62" s="57" t="s">
        <v>1921</v>
      </c>
      <c r="BB62" s="57" t="s">
        <v>1922</v>
      </c>
      <c r="BC62" s="57" t="s">
        <v>1923</v>
      </c>
      <c r="BD62" s="57" t="s">
        <v>1924</v>
      </c>
      <c r="BE62" s="57" t="s">
        <v>1925</v>
      </c>
      <c r="BF62" s="57" t="s">
        <v>1926</v>
      </c>
      <c r="BG62" s="57" t="s">
        <v>1029</v>
      </c>
      <c r="BH62" s="57" t="s">
        <v>1030</v>
      </c>
      <c r="BI62" s="57" t="s">
        <v>1031</v>
      </c>
      <c r="BJ62" s="57" t="s">
        <v>1032</v>
      </c>
      <c r="BK62" s="57" t="s">
        <v>1033</v>
      </c>
      <c r="BL62" s="57" t="s">
        <v>1034</v>
      </c>
      <c r="BM62" s="57" t="s">
        <v>1035</v>
      </c>
      <c r="BN62" s="57" t="s">
        <v>1036</v>
      </c>
      <c r="BO62" s="57" t="s">
        <v>1037</v>
      </c>
      <c r="BP62" s="44">
        <v>1.0</v>
      </c>
      <c r="BQ62" s="44">
        <v>5.0</v>
      </c>
      <c r="BR62" s="44">
        <v>3.59</v>
      </c>
      <c r="BS62" s="44">
        <v>2.19</v>
      </c>
      <c r="BT62" s="44">
        <v>1.41</v>
      </c>
      <c r="BU62" s="44">
        <v>1.0</v>
      </c>
      <c r="BV62" s="44">
        <v>0.83</v>
      </c>
      <c r="BW62" s="44">
        <v>0.0</v>
      </c>
      <c r="BX62" s="44">
        <v>0.0</v>
      </c>
      <c r="BY62" s="44">
        <v>0.0</v>
      </c>
      <c r="BZ62" s="44">
        <v>3.16</v>
      </c>
      <c r="CA62" s="44">
        <v>3.06</v>
      </c>
      <c r="CB62" s="44">
        <v>1.0</v>
      </c>
      <c r="CC62" s="44">
        <v>0.0</v>
      </c>
      <c r="CD62" s="44">
        <v>0.0</v>
      </c>
      <c r="CE62" s="44">
        <v>8000.0</v>
      </c>
      <c r="CF62" s="44">
        <v>6800.0</v>
      </c>
      <c r="CG62" s="44">
        <v>0.0</v>
      </c>
      <c r="CH62" s="44">
        <v>0.0</v>
      </c>
      <c r="CI62" s="44">
        <v>0.0</v>
      </c>
      <c r="CJ62" s="2"/>
      <c r="CK62" s="2"/>
    </row>
    <row r="63">
      <c r="A63" s="46">
        <v>62.0</v>
      </c>
      <c r="B63" s="46">
        <v>91.0</v>
      </c>
      <c r="C63" s="46" t="s">
        <v>234</v>
      </c>
      <c r="D63" s="46" t="s">
        <v>235</v>
      </c>
      <c r="E63" s="46" t="s">
        <v>236</v>
      </c>
      <c r="F63" s="46">
        <v>1260.0</v>
      </c>
      <c r="G63" s="46">
        <v>4.06</v>
      </c>
      <c r="H63" s="46">
        <v>1.73</v>
      </c>
      <c r="I63" s="46">
        <v>1.31</v>
      </c>
      <c r="J63" s="46">
        <v>2.51</v>
      </c>
      <c r="K63" s="46">
        <v>1.464</v>
      </c>
      <c r="L63" s="46">
        <v>1.426</v>
      </c>
      <c r="M63" s="46">
        <v>0.09</v>
      </c>
      <c r="N63" s="46">
        <v>0.44</v>
      </c>
      <c r="O63" s="46">
        <v>0.0</v>
      </c>
      <c r="P63" s="46">
        <v>0.48</v>
      </c>
      <c r="Q63" s="46">
        <v>1.1</v>
      </c>
      <c r="R63" s="46">
        <v>0.0</v>
      </c>
      <c r="S63" s="46">
        <v>1.071</v>
      </c>
      <c r="T63" s="46">
        <v>0.205</v>
      </c>
      <c r="U63" s="46">
        <v>0.55</v>
      </c>
      <c r="V63" s="46">
        <v>16.0</v>
      </c>
      <c r="W63" s="46">
        <v>0.225</v>
      </c>
      <c r="X63" s="46">
        <v>0.5</v>
      </c>
      <c r="Y63" s="46">
        <v>16.0</v>
      </c>
      <c r="Z63" s="46">
        <v>0.0</v>
      </c>
      <c r="AA63" s="46">
        <v>0.0</v>
      </c>
      <c r="AB63" s="46">
        <v>3.5</v>
      </c>
      <c r="AC63" s="46">
        <v>12.0</v>
      </c>
      <c r="AD63" s="46">
        <v>1.5</v>
      </c>
      <c r="AE63" s="46">
        <v>3.0</v>
      </c>
      <c r="AF63" s="46">
        <v>-3.0</v>
      </c>
      <c r="AG63" s="46">
        <v>-2.0</v>
      </c>
      <c r="AH63" s="46">
        <v>1.5</v>
      </c>
      <c r="AI63" s="46">
        <v>2.0</v>
      </c>
      <c r="AJ63" s="46">
        <v>2959.0</v>
      </c>
      <c r="AK63" s="46">
        <v>0.0</v>
      </c>
      <c r="AL63" s="46">
        <v>6500.0</v>
      </c>
      <c r="AM63" s="46">
        <v>6500.0</v>
      </c>
      <c r="AN63" s="46">
        <v>700.0</v>
      </c>
      <c r="AO63" s="46">
        <v>4500.0</v>
      </c>
      <c r="AP63" s="46">
        <v>6200.0</v>
      </c>
      <c r="AQ63" s="46">
        <v>0.0</v>
      </c>
      <c r="AR63" s="58" t="s">
        <v>1927</v>
      </c>
      <c r="AS63" s="58" t="s">
        <v>1928</v>
      </c>
      <c r="AT63" s="58" t="s">
        <v>1929</v>
      </c>
      <c r="AU63" s="58" t="s">
        <v>1930</v>
      </c>
      <c r="AV63" s="58" t="s">
        <v>1931</v>
      </c>
      <c r="AW63" s="58" t="s">
        <v>1932</v>
      </c>
      <c r="AX63" s="58" t="s">
        <v>1933</v>
      </c>
      <c r="AY63" s="58" t="s">
        <v>1934</v>
      </c>
      <c r="AZ63" s="58" t="s">
        <v>1935</v>
      </c>
      <c r="BA63" s="58" t="s">
        <v>1936</v>
      </c>
      <c r="BB63" s="58" t="s">
        <v>1937</v>
      </c>
      <c r="BC63" s="58" t="s">
        <v>1938</v>
      </c>
      <c r="BD63" s="58" t="s">
        <v>1939</v>
      </c>
      <c r="BE63" s="58" t="s">
        <v>1940</v>
      </c>
      <c r="BF63" s="58" t="s">
        <v>1052</v>
      </c>
      <c r="BG63" s="58" t="s">
        <v>1029</v>
      </c>
      <c r="BH63" s="58" t="s">
        <v>1030</v>
      </c>
      <c r="BI63" s="58" t="s">
        <v>1031</v>
      </c>
      <c r="BJ63" s="58" t="s">
        <v>1032</v>
      </c>
      <c r="BK63" s="58" t="s">
        <v>1033</v>
      </c>
      <c r="BL63" s="58" t="s">
        <v>1034</v>
      </c>
      <c r="BM63" s="58" t="s">
        <v>1035</v>
      </c>
      <c r="BN63" s="58" t="s">
        <v>1036</v>
      </c>
      <c r="BO63" s="58" t="s">
        <v>1037</v>
      </c>
      <c r="BP63" s="46">
        <v>0.0</v>
      </c>
      <c r="BQ63" s="46">
        <v>5.0</v>
      </c>
      <c r="BR63" s="46">
        <v>2.875</v>
      </c>
      <c r="BS63" s="46">
        <v>1.72</v>
      </c>
      <c r="BT63" s="46">
        <v>1.226</v>
      </c>
      <c r="BU63" s="46">
        <v>0.946</v>
      </c>
      <c r="BV63" s="46">
        <v>0.78</v>
      </c>
      <c r="BW63" s="46">
        <v>0.0</v>
      </c>
      <c r="BX63" s="46">
        <v>0.0</v>
      </c>
      <c r="BY63" s="46">
        <v>0.0</v>
      </c>
      <c r="BZ63" s="46">
        <v>3.0</v>
      </c>
      <c r="CA63" s="46">
        <v>3.909</v>
      </c>
      <c r="CB63" s="46">
        <v>2.0</v>
      </c>
      <c r="CC63" s="46">
        <v>0.0</v>
      </c>
      <c r="CD63" s="46">
        <v>0.0</v>
      </c>
      <c r="CE63" s="46">
        <v>8000.0</v>
      </c>
      <c r="CF63" s="46">
        <v>6500.0</v>
      </c>
      <c r="CG63" s="46">
        <v>0.0</v>
      </c>
      <c r="CH63" s="46">
        <v>0.0</v>
      </c>
      <c r="CI63" s="46">
        <v>0.0</v>
      </c>
      <c r="CJ63" s="2"/>
      <c r="CK63" s="2"/>
    </row>
    <row r="64">
      <c r="A64" s="44">
        <v>63.0</v>
      </c>
      <c r="B64" s="44">
        <v>92.0</v>
      </c>
      <c r="C64" s="44" t="s">
        <v>237</v>
      </c>
      <c r="D64" s="44" t="s">
        <v>238</v>
      </c>
      <c r="E64" s="44" t="s">
        <v>239</v>
      </c>
      <c r="F64" s="44">
        <v>1040.0</v>
      </c>
      <c r="G64" s="44">
        <v>4.27</v>
      </c>
      <c r="H64" s="44">
        <v>1.63</v>
      </c>
      <c r="I64" s="44">
        <v>1.29</v>
      </c>
      <c r="J64" s="44">
        <v>2.25</v>
      </c>
      <c r="K64" s="44">
        <v>1.324</v>
      </c>
      <c r="L64" s="44">
        <v>1.274</v>
      </c>
      <c r="M64" s="44">
        <v>0.1</v>
      </c>
      <c r="N64" s="44">
        <v>0.481</v>
      </c>
      <c r="O64" s="44">
        <v>0.0</v>
      </c>
      <c r="P64" s="44">
        <v>0.48</v>
      </c>
      <c r="Q64" s="44">
        <v>0.95</v>
      </c>
      <c r="R64" s="44">
        <v>0.0</v>
      </c>
      <c r="S64" s="44">
        <v>1.066</v>
      </c>
      <c r="T64" s="44">
        <v>0.195</v>
      </c>
      <c r="U64" s="44">
        <v>0.6</v>
      </c>
      <c r="V64" s="44">
        <v>15.0</v>
      </c>
      <c r="W64" s="44">
        <v>0.195</v>
      </c>
      <c r="X64" s="44">
        <v>0.6</v>
      </c>
      <c r="Y64" s="44">
        <v>15.0</v>
      </c>
      <c r="Z64" s="44">
        <v>0.0</v>
      </c>
      <c r="AA64" s="44">
        <v>0.0</v>
      </c>
      <c r="AB64" s="44">
        <v>5.0</v>
      </c>
      <c r="AC64" s="44">
        <v>12.0</v>
      </c>
      <c r="AD64" s="44">
        <v>1.6</v>
      </c>
      <c r="AE64" s="44">
        <v>1.5</v>
      </c>
      <c r="AF64" s="44">
        <v>-2.0</v>
      </c>
      <c r="AG64" s="44">
        <v>-0.3</v>
      </c>
      <c r="AH64" s="44">
        <v>1.6</v>
      </c>
      <c r="AI64" s="44">
        <v>1.0</v>
      </c>
      <c r="AJ64" s="44">
        <v>1962.0</v>
      </c>
      <c r="AK64" s="44">
        <v>0.0</v>
      </c>
      <c r="AL64" s="44">
        <v>6600.0</v>
      </c>
      <c r="AM64" s="44">
        <v>6800.0</v>
      </c>
      <c r="AN64" s="44">
        <v>700.0</v>
      </c>
      <c r="AO64" s="44">
        <v>4300.0</v>
      </c>
      <c r="AP64" s="44">
        <v>5300.0</v>
      </c>
      <c r="AQ64" s="44">
        <v>0.0</v>
      </c>
      <c r="AR64" s="57" t="s">
        <v>1941</v>
      </c>
      <c r="AS64" s="57" t="s">
        <v>1942</v>
      </c>
      <c r="AT64" s="57" t="s">
        <v>1943</v>
      </c>
      <c r="AU64" s="57" t="s">
        <v>1944</v>
      </c>
      <c r="AV64" s="57" t="s">
        <v>1945</v>
      </c>
      <c r="AW64" s="57" t="s">
        <v>1946</v>
      </c>
      <c r="AX64" s="57" t="s">
        <v>1947</v>
      </c>
      <c r="AY64" s="57" t="s">
        <v>1948</v>
      </c>
      <c r="AZ64" s="57" t="s">
        <v>1949</v>
      </c>
      <c r="BA64" s="57" t="s">
        <v>1950</v>
      </c>
      <c r="BB64" s="57" t="s">
        <v>1951</v>
      </c>
      <c r="BC64" s="57" t="s">
        <v>1952</v>
      </c>
      <c r="BD64" s="57" t="s">
        <v>1953</v>
      </c>
      <c r="BE64" s="57" t="s">
        <v>1954</v>
      </c>
      <c r="BF64" s="57" t="s">
        <v>1052</v>
      </c>
      <c r="BG64" s="57" t="s">
        <v>1029</v>
      </c>
      <c r="BH64" s="57" t="s">
        <v>1030</v>
      </c>
      <c r="BI64" s="57" t="s">
        <v>1031</v>
      </c>
      <c r="BJ64" s="57" t="s">
        <v>1032</v>
      </c>
      <c r="BK64" s="57" t="s">
        <v>1033</v>
      </c>
      <c r="BL64" s="57" t="s">
        <v>1034</v>
      </c>
      <c r="BM64" s="57" t="s">
        <v>1035</v>
      </c>
      <c r="BN64" s="57" t="s">
        <v>1036</v>
      </c>
      <c r="BO64" s="57" t="s">
        <v>1037</v>
      </c>
      <c r="BP64" s="44">
        <v>0.0</v>
      </c>
      <c r="BQ64" s="44">
        <v>5.0</v>
      </c>
      <c r="BR64" s="44">
        <v>3.304</v>
      </c>
      <c r="BS64" s="44">
        <v>1.988</v>
      </c>
      <c r="BT64" s="44">
        <v>1.355</v>
      </c>
      <c r="BU64" s="44">
        <v>1.1</v>
      </c>
      <c r="BV64" s="44">
        <v>0.791</v>
      </c>
      <c r="BW64" s="44">
        <v>0.0</v>
      </c>
      <c r="BX64" s="44">
        <v>0.0</v>
      </c>
      <c r="BY64" s="44">
        <v>0.0</v>
      </c>
      <c r="BZ64" s="44">
        <v>2.62</v>
      </c>
      <c r="CA64" s="44">
        <v>4.1</v>
      </c>
      <c r="CB64" s="44">
        <v>0.0</v>
      </c>
      <c r="CC64" s="44">
        <v>0.0</v>
      </c>
      <c r="CD64" s="44">
        <v>0.0</v>
      </c>
      <c r="CE64" s="44">
        <v>8000.0</v>
      </c>
      <c r="CF64" s="44">
        <v>6600.0</v>
      </c>
      <c r="CG64" s="44">
        <v>0.0</v>
      </c>
      <c r="CH64" s="44">
        <v>0.0</v>
      </c>
      <c r="CI64" s="44">
        <v>0.0</v>
      </c>
      <c r="CJ64" s="2"/>
      <c r="CK64" s="2"/>
    </row>
    <row r="65">
      <c r="A65" s="46">
        <v>64.0</v>
      </c>
      <c r="B65" s="46">
        <v>95.0</v>
      </c>
      <c r="C65" s="46" t="s">
        <v>240</v>
      </c>
      <c r="D65" s="46" t="s">
        <v>241</v>
      </c>
      <c r="E65" s="46" t="s">
        <v>242</v>
      </c>
      <c r="F65" s="46">
        <v>1420.0</v>
      </c>
      <c r="G65" s="46">
        <v>4.43</v>
      </c>
      <c r="H65" s="46">
        <v>1.765</v>
      </c>
      <c r="I65" s="46">
        <v>1.4</v>
      </c>
      <c r="J65" s="46">
        <v>2.595</v>
      </c>
      <c r="K65" s="46">
        <v>1.52</v>
      </c>
      <c r="L65" s="46">
        <v>1.51</v>
      </c>
      <c r="M65" s="46">
        <v>0.12</v>
      </c>
      <c r="N65" s="46">
        <v>0.345</v>
      </c>
      <c r="O65" s="46">
        <v>1.0</v>
      </c>
      <c r="P65" s="46">
        <v>0.5</v>
      </c>
      <c r="Q65" s="46">
        <v>1.1</v>
      </c>
      <c r="R65" s="46">
        <v>0.0</v>
      </c>
      <c r="S65" s="46">
        <v>1.108</v>
      </c>
      <c r="T65" s="46">
        <v>0.225</v>
      </c>
      <c r="U65" s="46">
        <v>0.45</v>
      </c>
      <c r="V65" s="46">
        <v>17.0</v>
      </c>
      <c r="W65" s="46">
        <v>0.225</v>
      </c>
      <c r="X65" s="46">
        <v>0.45</v>
      </c>
      <c r="Y65" s="46">
        <v>17.0</v>
      </c>
      <c r="Z65" s="46">
        <v>0.0</v>
      </c>
      <c r="AA65" s="46">
        <v>-0.3</v>
      </c>
      <c r="AB65" s="46">
        <v>3.3</v>
      </c>
      <c r="AC65" s="46">
        <v>6.0</v>
      </c>
      <c r="AD65" s="46">
        <v>1.5</v>
      </c>
      <c r="AE65" s="46">
        <v>3.0</v>
      </c>
      <c r="AF65" s="46">
        <v>-3.0</v>
      </c>
      <c r="AG65" s="46">
        <v>-1.0</v>
      </c>
      <c r="AH65" s="46">
        <v>1.5</v>
      </c>
      <c r="AI65" s="46">
        <v>2.0</v>
      </c>
      <c r="AJ65" s="46">
        <v>3179.0</v>
      </c>
      <c r="AK65" s="46">
        <v>0.0</v>
      </c>
      <c r="AL65" s="46">
        <v>7000.0</v>
      </c>
      <c r="AM65" s="46">
        <v>7000.0</v>
      </c>
      <c r="AN65" s="46">
        <v>700.0</v>
      </c>
      <c r="AO65" s="46">
        <v>4800.0</v>
      </c>
      <c r="AP65" s="46">
        <v>6200.0</v>
      </c>
      <c r="AQ65" s="46">
        <v>0.0</v>
      </c>
      <c r="AR65" s="58" t="s">
        <v>1955</v>
      </c>
      <c r="AS65" s="58" t="s">
        <v>1956</v>
      </c>
      <c r="AT65" s="58" t="s">
        <v>1957</v>
      </c>
      <c r="AU65" s="58" t="s">
        <v>1958</v>
      </c>
      <c r="AV65" s="58" t="s">
        <v>1959</v>
      </c>
      <c r="AW65" s="58" t="s">
        <v>1960</v>
      </c>
      <c r="AX65" s="58" t="s">
        <v>1961</v>
      </c>
      <c r="AY65" s="58" t="s">
        <v>1962</v>
      </c>
      <c r="AZ65" s="58" t="s">
        <v>1963</v>
      </c>
      <c r="BA65" s="58" t="s">
        <v>1964</v>
      </c>
      <c r="BB65" s="58" t="s">
        <v>1965</v>
      </c>
      <c r="BC65" s="58" t="s">
        <v>1966</v>
      </c>
      <c r="BD65" s="58" t="s">
        <v>1967</v>
      </c>
      <c r="BE65" s="58" t="s">
        <v>1968</v>
      </c>
      <c r="BF65" s="58" t="s">
        <v>1969</v>
      </c>
      <c r="BG65" s="58" t="s">
        <v>1029</v>
      </c>
      <c r="BH65" s="58" t="s">
        <v>1030</v>
      </c>
      <c r="BI65" s="58" t="s">
        <v>1031</v>
      </c>
      <c r="BJ65" s="58" t="s">
        <v>1032</v>
      </c>
      <c r="BK65" s="58" t="s">
        <v>1033</v>
      </c>
      <c r="BL65" s="58" t="s">
        <v>1034</v>
      </c>
      <c r="BM65" s="58" t="s">
        <v>1035</v>
      </c>
      <c r="BN65" s="58" t="s">
        <v>1036</v>
      </c>
      <c r="BO65" s="58" t="s">
        <v>1037</v>
      </c>
      <c r="BP65" s="46">
        <v>0.0</v>
      </c>
      <c r="BQ65" s="46">
        <v>6.0</v>
      </c>
      <c r="BR65" s="46">
        <v>3.5</v>
      </c>
      <c r="BS65" s="46">
        <v>2.235</v>
      </c>
      <c r="BT65" s="46">
        <v>1.52</v>
      </c>
      <c r="BU65" s="46">
        <v>1.161</v>
      </c>
      <c r="BV65" s="46">
        <v>0.971</v>
      </c>
      <c r="BW65" s="46">
        <v>0.818</v>
      </c>
      <c r="BX65" s="46">
        <v>0.0</v>
      </c>
      <c r="BY65" s="46">
        <v>0.0</v>
      </c>
      <c r="BZ65" s="46">
        <v>3.545</v>
      </c>
      <c r="CA65" s="46">
        <v>3.733</v>
      </c>
      <c r="CB65" s="46">
        <v>0.0</v>
      </c>
      <c r="CC65" s="46">
        <v>0.0</v>
      </c>
      <c r="CD65" s="46">
        <v>0.0</v>
      </c>
      <c r="CE65" s="46">
        <v>8000.0</v>
      </c>
      <c r="CF65" s="46">
        <v>7000.0</v>
      </c>
      <c r="CG65" s="46">
        <v>0.0</v>
      </c>
      <c r="CH65" s="46">
        <v>1.0</v>
      </c>
      <c r="CI65" s="46">
        <v>0.0</v>
      </c>
      <c r="CJ65" s="2"/>
      <c r="CK65" s="2"/>
    </row>
    <row r="66">
      <c r="A66" s="44">
        <v>65.0</v>
      </c>
      <c r="B66" s="44">
        <v>97.0</v>
      </c>
      <c r="C66" s="44" t="s">
        <v>243</v>
      </c>
      <c r="D66" s="44" t="s">
        <v>244</v>
      </c>
      <c r="E66" s="44" t="s">
        <v>245</v>
      </c>
      <c r="F66" s="44">
        <v>1420.0</v>
      </c>
      <c r="G66" s="44">
        <v>4.295</v>
      </c>
      <c r="H66" s="44">
        <v>1.78</v>
      </c>
      <c r="I66" s="44">
        <v>1.32</v>
      </c>
      <c r="J66" s="44">
        <v>2.54</v>
      </c>
      <c r="K66" s="44">
        <v>1.51</v>
      </c>
      <c r="L66" s="44">
        <v>1.52</v>
      </c>
      <c r="M66" s="44">
        <v>0.12</v>
      </c>
      <c r="N66" s="44">
        <v>0.352</v>
      </c>
      <c r="O66" s="44">
        <v>1.0</v>
      </c>
      <c r="P66" s="44">
        <v>0.5</v>
      </c>
      <c r="Q66" s="44">
        <v>1.1</v>
      </c>
      <c r="R66" s="44">
        <v>0.0</v>
      </c>
      <c r="S66" s="44">
        <v>1.087</v>
      </c>
      <c r="T66" s="44">
        <v>0.225</v>
      </c>
      <c r="U66" s="44">
        <v>0.45</v>
      </c>
      <c r="V66" s="44">
        <v>17.0</v>
      </c>
      <c r="W66" s="44">
        <v>0.225</v>
      </c>
      <c r="X66" s="44">
        <v>0.45</v>
      </c>
      <c r="Y66" s="44">
        <v>17.0</v>
      </c>
      <c r="Z66" s="44">
        <v>0.0</v>
      </c>
      <c r="AA66" s="44">
        <v>0.0</v>
      </c>
      <c r="AB66" s="44">
        <v>3.5</v>
      </c>
      <c r="AC66" s="44">
        <v>6.0</v>
      </c>
      <c r="AD66" s="44">
        <v>1.5</v>
      </c>
      <c r="AE66" s="44">
        <v>3.0</v>
      </c>
      <c r="AF66" s="44">
        <v>-3.0</v>
      </c>
      <c r="AG66" s="44">
        <v>-0.3</v>
      </c>
      <c r="AH66" s="44">
        <v>1.5</v>
      </c>
      <c r="AI66" s="44">
        <v>2.0</v>
      </c>
      <c r="AJ66" s="44">
        <v>3179.0</v>
      </c>
      <c r="AK66" s="44">
        <v>0.0</v>
      </c>
      <c r="AL66" s="44">
        <v>7000.0</v>
      </c>
      <c r="AM66" s="44">
        <v>7200.0</v>
      </c>
      <c r="AN66" s="44">
        <v>800.0</v>
      </c>
      <c r="AO66" s="44">
        <v>4800.0</v>
      </c>
      <c r="AP66" s="44">
        <v>6200.0</v>
      </c>
      <c r="AQ66" s="44">
        <v>0.0</v>
      </c>
      <c r="AR66" s="57" t="s">
        <v>1970</v>
      </c>
      <c r="AS66" s="57" t="s">
        <v>1971</v>
      </c>
      <c r="AT66" s="57" t="s">
        <v>1972</v>
      </c>
      <c r="AU66" s="57" t="s">
        <v>1973</v>
      </c>
      <c r="AV66" s="57" t="s">
        <v>1974</v>
      </c>
      <c r="AW66" s="57" t="s">
        <v>1975</v>
      </c>
      <c r="AX66" s="57" t="s">
        <v>1976</v>
      </c>
      <c r="AY66" s="57" t="s">
        <v>1977</v>
      </c>
      <c r="AZ66" s="57" t="s">
        <v>1978</v>
      </c>
      <c r="BA66" s="57" t="s">
        <v>1979</v>
      </c>
      <c r="BB66" s="57" t="s">
        <v>1980</v>
      </c>
      <c r="BC66" s="57" t="s">
        <v>1981</v>
      </c>
      <c r="BD66" s="57" t="s">
        <v>1982</v>
      </c>
      <c r="BE66" s="57" t="s">
        <v>1968</v>
      </c>
      <c r="BF66" s="57" t="s">
        <v>1983</v>
      </c>
      <c r="BG66" s="57" t="s">
        <v>1029</v>
      </c>
      <c r="BH66" s="57" t="s">
        <v>1030</v>
      </c>
      <c r="BI66" s="57" t="s">
        <v>1031</v>
      </c>
      <c r="BJ66" s="57" t="s">
        <v>1032</v>
      </c>
      <c r="BK66" s="57" t="s">
        <v>1033</v>
      </c>
      <c r="BL66" s="57" t="s">
        <v>1034</v>
      </c>
      <c r="BM66" s="57" t="s">
        <v>1035</v>
      </c>
      <c r="BN66" s="57" t="s">
        <v>1036</v>
      </c>
      <c r="BO66" s="57" t="s">
        <v>1037</v>
      </c>
      <c r="BP66" s="44">
        <v>0.0</v>
      </c>
      <c r="BQ66" s="44">
        <v>6.0</v>
      </c>
      <c r="BR66" s="44">
        <v>3.5</v>
      </c>
      <c r="BS66" s="44">
        <v>2.235</v>
      </c>
      <c r="BT66" s="44">
        <v>1.52</v>
      </c>
      <c r="BU66" s="44">
        <v>1.161</v>
      </c>
      <c r="BV66" s="44">
        <v>0.971</v>
      </c>
      <c r="BW66" s="44">
        <v>0.818</v>
      </c>
      <c r="BX66" s="44">
        <v>0.0</v>
      </c>
      <c r="BY66" s="44">
        <v>0.0</v>
      </c>
      <c r="BZ66" s="44">
        <v>3.909</v>
      </c>
      <c r="CA66" s="44">
        <v>3.733</v>
      </c>
      <c r="CB66" s="44">
        <v>0.0</v>
      </c>
      <c r="CC66" s="44">
        <v>0.0</v>
      </c>
      <c r="CD66" s="44">
        <v>0.0</v>
      </c>
      <c r="CE66" s="44">
        <v>8000.0</v>
      </c>
      <c r="CF66" s="44">
        <v>7000.0</v>
      </c>
      <c r="CG66" s="44">
        <v>0.0</v>
      </c>
      <c r="CH66" s="44">
        <v>0.0</v>
      </c>
      <c r="CI66" s="44">
        <v>0.0</v>
      </c>
      <c r="CJ66" s="2"/>
      <c r="CK66" s="2"/>
    </row>
    <row r="67">
      <c r="A67" s="46">
        <v>66.0</v>
      </c>
      <c r="B67" s="46">
        <v>98.0</v>
      </c>
      <c r="C67" s="46" t="s">
        <v>246</v>
      </c>
      <c r="D67" s="46" t="s">
        <v>247</v>
      </c>
      <c r="E67" s="46" t="s">
        <v>248</v>
      </c>
      <c r="F67" s="46">
        <v>960.0</v>
      </c>
      <c r="G67" s="46">
        <v>3.69</v>
      </c>
      <c r="H67" s="46">
        <v>1.62</v>
      </c>
      <c r="I67" s="46">
        <v>1.37</v>
      </c>
      <c r="J67" s="46">
        <v>2.385</v>
      </c>
      <c r="K67" s="46">
        <v>1.4</v>
      </c>
      <c r="L67" s="46">
        <v>1.355</v>
      </c>
      <c r="M67" s="46">
        <v>0.14</v>
      </c>
      <c r="N67" s="46">
        <v>0.323</v>
      </c>
      <c r="O67" s="46">
        <v>1.0</v>
      </c>
      <c r="P67" s="46">
        <v>0.5</v>
      </c>
      <c r="Q67" s="46">
        <v>1.0</v>
      </c>
      <c r="R67" s="46">
        <v>0.0</v>
      </c>
      <c r="S67" s="46">
        <v>1.1</v>
      </c>
      <c r="T67" s="46">
        <v>0.185</v>
      </c>
      <c r="U67" s="46">
        <v>0.55</v>
      </c>
      <c r="V67" s="46">
        <v>14.0</v>
      </c>
      <c r="W67" s="46">
        <v>0.185</v>
      </c>
      <c r="X67" s="46">
        <v>0.55</v>
      </c>
      <c r="Y67" s="46">
        <v>14.0</v>
      </c>
      <c r="Z67" s="46">
        <v>0.0</v>
      </c>
      <c r="AA67" s="46">
        <v>-1.0</v>
      </c>
      <c r="AB67" s="46">
        <v>3.0</v>
      </c>
      <c r="AC67" s="46">
        <v>10.0</v>
      </c>
      <c r="AD67" s="46">
        <v>1.5</v>
      </c>
      <c r="AE67" s="46">
        <v>1.0</v>
      </c>
      <c r="AF67" s="46">
        <v>-2.0</v>
      </c>
      <c r="AG67" s="46">
        <v>-0.3</v>
      </c>
      <c r="AH67" s="46">
        <v>1.5</v>
      </c>
      <c r="AI67" s="46">
        <v>0.5</v>
      </c>
      <c r="AJ67" s="46">
        <v>1587.0</v>
      </c>
      <c r="AK67" s="46">
        <v>0.0</v>
      </c>
      <c r="AL67" s="46">
        <v>7300.0</v>
      </c>
      <c r="AM67" s="46">
        <v>7500.0</v>
      </c>
      <c r="AN67" s="46">
        <v>800.0</v>
      </c>
      <c r="AO67" s="46">
        <v>5200.0</v>
      </c>
      <c r="AP67" s="46">
        <v>6600.0</v>
      </c>
      <c r="AQ67" s="46">
        <v>0.0</v>
      </c>
      <c r="AR67" s="58" t="s">
        <v>1984</v>
      </c>
      <c r="AS67" s="58" t="s">
        <v>1985</v>
      </c>
      <c r="AT67" s="58" t="s">
        <v>1986</v>
      </c>
      <c r="AU67" s="58" t="s">
        <v>1987</v>
      </c>
      <c r="AV67" s="58" t="s">
        <v>1988</v>
      </c>
      <c r="AW67" s="58" t="s">
        <v>1989</v>
      </c>
      <c r="AX67" s="58" t="s">
        <v>1990</v>
      </c>
      <c r="AY67" s="58" t="s">
        <v>1991</v>
      </c>
      <c r="AZ67" s="58" t="s">
        <v>1992</v>
      </c>
      <c r="BA67" s="58" t="s">
        <v>1993</v>
      </c>
      <c r="BB67" s="58" t="s">
        <v>1994</v>
      </c>
      <c r="BC67" s="58" t="s">
        <v>1995</v>
      </c>
      <c r="BD67" s="58" t="s">
        <v>1996</v>
      </c>
      <c r="BE67" s="58" t="s">
        <v>1997</v>
      </c>
      <c r="BF67" s="58" t="s">
        <v>1998</v>
      </c>
      <c r="BG67" s="58" t="s">
        <v>1999</v>
      </c>
      <c r="BH67" s="58" t="s">
        <v>1030</v>
      </c>
      <c r="BI67" s="58" t="s">
        <v>1031</v>
      </c>
      <c r="BJ67" s="58" t="s">
        <v>1032</v>
      </c>
      <c r="BK67" s="58" t="s">
        <v>1033</v>
      </c>
      <c r="BL67" s="58" t="s">
        <v>1034</v>
      </c>
      <c r="BM67" s="58" t="s">
        <v>1035</v>
      </c>
      <c r="BN67" s="58" t="s">
        <v>1036</v>
      </c>
      <c r="BO67" s="58" t="s">
        <v>1037</v>
      </c>
      <c r="BP67" s="46">
        <v>0.0</v>
      </c>
      <c r="BQ67" s="46">
        <v>5.0</v>
      </c>
      <c r="BR67" s="46">
        <v>3.417</v>
      </c>
      <c r="BS67" s="46">
        <v>1.95</v>
      </c>
      <c r="BT67" s="46">
        <v>1.357</v>
      </c>
      <c r="BU67" s="46">
        <v>1.054</v>
      </c>
      <c r="BV67" s="46">
        <v>0.854</v>
      </c>
      <c r="BW67" s="46">
        <v>0.0</v>
      </c>
      <c r="BX67" s="46">
        <v>0.0</v>
      </c>
      <c r="BY67" s="46">
        <v>0.0</v>
      </c>
      <c r="BZ67" s="46">
        <v>3.584</v>
      </c>
      <c r="CA67" s="46">
        <v>3.939</v>
      </c>
      <c r="CB67" s="46">
        <v>0.0</v>
      </c>
      <c r="CC67" s="46">
        <v>0.0</v>
      </c>
      <c r="CD67" s="46">
        <v>0.0</v>
      </c>
      <c r="CE67" s="46">
        <v>8000.0</v>
      </c>
      <c r="CF67" s="46">
        <v>7300.0</v>
      </c>
      <c r="CG67" s="46">
        <v>0.0</v>
      </c>
      <c r="CH67" s="46">
        <v>0.0</v>
      </c>
      <c r="CI67" s="46">
        <v>0.0</v>
      </c>
      <c r="CJ67" s="2"/>
      <c r="CK67" s="2"/>
    </row>
    <row r="68">
      <c r="A68" s="44">
        <v>67.0</v>
      </c>
      <c r="B68" s="44">
        <v>100.0</v>
      </c>
      <c r="C68" s="44" t="s">
        <v>249</v>
      </c>
      <c r="D68" s="44" t="s">
        <v>250</v>
      </c>
      <c r="E68" s="44" t="s">
        <v>251</v>
      </c>
      <c r="F68" s="44">
        <v>1190.0</v>
      </c>
      <c r="G68" s="44">
        <v>3.81</v>
      </c>
      <c r="H68" s="44">
        <v>1.675</v>
      </c>
      <c r="I68" s="44">
        <v>1.38</v>
      </c>
      <c r="J68" s="44">
        <v>2.44</v>
      </c>
      <c r="K68" s="44">
        <v>1.43</v>
      </c>
      <c r="L68" s="44">
        <v>1.425</v>
      </c>
      <c r="M68" s="44">
        <v>0.135</v>
      </c>
      <c r="N68" s="44">
        <v>0.395</v>
      </c>
      <c r="O68" s="44">
        <v>1.0</v>
      </c>
      <c r="P68" s="44">
        <v>0.49</v>
      </c>
      <c r="Q68" s="44">
        <v>1.0</v>
      </c>
      <c r="R68" s="44">
        <v>0.0</v>
      </c>
      <c r="S68" s="44">
        <v>1.167</v>
      </c>
      <c r="T68" s="44">
        <v>0.205</v>
      </c>
      <c r="U68" s="44">
        <v>0.45</v>
      </c>
      <c r="V68" s="44">
        <v>16.0</v>
      </c>
      <c r="W68" s="44">
        <v>0.205</v>
      </c>
      <c r="X68" s="44">
        <v>0.45</v>
      </c>
      <c r="Y68" s="44">
        <v>16.0</v>
      </c>
      <c r="Z68" s="44">
        <v>0.0</v>
      </c>
      <c r="AA68" s="44">
        <v>-1.0</v>
      </c>
      <c r="AB68" s="44">
        <v>3.0</v>
      </c>
      <c r="AC68" s="44">
        <v>10.0</v>
      </c>
      <c r="AD68" s="44">
        <v>1.4</v>
      </c>
      <c r="AE68" s="44">
        <v>2.0</v>
      </c>
      <c r="AF68" s="44">
        <v>-2.0</v>
      </c>
      <c r="AG68" s="44">
        <v>-0.3</v>
      </c>
      <c r="AH68" s="44">
        <v>1.4</v>
      </c>
      <c r="AI68" s="44">
        <v>1.0</v>
      </c>
      <c r="AJ68" s="44">
        <v>1997.0</v>
      </c>
      <c r="AK68" s="44">
        <v>0.0</v>
      </c>
      <c r="AL68" s="44">
        <v>6500.0</v>
      </c>
      <c r="AM68" s="44">
        <v>6600.0</v>
      </c>
      <c r="AN68" s="44">
        <v>700.0</v>
      </c>
      <c r="AO68" s="44">
        <v>4100.0</v>
      </c>
      <c r="AP68" s="44">
        <v>6000.0</v>
      </c>
      <c r="AQ68" s="44">
        <v>0.0</v>
      </c>
      <c r="AR68" s="57" t="s">
        <v>2000</v>
      </c>
      <c r="AS68" s="57" t="s">
        <v>2001</v>
      </c>
      <c r="AT68" s="57" t="s">
        <v>2002</v>
      </c>
      <c r="AU68" s="57" t="s">
        <v>2003</v>
      </c>
      <c r="AV68" s="57" t="s">
        <v>2004</v>
      </c>
      <c r="AW68" s="57" t="s">
        <v>2005</v>
      </c>
      <c r="AX68" s="57" t="s">
        <v>2006</v>
      </c>
      <c r="AY68" s="57" t="s">
        <v>2007</v>
      </c>
      <c r="AZ68" s="57" t="s">
        <v>2008</v>
      </c>
      <c r="BA68" s="57" t="s">
        <v>2009</v>
      </c>
      <c r="BB68" s="57" t="s">
        <v>1111</v>
      </c>
      <c r="BC68" s="57" t="s">
        <v>2010</v>
      </c>
      <c r="BD68" s="57" t="s">
        <v>2011</v>
      </c>
      <c r="BE68" s="57" t="s">
        <v>2012</v>
      </c>
      <c r="BF68" s="57" t="s">
        <v>1052</v>
      </c>
      <c r="BG68" s="57" t="s">
        <v>1029</v>
      </c>
      <c r="BH68" s="57" t="s">
        <v>1030</v>
      </c>
      <c r="BI68" s="57" t="s">
        <v>1031</v>
      </c>
      <c r="BJ68" s="57" t="s">
        <v>1032</v>
      </c>
      <c r="BK68" s="57" t="s">
        <v>1033</v>
      </c>
      <c r="BL68" s="57" t="s">
        <v>1034</v>
      </c>
      <c r="BM68" s="57" t="s">
        <v>1035</v>
      </c>
      <c r="BN68" s="57" t="s">
        <v>1036</v>
      </c>
      <c r="BO68" s="57" t="s">
        <v>1037</v>
      </c>
      <c r="BP68" s="44">
        <v>0.0</v>
      </c>
      <c r="BQ68" s="44">
        <v>5.0</v>
      </c>
      <c r="BR68" s="44">
        <v>3.454</v>
      </c>
      <c r="BS68" s="44">
        <v>1.869</v>
      </c>
      <c r="BT68" s="44">
        <v>1.36</v>
      </c>
      <c r="BU68" s="44">
        <v>1.051</v>
      </c>
      <c r="BV68" s="44">
        <v>0.86</v>
      </c>
      <c r="BW68" s="44">
        <v>0.0</v>
      </c>
      <c r="BX68" s="44">
        <v>0.0</v>
      </c>
      <c r="BY68" s="44">
        <v>0.0</v>
      </c>
      <c r="BZ68" s="44">
        <v>3.333</v>
      </c>
      <c r="CA68" s="44">
        <v>3.789</v>
      </c>
      <c r="CB68" s="44">
        <v>0.0</v>
      </c>
      <c r="CC68" s="44">
        <v>0.0</v>
      </c>
      <c r="CD68" s="44">
        <v>0.0</v>
      </c>
      <c r="CE68" s="44">
        <v>7000.0</v>
      </c>
      <c r="CF68" s="44">
        <v>6500.0</v>
      </c>
      <c r="CG68" s="44">
        <v>0.0</v>
      </c>
      <c r="CH68" s="44">
        <v>0.0</v>
      </c>
      <c r="CI68" s="44">
        <v>0.0</v>
      </c>
      <c r="CJ68" s="2"/>
      <c r="CK68" s="2"/>
    </row>
    <row r="69">
      <c r="A69" s="46">
        <v>68.0</v>
      </c>
      <c r="B69" s="46">
        <v>103.0</v>
      </c>
      <c r="C69" s="46" t="s">
        <v>252</v>
      </c>
      <c r="D69" s="46" t="s">
        <v>253</v>
      </c>
      <c r="E69" s="46" t="s">
        <v>254</v>
      </c>
      <c r="F69" s="46">
        <v>770.0</v>
      </c>
      <c r="G69" s="46">
        <v>2.54</v>
      </c>
      <c r="H69" s="46">
        <v>1.535</v>
      </c>
      <c r="I69" s="46">
        <v>1.55</v>
      </c>
      <c r="J69" s="46">
        <v>1.81</v>
      </c>
      <c r="K69" s="46">
        <v>1.275</v>
      </c>
      <c r="L69" s="46">
        <v>1.355</v>
      </c>
      <c r="M69" s="46">
        <v>0.09</v>
      </c>
      <c r="N69" s="46">
        <v>0.566</v>
      </c>
      <c r="O69" s="46">
        <v>3.0</v>
      </c>
      <c r="P69" s="46">
        <v>0.45</v>
      </c>
      <c r="Q69" s="46">
        <v>1.0</v>
      </c>
      <c r="R69" s="46">
        <v>0.0</v>
      </c>
      <c r="S69" s="46">
        <v>1.269</v>
      </c>
      <c r="T69" s="46">
        <v>0.145</v>
      </c>
      <c r="U69" s="46">
        <v>0.65</v>
      </c>
      <c r="V69" s="46">
        <v>15.0</v>
      </c>
      <c r="W69" s="46">
        <v>0.175</v>
      </c>
      <c r="X69" s="46">
        <v>0.55</v>
      </c>
      <c r="Y69" s="46">
        <v>15.0</v>
      </c>
      <c r="Z69" s="46">
        <v>0.0</v>
      </c>
      <c r="AA69" s="46">
        <v>1.0</v>
      </c>
      <c r="AB69" s="46">
        <v>8.0</v>
      </c>
      <c r="AC69" s="46">
        <v>14.0</v>
      </c>
      <c r="AD69" s="46">
        <v>2.0</v>
      </c>
      <c r="AE69" s="46">
        <v>1.5</v>
      </c>
      <c r="AF69" s="46">
        <v>-3.0</v>
      </c>
      <c r="AG69" s="46">
        <v>-1.0</v>
      </c>
      <c r="AH69" s="46">
        <v>1.9</v>
      </c>
      <c r="AI69" s="46">
        <v>1.0</v>
      </c>
      <c r="AJ69" s="46">
        <v>698.0</v>
      </c>
      <c r="AK69" s="46">
        <v>1.0</v>
      </c>
      <c r="AL69" s="46">
        <v>6000.0</v>
      </c>
      <c r="AM69" s="46">
        <v>6000.0</v>
      </c>
      <c r="AN69" s="46">
        <v>700.0</v>
      </c>
      <c r="AO69" s="46">
        <v>2000.0</v>
      </c>
      <c r="AP69" s="46">
        <v>5250.0</v>
      </c>
      <c r="AQ69" s="46">
        <v>0.0</v>
      </c>
      <c r="AR69" s="58" t="s">
        <v>2013</v>
      </c>
      <c r="AS69" s="58" t="s">
        <v>2014</v>
      </c>
      <c r="AT69" s="58" t="s">
        <v>2015</v>
      </c>
      <c r="AU69" s="58" t="s">
        <v>2016</v>
      </c>
      <c r="AV69" s="58" t="s">
        <v>2017</v>
      </c>
      <c r="AW69" s="58" t="s">
        <v>2018</v>
      </c>
      <c r="AX69" s="58" t="s">
        <v>2019</v>
      </c>
      <c r="AY69" s="58" t="s">
        <v>2020</v>
      </c>
      <c r="AZ69" s="58" t="s">
        <v>2021</v>
      </c>
      <c r="BA69" s="58" t="s">
        <v>2022</v>
      </c>
      <c r="BB69" s="58" t="s">
        <v>2023</v>
      </c>
      <c r="BC69" s="58" t="s">
        <v>2024</v>
      </c>
      <c r="BD69" s="58" t="s">
        <v>2025</v>
      </c>
      <c r="BE69" s="58" t="s">
        <v>2026</v>
      </c>
      <c r="BF69" s="58" t="s">
        <v>1143</v>
      </c>
      <c r="BG69" s="58" t="s">
        <v>1029</v>
      </c>
      <c r="BH69" s="58" t="s">
        <v>1030</v>
      </c>
      <c r="BI69" s="58" t="s">
        <v>1031</v>
      </c>
      <c r="BJ69" s="58" t="s">
        <v>1032</v>
      </c>
      <c r="BK69" s="58" t="s">
        <v>1033</v>
      </c>
      <c r="BL69" s="58" t="s">
        <v>1034</v>
      </c>
      <c r="BM69" s="58" t="s">
        <v>1035</v>
      </c>
      <c r="BN69" s="58" t="s">
        <v>1036</v>
      </c>
      <c r="BO69" s="58" t="s">
        <v>1037</v>
      </c>
      <c r="BP69" s="46">
        <v>0.0</v>
      </c>
      <c r="BQ69" s="46">
        <v>6.0</v>
      </c>
      <c r="BR69" s="46">
        <v>13.23</v>
      </c>
      <c r="BS69" s="46">
        <v>9.604</v>
      </c>
      <c r="BT69" s="46">
        <v>6.899</v>
      </c>
      <c r="BU69" s="46">
        <v>5.235</v>
      </c>
      <c r="BV69" s="46">
        <v>3.8</v>
      </c>
      <c r="BW69" s="46">
        <v>2.73</v>
      </c>
      <c r="BX69" s="46">
        <v>0.0</v>
      </c>
      <c r="BY69" s="46">
        <v>0.0</v>
      </c>
      <c r="BZ69" s="46">
        <v>12.007</v>
      </c>
      <c r="CA69" s="46">
        <v>1.0</v>
      </c>
      <c r="CB69" s="46">
        <v>0.0</v>
      </c>
      <c r="CC69" s="46">
        <v>0.0</v>
      </c>
      <c r="CD69" s="46">
        <v>0.0</v>
      </c>
      <c r="CE69" s="46">
        <v>7000.0</v>
      </c>
      <c r="CF69" s="46">
        <v>6000.0</v>
      </c>
      <c r="CG69" s="46">
        <v>0.0</v>
      </c>
      <c r="CH69" s="46">
        <v>0.0</v>
      </c>
      <c r="CI69" s="46">
        <v>30.0</v>
      </c>
      <c r="CJ69" s="2"/>
      <c r="CK69" s="2"/>
    </row>
    <row r="70">
      <c r="A70" s="44">
        <v>69.0</v>
      </c>
      <c r="B70" s="44">
        <v>105.0</v>
      </c>
      <c r="C70" s="44" t="s">
        <v>255</v>
      </c>
      <c r="D70" s="44" t="s">
        <v>256</v>
      </c>
      <c r="E70" s="44" t="s">
        <v>257</v>
      </c>
      <c r="F70" s="44">
        <v>1320.0</v>
      </c>
      <c r="G70" s="44">
        <v>4.565</v>
      </c>
      <c r="H70" s="44">
        <v>1.76</v>
      </c>
      <c r="I70" s="44">
        <v>1.48</v>
      </c>
      <c r="J70" s="44">
        <v>2.68</v>
      </c>
      <c r="K70" s="44">
        <v>1.52</v>
      </c>
      <c r="L70" s="44">
        <v>1.525</v>
      </c>
      <c r="M70" s="44">
        <v>0.15</v>
      </c>
      <c r="N70" s="44">
        <v>0.364</v>
      </c>
      <c r="O70" s="44">
        <v>1.0</v>
      </c>
      <c r="P70" s="44">
        <v>0.5</v>
      </c>
      <c r="Q70" s="44">
        <v>1.05</v>
      </c>
      <c r="R70" s="44">
        <v>0.0</v>
      </c>
      <c r="S70" s="44">
        <v>1.188</v>
      </c>
      <c r="T70" s="44">
        <v>0.215</v>
      </c>
      <c r="U70" s="44">
        <v>0.5</v>
      </c>
      <c r="V70" s="44">
        <v>17.0</v>
      </c>
      <c r="W70" s="44">
        <v>0.215</v>
      </c>
      <c r="X70" s="44">
        <v>0.5</v>
      </c>
      <c r="Y70" s="44">
        <v>17.0</v>
      </c>
      <c r="Z70" s="44">
        <v>-1.0</v>
      </c>
      <c r="AA70" s="44">
        <v>-0.1</v>
      </c>
      <c r="AB70" s="44">
        <v>1.5</v>
      </c>
      <c r="AC70" s="44">
        <v>14.4</v>
      </c>
      <c r="AD70" s="44">
        <v>1.4</v>
      </c>
      <c r="AE70" s="44">
        <v>1.0</v>
      </c>
      <c r="AF70" s="44">
        <v>-3.0</v>
      </c>
      <c r="AG70" s="44">
        <v>-1.25</v>
      </c>
      <c r="AH70" s="44">
        <v>1.4</v>
      </c>
      <c r="AI70" s="44">
        <v>0.0</v>
      </c>
      <c r="AJ70" s="44">
        <v>1998.0</v>
      </c>
      <c r="AK70" s="44">
        <v>0.0</v>
      </c>
      <c r="AL70" s="44">
        <v>7700.0</v>
      </c>
      <c r="AM70" s="44">
        <v>8000.0</v>
      </c>
      <c r="AN70" s="44">
        <v>700.0</v>
      </c>
      <c r="AO70" s="44">
        <v>5200.0</v>
      </c>
      <c r="AP70" s="44">
        <v>7200.0</v>
      </c>
      <c r="AQ70" s="44">
        <v>0.0</v>
      </c>
      <c r="AR70" s="57" t="s">
        <v>2027</v>
      </c>
      <c r="AS70" s="57" t="s">
        <v>2028</v>
      </c>
      <c r="AT70" s="57" t="s">
        <v>2029</v>
      </c>
      <c r="AU70" s="57" t="s">
        <v>2030</v>
      </c>
      <c r="AV70" s="57" t="s">
        <v>2031</v>
      </c>
      <c r="AW70" s="57" t="s">
        <v>2032</v>
      </c>
      <c r="AX70" s="57" t="s">
        <v>2033</v>
      </c>
      <c r="AY70" s="57" t="s">
        <v>2034</v>
      </c>
      <c r="AZ70" s="57" t="s">
        <v>2035</v>
      </c>
      <c r="BA70" s="57" t="s">
        <v>2036</v>
      </c>
      <c r="BB70" s="57" t="s">
        <v>2037</v>
      </c>
      <c r="BC70" s="57" t="s">
        <v>2038</v>
      </c>
      <c r="BD70" s="57" t="s">
        <v>2039</v>
      </c>
      <c r="BE70" s="57" t="s">
        <v>1842</v>
      </c>
      <c r="BF70" s="57" t="s">
        <v>2040</v>
      </c>
      <c r="BG70" s="57" t="s">
        <v>2041</v>
      </c>
      <c r="BH70" s="57" t="s">
        <v>1030</v>
      </c>
      <c r="BI70" s="57" t="s">
        <v>1031</v>
      </c>
      <c r="BJ70" s="57" t="s">
        <v>1032</v>
      </c>
      <c r="BK70" s="57" t="s">
        <v>1033</v>
      </c>
      <c r="BL70" s="57" t="s">
        <v>1034</v>
      </c>
      <c r="BM70" s="57" t="s">
        <v>1035</v>
      </c>
      <c r="BN70" s="57" t="s">
        <v>1036</v>
      </c>
      <c r="BO70" s="57" t="s">
        <v>1037</v>
      </c>
      <c r="BP70" s="44">
        <v>0.0</v>
      </c>
      <c r="BQ70" s="44">
        <v>6.0</v>
      </c>
      <c r="BR70" s="44">
        <v>3.153</v>
      </c>
      <c r="BS70" s="44">
        <v>1.944</v>
      </c>
      <c r="BT70" s="44">
        <v>1.392</v>
      </c>
      <c r="BU70" s="44">
        <v>1.055</v>
      </c>
      <c r="BV70" s="44">
        <v>0.809</v>
      </c>
      <c r="BW70" s="44">
        <v>0.673</v>
      </c>
      <c r="BX70" s="44">
        <v>0.0</v>
      </c>
      <c r="BY70" s="44">
        <v>0.0</v>
      </c>
      <c r="BZ70" s="44">
        <v>3.002</v>
      </c>
      <c r="CA70" s="44">
        <v>4.75</v>
      </c>
      <c r="CB70" s="44">
        <v>0.0</v>
      </c>
      <c r="CC70" s="44">
        <v>0.0</v>
      </c>
      <c r="CD70" s="44">
        <v>0.0</v>
      </c>
      <c r="CE70" s="44">
        <v>10000.0</v>
      </c>
      <c r="CF70" s="44">
        <v>7700.0</v>
      </c>
      <c r="CG70" s="44">
        <v>0.0</v>
      </c>
      <c r="CH70" s="44">
        <v>1.0</v>
      </c>
      <c r="CI70" s="44">
        <v>0.0</v>
      </c>
      <c r="CJ70" s="2"/>
      <c r="CK70" s="2"/>
    </row>
    <row r="71">
      <c r="A71" s="46">
        <v>70.0</v>
      </c>
      <c r="B71" s="46">
        <v>106.0</v>
      </c>
      <c r="C71" s="46" t="s">
        <v>258</v>
      </c>
      <c r="D71" s="46" t="s">
        <v>259</v>
      </c>
      <c r="E71" s="46" t="s">
        <v>260</v>
      </c>
      <c r="F71" s="46">
        <v>1330.0</v>
      </c>
      <c r="G71" s="46">
        <v>4.68</v>
      </c>
      <c r="H71" s="46">
        <v>1.72</v>
      </c>
      <c r="I71" s="46">
        <v>1.405</v>
      </c>
      <c r="J71" s="46">
        <v>2.665</v>
      </c>
      <c r="K71" s="46">
        <v>1.485</v>
      </c>
      <c r="L71" s="46">
        <v>1.485</v>
      </c>
      <c r="M71" s="46">
        <v>0.14</v>
      </c>
      <c r="N71" s="46">
        <v>0.376</v>
      </c>
      <c r="O71" s="46">
        <v>1.0</v>
      </c>
      <c r="P71" s="46">
        <v>0.48</v>
      </c>
      <c r="Q71" s="46">
        <v>1.1</v>
      </c>
      <c r="R71" s="46">
        <v>0.0</v>
      </c>
      <c r="S71" s="46">
        <v>1.13</v>
      </c>
      <c r="T71" s="46">
        <v>0.205</v>
      </c>
      <c r="U71" s="46">
        <v>0.5</v>
      </c>
      <c r="V71" s="46">
        <v>16.0</v>
      </c>
      <c r="W71" s="46">
        <v>0.205</v>
      </c>
      <c r="X71" s="46">
        <v>0.5</v>
      </c>
      <c r="Y71" s="46">
        <v>16.0</v>
      </c>
      <c r="Z71" s="46">
        <v>0.0</v>
      </c>
      <c r="AA71" s="46">
        <v>-0.15</v>
      </c>
      <c r="AB71" s="46">
        <v>3.0</v>
      </c>
      <c r="AC71" s="46">
        <v>7.2</v>
      </c>
      <c r="AD71" s="46">
        <v>1.4</v>
      </c>
      <c r="AE71" s="46">
        <v>2.0</v>
      </c>
      <c r="AF71" s="46">
        <v>-2.0</v>
      </c>
      <c r="AG71" s="46">
        <v>-1.2</v>
      </c>
      <c r="AH71" s="46">
        <v>1.4</v>
      </c>
      <c r="AI71" s="46">
        <v>1.5</v>
      </c>
      <c r="AJ71" s="46">
        <v>2156.0</v>
      </c>
      <c r="AK71" s="46">
        <v>0.0</v>
      </c>
      <c r="AL71" s="46">
        <v>7400.0</v>
      </c>
      <c r="AM71" s="46">
        <v>7600.0</v>
      </c>
      <c r="AN71" s="46">
        <v>700.0</v>
      </c>
      <c r="AO71" s="46">
        <v>6700.0</v>
      </c>
      <c r="AP71" s="46">
        <v>7200.0</v>
      </c>
      <c r="AQ71" s="46">
        <v>0.0</v>
      </c>
      <c r="AR71" s="58" t="s">
        <v>2042</v>
      </c>
      <c r="AS71" s="58" t="s">
        <v>2028</v>
      </c>
      <c r="AT71" s="58" t="s">
        <v>2043</v>
      </c>
      <c r="AU71" s="58" t="s">
        <v>2044</v>
      </c>
      <c r="AV71" s="58" t="s">
        <v>2045</v>
      </c>
      <c r="AW71" s="58" t="s">
        <v>2046</v>
      </c>
      <c r="AX71" s="58" t="s">
        <v>2047</v>
      </c>
      <c r="AY71" s="58" t="s">
        <v>2048</v>
      </c>
      <c r="AZ71" s="58" t="s">
        <v>2049</v>
      </c>
      <c r="BA71" s="58" t="s">
        <v>2050</v>
      </c>
      <c r="BB71" s="58" t="s">
        <v>1893</v>
      </c>
      <c r="BC71" s="58" t="s">
        <v>2051</v>
      </c>
      <c r="BD71" s="58" t="s">
        <v>2052</v>
      </c>
      <c r="BE71" s="58" t="s">
        <v>2053</v>
      </c>
      <c r="BF71" s="58" t="s">
        <v>2054</v>
      </c>
      <c r="BG71" s="58" t="s">
        <v>2055</v>
      </c>
      <c r="BH71" s="58" t="s">
        <v>1030</v>
      </c>
      <c r="BI71" s="58" t="s">
        <v>1031</v>
      </c>
      <c r="BJ71" s="58" t="s">
        <v>1032</v>
      </c>
      <c r="BK71" s="58" t="s">
        <v>1033</v>
      </c>
      <c r="BL71" s="58" t="s">
        <v>1034</v>
      </c>
      <c r="BM71" s="58" t="s">
        <v>1035</v>
      </c>
      <c r="BN71" s="58" t="s">
        <v>1036</v>
      </c>
      <c r="BO71" s="58" t="s">
        <v>1037</v>
      </c>
      <c r="BP71" s="46">
        <v>0.0</v>
      </c>
      <c r="BQ71" s="46">
        <v>5.0</v>
      </c>
      <c r="BR71" s="46">
        <v>3.285</v>
      </c>
      <c r="BS71" s="46">
        <v>2.09</v>
      </c>
      <c r="BT71" s="46">
        <v>1.481</v>
      </c>
      <c r="BU71" s="46">
        <v>1.071</v>
      </c>
      <c r="BV71" s="46">
        <v>0.812</v>
      </c>
      <c r="BW71" s="46">
        <v>0.0</v>
      </c>
      <c r="BX71" s="46">
        <v>0.0</v>
      </c>
      <c r="BY71" s="46">
        <v>0.0</v>
      </c>
      <c r="BZ71" s="46">
        <v>3.0</v>
      </c>
      <c r="CA71" s="46">
        <v>4.266</v>
      </c>
      <c r="CB71" s="46">
        <v>2.0</v>
      </c>
      <c r="CC71" s="46">
        <v>0.0</v>
      </c>
      <c r="CD71" s="46">
        <v>0.0</v>
      </c>
      <c r="CE71" s="46">
        <v>9000.0</v>
      </c>
      <c r="CF71" s="46">
        <v>7400.0</v>
      </c>
      <c r="CG71" s="46">
        <v>0.0</v>
      </c>
      <c r="CH71" s="46">
        <v>1.0</v>
      </c>
      <c r="CI71" s="46">
        <v>0.0</v>
      </c>
      <c r="CJ71" s="2"/>
      <c r="CK71" s="2"/>
    </row>
    <row r="72">
      <c r="A72" s="44">
        <v>71.0</v>
      </c>
      <c r="B72" s="44">
        <v>108.0</v>
      </c>
      <c r="C72" s="44" t="s">
        <v>261</v>
      </c>
      <c r="D72" s="44" t="s">
        <v>262</v>
      </c>
      <c r="E72" s="44" t="s">
        <v>263</v>
      </c>
      <c r="F72" s="44">
        <v>1340.0</v>
      </c>
      <c r="G72" s="44">
        <v>4.67</v>
      </c>
      <c r="H72" s="44">
        <v>1.78</v>
      </c>
      <c r="I72" s="44">
        <v>1.43</v>
      </c>
      <c r="J72" s="44">
        <v>2.675</v>
      </c>
      <c r="K72" s="44">
        <v>1.54</v>
      </c>
      <c r="L72" s="44">
        <v>1.54</v>
      </c>
      <c r="M72" s="44">
        <v>0.135</v>
      </c>
      <c r="N72" s="44">
        <v>0.381</v>
      </c>
      <c r="O72" s="44">
        <v>1.0</v>
      </c>
      <c r="P72" s="44">
        <v>0.5</v>
      </c>
      <c r="Q72" s="44">
        <v>1.05</v>
      </c>
      <c r="R72" s="44">
        <v>0.0</v>
      </c>
      <c r="S72" s="44">
        <v>1.153</v>
      </c>
      <c r="T72" s="44">
        <v>0.205</v>
      </c>
      <c r="U72" s="44">
        <v>0.55</v>
      </c>
      <c r="V72" s="44">
        <v>16.0</v>
      </c>
      <c r="W72" s="44">
        <v>0.205</v>
      </c>
      <c r="X72" s="44">
        <v>0.55</v>
      </c>
      <c r="Y72" s="44">
        <v>16.0</v>
      </c>
      <c r="Z72" s="44">
        <v>-2.0</v>
      </c>
      <c r="AA72" s="44">
        <v>-0.2</v>
      </c>
      <c r="AB72" s="44">
        <v>3.4</v>
      </c>
      <c r="AC72" s="44">
        <v>5.3</v>
      </c>
      <c r="AD72" s="44">
        <v>1.4</v>
      </c>
      <c r="AE72" s="44">
        <v>1.0</v>
      </c>
      <c r="AF72" s="44">
        <v>-2.0</v>
      </c>
      <c r="AG72" s="44">
        <v>-1.15</v>
      </c>
      <c r="AH72" s="44">
        <v>1.4</v>
      </c>
      <c r="AI72" s="44">
        <v>1.0</v>
      </c>
      <c r="AJ72" s="44">
        <v>2260.0</v>
      </c>
      <c r="AK72" s="44">
        <v>0.0</v>
      </c>
      <c r="AL72" s="44">
        <v>7000.0</v>
      </c>
      <c r="AM72" s="44">
        <v>7200.0</v>
      </c>
      <c r="AN72" s="44">
        <v>800.0</v>
      </c>
      <c r="AO72" s="44">
        <v>4000.0</v>
      </c>
      <c r="AP72" s="44">
        <v>6500.0</v>
      </c>
      <c r="AQ72" s="44">
        <v>0.0</v>
      </c>
      <c r="AR72" s="57" t="s">
        <v>2056</v>
      </c>
      <c r="AS72" s="57" t="s">
        <v>2057</v>
      </c>
      <c r="AT72" s="57" t="s">
        <v>2058</v>
      </c>
      <c r="AU72" s="57" t="s">
        <v>2059</v>
      </c>
      <c r="AV72" s="57" t="s">
        <v>2060</v>
      </c>
      <c r="AW72" s="57" t="s">
        <v>2061</v>
      </c>
      <c r="AX72" s="57" t="s">
        <v>2062</v>
      </c>
      <c r="AY72" s="57" t="s">
        <v>2063</v>
      </c>
      <c r="AZ72" s="57" t="s">
        <v>2064</v>
      </c>
      <c r="BA72" s="57" t="s">
        <v>2065</v>
      </c>
      <c r="BB72" s="57" t="s">
        <v>2066</v>
      </c>
      <c r="BC72" s="57" t="s">
        <v>2067</v>
      </c>
      <c r="BD72" s="57" t="s">
        <v>2068</v>
      </c>
      <c r="BE72" s="57" t="s">
        <v>2069</v>
      </c>
      <c r="BF72" s="57" t="s">
        <v>2070</v>
      </c>
      <c r="BG72" s="57" t="s">
        <v>2071</v>
      </c>
      <c r="BH72" s="57" t="s">
        <v>1030</v>
      </c>
      <c r="BI72" s="57" t="s">
        <v>1031</v>
      </c>
      <c r="BJ72" s="57" t="s">
        <v>1032</v>
      </c>
      <c r="BK72" s="57" t="s">
        <v>1033</v>
      </c>
      <c r="BL72" s="57" t="s">
        <v>1034</v>
      </c>
      <c r="BM72" s="57" t="s">
        <v>1035</v>
      </c>
      <c r="BN72" s="57" t="s">
        <v>1036</v>
      </c>
      <c r="BO72" s="57" t="s">
        <v>1037</v>
      </c>
      <c r="BP72" s="44">
        <v>1.0</v>
      </c>
      <c r="BQ72" s="44">
        <v>4.0</v>
      </c>
      <c r="BR72" s="44">
        <v>2.816</v>
      </c>
      <c r="BS72" s="44">
        <v>1.497</v>
      </c>
      <c r="BT72" s="44">
        <v>1.0</v>
      </c>
      <c r="BU72" s="44">
        <v>0.725</v>
      </c>
      <c r="BV72" s="44">
        <v>0.0</v>
      </c>
      <c r="BW72" s="44">
        <v>0.0</v>
      </c>
      <c r="BX72" s="44">
        <v>0.0</v>
      </c>
      <c r="BY72" s="44">
        <v>0.0</v>
      </c>
      <c r="BZ72" s="44">
        <v>2.648</v>
      </c>
      <c r="CA72" s="44">
        <v>4.147</v>
      </c>
      <c r="CB72" s="44">
        <v>0.0</v>
      </c>
      <c r="CC72" s="44">
        <v>0.0</v>
      </c>
      <c r="CD72" s="44">
        <v>0.0</v>
      </c>
      <c r="CE72" s="44">
        <v>8000.0</v>
      </c>
      <c r="CF72" s="44">
        <v>7000.0</v>
      </c>
      <c r="CG72" s="44">
        <v>0.0</v>
      </c>
      <c r="CH72" s="44">
        <v>1.0</v>
      </c>
      <c r="CI72" s="44">
        <v>0.0</v>
      </c>
      <c r="CJ72" s="2"/>
      <c r="CK72" s="2"/>
    </row>
    <row r="73">
      <c r="A73" s="46">
        <v>72.0</v>
      </c>
      <c r="B73" s="46">
        <v>109.0</v>
      </c>
      <c r="C73" s="46" t="s">
        <v>264</v>
      </c>
      <c r="D73" s="46" t="s">
        <v>265</v>
      </c>
      <c r="E73" s="46" t="s">
        <v>266</v>
      </c>
      <c r="F73" s="46">
        <v>1270.0</v>
      </c>
      <c r="G73" s="46">
        <v>4.055</v>
      </c>
      <c r="H73" s="46">
        <v>1.685</v>
      </c>
      <c r="I73" s="46">
        <v>1.74</v>
      </c>
      <c r="J73" s="46">
        <v>2.74</v>
      </c>
      <c r="K73" s="46">
        <v>1.46</v>
      </c>
      <c r="L73" s="46">
        <v>1.44</v>
      </c>
      <c r="M73" s="46">
        <v>0.155</v>
      </c>
      <c r="N73" s="46">
        <v>0.402</v>
      </c>
      <c r="O73" s="46">
        <v>1.0</v>
      </c>
      <c r="P73" s="46">
        <v>0.52</v>
      </c>
      <c r="Q73" s="46">
        <v>0.95</v>
      </c>
      <c r="R73" s="46">
        <v>0.0</v>
      </c>
      <c r="S73" s="46">
        <v>1.297</v>
      </c>
      <c r="T73" s="46">
        <v>0.185</v>
      </c>
      <c r="U73" s="46">
        <v>0.65</v>
      </c>
      <c r="V73" s="46">
        <v>14.0</v>
      </c>
      <c r="W73" s="46">
        <v>0.185</v>
      </c>
      <c r="X73" s="46">
        <v>0.65</v>
      </c>
      <c r="Y73" s="46">
        <v>14.0</v>
      </c>
      <c r="Z73" s="46">
        <v>0.0</v>
      </c>
      <c r="AA73" s="46">
        <v>0.0</v>
      </c>
      <c r="AB73" s="46">
        <v>2.15</v>
      </c>
      <c r="AC73" s="46">
        <v>12.2</v>
      </c>
      <c r="AD73" s="46">
        <v>1.3</v>
      </c>
      <c r="AE73" s="46">
        <v>1.0</v>
      </c>
      <c r="AF73" s="46">
        <v>-2.0</v>
      </c>
      <c r="AG73" s="46">
        <v>-1.0</v>
      </c>
      <c r="AH73" s="46">
        <v>1.3</v>
      </c>
      <c r="AI73" s="46">
        <v>1.0</v>
      </c>
      <c r="AJ73" s="46">
        <v>1496.0</v>
      </c>
      <c r="AK73" s="46">
        <v>0.0</v>
      </c>
      <c r="AL73" s="46">
        <v>6000.0</v>
      </c>
      <c r="AM73" s="46">
        <v>6000.0</v>
      </c>
      <c r="AN73" s="46">
        <v>700.0</v>
      </c>
      <c r="AO73" s="46">
        <v>2700.0</v>
      </c>
      <c r="AP73" s="46">
        <v>5500.0</v>
      </c>
      <c r="AQ73" s="46">
        <v>0.0</v>
      </c>
      <c r="AR73" s="58" t="s">
        <v>2072</v>
      </c>
      <c r="AS73" s="58" t="s">
        <v>2073</v>
      </c>
      <c r="AT73" s="58" t="s">
        <v>2074</v>
      </c>
      <c r="AU73" s="58" t="s">
        <v>2075</v>
      </c>
      <c r="AV73" s="58" t="s">
        <v>2076</v>
      </c>
      <c r="AW73" s="58" t="s">
        <v>2077</v>
      </c>
      <c r="AX73" s="58" t="s">
        <v>2078</v>
      </c>
      <c r="AY73" s="58" t="s">
        <v>2079</v>
      </c>
      <c r="AZ73" s="58" t="s">
        <v>2080</v>
      </c>
      <c r="BA73" s="58" t="s">
        <v>2081</v>
      </c>
      <c r="BB73" s="58" t="s">
        <v>2082</v>
      </c>
      <c r="BC73" s="58" t="s">
        <v>2083</v>
      </c>
      <c r="BD73" s="58" t="s">
        <v>1342</v>
      </c>
      <c r="BE73" s="58" t="s">
        <v>1143</v>
      </c>
      <c r="BF73" s="58" t="s">
        <v>1052</v>
      </c>
      <c r="BG73" s="58" t="s">
        <v>1029</v>
      </c>
      <c r="BH73" s="58" t="s">
        <v>1030</v>
      </c>
      <c r="BI73" s="58" t="s">
        <v>1031</v>
      </c>
      <c r="BJ73" s="58" t="s">
        <v>1032</v>
      </c>
      <c r="BK73" s="58" t="s">
        <v>1033</v>
      </c>
      <c r="BL73" s="58" t="s">
        <v>1034</v>
      </c>
      <c r="BM73" s="58" t="s">
        <v>1035</v>
      </c>
      <c r="BN73" s="58" t="s">
        <v>1036</v>
      </c>
      <c r="BO73" s="58" t="s">
        <v>1037</v>
      </c>
      <c r="BP73" s="46">
        <v>2.0</v>
      </c>
      <c r="BQ73" s="46">
        <v>2.0</v>
      </c>
      <c r="BR73" s="46">
        <v>2.367</v>
      </c>
      <c r="BS73" s="46">
        <v>0.407</v>
      </c>
      <c r="BT73" s="46">
        <v>0.0</v>
      </c>
      <c r="BU73" s="46">
        <v>0.0</v>
      </c>
      <c r="BV73" s="46">
        <v>0.0</v>
      </c>
      <c r="BW73" s="46">
        <v>0.0</v>
      </c>
      <c r="BX73" s="46">
        <v>0.0</v>
      </c>
      <c r="BY73" s="46">
        <v>0.0</v>
      </c>
      <c r="BZ73" s="46">
        <v>1.6</v>
      </c>
      <c r="CA73" s="46">
        <v>6.88</v>
      </c>
      <c r="CB73" s="46">
        <v>0.0</v>
      </c>
      <c r="CC73" s="46">
        <v>0.0</v>
      </c>
      <c r="CD73" s="46">
        <v>0.0</v>
      </c>
      <c r="CE73" s="46">
        <v>8000.0</v>
      </c>
      <c r="CF73" s="46">
        <v>6000.0</v>
      </c>
      <c r="CG73" s="46">
        <v>0.0</v>
      </c>
      <c r="CH73" s="46">
        <v>1.0</v>
      </c>
      <c r="CI73" s="46">
        <v>0.0</v>
      </c>
      <c r="CJ73" s="2"/>
      <c r="CK73" s="2"/>
    </row>
    <row r="74">
      <c r="A74" s="44">
        <v>73.0</v>
      </c>
      <c r="B74" s="44">
        <v>111.0</v>
      </c>
      <c r="C74" s="44" t="s">
        <v>267</v>
      </c>
      <c r="D74" s="44" t="s">
        <v>268</v>
      </c>
      <c r="E74" s="44" t="s">
        <v>269</v>
      </c>
      <c r="F74" s="44">
        <v>1710.0</v>
      </c>
      <c r="G74" s="44">
        <v>4.77</v>
      </c>
      <c r="H74" s="44">
        <v>1.85</v>
      </c>
      <c r="I74" s="44">
        <v>1.295</v>
      </c>
      <c r="J74" s="44">
        <v>2.59</v>
      </c>
      <c r="K74" s="44">
        <v>1.505</v>
      </c>
      <c r="L74" s="44">
        <v>1.495</v>
      </c>
      <c r="M74" s="44">
        <v>0.12</v>
      </c>
      <c r="N74" s="44">
        <v>0.462</v>
      </c>
      <c r="O74" s="44">
        <v>0.0</v>
      </c>
      <c r="P74" s="44">
        <v>0.5</v>
      </c>
      <c r="Q74" s="44">
        <v>1.1</v>
      </c>
      <c r="R74" s="44">
        <v>0.0</v>
      </c>
      <c r="S74" s="44">
        <v>1.089</v>
      </c>
      <c r="T74" s="44">
        <v>0.255</v>
      </c>
      <c r="U74" s="44">
        <v>0.35</v>
      </c>
      <c r="V74" s="44">
        <v>20.0</v>
      </c>
      <c r="W74" s="44">
        <v>0.285</v>
      </c>
      <c r="X74" s="44">
        <v>0.3</v>
      </c>
      <c r="Y74" s="44">
        <v>20.0</v>
      </c>
      <c r="Z74" s="44">
        <v>1.0</v>
      </c>
      <c r="AA74" s="44">
        <v>-0.2</v>
      </c>
      <c r="AB74" s="44">
        <v>6.0</v>
      </c>
      <c r="AC74" s="44">
        <v>9.0</v>
      </c>
      <c r="AD74" s="44">
        <v>1.6</v>
      </c>
      <c r="AE74" s="44">
        <v>3.0</v>
      </c>
      <c r="AF74" s="44">
        <v>-4.0</v>
      </c>
      <c r="AG74" s="44">
        <v>-0.3</v>
      </c>
      <c r="AH74" s="44">
        <v>1.6</v>
      </c>
      <c r="AI74" s="44">
        <v>2.0</v>
      </c>
      <c r="AJ74" s="44">
        <v>3996.0</v>
      </c>
      <c r="AK74" s="44">
        <v>4.0</v>
      </c>
      <c r="AL74" s="44">
        <v>6000.0</v>
      </c>
      <c r="AM74" s="44">
        <v>6200.0</v>
      </c>
      <c r="AN74" s="44">
        <v>700.0</v>
      </c>
      <c r="AO74" s="44">
        <v>3600.0</v>
      </c>
      <c r="AP74" s="44">
        <v>6150.0</v>
      </c>
      <c r="AQ74" s="44">
        <v>0.0</v>
      </c>
      <c r="AR74" s="57" t="s">
        <v>2084</v>
      </c>
      <c r="AS74" s="57" t="s">
        <v>2085</v>
      </c>
      <c r="AT74" s="57" t="s">
        <v>2086</v>
      </c>
      <c r="AU74" s="57" t="s">
        <v>2087</v>
      </c>
      <c r="AV74" s="57" t="s">
        <v>2088</v>
      </c>
      <c r="AW74" s="57" t="s">
        <v>2089</v>
      </c>
      <c r="AX74" s="57" t="s">
        <v>2090</v>
      </c>
      <c r="AY74" s="57" t="s">
        <v>2091</v>
      </c>
      <c r="AZ74" s="57" t="s">
        <v>2092</v>
      </c>
      <c r="BA74" s="57" t="s">
        <v>2093</v>
      </c>
      <c r="BB74" s="57" t="s">
        <v>2094</v>
      </c>
      <c r="BC74" s="57" t="s">
        <v>2095</v>
      </c>
      <c r="BD74" s="57" t="s">
        <v>2096</v>
      </c>
      <c r="BE74" s="57" t="s">
        <v>2097</v>
      </c>
      <c r="BF74" s="57" t="s">
        <v>1052</v>
      </c>
      <c r="BG74" s="57" t="s">
        <v>1029</v>
      </c>
      <c r="BH74" s="57" t="s">
        <v>1030</v>
      </c>
      <c r="BI74" s="57" t="s">
        <v>1031</v>
      </c>
      <c r="BJ74" s="57" t="s">
        <v>1032</v>
      </c>
      <c r="BK74" s="57" t="s">
        <v>1033</v>
      </c>
      <c r="BL74" s="57" t="s">
        <v>1034</v>
      </c>
      <c r="BM74" s="57" t="s">
        <v>1035</v>
      </c>
      <c r="BN74" s="57" t="s">
        <v>1036</v>
      </c>
      <c r="BO74" s="57" t="s">
        <v>1037</v>
      </c>
      <c r="BP74" s="44">
        <v>1.0</v>
      </c>
      <c r="BQ74" s="44">
        <v>5.0</v>
      </c>
      <c r="BR74" s="44">
        <v>3.59</v>
      </c>
      <c r="BS74" s="44">
        <v>2.19</v>
      </c>
      <c r="BT74" s="44">
        <v>1.41</v>
      </c>
      <c r="BU74" s="44">
        <v>1.0</v>
      </c>
      <c r="BV74" s="44">
        <v>0.83</v>
      </c>
      <c r="BW74" s="44">
        <v>0.0</v>
      </c>
      <c r="BX74" s="44">
        <v>0.0</v>
      </c>
      <c r="BY74" s="44">
        <v>0.0</v>
      </c>
      <c r="BZ74" s="44">
        <v>3.16</v>
      </c>
      <c r="CA74" s="44">
        <v>3.06</v>
      </c>
      <c r="CB74" s="44">
        <v>1.0</v>
      </c>
      <c r="CC74" s="44">
        <v>0.0</v>
      </c>
      <c r="CD74" s="44">
        <v>0.0</v>
      </c>
      <c r="CE74" s="44">
        <v>7500.0</v>
      </c>
      <c r="CF74" s="44">
        <v>6000.0</v>
      </c>
      <c r="CG74" s="44">
        <v>0.0</v>
      </c>
      <c r="CH74" s="44">
        <v>0.0</v>
      </c>
      <c r="CI74" s="44">
        <v>0.0</v>
      </c>
      <c r="CJ74" s="2"/>
      <c r="CK74" s="2"/>
    </row>
    <row r="75">
      <c r="A75" s="46">
        <v>74.0</v>
      </c>
      <c r="B75" s="46">
        <v>112.0</v>
      </c>
      <c r="C75" s="46" t="s">
        <v>270</v>
      </c>
      <c r="D75" s="46" t="s">
        <v>271</v>
      </c>
      <c r="E75" s="46" t="s">
        <v>272</v>
      </c>
      <c r="F75" s="46">
        <v>2500.0</v>
      </c>
      <c r="G75" s="46">
        <v>4.95</v>
      </c>
      <c r="H75" s="46">
        <v>1.955</v>
      </c>
      <c r="I75" s="46">
        <v>1.865</v>
      </c>
      <c r="J75" s="46">
        <v>2.88</v>
      </c>
      <c r="K75" s="46">
        <v>1.625</v>
      </c>
      <c r="L75" s="46">
        <v>1.62</v>
      </c>
      <c r="M75" s="46">
        <v>0.2</v>
      </c>
      <c r="N75" s="46">
        <v>0.545</v>
      </c>
      <c r="O75" s="46">
        <v>4.0</v>
      </c>
      <c r="P75" s="46">
        <v>0.6</v>
      </c>
      <c r="Q75" s="46">
        <v>1.0</v>
      </c>
      <c r="R75" s="46">
        <v>0.0</v>
      </c>
      <c r="S75" s="46">
        <v>1.468</v>
      </c>
      <c r="T75" s="46">
        <v>0.255</v>
      </c>
      <c r="U75" s="46">
        <v>0.55</v>
      </c>
      <c r="V75" s="46">
        <v>19.0</v>
      </c>
      <c r="W75" s="46">
        <v>0.255</v>
      </c>
      <c r="X75" s="46">
        <v>0.55</v>
      </c>
      <c r="Y75" s="46">
        <v>19.0</v>
      </c>
      <c r="Z75" s="46">
        <v>0.0</v>
      </c>
      <c r="AA75" s="46">
        <v>1.0</v>
      </c>
      <c r="AB75" s="46">
        <v>5.1</v>
      </c>
      <c r="AC75" s="46">
        <v>13.0</v>
      </c>
      <c r="AD75" s="46">
        <v>1.4</v>
      </c>
      <c r="AE75" s="46">
        <v>2.0</v>
      </c>
      <c r="AF75" s="46">
        <v>-1.0</v>
      </c>
      <c r="AG75" s="46">
        <v>-0.3</v>
      </c>
      <c r="AH75" s="46">
        <v>1.4</v>
      </c>
      <c r="AI75" s="46">
        <v>1.0</v>
      </c>
      <c r="AJ75" s="46">
        <v>4398.0</v>
      </c>
      <c r="AK75" s="46">
        <v>0.0</v>
      </c>
      <c r="AL75" s="46">
        <v>6000.0</v>
      </c>
      <c r="AM75" s="46">
        <v>6000.0</v>
      </c>
      <c r="AN75" s="46">
        <v>700.0</v>
      </c>
      <c r="AO75" s="46">
        <v>3600.0</v>
      </c>
      <c r="AP75" s="46">
        <v>5400.0</v>
      </c>
      <c r="AQ75" s="46">
        <v>0.0</v>
      </c>
      <c r="AR75" s="58" t="s">
        <v>2098</v>
      </c>
      <c r="AS75" s="58" t="s">
        <v>2099</v>
      </c>
      <c r="AT75" s="58" t="s">
        <v>2100</v>
      </c>
      <c r="AU75" s="58" t="s">
        <v>2101</v>
      </c>
      <c r="AV75" s="58" t="s">
        <v>1739</v>
      </c>
      <c r="AW75" s="58" t="s">
        <v>2102</v>
      </c>
      <c r="AX75" s="58" t="s">
        <v>2103</v>
      </c>
      <c r="AY75" s="58" t="s">
        <v>2104</v>
      </c>
      <c r="AZ75" s="58" t="s">
        <v>2105</v>
      </c>
      <c r="BA75" s="58" t="s">
        <v>2106</v>
      </c>
      <c r="BB75" s="58" t="s">
        <v>2107</v>
      </c>
      <c r="BC75" s="58" t="s">
        <v>1674</v>
      </c>
      <c r="BD75" s="58" t="s">
        <v>1342</v>
      </c>
      <c r="BE75" s="58" t="s">
        <v>1143</v>
      </c>
      <c r="BF75" s="58" t="s">
        <v>1052</v>
      </c>
      <c r="BG75" s="58" t="s">
        <v>1029</v>
      </c>
      <c r="BH75" s="58" t="s">
        <v>1030</v>
      </c>
      <c r="BI75" s="58" t="s">
        <v>1031</v>
      </c>
      <c r="BJ75" s="58" t="s">
        <v>1032</v>
      </c>
      <c r="BK75" s="58" t="s">
        <v>1033</v>
      </c>
      <c r="BL75" s="58" t="s">
        <v>1034</v>
      </c>
      <c r="BM75" s="58" t="s">
        <v>1035</v>
      </c>
      <c r="BN75" s="58" t="s">
        <v>1036</v>
      </c>
      <c r="BO75" s="58" t="s">
        <v>1037</v>
      </c>
      <c r="BP75" s="46">
        <v>1.0</v>
      </c>
      <c r="BQ75" s="46">
        <v>5.0</v>
      </c>
      <c r="BR75" s="46">
        <v>3.571</v>
      </c>
      <c r="BS75" s="46">
        <v>2.2</v>
      </c>
      <c r="BT75" s="46">
        <v>1.505</v>
      </c>
      <c r="BU75" s="46">
        <v>1.0</v>
      </c>
      <c r="BV75" s="46">
        <v>0.804</v>
      </c>
      <c r="BW75" s="46">
        <v>0.0</v>
      </c>
      <c r="BX75" s="46">
        <v>0.0</v>
      </c>
      <c r="BY75" s="46">
        <v>0.0</v>
      </c>
      <c r="BZ75" s="46">
        <v>4.095</v>
      </c>
      <c r="CA75" s="46">
        <v>3.73</v>
      </c>
      <c r="CB75" s="46">
        <v>0.0</v>
      </c>
      <c r="CC75" s="46">
        <v>2.0</v>
      </c>
      <c r="CD75" s="46">
        <v>1.0</v>
      </c>
      <c r="CE75" s="46">
        <v>6000.0</v>
      </c>
      <c r="CF75" s="46">
        <v>6000.0</v>
      </c>
      <c r="CG75" s="46">
        <v>0.0</v>
      </c>
      <c r="CH75" s="46">
        <v>1.0</v>
      </c>
      <c r="CI75" s="46">
        <v>0.0</v>
      </c>
      <c r="CJ75" s="2"/>
      <c r="CK75" s="2"/>
    </row>
    <row r="76">
      <c r="A76" s="44">
        <v>75.0</v>
      </c>
      <c r="B76" s="44">
        <v>113.0</v>
      </c>
      <c r="C76" s="44" t="s">
        <v>273</v>
      </c>
      <c r="D76" s="44" t="s">
        <v>274</v>
      </c>
      <c r="E76" s="44" t="s">
        <v>275</v>
      </c>
      <c r="F76" s="44">
        <v>1390.0</v>
      </c>
      <c r="G76" s="44">
        <v>4.67</v>
      </c>
      <c r="H76" s="44">
        <v>1.78</v>
      </c>
      <c r="I76" s="44">
        <v>1.445</v>
      </c>
      <c r="J76" s="44">
        <v>2.675</v>
      </c>
      <c r="K76" s="44">
        <v>1.54</v>
      </c>
      <c r="L76" s="44">
        <v>1.54</v>
      </c>
      <c r="M76" s="44">
        <v>0.135</v>
      </c>
      <c r="N76" s="44">
        <v>0.38</v>
      </c>
      <c r="O76" s="44">
        <v>1.0</v>
      </c>
      <c r="P76" s="44">
        <v>0.5</v>
      </c>
      <c r="Q76" s="44">
        <v>1.05</v>
      </c>
      <c r="R76" s="44">
        <v>0.0</v>
      </c>
      <c r="S76" s="44">
        <v>1.159</v>
      </c>
      <c r="T76" s="44">
        <v>0.215</v>
      </c>
      <c r="U76" s="44">
        <v>0.45</v>
      </c>
      <c r="V76" s="44">
        <v>18.0</v>
      </c>
      <c r="W76" s="44">
        <v>0.215</v>
      </c>
      <c r="X76" s="44">
        <v>0.45</v>
      </c>
      <c r="Y76" s="44">
        <v>18.0</v>
      </c>
      <c r="Z76" s="44">
        <v>-2.0</v>
      </c>
      <c r="AA76" s="44">
        <v>-0.2</v>
      </c>
      <c r="AB76" s="44">
        <v>3.4</v>
      </c>
      <c r="AC76" s="44">
        <v>5.3</v>
      </c>
      <c r="AD76" s="44">
        <v>1.4</v>
      </c>
      <c r="AE76" s="44">
        <v>1.0</v>
      </c>
      <c r="AF76" s="44">
        <v>-2.0</v>
      </c>
      <c r="AG76" s="44">
        <v>-1.15</v>
      </c>
      <c r="AH76" s="44">
        <v>1.4</v>
      </c>
      <c r="AI76" s="44">
        <v>1.0</v>
      </c>
      <c r="AJ76" s="44">
        <v>2260.0</v>
      </c>
      <c r="AK76" s="44">
        <v>0.0</v>
      </c>
      <c r="AL76" s="44">
        <v>7000.0</v>
      </c>
      <c r="AM76" s="44">
        <v>7400.0</v>
      </c>
      <c r="AN76" s="44">
        <v>700.0</v>
      </c>
      <c r="AO76" s="44">
        <v>4000.0</v>
      </c>
      <c r="AP76" s="44">
        <v>6500.0</v>
      </c>
      <c r="AQ76" s="44">
        <v>0.0</v>
      </c>
      <c r="AR76" s="57" t="s">
        <v>2108</v>
      </c>
      <c r="AS76" s="57" t="s">
        <v>2109</v>
      </c>
      <c r="AT76" s="57" t="s">
        <v>2058</v>
      </c>
      <c r="AU76" s="57" t="s">
        <v>2110</v>
      </c>
      <c r="AV76" s="57" t="s">
        <v>2060</v>
      </c>
      <c r="AW76" s="57" t="s">
        <v>2111</v>
      </c>
      <c r="AX76" s="57" t="s">
        <v>2112</v>
      </c>
      <c r="AY76" s="57" t="s">
        <v>2063</v>
      </c>
      <c r="AZ76" s="57" t="s">
        <v>2113</v>
      </c>
      <c r="BA76" s="57" t="s">
        <v>2114</v>
      </c>
      <c r="BB76" s="57" t="s">
        <v>2115</v>
      </c>
      <c r="BC76" s="57" t="s">
        <v>1610</v>
      </c>
      <c r="BD76" s="57" t="s">
        <v>2116</v>
      </c>
      <c r="BE76" s="57" t="s">
        <v>2117</v>
      </c>
      <c r="BF76" s="57" t="s">
        <v>2118</v>
      </c>
      <c r="BG76" s="57" t="s">
        <v>2119</v>
      </c>
      <c r="BH76" s="57" t="s">
        <v>1030</v>
      </c>
      <c r="BI76" s="57" t="s">
        <v>1031</v>
      </c>
      <c r="BJ76" s="57" t="s">
        <v>1032</v>
      </c>
      <c r="BK76" s="57" t="s">
        <v>1033</v>
      </c>
      <c r="BL76" s="57" t="s">
        <v>1034</v>
      </c>
      <c r="BM76" s="57" t="s">
        <v>1035</v>
      </c>
      <c r="BN76" s="57" t="s">
        <v>1036</v>
      </c>
      <c r="BO76" s="57" t="s">
        <v>1037</v>
      </c>
      <c r="BP76" s="44">
        <v>0.0</v>
      </c>
      <c r="BQ76" s="44">
        <v>5.0</v>
      </c>
      <c r="BR76" s="44">
        <v>3.307</v>
      </c>
      <c r="BS76" s="44">
        <v>1.842</v>
      </c>
      <c r="BT76" s="44">
        <v>1.233</v>
      </c>
      <c r="BU76" s="44">
        <v>0.97</v>
      </c>
      <c r="BV76" s="44">
        <v>0.755</v>
      </c>
      <c r="BW76" s="44">
        <v>0.0</v>
      </c>
      <c r="BX76" s="44">
        <v>0.0</v>
      </c>
      <c r="BY76" s="44">
        <v>0.0</v>
      </c>
      <c r="BZ76" s="44">
        <v>3.166</v>
      </c>
      <c r="CA76" s="44">
        <v>4.388</v>
      </c>
      <c r="CB76" s="44">
        <v>0.0</v>
      </c>
      <c r="CC76" s="44">
        <v>0.0</v>
      </c>
      <c r="CD76" s="44">
        <v>0.0</v>
      </c>
      <c r="CE76" s="44">
        <v>8000.0</v>
      </c>
      <c r="CF76" s="44">
        <v>7000.0</v>
      </c>
      <c r="CG76" s="44">
        <v>0.0</v>
      </c>
      <c r="CH76" s="44">
        <v>1.0</v>
      </c>
      <c r="CI76" s="44">
        <v>0.0</v>
      </c>
      <c r="CJ76" s="2"/>
      <c r="CK76" s="2"/>
    </row>
    <row r="77">
      <c r="A77" s="46">
        <v>76.0</v>
      </c>
      <c r="B77" s="46">
        <v>114.0</v>
      </c>
      <c r="C77" s="46" t="s">
        <v>276</v>
      </c>
      <c r="D77" s="46" t="s">
        <v>277</v>
      </c>
      <c r="E77" s="46" t="s">
        <v>278</v>
      </c>
      <c r="F77" s="46">
        <v>1720.0</v>
      </c>
      <c r="G77" s="46">
        <v>4.705</v>
      </c>
      <c r="H77" s="46">
        <v>1.815</v>
      </c>
      <c r="I77" s="46">
        <v>1.47</v>
      </c>
      <c r="J77" s="46">
        <v>2.755</v>
      </c>
      <c r="K77" s="46">
        <v>1.555</v>
      </c>
      <c r="L77" s="46">
        <v>1.555</v>
      </c>
      <c r="M77" s="46">
        <v>0.12</v>
      </c>
      <c r="N77" s="46">
        <v>0.48</v>
      </c>
      <c r="O77" s="46">
        <v>4.0</v>
      </c>
      <c r="P77" s="46">
        <v>0.5</v>
      </c>
      <c r="Q77" s="46">
        <v>1.0</v>
      </c>
      <c r="R77" s="46">
        <v>0.0</v>
      </c>
      <c r="S77" s="46">
        <v>1.157</v>
      </c>
      <c r="T77" s="46">
        <v>0.235</v>
      </c>
      <c r="U77" s="46">
        <v>0.4</v>
      </c>
      <c r="V77" s="46">
        <v>18.0</v>
      </c>
      <c r="W77" s="46">
        <v>0.235</v>
      </c>
      <c r="X77" s="46">
        <v>0.4</v>
      </c>
      <c r="Y77" s="46">
        <v>18.0</v>
      </c>
      <c r="Z77" s="46">
        <v>0.0</v>
      </c>
      <c r="AA77" s="46">
        <v>-0.15</v>
      </c>
      <c r="AB77" s="46">
        <v>3.0</v>
      </c>
      <c r="AC77" s="46">
        <v>14.0</v>
      </c>
      <c r="AD77" s="46">
        <v>1.5</v>
      </c>
      <c r="AE77" s="46">
        <v>2.0</v>
      </c>
      <c r="AF77" s="46">
        <v>0.0</v>
      </c>
      <c r="AG77" s="46">
        <v>-0.3</v>
      </c>
      <c r="AH77" s="46">
        <v>1.5</v>
      </c>
      <c r="AI77" s="46">
        <v>2.0</v>
      </c>
      <c r="AJ77" s="46">
        <v>2521.0</v>
      </c>
      <c r="AK77" s="46">
        <v>6.0</v>
      </c>
      <c r="AL77" s="46">
        <v>7000.0</v>
      </c>
      <c r="AM77" s="46">
        <v>7200.0</v>
      </c>
      <c r="AN77" s="46">
        <v>700.0</v>
      </c>
      <c r="AO77" s="46">
        <v>1850.0</v>
      </c>
      <c r="AP77" s="46">
        <v>6000.0</v>
      </c>
      <c r="AQ77" s="46">
        <v>0.0</v>
      </c>
      <c r="AR77" s="58" t="s">
        <v>2120</v>
      </c>
      <c r="AS77" s="58" t="s">
        <v>2121</v>
      </c>
      <c r="AT77" s="58" t="s">
        <v>2122</v>
      </c>
      <c r="AU77" s="58" t="s">
        <v>1805</v>
      </c>
      <c r="AV77" s="58" t="s">
        <v>1806</v>
      </c>
      <c r="AW77" s="58" t="s">
        <v>1807</v>
      </c>
      <c r="AX77" s="58" t="s">
        <v>1808</v>
      </c>
      <c r="AY77" s="58" t="s">
        <v>1809</v>
      </c>
      <c r="AZ77" s="58" t="s">
        <v>1494</v>
      </c>
      <c r="BA77" s="58" t="s">
        <v>2123</v>
      </c>
      <c r="BB77" s="58" t="s">
        <v>2124</v>
      </c>
      <c r="BC77" s="58" t="s">
        <v>2125</v>
      </c>
      <c r="BD77" s="58" t="s">
        <v>2126</v>
      </c>
      <c r="BE77" s="58" t="s">
        <v>1645</v>
      </c>
      <c r="BF77" s="58" t="s">
        <v>2127</v>
      </c>
      <c r="BG77" s="58" t="s">
        <v>1029</v>
      </c>
      <c r="BH77" s="58" t="s">
        <v>1030</v>
      </c>
      <c r="BI77" s="58" t="s">
        <v>1031</v>
      </c>
      <c r="BJ77" s="58" t="s">
        <v>1032</v>
      </c>
      <c r="BK77" s="58" t="s">
        <v>1033</v>
      </c>
      <c r="BL77" s="58" t="s">
        <v>1034</v>
      </c>
      <c r="BM77" s="58" t="s">
        <v>1035</v>
      </c>
      <c r="BN77" s="58" t="s">
        <v>1036</v>
      </c>
      <c r="BO77" s="58" t="s">
        <v>1037</v>
      </c>
      <c r="BP77" s="46">
        <v>1.0</v>
      </c>
      <c r="BQ77" s="46">
        <v>5.0</v>
      </c>
      <c r="BR77" s="46">
        <v>4.657</v>
      </c>
      <c r="BS77" s="46">
        <v>3.032</v>
      </c>
      <c r="BT77" s="46">
        <v>1.982</v>
      </c>
      <c r="BU77" s="46">
        <v>1.341</v>
      </c>
      <c r="BV77" s="46">
        <v>1.018</v>
      </c>
      <c r="BW77" s="46">
        <v>0.0</v>
      </c>
      <c r="BX77" s="46">
        <v>0.0</v>
      </c>
      <c r="BY77" s="46">
        <v>0.0</v>
      </c>
      <c r="BZ77" s="46">
        <v>5.114</v>
      </c>
      <c r="CA77" s="46">
        <v>2.65</v>
      </c>
      <c r="CB77" s="46">
        <v>0.0</v>
      </c>
      <c r="CC77" s="46">
        <v>0.0</v>
      </c>
      <c r="CD77" s="46">
        <v>1.0</v>
      </c>
      <c r="CE77" s="46">
        <v>8000.0</v>
      </c>
      <c r="CF77" s="46">
        <v>7000.0</v>
      </c>
      <c r="CG77" s="46">
        <v>0.0</v>
      </c>
      <c r="CH77" s="46">
        <v>1.0</v>
      </c>
      <c r="CI77" s="46">
        <v>0.0</v>
      </c>
      <c r="CJ77" s="2"/>
      <c r="CK77" s="2"/>
    </row>
    <row r="78">
      <c r="A78" s="44">
        <v>77.0</v>
      </c>
      <c r="B78" s="44">
        <v>117.0</v>
      </c>
      <c r="C78" s="44" t="s">
        <v>279</v>
      </c>
      <c r="D78" s="44" t="s">
        <v>280</v>
      </c>
      <c r="E78" s="44" t="s">
        <v>281</v>
      </c>
      <c r="F78" s="44">
        <v>1930.0</v>
      </c>
      <c r="G78" s="44">
        <v>4.255</v>
      </c>
      <c r="H78" s="44">
        <v>1.895</v>
      </c>
      <c r="I78" s="44">
        <v>1.845</v>
      </c>
      <c r="J78" s="44">
        <v>2.545</v>
      </c>
      <c r="K78" s="44">
        <v>1.56</v>
      </c>
      <c r="L78" s="44">
        <v>1.56</v>
      </c>
      <c r="M78" s="44">
        <v>0.235</v>
      </c>
      <c r="N78" s="44">
        <v>0.477</v>
      </c>
      <c r="O78" s="44">
        <v>4.0</v>
      </c>
      <c r="P78" s="44">
        <v>0.6</v>
      </c>
      <c r="Q78" s="44">
        <v>1.0</v>
      </c>
      <c r="R78" s="44">
        <v>0.0</v>
      </c>
      <c r="S78" s="44">
        <v>1.453</v>
      </c>
      <c r="T78" s="44">
        <v>0.265</v>
      </c>
      <c r="U78" s="44">
        <v>0.7</v>
      </c>
      <c r="V78" s="44">
        <v>16.0</v>
      </c>
      <c r="W78" s="44">
        <v>0.265</v>
      </c>
      <c r="X78" s="44">
        <v>0.7</v>
      </c>
      <c r="Y78" s="44">
        <v>16.0</v>
      </c>
      <c r="Z78" s="44">
        <v>-2.0</v>
      </c>
      <c r="AA78" s="44">
        <v>0.0</v>
      </c>
      <c r="AB78" s="44">
        <v>3.5</v>
      </c>
      <c r="AC78" s="44">
        <v>11.3</v>
      </c>
      <c r="AD78" s="44">
        <v>1.4</v>
      </c>
      <c r="AE78" s="44">
        <v>2.0</v>
      </c>
      <c r="AF78" s="44">
        <v>-3.0</v>
      </c>
      <c r="AG78" s="44">
        <v>0.0</v>
      </c>
      <c r="AH78" s="44">
        <v>1.4</v>
      </c>
      <c r="AI78" s="44">
        <v>1.0</v>
      </c>
      <c r="AJ78" s="44">
        <v>3496.0</v>
      </c>
      <c r="AK78" s="44">
        <v>0.0</v>
      </c>
      <c r="AL78" s="44">
        <v>6000.0</v>
      </c>
      <c r="AM78" s="44">
        <v>6000.0</v>
      </c>
      <c r="AN78" s="44">
        <v>700.0</v>
      </c>
      <c r="AO78" s="44">
        <v>3750.0</v>
      </c>
      <c r="AP78" s="44">
        <v>5500.0</v>
      </c>
      <c r="AQ78" s="44">
        <v>0.0</v>
      </c>
      <c r="AR78" s="57" t="s">
        <v>2128</v>
      </c>
      <c r="AS78" s="57" t="s">
        <v>2129</v>
      </c>
      <c r="AT78" s="57" t="s">
        <v>2130</v>
      </c>
      <c r="AU78" s="57" t="s">
        <v>2131</v>
      </c>
      <c r="AV78" s="57" t="s">
        <v>2132</v>
      </c>
      <c r="AW78" s="57" t="s">
        <v>2133</v>
      </c>
      <c r="AX78" s="57" t="s">
        <v>2134</v>
      </c>
      <c r="AY78" s="57" t="s">
        <v>2135</v>
      </c>
      <c r="AZ78" s="57" t="s">
        <v>2136</v>
      </c>
      <c r="BA78" s="57" t="s">
        <v>2137</v>
      </c>
      <c r="BB78" s="57" t="s">
        <v>2138</v>
      </c>
      <c r="BC78" s="57" t="s">
        <v>2139</v>
      </c>
      <c r="BD78" s="57" t="s">
        <v>1342</v>
      </c>
      <c r="BE78" s="57" t="s">
        <v>1143</v>
      </c>
      <c r="BF78" s="57" t="s">
        <v>1052</v>
      </c>
      <c r="BG78" s="57" t="s">
        <v>1029</v>
      </c>
      <c r="BH78" s="57" t="s">
        <v>1030</v>
      </c>
      <c r="BI78" s="57" t="s">
        <v>1031</v>
      </c>
      <c r="BJ78" s="57" t="s">
        <v>1032</v>
      </c>
      <c r="BK78" s="57" t="s">
        <v>1033</v>
      </c>
      <c r="BL78" s="57" t="s">
        <v>1034</v>
      </c>
      <c r="BM78" s="57" t="s">
        <v>1035</v>
      </c>
      <c r="BN78" s="57" t="s">
        <v>1036</v>
      </c>
      <c r="BO78" s="57" t="s">
        <v>1037</v>
      </c>
      <c r="BP78" s="44">
        <v>1.0</v>
      </c>
      <c r="BQ78" s="44">
        <v>5.0</v>
      </c>
      <c r="BR78" s="44">
        <v>3.789</v>
      </c>
      <c r="BS78" s="44">
        <v>2.057</v>
      </c>
      <c r="BT78" s="44">
        <v>1.421</v>
      </c>
      <c r="BU78" s="44">
        <v>1.0</v>
      </c>
      <c r="BV78" s="44">
        <v>0.731</v>
      </c>
      <c r="BW78" s="44">
        <v>0.0</v>
      </c>
      <c r="BX78" s="44">
        <v>0.0</v>
      </c>
      <c r="BY78" s="44">
        <v>0.0</v>
      </c>
      <c r="BZ78" s="44">
        <v>3.865</v>
      </c>
      <c r="CA78" s="44">
        <v>4.1</v>
      </c>
      <c r="CB78" s="44">
        <v>0.0</v>
      </c>
      <c r="CC78" s="44">
        <v>0.0</v>
      </c>
      <c r="CD78" s="44">
        <v>1.0</v>
      </c>
      <c r="CE78" s="44">
        <v>8000.0</v>
      </c>
      <c r="CF78" s="44">
        <v>6000.0</v>
      </c>
      <c r="CG78" s="44">
        <v>0.0</v>
      </c>
      <c r="CH78" s="44">
        <v>1.0</v>
      </c>
      <c r="CI78" s="44">
        <v>31.0</v>
      </c>
      <c r="CJ78" s="2"/>
      <c r="CK78" s="2"/>
    </row>
    <row r="79">
      <c r="A79" s="46">
        <v>78.0</v>
      </c>
      <c r="B79" s="46">
        <v>119.0</v>
      </c>
      <c r="C79" s="46" t="s">
        <v>282</v>
      </c>
      <c r="D79" s="46" t="s">
        <v>283</v>
      </c>
      <c r="E79" s="46" t="s">
        <v>284</v>
      </c>
      <c r="F79" s="46">
        <v>980.0</v>
      </c>
      <c r="G79" s="46">
        <v>3.895</v>
      </c>
      <c r="H79" s="46">
        <v>1.695</v>
      </c>
      <c r="I79" s="46">
        <v>1.235</v>
      </c>
      <c r="J79" s="46">
        <v>2.45</v>
      </c>
      <c r="K79" s="46">
        <v>1.475</v>
      </c>
      <c r="L79" s="46">
        <v>1.46</v>
      </c>
      <c r="M79" s="46">
        <v>0.135</v>
      </c>
      <c r="N79" s="46">
        <v>0.592</v>
      </c>
      <c r="O79" s="46">
        <v>2.0</v>
      </c>
      <c r="P79" s="46">
        <v>0.49</v>
      </c>
      <c r="Q79" s="46">
        <v>1.0</v>
      </c>
      <c r="R79" s="46">
        <v>0.0</v>
      </c>
      <c r="S79" s="46">
        <v>1.024</v>
      </c>
      <c r="T79" s="46">
        <v>0.185</v>
      </c>
      <c r="U79" s="46">
        <v>0.55</v>
      </c>
      <c r="V79" s="46">
        <v>15.0</v>
      </c>
      <c r="W79" s="46">
        <v>0.215</v>
      </c>
      <c r="X79" s="46">
        <v>0.45</v>
      </c>
      <c r="Y79" s="46">
        <v>16.0</v>
      </c>
      <c r="Z79" s="46">
        <v>-1.0</v>
      </c>
      <c r="AA79" s="46">
        <v>-0.5</v>
      </c>
      <c r="AB79" s="46">
        <v>3.05</v>
      </c>
      <c r="AC79" s="46">
        <v>14.55</v>
      </c>
      <c r="AD79" s="46">
        <v>1.4</v>
      </c>
      <c r="AE79" s="46">
        <v>1.0</v>
      </c>
      <c r="AF79" s="46">
        <v>-3.0</v>
      </c>
      <c r="AG79" s="46">
        <v>-1.15</v>
      </c>
      <c r="AH79" s="46">
        <v>1.4</v>
      </c>
      <c r="AI79" s="46">
        <v>1.0</v>
      </c>
      <c r="AJ79" s="46">
        <v>1794.0</v>
      </c>
      <c r="AK79" s="46">
        <v>0.0</v>
      </c>
      <c r="AL79" s="46">
        <v>7000.0</v>
      </c>
      <c r="AM79" s="46">
        <v>7000.0</v>
      </c>
      <c r="AN79" s="46">
        <v>700.0</v>
      </c>
      <c r="AO79" s="46">
        <v>4400.0</v>
      </c>
      <c r="AP79" s="46">
        <v>6400.0</v>
      </c>
      <c r="AQ79" s="46">
        <v>0.0</v>
      </c>
      <c r="AR79" s="58" t="s">
        <v>2140</v>
      </c>
      <c r="AS79" s="58" t="s">
        <v>2141</v>
      </c>
      <c r="AT79" s="58" t="s">
        <v>2142</v>
      </c>
      <c r="AU79" s="58" t="s">
        <v>2143</v>
      </c>
      <c r="AV79" s="58" t="s">
        <v>2144</v>
      </c>
      <c r="AW79" s="58" t="s">
        <v>1058</v>
      </c>
      <c r="AX79" s="58" t="s">
        <v>2145</v>
      </c>
      <c r="AY79" s="58" t="s">
        <v>2146</v>
      </c>
      <c r="AZ79" s="58" t="s">
        <v>2147</v>
      </c>
      <c r="BA79" s="58" t="s">
        <v>2148</v>
      </c>
      <c r="BB79" s="58" t="s">
        <v>2149</v>
      </c>
      <c r="BC79" s="58" t="s">
        <v>2150</v>
      </c>
      <c r="BD79" s="58" t="s">
        <v>2151</v>
      </c>
      <c r="BE79" s="58" t="s">
        <v>2152</v>
      </c>
      <c r="BF79" s="58" t="s">
        <v>1052</v>
      </c>
      <c r="BG79" s="58" t="s">
        <v>1029</v>
      </c>
      <c r="BH79" s="58" t="s">
        <v>1030</v>
      </c>
      <c r="BI79" s="58" t="s">
        <v>1031</v>
      </c>
      <c r="BJ79" s="58" t="s">
        <v>1032</v>
      </c>
      <c r="BK79" s="58" t="s">
        <v>1033</v>
      </c>
      <c r="BL79" s="58" t="s">
        <v>1034</v>
      </c>
      <c r="BM79" s="58" t="s">
        <v>1035</v>
      </c>
      <c r="BN79" s="58" t="s">
        <v>1036</v>
      </c>
      <c r="BO79" s="58" t="s">
        <v>1037</v>
      </c>
      <c r="BP79" s="46">
        <v>0.0</v>
      </c>
      <c r="BQ79" s="46">
        <v>6.0</v>
      </c>
      <c r="BR79" s="46">
        <v>3.166</v>
      </c>
      <c r="BS79" s="46">
        <v>1.904</v>
      </c>
      <c r="BT79" s="46">
        <v>1.392</v>
      </c>
      <c r="BU79" s="46">
        <v>1.031</v>
      </c>
      <c r="BV79" s="46">
        <v>0.815</v>
      </c>
      <c r="BW79" s="46">
        <v>0.725</v>
      </c>
      <c r="BX79" s="46">
        <v>0.0</v>
      </c>
      <c r="BY79" s="46">
        <v>0.0</v>
      </c>
      <c r="BZ79" s="46">
        <v>3.25</v>
      </c>
      <c r="CA79" s="46">
        <v>4.312</v>
      </c>
      <c r="CB79" s="46">
        <v>2.0</v>
      </c>
      <c r="CC79" s="46">
        <v>0.0</v>
      </c>
      <c r="CD79" s="46">
        <v>0.0</v>
      </c>
      <c r="CE79" s="46">
        <v>8000.0</v>
      </c>
      <c r="CF79" s="46">
        <v>7000.0</v>
      </c>
      <c r="CG79" s="46">
        <v>0.0</v>
      </c>
      <c r="CH79" s="46">
        <v>0.0</v>
      </c>
      <c r="CI79" s="46">
        <v>0.0</v>
      </c>
      <c r="CJ79" s="2"/>
      <c r="CK79" s="2"/>
    </row>
    <row r="80">
      <c r="A80" s="44">
        <v>79.0</v>
      </c>
      <c r="B80" s="44">
        <v>120.0</v>
      </c>
      <c r="C80" s="44" t="s">
        <v>285</v>
      </c>
      <c r="D80" s="44" t="s">
        <v>286</v>
      </c>
      <c r="E80" s="44" t="s">
        <v>287</v>
      </c>
      <c r="F80" s="44">
        <v>1060.0</v>
      </c>
      <c r="G80" s="44">
        <v>3.88</v>
      </c>
      <c r="H80" s="44">
        <v>1.69</v>
      </c>
      <c r="I80" s="44">
        <v>1.7</v>
      </c>
      <c r="J80" s="44">
        <v>2.5</v>
      </c>
      <c r="K80" s="44">
        <v>1.44</v>
      </c>
      <c r="L80" s="44">
        <v>1.42</v>
      </c>
      <c r="M80" s="44">
        <v>0.12</v>
      </c>
      <c r="N80" s="44">
        <v>0.396</v>
      </c>
      <c r="O80" s="44">
        <v>1.0</v>
      </c>
      <c r="P80" s="44">
        <v>0.5</v>
      </c>
      <c r="Q80" s="44">
        <v>0.95</v>
      </c>
      <c r="R80" s="44">
        <v>0.0</v>
      </c>
      <c r="S80" s="44">
        <v>1.281</v>
      </c>
      <c r="T80" s="44">
        <v>0.175</v>
      </c>
      <c r="U80" s="44">
        <v>0.65</v>
      </c>
      <c r="V80" s="44">
        <v>14.0</v>
      </c>
      <c r="W80" s="44">
        <v>0.175</v>
      </c>
      <c r="X80" s="44">
        <v>0.65</v>
      </c>
      <c r="Y80" s="44">
        <v>14.0</v>
      </c>
      <c r="Z80" s="44">
        <v>0.0</v>
      </c>
      <c r="AA80" s="44">
        <v>-0.35</v>
      </c>
      <c r="AB80" s="44">
        <v>2.0</v>
      </c>
      <c r="AC80" s="44">
        <v>10.05</v>
      </c>
      <c r="AD80" s="44">
        <v>1.5</v>
      </c>
      <c r="AE80" s="44">
        <v>1.0</v>
      </c>
      <c r="AF80" s="44">
        <v>-3.0</v>
      </c>
      <c r="AG80" s="44">
        <v>-1.0</v>
      </c>
      <c r="AH80" s="44">
        <v>1.5</v>
      </c>
      <c r="AI80" s="44">
        <v>0.5</v>
      </c>
      <c r="AJ80" s="44">
        <v>1496.0</v>
      </c>
      <c r="AK80" s="44">
        <v>0.0</v>
      </c>
      <c r="AL80" s="44">
        <v>6400.0</v>
      </c>
      <c r="AM80" s="44">
        <v>6400.0</v>
      </c>
      <c r="AN80" s="44">
        <v>700.0</v>
      </c>
      <c r="AO80" s="44">
        <v>4200.0</v>
      </c>
      <c r="AP80" s="44">
        <v>6000.0</v>
      </c>
      <c r="AQ80" s="44">
        <v>0.0</v>
      </c>
      <c r="AR80" s="57" t="s">
        <v>2153</v>
      </c>
      <c r="AS80" s="57" t="s">
        <v>2154</v>
      </c>
      <c r="AT80" s="57" t="s">
        <v>2155</v>
      </c>
      <c r="AU80" s="57" t="s">
        <v>2156</v>
      </c>
      <c r="AV80" s="57" t="s">
        <v>2157</v>
      </c>
      <c r="AW80" s="57" t="s">
        <v>2158</v>
      </c>
      <c r="AX80" s="57" t="s">
        <v>2159</v>
      </c>
      <c r="AY80" s="57" t="s">
        <v>2160</v>
      </c>
      <c r="AZ80" s="57" t="s">
        <v>2161</v>
      </c>
      <c r="BA80" s="57" t="s">
        <v>2162</v>
      </c>
      <c r="BB80" s="57" t="s">
        <v>2163</v>
      </c>
      <c r="BC80" s="57" t="s">
        <v>2164</v>
      </c>
      <c r="BD80" s="57" t="s">
        <v>2165</v>
      </c>
      <c r="BE80" s="57" t="s">
        <v>2166</v>
      </c>
      <c r="BF80" s="57" t="s">
        <v>1052</v>
      </c>
      <c r="BG80" s="57" t="s">
        <v>1029</v>
      </c>
      <c r="BH80" s="57" t="s">
        <v>1030</v>
      </c>
      <c r="BI80" s="57" t="s">
        <v>1031</v>
      </c>
      <c r="BJ80" s="57" t="s">
        <v>1032</v>
      </c>
      <c r="BK80" s="57" t="s">
        <v>1033</v>
      </c>
      <c r="BL80" s="57" t="s">
        <v>1034</v>
      </c>
      <c r="BM80" s="57" t="s">
        <v>1035</v>
      </c>
      <c r="BN80" s="57" t="s">
        <v>1036</v>
      </c>
      <c r="BO80" s="57" t="s">
        <v>1037</v>
      </c>
      <c r="BP80" s="44">
        <v>1.0</v>
      </c>
      <c r="BQ80" s="44">
        <v>4.0</v>
      </c>
      <c r="BR80" s="44">
        <v>2.847</v>
      </c>
      <c r="BS80" s="44">
        <v>1.552</v>
      </c>
      <c r="BT80" s="44">
        <v>1.0</v>
      </c>
      <c r="BU80" s="44">
        <v>0.7</v>
      </c>
      <c r="BV80" s="44">
        <v>0.0</v>
      </c>
      <c r="BW80" s="44">
        <v>0.0</v>
      </c>
      <c r="BX80" s="44">
        <v>0.0</v>
      </c>
      <c r="BY80" s="44">
        <v>0.0</v>
      </c>
      <c r="BZ80" s="44">
        <v>2.343</v>
      </c>
      <c r="CA80" s="44">
        <v>3.924</v>
      </c>
      <c r="CB80" s="44">
        <v>0.0</v>
      </c>
      <c r="CC80" s="44">
        <v>0.0</v>
      </c>
      <c r="CD80" s="44">
        <v>0.0</v>
      </c>
      <c r="CE80" s="44">
        <v>8000.0</v>
      </c>
      <c r="CF80" s="44">
        <v>6400.0</v>
      </c>
      <c r="CG80" s="44">
        <v>0.0</v>
      </c>
      <c r="CH80" s="44">
        <v>1.0</v>
      </c>
      <c r="CI80" s="44">
        <v>0.0</v>
      </c>
      <c r="CJ80" s="2"/>
      <c r="CK80" s="2"/>
    </row>
    <row r="81">
      <c r="A81" s="46">
        <v>80.0</v>
      </c>
      <c r="B81" s="46">
        <v>121.0</v>
      </c>
      <c r="C81" s="46" t="s">
        <v>288</v>
      </c>
      <c r="D81" s="46" t="s">
        <v>289</v>
      </c>
      <c r="E81" s="46" t="s">
        <v>290</v>
      </c>
      <c r="F81" s="46">
        <v>1560.0</v>
      </c>
      <c r="G81" s="46">
        <v>4.83</v>
      </c>
      <c r="H81" s="46">
        <v>1.795</v>
      </c>
      <c r="I81" s="46">
        <v>1.475</v>
      </c>
      <c r="J81" s="46">
        <v>2.705</v>
      </c>
      <c r="K81" s="46">
        <v>1.52</v>
      </c>
      <c r="L81" s="46">
        <v>1.52</v>
      </c>
      <c r="M81" s="46">
        <v>0.1</v>
      </c>
      <c r="N81" s="46">
        <v>0.378</v>
      </c>
      <c r="O81" s="46">
        <v>1.0</v>
      </c>
      <c r="P81" s="46">
        <v>0.5</v>
      </c>
      <c r="Q81" s="46">
        <v>1.05</v>
      </c>
      <c r="R81" s="46">
        <v>0.0</v>
      </c>
      <c r="S81" s="46">
        <v>1.174</v>
      </c>
      <c r="T81" s="46">
        <v>0.225</v>
      </c>
      <c r="U81" s="46">
        <v>0.45</v>
      </c>
      <c r="V81" s="46">
        <v>17.0</v>
      </c>
      <c r="W81" s="46">
        <v>0.225</v>
      </c>
      <c r="X81" s="46">
        <v>0.45</v>
      </c>
      <c r="Y81" s="46">
        <v>17.0</v>
      </c>
      <c r="Z81" s="46">
        <v>0.0</v>
      </c>
      <c r="AA81" s="46">
        <v>0.0</v>
      </c>
      <c r="AB81" s="46">
        <v>6.0</v>
      </c>
      <c r="AC81" s="46">
        <v>14.0</v>
      </c>
      <c r="AD81" s="46">
        <v>1.8</v>
      </c>
      <c r="AE81" s="46">
        <v>1.5</v>
      </c>
      <c r="AF81" s="46">
        <v>-4.0</v>
      </c>
      <c r="AG81" s="46">
        <v>-0.3</v>
      </c>
      <c r="AH81" s="46">
        <v>1.8</v>
      </c>
      <c r="AI81" s="46">
        <v>1.0</v>
      </c>
      <c r="AJ81" s="46">
        <v>2290.0</v>
      </c>
      <c r="AK81" s="46">
        <v>6.0</v>
      </c>
      <c r="AL81" s="46">
        <v>6000.0</v>
      </c>
      <c r="AM81" s="46">
        <v>6200.0</v>
      </c>
      <c r="AN81" s="46">
        <v>800.0</v>
      </c>
      <c r="AO81" s="46">
        <v>1900.0</v>
      </c>
      <c r="AP81" s="46">
        <v>5300.0</v>
      </c>
      <c r="AQ81" s="46">
        <v>0.0</v>
      </c>
      <c r="AR81" s="58" t="s">
        <v>2167</v>
      </c>
      <c r="AS81" s="58" t="s">
        <v>2168</v>
      </c>
      <c r="AT81" s="58" t="s">
        <v>2169</v>
      </c>
      <c r="AU81" s="58" t="s">
        <v>1805</v>
      </c>
      <c r="AV81" s="58" t="s">
        <v>1806</v>
      </c>
      <c r="AW81" s="58" t="s">
        <v>1807</v>
      </c>
      <c r="AX81" s="58" t="s">
        <v>1808</v>
      </c>
      <c r="AY81" s="58" t="s">
        <v>1809</v>
      </c>
      <c r="AZ81" s="58" t="s">
        <v>1494</v>
      </c>
      <c r="BA81" s="58" t="s">
        <v>2170</v>
      </c>
      <c r="BB81" s="58" t="s">
        <v>1811</v>
      </c>
      <c r="BC81" s="58" t="s">
        <v>2171</v>
      </c>
      <c r="BD81" s="58" t="s">
        <v>2172</v>
      </c>
      <c r="BE81" s="58" t="s">
        <v>2173</v>
      </c>
      <c r="BF81" s="58" t="s">
        <v>1052</v>
      </c>
      <c r="BG81" s="58" t="s">
        <v>1029</v>
      </c>
      <c r="BH81" s="58" t="s">
        <v>1030</v>
      </c>
      <c r="BI81" s="58" t="s">
        <v>1031</v>
      </c>
      <c r="BJ81" s="58" t="s">
        <v>1032</v>
      </c>
      <c r="BK81" s="58" t="s">
        <v>1033</v>
      </c>
      <c r="BL81" s="58" t="s">
        <v>1034</v>
      </c>
      <c r="BM81" s="58" t="s">
        <v>1035</v>
      </c>
      <c r="BN81" s="58" t="s">
        <v>1036</v>
      </c>
      <c r="BO81" s="58" t="s">
        <v>1037</v>
      </c>
      <c r="BP81" s="46">
        <v>0.0</v>
      </c>
      <c r="BQ81" s="46">
        <v>5.0</v>
      </c>
      <c r="BR81" s="46">
        <v>3.384</v>
      </c>
      <c r="BS81" s="46">
        <v>1.76</v>
      </c>
      <c r="BT81" s="46">
        <v>1.179</v>
      </c>
      <c r="BU81" s="46">
        <v>0.893</v>
      </c>
      <c r="BV81" s="46">
        <v>0.66</v>
      </c>
      <c r="BW81" s="46">
        <v>0.0</v>
      </c>
      <c r="BX81" s="46">
        <v>0.0</v>
      </c>
      <c r="BY81" s="46">
        <v>0.0</v>
      </c>
      <c r="BZ81" s="46">
        <v>3.166</v>
      </c>
      <c r="CA81" s="46">
        <v>4.047</v>
      </c>
      <c r="CB81" s="46">
        <v>0.0</v>
      </c>
      <c r="CC81" s="46">
        <v>0.0</v>
      </c>
      <c r="CD81" s="46">
        <v>0.0</v>
      </c>
      <c r="CE81" s="46">
        <v>7000.0</v>
      </c>
      <c r="CF81" s="46">
        <v>6000.0</v>
      </c>
      <c r="CG81" s="46">
        <v>0.0</v>
      </c>
      <c r="CH81" s="46">
        <v>1.0</v>
      </c>
      <c r="CI81" s="46">
        <v>0.0</v>
      </c>
      <c r="CJ81" s="2"/>
      <c r="CK81" s="2"/>
    </row>
    <row r="82">
      <c r="A82" s="44">
        <v>81.0</v>
      </c>
      <c r="B82" s="44">
        <v>122.0</v>
      </c>
      <c r="C82" s="44" t="s">
        <v>291</v>
      </c>
      <c r="D82" s="44" t="s">
        <v>292</v>
      </c>
      <c r="E82" s="44" t="s">
        <v>293</v>
      </c>
      <c r="F82" s="44">
        <v>1810.0</v>
      </c>
      <c r="G82" s="44">
        <v>4.995</v>
      </c>
      <c r="H82" s="44">
        <v>1.905</v>
      </c>
      <c r="I82" s="44">
        <v>1.42</v>
      </c>
      <c r="J82" s="44">
        <v>2.85</v>
      </c>
      <c r="K82" s="44">
        <v>1.595</v>
      </c>
      <c r="L82" s="44">
        <v>1.58</v>
      </c>
      <c r="M82" s="44">
        <v>0.135</v>
      </c>
      <c r="N82" s="44">
        <v>0.381</v>
      </c>
      <c r="O82" s="44">
        <v>1.0</v>
      </c>
      <c r="P82" s="44">
        <v>0.52</v>
      </c>
      <c r="Q82" s="44">
        <v>1.0</v>
      </c>
      <c r="R82" s="44">
        <v>0.0</v>
      </c>
      <c r="S82" s="44">
        <v>1.18</v>
      </c>
      <c r="T82" s="44">
        <v>0.235</v>
      </c>
      <c r="U82" s="44">
        <v>0.55</v>
      </c>
      <c r="V82" s="44">
        <v>17.0</v>
      </c>
      <c r="W82" s="44">
        <v>0.235</v>
      </c>
      <c r="X82" s="44">
        <v>0.55</v>
      </c>
      <c r="Y82" s="44">
        <v>17.0</v>
      </c>
      <c r="Z82" s="44">
        <v>0.0</v>
      </c>
      <c r="AA82" s="44">
        <v>0.0</v>
      </c>
      <c r="AB82" s="44">
        <v>3.0</v>
      </c>
      <c r="AC82" s="44">
        <v>10.0</v>
      </c>
      <c r="AD82" s="44">
        <v>1.4</v>
      </c>
      <c r="AE82" s="44">
        <v>2.0</v>
      </c>
      <c r="AF82" s="44">
        <v>-2.0</v>
      </c>
      <c r="AG82" s="44">
        <v>0.0</v>
      </c>
      <c r="AH82" s="44">
        <v>1.4</v>
      </c>
      <c r="AI82" s="44">
        <v>1.5</v>
      </c>
      <c r="AJ82" s="44">
        <v>4564.0</v>
      </c>
      <c r="AK82" s="44">
        <v>0.0</v>
      </c>
      <c r="AL82" s="44">
        <v>6250.0</v>
      </c>
      <c r="AM82" s="44">
        <v>6400.0</v>
      </c>
      <c r="AN82" s="44">
        <v>800.0</v>
      </c>
      <c r="AO82" s="44">
        <v>4400.0</v>
      </c>
      <c r="AP82" s="44">
        <v>6000.0</v>
      </c>
      <c r="AQ82" s="44">
        <v>0.0</v>
      </c>
      <c r="AR82" s="57" t="s">
        <v>2174</v>
      </c>
      <c r="AS82" s="57" t="s">
        <v>2175</v>
      </c>
      <c r="AT82" s="57" t="s">
        <v>2176</v>
      </c>
      <c r="AU82" s="57" t="s">
        <v>2177</v>
      </c>
      <c r="AV82" s="57" t="s">
        <v>2178</v>
      </c>
      <c r="AW82" s="57" t="s">
        <v>2179</v>
      </c>
      <c r="AX82" s="57" t="s">
        <v>2180</v>
      </c>
      <c r="AY82" s="57" t="s">
        <v>2181</v>
      </c>
      <c r="AZ82" s="57" t="s">
        <v>2182</v>
      </c>
      <c r="BA82" s="57" t="s">
        <v>1125</v>
      </c>
      <c r="BB82" s="57" t="s">
        <v>2183</v>
      </c>
      <c r="BC82" s="57" t="s">
        <v>2184</v>
      </c>
      <c r="BD82" s="57" t="s">
        <v>2185</v>
      </c>
      <c r="BE82" s="57" t="s">
        <v>2186</v>
      </c>
      <c r="BF82" s="57" t="s">
        <v>1052</v>
      </c>
      <c r="BG82" s="57" t="s">
        <v>1029</v>
      </c>
      <c r="BH82" s="57" t="s">
        <v>1030</v>
      </c>
      <c r="BI82" s="57" t="s">
        <v>1031</v>
      </c>
      <c r="BJ82" s="57" t="s">
        <v>1032</v>
      </c>
      <c r="BK82" s="57" t="s">
        <v>1033</v>
      </c>
      <c r="BL82" s="57" t="s">
        <v>1034</v>
      </c>
      <c r="BM82" s="57" t="s">
        <v>1035</v>
      </c>
      <c r="BN82" s="57" t="s">
        <v>1036</v>
      </c>
      <c r="BO82" s="57" t="s">
        <v>1037</v>
      </c>
      <c r="BP82" s="44">
        <v>1.0</v>
      </c>
      <c r="BQ82" s="44">
        <v>4.0</v>
      </c>
      <c r="BR82" s="44">
        <v>2.96</v>
      </c>
      <c r="BS82" s="44">
        <v>1.626</v>
      </c>
      <c r="BT82" s="44">
        <v>1.0</v>
      </c>
      <c r="BU82" s="44">
        <v>0.681</v>
      </c>
      <c r="BV82" s="44">
        <v>0.0</v>
      </c>
      <c r="BW82" s="44">
        <v>0.0</v>
      </c>
      <c r="BX82" s="44">
        <v>0.0</v>
      </c>
      <c r="BY82" s="44">
        <v>0.0</v>
      </c>
      <c r="BZ82" s="44">
        <v>2.13</v>
      </c>
      <c r="CA82" s="44">
        <v>3.706</v>
      </c>
      <c r="CB82" s="44">
        <v>0.0</v>
      </c>
      <c r="CC82" s="44">
        <v>0.0</v>
      </c>
      <c r="CD82" s="44">
        <v>0.0</v>
      </c>
      <c r="CE82" s="44">
        <v>7000.0</v>
      </c>
      <c r="CF82" s="44">
        <v>6250.0</v>
      </c>
      <c r="CG82" s="44">
        <v>0.0</v>
      </c>
      <c r="CH82" s="44">
        <v>1.0</v>
      </c>
      <c r="CI82" s="44">
        <v>0.0</v>
      </c>
      <c r="CJ82" s="2"/>
      <c r="CK82" s="2"/>
    </row>
    <row r="83">
      <c r="A83" s="46">
        <v>82.0</v>
      </c>
      <c r="B83" s="46">
        <v>123.0</v>
      </c>
      <c r="C83" s="46" t="s">
        <v>294</v>
      </c>
      <c r="D83" s="46" t="s">
        <v>295</v>
      </c>
      <c r="E83" s="46" t="s">
        <v>296</v>
      </c>
      <c r="F83" s="46">
        <v>1270.0</v>
      </c>
      <c r="G83" s="46">
        <v>4.365</v>
      </c>
      <c r="H83" s="46">
        <v>1.775</v>
      </c>
      <c r="I83" s="46">
        <v>1.605</v>
      </c>
      <c r="J83" s="46">
        <v>2.6</v>
      </c>
      <c r="K83" s="46">
        <v>1.505</v>
      </c>
      <c r="L83" s="46">
        <v>1.485</v>
      </c>
      <c r="M83" s="46">
        <v>0.17</v>
      </c>
      <c r="N83" s="46">
        <v>0.386</v>
      </c>
      <c r="O83" s="46">
        <v>1.0</v>
      </c>
      <c r="P83" s="46">
        <v>0.5</v>
      </c>
      <c r="Q83" s="46">
        <v>1.0</v>
      </c>
      <c r="R83" s="46">
        <v>0.0</v>
      </c>
      <c r="S83" s="46">
        <v>1.244</v>
      </c>
      <c r="T83" s="46">
        <v>0.215</v>
      </c>
      <c r="U83" s="46">
        <v>0.5</v>
      </c>
      <c r="V83" s="46">
        <v>17.0</v>
      </c>
      <c r="W83" s="46">
        <v>0.215</v>
      </c>
      <c r="X83" s="46">
        <v>0.5</v>
      </c>
      <c r="Y83" s="46">
        <v>17.0</v>
      </c>
      <c r="Z83" s="46">
        <v>0.0</v>
      </c>
      <c r="AA83" s="46">
        <v>-0.35</v>
      </c>
      <c r="AB83" s="46">
        <v>2.45</v>
      </c>
      <c r="AC83" s="46">
        <v>12.3</v>
      </c>
      <c r="AD83" s="46">
        <v>1.4</v>
      </c>
      <c r="AE83" s="46">
        <v>0.5</v>
      </c>
      <c r="AF83" s="46">
        <v>-2.0</v>
      </c>
      <c r="AG83" s="46">
        <v>-1.25</v>
      </c>
      <c r="AH83" s="46">
        <v>1.4</v>
      </c>
      <c r="AI83" s="46">
        <v>0.5</v>
      </c>
      <c r="AJ83" s="46">
        <v>1795.0</v>
      </c>
      <c r="AK83" s="46">
        <v>0.0</v>
      </c>
      <c r="AL83" s="46">
        <v>8200.0</v>
      </c>
      <c r="AM83" s="46">
        <v>8400.0</v>
      </c>
      <c r="AN83" s="46">
        <v>800.0</v>
      </c>
      <c r="AO83" s="46">
        <v>6800.0</v>
      </c>
      <c r="AP83" s="46">
        <v>7600.0</v>
      </c>
      <c r="AQ83" s="46">
        <v>0.0</v>
      </c>
      <c r="AR83" s="58" t="s">
        <v>2187</v>
      </c>
      <c r="AS83" s="58" t="s">
        <v>2188</v>
      </c>
      <c r="AT83" s="58" t="s">
        <v>2189</v>
      </c>
      <c r="AU83" s="58" t="s">
        <v>2190</v>
      </c>
      <c r="AV83" s="58" t="s">
        <v>2191</v>
      </c>
      <c r="AW83" s="58" t="s">
        <v>2192</v>
      </c>
      <c r="AX83" s="58" t="s">
        <v>2193</v>
      </c>
      <c r="AY83" s="58" t="s">
        <v>2194</v>
      </c>
      <c r="AZ83" s="58" t="s">
        <v>2195</v>
      </c>
      <c r="BA83" s="58" t="s">
        <v>2196</v>
      </c>
      <c r="BB83" s="58" t="s">
        <v>2197</v>
      </c>
      <c r="BC83" s="58" t="s">
        <v>2198</v>
      </c>
      <c r="BD83" s="58" t="s">
        <v>2199</v>
      </c>
      <c r="BE83" s="58" t="s">
        <v>2200</v>
      </c>
      <c r="BF83" s="58" t="s">
        <v>2201</v>
      </c>
      <c r="BG83" s="58" t="s">
        <v>2202</v>
      </c>
      <c r="BH83" s="58" t="s">
        <v>2203</v>
      </c>
      <c r="BI83" s="58" t="s">
        <v>2204</v>
      </c>
      <c r="BJ83" s="58" t="s">
        <v>1032</v>
      </c>
      <c r="BK83" s="58" t="s">
        <v>1033</v>
      </c>
      <c r="BL83" s="58" t="s">
        <v>1034</v>
      </c>
      <c r="BM83" s="58" t="s">
        <v>1035</v>
      </c>
      <c r="BN83" s="58" t="s">
        <v>1036</v>
      </c>
      <c r="BO83" s="58" t="s">
        <v>1037</v>
      </c>
      <c r="BP83" s="46">
        <v>0.0</v>
      </c>
      <c r="BQ83" s="46">
        <v>6.0</v>
      </c>
      <c r="BR83" s="46">
        <v>3.166</v>
      </c>
      <c r="BS83" s="46">
        <v>2.05</v>
      </c>
      <c r="BT83" s="46">
        <v>1.481</v>
      </c>
      <c r="BU83" s="46">
        <v>1.166</v>
      </c>
      <c r="BV83" s="46">
        <v>0.916</v>
      </c>
      <c r="BW83" s="46">
        <v>0.725</v>
      </c>
      <c r="BX83" s="46">
        <v>0.0</v>
      </c>
      <c r="BY83" s="46">
        <v>0.0</v>
      </c>
      <c r="BZ83" s="46">
        <v>3.25</v>
      </c>
      <c r="CA83" s="46">
        <v>4.529</v>
      </c>
      <c r="CB83" s="46">
        <v>0.0</v>
      </c>
      <c r="CC83" s="46">
        <v>0.0</v>
      </c>
      <c r="CD83" s="46">
        <v>0.0</v>
      </c>
      <c r="CE83" s="46">
        <v>9000.0</v>
      </c>
      <c r="CF83" s="46">
        <v>8200.0</v>
      </c>
      <c r="CG83" s="46">
        <v>0.0</v>
      </c>
      <c r="CH83" s="46">
        <v>0.0</v>
      </c>
      <c r="CI83" s="46">
        <v>0.0</v>
      </c>
      <c r="CJ83" s="2"/>
      <c r="CK83" s="2"/>
    </row>
    <row r="84">
      <c r="A84" s="44">
        <v>83.0</v>
      </c>
      <c r="B84" s="44">
        <v>124.0</v>
      </c>
      <c r="C84" s="44" t="s">
        <v>297</v>
      </c>
      <c r="D84" s="44" t="s">
        <v>298</v>
      </c>
      <c r="E84" s="44" t="s">
        <v>299</v>
      </c>
      <c r="F84" s="44">
        <v>2140.0</v>
      </c>
      <c r="G84" s="44">
        <v>4.805</v>
      </c>
      <c r="H84" s="44">
        <v>1.96</v>
      </c>
      <c r="I84" s="44">
        <v>1.93</v>
      </c>
      <c r="J84" s="44">
        <v>2.82</v>
      </c>
      <c r="K84" s="44">
        <v>1.655</v>
      </c>
      <c r="L84" s="44">
        <v>1.655</v>
      </c>
      <c r="M84" s="44">
        <v>0.17</v>
      </c>
      <c r="N84" s="44">
        <v>0.449</v>
      </c>
      <c r="O84" s="44">
        <v>4.0</v>
      </c>
      <c r="P84" s="44">
        <v>0.6</v>
      </c>
      <c r="Q84" s="44">
        <v>1.0</v>
      </c>
      <c r="R84" s="44">
        <v>0.0</v>
      </c>
      <c r="S84" s="44">
        <v>1.558</v>
      </c>
      <c r="T84" s="44">
        <v>0.215</v>
      </c>
      <c r="U84" s="44">
        <v>0.7</v>
      </c>
      <c r="V84" s="44">
        <v>16.0</v>
      </c>
      <c r="W84" s="44">
        <v>0.215</v>
      </c>
      <c r="X84" s="44">
        <v>0.7</v>
      </c>
      <c r="Y84" s="44">
        <v>16.0</v>
      </c>
      <c r="Z84" s="44">
        <v>0.0</v>
      </c>
      <c r="AA84" s="44">
        <v>0.0</v>
      </c>
      <c r="AB84" s="44">
        <v>4.0</v>
      </c>
      <c r="AC84" s="44">
        <v>10.0</v>
      </c>
      <c r="AD84" s="44">
        <v>1.4</v>
      </c>
      <c r="AE84" s="44">
        <v>1.5</v>
      </c>
      <c r="AF84" s="44">
        <v>0.0</v>
      </c>
      <c r="AG84" s="44">
        <v>-0.3</v>
      </c>
      <c r="AH84" s="44">
        <v>1.4</v>
      </c>
      <c r="AI84" s="44">
        <v>1.0</v>
      </c>
      <c r="AJ84" s="44">
        <v>4295.0</v>
      </c>
      <c r="AK84" s="44">
        <v>0.0</v>
      </c>
      <c r="AL84" s="44">
        <v>5500.0</v>
      </c>
      <c r="AM84" s="44">
        <v>5500.0</v>
      </c>
      <c r="AN84" s="44">
        <v>700.0</v>
      </c>
      <c r="AO84" s="44">
        <v>2800.0</v>
      </c>
      <c r="AP84" s="44">
        <v>4400.0</v>
      </c>
      <c r="AQ84" s="44">
        <v>2.0</v>
      </c>
      <c r="AR84" s="57" t="s">
        <v>2205</v>
      </c>
      <c r="AS84" s="57" t="s">
        <v>2129</v>
      </c>
      <c r="AT84" s="57" t="s">
        <v>2206</v>
      </c>
      <c r="AU84" s="57" t="s">
        <v>2207</v>
      </c>
      <c r="AV84" s="57" t="s">
        <v>2208</v>
      </c>
      <c r="AW84" s="57" t="s">
        <v>2209</v>
      </c>
      <c r="AX84" s="57" t="s">
        <v>2210</v>
      </c>
      <c r="AY84" s="57" t="s">
        <v>2211</v>
      </c>
      <c r="AZ84" s="57" t="s">
        <v>2212</v>
      </c>
      <c r="BA84" s="57" t="s">
        <v>2213</v>
      </c>
      <c r="BB84" s="57" t="s">
        <v>2214</v>
      </c>
      <c r="BC84" s="57" t="s">
        <v>2215</v>
      </c>
      <c r="BD84" s="57" t="s">
        <v>1342</v>
      </c>
      <c r="BE84" s="57" t="s">
        <v>1143</v>
      </c>
      <c r="BF84" s="57" t="s">
        <v>1052</v>
      </c>
      <c r="BG84" s="57" t="s">
        <v>1029</v>
      </c>
      <c r="BH84" s="57" t="s">
        <v>1030</v>
      </c>
      <c r="BI84" s="57" t="s">
        <v>1031</v>
      </c>
      <c r="BJ84" s="57" t="s">
        <v>1032</v>
      </c>
      <c r="BK84" s="57" t="s">
        <v>1033</v>
      </c>
      <c r="BL84" s="57" t="s">
        <v>1034</v>
      </c>
      <c r="BM84" s="57" t="s">
        <v>1035</v>
      </c>
      <c r="BN84" s="57" t="s">
        <v>1036</v>
      </c>
      <c r="BO84" s="57" t="s">
        <v>1037</v>
      </c>
      <c r="BP84" s="44">
        <v>1.0</v>
      </c>
      <c r="BQ84" s="44">
        <v>4.0</v>
      </c>
      <c r="BR84" s="44">
        <v>3.058</v>
      </c>
      <c r="BS84" s="44">
        <v>1.625</v>
      </c>
      <c r="BT84" s="44">
        <v>1.0</v>
      </c>
      <c r="BU84" s="44">
        <v>0.696</v>
      </c>
      <c r="BV84" s="44">
        <v>0.0</v>
      </c>
      <c r="BW84" s="44">
        <v>0.0</v>
      </c>
      <c r="BX84" s="44">
        <v>0.0</v>
      </c>
      <c r="BY84" s="44">
        <v>0.0</v>
      </c>
      <c r="BZ84" s="44">
        <v>2.294</v>
      </c>
      <c r="CA84" s="44">
        <v>3.416</v>
      </c>
      <c r="CB84" s="44">
        <v>0.0</v>
      </c>
      <c r="CC84" s="44">
        <v>0.0</v>
      </c>
      <c r="CD84" s="44">
        <v>5.0</v>
      </c>
      <c r="CE84" s="44">
        <v>6000.0</v>
      </c>
      <c r="CF84" s="44">
        <v>5500.0</v>
      </c>
      <c r="CG84" s="44">
        <v>0.0</v>
      </c>
      <c r="CH84" s="44">
        <v>0.0</v>
      </c>
      <c r="CI84" s="44">
        <v>0.0</v>
      </c>
      <c r="CJ84" s="2"/>
      <c r="CK84" s="2"/>
    </row>
    <row r="85">
      <c r="A85" s="46">
        <v>84.0</v>
      </c>
      <c r="B85" s="46">
        <v>126.0</v>
      </c>
      <c r="C85" s="46" t="s">
        <v>300</v>
      </c>
      <c r="D85" s="46" t="s">
        <v>301</v>
      </c>
      <c r="E85" s="46" t="s">
        <v>302</v>
      </c>
      <c r="F85" s="46">
        <v>1460.0</v>
      </c>
      <c r="G85" s="46">
        <v>4.33</v>
      </c>
      <c r="H85" s="46">
        <v>1.75</v>
      </c>
      <c r="I85" s="46">
        <v>1.6</v>
      </c>
      <c r="J85" s="46">
        <v>2.615</v>
      </c>
      <c r="K85" s="46">
        <v>1.48</v>
      </c>
      <c r="L85" s="46">
        <v>1.48</v>
      </c>
      <c r="M85" s="46">
        <v>0.16</v>
      </c>
      <c r="N85" s="46">
        <v>0.404</v>
      </c>
      <c r="O85" s="46">
        <v>1.0</v>
      </c>
      <c r="P85" s="46">
        <v>0.5</v>
      </c>
      <c r="Q85" s="46">
        <v>1.0</v>
      </c>
      <c r="R85" s="46">
        <v>0.0</v>
      </c>
      <c r="S85" s="46">
        <v>1.28</v>
      </c>
      <c r="T85" s="46">
        <v>0.205</v>
      </c>
      <c r="U85" s="46">
        <v>0.55</v>
      </c>
      <c r="V85" s="46">
        <v>16.0</v>
      </c>
      <c r="W85" s="46">
        <v>0.205</v>
      </c>
      <c r="X85" s="46">
        <v>0.55</v>
      </c>
      <c r="Y85" s="46">
        <v>16.0</v>
      </c>
      <c r="Z85" s="46">
        <v>0.0</v>
      </c>
      <c r="AA85" s="46">
        <v>-0.3</v>
      </c>
      <c r="AB85" s="46">
        <v>2.0</v>
      </c>
      <c r="AC85" s="46">
        <v>10.0</v>
      </c>
      <c r="AD85" s="46">
        <v>1.4</v>
      </c>
      <c r="AE85" s="46">
        <v>1.0</v>
      </c>
      <c r="AF85" s="46">
        <v>-2.0</v>
      </c>
      <c r="AG85" s="46">
        <v>0.0</v>
      </c>
      <c r="AH85" s="46">
        <v>1.4</v>
      </c>
      <c r="AI85" s="46">
        <v>1.0</v>
      </c>
      <c r="AJ85" s="46">
        <v>1996.0</v>
      </c>
      <c r="AK85" s="46">
        <v>0.0</v>
      </c>
      <c r="AL85" s="46">
        <v>6500.0</v>
      </c>
      <c r="AM85" s="46">
        <v>6500.0</v>
      </c>
      <c r="AN85" s="46">
        <v>750.0</v>
      </c>
      <c r="AO85" s="46">
        <v>4150.0</v>
      </c>
      <c r="AP85" s="46">
        <v>5700.0</v>
      </c>
      <c r="AQ85" s="46">
        <v>0.0</v>
      </c>
      <c r="AR85" s="58" t="s">
        <v>2216</v>
      </c>
      <c r="AS85" s="58" t="s">
        <v>2217</v>
      </c>
      <c r="AT85" s="58" t="s">
        <v>2218</v>
      </c>
      <c r="AU85" s="58" t="s">
        <v>2219</v>
      </c>
      <c r="AV85" s="58" t="s">
        <v>2220</v>
      </c>
      <c r="AW85" s="58" t="s">
        <v>2221</v>
      </c>
      <c r="AX85" s="58" t="s">
        <v>2222</v>
      </c>
      <c r="AY85" s="58" t="s">
        <v>2223</v>
      </c>
      <c r="AZ85" s="58" t="s">
        <v>2224</v>
      </c>
      <c r="BA85" s="58" t="s">
        <v>2225</v>
      </c>
      <c r="BB85" s="58" t="s">
        <v>2226</v>
      </c>
      <c r="BC85" s="58" t="s">
        <v>2227</v>
      </c>
      <c r="BD85" s="58" t="s">
        <v>2228</v>
      </c>
      <c r="BE85" s="58" t="s">
        <v>2229</v>
      </c>
      <c r="BF85" s="58" t="s">
        <v>1052</v>
      </c>
      <c r="BG85" s="58" t="s">
        <v>1029</v>
      </c>
      <c r="BH85" s="58" t="s">
        <v>1030</v>
      </c>
      <c r="BI85" s="58" t="s">
        <v>1031</v>
      </c>
      <c r="BJ85" s="58" t="s">
        <v>1032</v>
      </c>
      <c r="BK85" s="58" t="s">
        <v>1033</v>
      </c>
      <c r="BL85" s="58" t="s">
        <v>1034</v>
      </c>
      <c r="BM85" s="58" t="s">
        <v>1035</v>
      </c>
      <c r="BN85" s="58" t="s">
        <v>1036</v>
      </c>
      <c r="BO85" s="58" t="s">
        <v>1037</v>
      </c>
      <c r="BP85" s="46">
        <v>1.0</v>
      </c>
      <c r="BQ85" s="46">
        <v>4.0</v>
      </c>
      <c r="BR85" s="46">
        <v>2.842</v>
      </c>
      <c r="BS85" s="46">
        <v>1.573</v>
      </c>
      <c r="BT85" s="46">
        <v>1.0</v>
      </c>
      <c r="BU85" s="46">
        <v>0.689</v>
      </c>
      <c r="BV85" s="46">
        <v>0.0</v>
      </c>
      <c r="BW85" s="46">
        <v>0.0</v>
      </c>
      <c r="BX85" s="46">
        <v>0.0</v>
      </c>
      <c r="BY85" s="46">
        <v>0.0</v>
      </c>
      <c r="BZ85" s="46">
        <v>2.214</v>
      </c>
      <c r="CA85" s="46">
        <v>4.076</v>
      </c>
      <c r="CB85" s="46">
        <v>0.0</v>
      </c>
      <c r="CC85" s="46">
        <v>0.0</v>
      </c>
      <c r="CD85" s="46">
        <v>0.0</v>
      </c>
      <c r="CE85" s="46">
        <v>8000.0</v>
      </c>
      <c r="CF85" s="46">
        <v>6500.0</v>
      </c>
      <c r="CG85" s="46">
        <v>0.0</v>
      </c>
      <c r="CH85" s="46">
        <v>0.0</v>
      </c>
      <c r="CI85" s="46">
        <v>0.0</v>
      </c>
      <c r="CJ85" s="2"/>
      <c r="CK85" s="2"/>
    </row>
    <row r="86">
      <c r="A86" s="44">
        <v>85.0</v>
      </c>
      <c r="B86" s="44">
        <v>127.0</v>
      </c>
      <c r="C86" s="44" t="s">
        <v>303</v>
      </c>
      <c r="D86" s="44" t="s">
        <v>304</v>
      </c>
      <c r="E86" s="44" t="s">
        <v>305</v>
      </c>
      <c r="F86" s="44">
        <v>1590.0</v>
      </c>
      <c r="G86" s="44">
        <v>4.49</v>
      </c>
      <c r="H86" s="44">
        <v>1.98</v>
      </c>
      <c r="I86" s="44">
        <v>1.19</v>
      </c>
      <c r="J86" s="44">
        <v>2.443</v>
      </c>
      <c r="K86" s="44">
        <v>1.515</v>
      </c>
      <c r="L86" s="44">
        <v>1.54</v>
      </c>
      <c r="M86" s="44">
        <v>0.127</v>
      </c>
      <c r="N86" s="44">
        <v>0.51</v>
      </c>
      <c r="O86" s="44">
        <v>0.0</v>
      </c>
      <c r="P86" s="44">
        <v>0.52</v>
      </c>
      <c r="Q86" s="44">
        <v>1.15</v>
      </c>
      <c r="R86" s="44">
        <v>100.0</v>
      </c>
      <c r="S86" s="44">
        <v>0.951</v>
      </c>
      <c r="T86" s="44">
        <v>0.275</v>
      </c>
      <c r="U86" s="44">
        <v>0.35</v>
      </c>
      <c r="V86" s="44">
        <v>18.0</v>
      </c>
      <c r="W86" s="44">
        <v>0.335</v>
      </c>
      <c r="X86" s="44">
        <v>0.3</v>
      </c>
      <c r="Y86" s="44">
        <v>18.0</v>
      </c>
      <c r="Z86" s="44">
        <v>0.0</v>
      </c>
      <c r="AA86" s="44">
        <v>0.0</v>
      </c>
      <c r="AB86" s="44">
        <v>5.45</v>
      </c>
      <c r="AC86" s="44">
        <v>14.0</v>
      </c>
      <c r="AD86" s="44">
        <v>1.6</v>
      </c>
      <c r="AE86" s="44">
        <v>3.0</v>
      </c>
      <c r="AF86" s="44">
        <v>-6.0</v>
      </c>
      <c r="AG86" s="44">
        <v>-1.0</v>
      </c>
      <c r="AH86" s="44">
        <v>1.6</v>
      </c>
      <c r="AI86" s="44">
        <v>3.0</v>
      </c>
      <c r="AJ86" s="44">
        <v>7993.0</v>
      </c>
      <c r="AK86" s="44">
        <v>0.0</v>
      </c>
      <c r="AL86" s="44">
        <v>6000.0</v>
      </c>
      <c r="AM86" s="44">
        <v>6400.0</v>
      </c>
      <c r="AN86" s="44">
        <v>800.0</v>
      </c>
      <c r="AO86" s="44">
        <v>3700.0</v>
      </c>
      <c r="AP86" s="44">
        <v>5200.0</v>
      </c>
      <c r="AQ86" s="44">
        <v>0.0</v>
      </c>
      <c r="AR86" s="57" t="s">
        <v>2230</v>
      </c>
      <c r="AS86" s="57" t="s">
        <v>2231</v>
      </c>
      <c r="AT86" s="57" t="s">
        <v>2232</v>
      </c>
      <c r="AU86" s="57" t="s">
        <v>2233</v>
      </c>
      <c r="AV86" s="57" t="s">
        <v>2234</v>
      </c>
      <c r="AW86" s="57" t="s">
        <v>2235</v>
      </c>
      <c r="AX86" s="57" t="s">
        <v>2236</v>
      </c>
      <c r="AY86" s="57" t="s">
        <v>2237</v>
      </c>
      <c r="AZ86" s="57" t="s">
        <v>2238</v>
      </c>
      <c r="BA86" s="57" t="s">
        <v>2239</v>
      </c>
      <c r="BB86" s="57" t="s">
        <v>2240</v>
      </c>
      <c r="BC86" s="57" t="s">
        <v>2241</v>
      </c>
      <c r="BD86" s="57" t="s">
        <v>2242</v>
      </c>
      <c r="BE86" s="57" t="s">
        <v>1143</v>
      </c>
      <c r="BF86" s="57" t="s">
        <v>1052</v>
      </c>
      <c r="BG86" s="57" t="s">
        <v>1029</v>
      </c>
      <c r="BH86" s="57" t="s">
        <v>1030</v>
      </c>
      <c r="BI86" s="57" t="s">
        <v>1031</v>
      </c>
      <c r="BJ86" s="57" t="s">
        <v>1032</v>
      </c>
      <c r="BK86" s="57" t="s">
        <v>1033</v>
      </c>
      <c r="BL86" s="57" t="s">
        <v>1034</v>
      </c>
      <c r="BM86" s="57" t="s">
        <v>1035</v>
      </c>
      <c r="BN86" s="57" t="s">
        <v>1036</v>
      </c>
      <c r="BO86" s="57" t="s">
        <v>1037</v>
      </c>
      <c r="BP86" s="44">
        <v>0.0</v>
      </c>
      <c r="BQ86" s="44">
        <v>6.0</v>
      </c>
      <c r="BR86" s="44">
        <v>2.66</v>
      </c>
      <c r="BS86" s="44">
        <v>1.78</v>
      </c>
      <c r="BT86" s="44">
        <v>1.3</v>
      </c>
      <c r="BU86" s="44">
        <v>1.0</v>
      </c>
      <c r="BV86" s="44">
        <v>0.74</v>
      </c>
      <c r="BW86" s="44">
        <v>0.5</v>
      </c>
      <c r="BX86" s="44">
        <v>0.0</v>
      </c>
      <c r="BY86" s="44">
        <v>0.0</v>
      </c>
      <c r="BZ86" s="44">
        <v>2.9</v>
      </c>
      <c r="CA86" s="44">
        <v>3.07</v>
      </c>
      <c r="CB86" s="44">
        <v>3.0</v>
      </c>
      <c r="CC86" s="44">
        <v>0.0</v>
      </c>
      <c r="CD86" s="44">
        <v>0.0</v>
      </c>
      <c r="CE86" s="44">
        <v>7000.0</v>
      </c>
      <c r="CF86" s="44">
        <v>6000.0</v>
      </c>
      <c r="CG86" s="44">
        <v>0.0</v>
      </c>
      <c r="CH86" s="44">
        <v>0.0</v>
      </c>
      <c r="CI86" s="44">
        <v>0.0</v>
      </c>
      <c r="CJ86" s="2"/>
      <c r="CK86" s="2"/>
    </row>
    <row r="87">
      <c r="A87" s="46">
        <v>86.0</v>
      </c>
      <c r="B87" s="46">
        <v>129.0</v>
      </c>
      <c r="C87" s="46" t="s">
        <v>306</v>
      </c>
      <c r="D87" s="46" t="s">
        <v>307</v>
      </c>
      <c r="E87" s="46" t="s">
        <v>308</v>
      </c>
      <c r="F87" s="46">
        <v>760.0</v>
      </c>
      <c r="G87" s="46">
        <v>3.295</v>
      </c>
      <c r="H87" s="46">
        <v>1.395</v>
      </c>
      <c r="I87" s="46">
        <v>1.175</v>
      </c>
      <c r="J87" s="46">
        <v>2.28</v>
      </c>
      <c r="K87" s="46">
        <v>1.21</v>
      </c>
      <c r="L87" s="46">
        <v>1.21</v>
      </c>
      <c r="M87" s="46">
        <v>0.135</v>
      </c>
      <c r="N87" s="46">
        <v>0.579</v>
      </c>
      <c r="O87" s="46">
        <v>2.0</v>
      </c>
      <c r="P87" s="46">
        <v>0.48</v>
      </c>
      <c r="Q87" s="46">
        <v>1.0</v>
      </c>
      <c r="R87" s="46">
        <v>0.0</v>
      </c>
      <c r="S87" s="46">
        <v>0.997</v>
      </c>
      <c r="T87" s="46">
        <v>0.155</v>
      </c>
      <c r="U87" s="46">
        <v>0.65</v>
      </c>
      <c r="V87" s="46">
        <v>13.0</v>
      </c>
      <c r="W87" s="46">
        <v>0.165</v>
      </c>
      <c r="X87" s="46">
        <v>0.6</v>
      </c>
      <c r="Y87" s="46">
        <v>14.0</v>
      </c>
      <c r="Z87" s="46">
        <v>0.0</v>
      </c>
      <c r="AA87" s="46">
        <v>-0.3</v>
      </c>
      <c r="AB87" s="46">
        <v>7.2</v>
      </c>
      <c r="AC87" s="46">
        <v>14.3</v>
      </c>
      <c r="AD87" s="46">
        <v>1.4</v>
      </c>
      <c r="AE87" s="46">
        <v>1.0</v>
      </c>
      <c r="AF87" s="46">
        <v>-1.0</v>
      </c>
      <c r="AG87" s="46">
        <v>-0.3</v>
      </c>
      <c r="AH87" s="46">
        <v>1.4</v>
      </c>
      <c r="AI87" s="46">
        <v>0.5</v>
      </c>
      <c r="AJ87" s="46">
        <v>656.0</v>
      </c>
      <c r="AK87" s="46">
        <v>0.0</v>
      </c>
      <c r="AL87" s="46">
        <v>8500.0</v>
      </c>
      <c r="AM87" s="46">
        <v>9600.0</v>
      </c>
      <c r="AN87" s="46">
        <v>800.0</v>
      </c>
      <c r="AO87" s="46">
        <v>7000.0</v>
      </c>
      <c r="AP87" s="46">
        <v>8100.0</v>
      </c>
      <c r="AQ87" s="46">
        <v>0.0</v>
      </c>
      <c r="AR87" s="58" t="s">
        <v>2243</v>
      </c>
      <c r="AS87" s="58" t="s">
        <v>2244</v>
      </c>
      <c r="AT87" s="58" t="s">
        <v>2245</v>
      </c>
      <c r="AU87" s="58" t="s">
        <v>2246</v>
      </c>
      <c r="AV87" s="58" t="s">
        <v>2247</v>
      </c>
      <c r="AW87" s="58" t="s">
        <v>2248</v>
      </c>
      <c r="AX87" s="58" t="s">
        <v>2249</v>
      </c>
      <c r="AY87" s="58" t="s">
        <v>2250</v>
      </c>
      <c r="AZ87" s="58" t="s">
        <v>2251</v>
      </c>
      <c r="BA87" s="58" t="s">
        <v>2252</v>
      </c>
      <c r="BB87" s="58" t="s">
        <v>2253</v>
      </c>
      <c r="BC87" s="58" t="s">
        <v>2254</v>
      </c>
      <c r="BD87" s="58" t="s">
        <v>2255</v>
      </c>
      <c r="BE87" s="58" t="s">
        <v>2256</v>
      </c>
      <c r="BF87" s="58" t="s">
        <v>2257</v>
      </c>
      <c r="BG87" s="58" t="s">
        <v>2258</v>
      </c>
      <c r="BH87" s="58" t="s">
        <v>2259</v>
      </c>
      <c r="BI87" s="58" t="s">
        <v>2260</v>
      </c>
      <c r="BJ87" s="58" t="s">
        <v>2261</v>
      </c>
      <c r="BK87" s="58" t="s">
        <v>2262</v>
      </c>
      <c r="BL87" s="58" t="s">
        <v>1034</v>
      </c>
      <c r="BM87" s="58" t="s">
        <v>1035</v>
      </c>
      <c r="BN87" s="58" t="s">
        <v>1036</v>
      </c>
      <c r="BO87" s="58" t="s">
        <v>1037</v>
      </c>
      <c r="BP87" s="46">
        <v>0.0</v>
      </c>
      <c r="BQ87" s="46">
        <v>5.0</v>
      </c>
      <c r="BR87" s="46">
        <v>3.428</v>
      </c>
      <c r="BS87" s="46">
        <v>2.166</v>
      </c>
      <c r="BT87" s="46">
        <v>1.576</v>
      </c>
      <c r="BU87" s="46">
        <v>1.172</v>
      </c>
      <c r="BV87" s="46">
        <v>0.941</v>
      </c>
      <c r="BW87" s="46">
        <v>0.0</v>
      </c>
      <c r="BX87" s="46">
        <v>0.0</v>
      </c>
      <c r="BY87" s="46">
        <v>0.0</v>
      </c>
      <c r="BZ87" s="46">
        <v>4.3</v>
      </c>
      <c r="CA87" s="46">
        <v>5.714</v>
      </c>
      <c r="CB87" s="46">
        <v>0.0</v>
      </c>
      <c r="CC87" s="46">
        <v>0.0</v>
      </c>
      <c r="CD87" s="46">
        <v>0.0</v>
      </c>
      <c r="CE87" s="46">
        <v>10000.0</v>
      </c>
      <c r="CF87" s="46">
        <v>8500.0</v>
      </c>
      <c r="CG87" s="46">
        <v>0.0</v>
      </c>
      <c r="CH87" s="46">
        <v>0.0</v>
      </c>
      <c r="CI87" s="46">
        <v>0.0</v>
      </c>
      <c r="CJ87" s="2"/>
      <c r="CK87" s="2"/>
    </row>
    <row r="88">
      <c r="A88" s="44">
        <v>87.0</v>
      </c>
      <c r="B88" s="44">
        <v>130.0</v>
      </c>
      <c r="C88" s="44" t="s">
        <v>309</v>
      </c>
      <c r="D88" s="44" t="s">
        <v>310</v>
      </c>
      <c r="E88" s="44" t="s">
        <v>311</v>
      </c>
      <c r="F88" s="44">
        <v>830.0</v>
      </c>
      <c r="G88" s="44">
        <v>3.395</v>
      </c>
      <c r="H88" s="44">
        <v>1.475</v>
      </c>
      <c r="I88" s="44">
        <v>1.245</v>
      </c>
      <c r="J88" s="44">
        <v>2.23</v>
      </c>
      <c r="K88" s="44">
        <v>1.3</v>
      </c>
      <c r="L88" s="44">
        <v>1.29</v>
      </c>
      <c r="M88" s="44">
        <v>0.07</v>
      </c>
      <c r="N88" s="44">
        <v>0.373</v>
      </c>
      <c r="O88" s="44">
        <v>1.0</v>
      </c>
      <c r="P88" s="44">
        <v>0.47</v>
      </c>
      <c r="Q88" s="44">
        <v>1.0</v>
      </c>
      <c r="R88" s="44">
        <v>0.0</v>
      </c>
      <c r="S88" s="44">
        <v>1.033</v>
      </c>
      <c r="T88" s="44">
        <v>0.165</v>
      </c>
      <c r="U88" s="44">
        <v>0.5</v>
      </c>
      <c r="V88" s="44">
        <v>15.0</v>
      </c>
      <c r="W88" s="44">
        <v>0.165</v>
      </c>
      <c r="X88" s="44">
        <v>0.5</v>
      </c>
      <c r="Y88" s="44">
        <v>15.0</v>
      </c>
      <c r="Z88" s="44">
        <v>0.0</v>
      </c>
      <c r="AA88" s="44">
        <v>0.0</v>
      </c>
      <c r="AB88" s="44">
        <v>3.4</v>
      </c>
      <c r="AC88" s="44">
        <v>12.15</v>
      </c>
      <c r="AD88" s="44">
        <v>2.2</v>
      </c>
      <c r="AE88" s="44">
        <v>2.0</v>
      </c>
      <c r="AF88" s="44">
        <v>-3.0</v>
      </c>
      <c r="AG88" s="44">
        <v>-0.15</v>
      </c>
      <c r="AH88" s="44">
        <v>2.2</v>
      </c>
      <c r="AI88" s="44">
        <v>1.0</v>
      </c>
      <c r="AJ88" s="44">
        <v>659.0</v>
      </c>
      <c r="AK88" s="44">
        <v>1.0</v>
      </c>
      <c r="AL88" s="44">
        <v>8500.0</v>
      </c>
      <c r="AM88" s="44">
        <v>8500.0</v>
      </c>
      <c r="AN88" s="44">
        <v>800.0</v>
      </c>
      <c r="AO88" s="44">
        <v>3200.0</v>
      </c>
      <c r="AP88" s="44">
        <v>6000.0</v>
      </c>
      <c r="AQ88" s="44">
        <v>0.0</v>
      </c>
      <c r="AR88" s="57" t="s">
        <v>2263</v>
      </c>
      <c r="AS88" s="57" t="s">
        <v>2264</v>
      </c>
      <c r="AT88" s="57" t="s">
        <v>2265</v>
      </c>
      <c r="AU88" s="57" t="s">
        <v>2266</v>
      </c>
      <c r="AV88" s="57" t="s">
        <v>2267</v>
      </c>
      <c r="AW88" s="57" t="s">
        <v>2268</v>
      </c>
      <c r="AX88" s="57" t="s">
        <v>2269</v>
      </c>
      <c r="AY88" s="57" t="s">
        <v>1196</v>
      </c>
      <c r="AZ88" s="57" t="s">
        <v>2270</v>
      </c>
      <c r="BA88" s="57" t="s">
        <v>2271</v>
      </c>
      <c r="BB88" s="57" t="s">
        <v>2272</v>
      </c>
      <c r="BC88" s="57" t="s">
        <v>2273</v>
      </c>
      <c r="BD88" s="57" t="s">
        <v>2274</v>
      </c>
      <c r="BE88" s="57" t="s">
        <v>2275</v>
      </c>
      <c r="BF88" s="57" t="s">
        <v>2276</v>
      </c>
      <c r="BG88" s="57" t="s">
        <v>2277</v>
      </c>
      <c r="BH88" s="57" t="s">
        <v>2278</v>
      </c>
      <c r="BI88" s="57" t="s">
        <v>2279</v>
      </c>
      <c r="BJ88" s="57" t="s">
        <v>1032</v>
      </c>
      <c r="BK88" s="57" t="s">
        <v>1033</v>
      </c>
      <c r="BL88" s="57" t="s">
        <v>1034</v>
      </c>
      <c r="BM88" s="57" t="s">
        <v>1035</v>
      </c>
      <c r="BN88" s="57" t="s">
        <v>1036</v>
      </c>
      <c r="BO88" s="57" t="s">
        <v>1037</v>
      </c>
      <c r="BP88" s="44">
        <v>0.0</v>
      </c>
      <c r="BQ88" s="44">
        <v>5.0</v>
      </c>
      <c r="BR88" s="44">
        <v>3.181</v>
      </c>
      <c r="BS88" s="44">
        <v>1.842</v>
      </c>
      <c r="BT88" s="44">
        <v>1.25</v>
      </c>
      <c r="BU88" s="44">
        <v>0.916</v>
      </c>
      <c r="BV88" s="44">
        <v>0.75</v>
      </c>
      <c r="BW88" s="44">
        <v>0.0</v>
      </c>
      <c r="BX88" s="44">
        <v>0.0</v>
      </c>
      <c r="BY88" s="44">
        <v>0.0</v>
      </c>
      <c r="BZ88" s="44">
        <v>3.142</v>
      </c>
      <c r="CA88" s="44">
        <v>5.545</v>
      </c>
      <c r="CB88" s="44">
        <v>2.0</v>
      </c>
      <c r="CC88" s="44">
        <v>0.0</v>
      </c>
      <c r="CD88" s="44">
        <v>0.0</v>
      </c>
      <c r="CE88" s="44">
        <v>10000.0</v>
      </c>
      <c r="CF88" s="44">
        <v>8500.0</v>
      </c>
      <c r="CG88" s="44">
        <v>0.0</v>
      </c>
      <c r="CH88" s="44">
        <v>0.0</v>
      </c>
      <c r="CI88" s="44">
        <v>0.0</v>
      </c>
      <c r="CJ88" s="2"/>
      <c r="CK88" s="2"/>
    </row>
    <row r="89">
      <c r="A89" s="46">
        <v>88.0</v>
      </c>
      <c r="B89" s="46">
        <v>132.0</v>
      </c>
      <c r="C89" s="46" t="s">
        <v>312</v>
      </c>
      <c r="D89" s="46" t="s">
        <v>313</v>
      </c>
      <c r="E89" s="46" t="s">
        <v>314</v>
      </c>
      <c r="F89" s="46">
        <v>1100.0</v>
      </c>
      <c r="G89" s="46">
        <v>3.81</v>
      </c>
      <c r="H89" s="46">
        <v>1.67</v>
      </c>
      <c r="I89" s="46">
        <v>1.41</v>
      </c>
      <c r="J89" s="46">
        <v>2.475</v>
      </c>
      <c r="K89" s="46">
        <v>1.42</v>
      </c>
      <c r="L89" s="46">
        <v>1.395</v>
      </c>
      <c r="M89" s="46">
        <v>0.13</v>
      </c>
      <c r="N89" s="46">
        <v>0.345</v>
      </c>
      <c r="O89" s="46">
        <v>1.0</v>
      </c>
      <c r="P89" s="46">
        <v>0.49</v>
      </c>
      <c r="Q89" s="46">
        <v>1.1</v>
      </c>
      <c r="R89" s="46">
        <v>0.0</v>
      </c>
      <c r="S89" s="46">
        <v>1.13</v>
      </c>
      <c r="T89" s="46">
        <v>0.195</v>
      </c>
      <c r="U89" s="46">
        <v>0.45</v>
      </c>
      <c r="V89" s="46">
        <v>16.0</v>
      </c>
      <c r="W89" s="46">
        <v>0.195</v>
      </c>
      <c r="X89" s="46">
        <v>0.45</v>
      </c>
      <c r="Y89" s="46">
        <v>16.0</v>
      </c>
      <c r="Z89" s="46">
        <v>0.0</v>
      </c>
      <c r="AA89" s="46">
        <v>-0.3</v>
      </c>
      <c r="AB89" s="46">
        <v>2.0</v>
      </c>
      <c r="AC89" s="46">
        <v>12.0</v>
      </c>
      <c r="AD89" s="46">
        <v>1.5</v>
      </c>
      <c r="AE89" s="46">
        <v>2.0</v>
      </c>
      <c r="AF89" s="46">
        <v>-3.0</v>
      </c>
      <c r="AG89" s="46">
        <v>-1.0</v>
      </c>
      <c r="AH89" s="46">
        <v>1.5</v>
      </c>
      <c r="AI89" s="46">
        <v>1.5</v>
      </c>
      <c r="AJ89" s="46">
        <v>1998.0</v>
      </c>
      <c r="AK89" s="46">
        <v>0.0</v>
      </c>
      <c r="AL89" s="46">
        <v>7250.0</v>
      </c>
      <c r="AM89" s="46">
        <v>7500.0</v>
      </c>
      <c r="AN89" s="46">
        <v>700.0</v>
      </c>
      <c r="AO89" s="46">
        <v>5400.0</v>
      </c>
      <c r="AP89" s="46">
        <v>6250.0</v>
      </c>
      <c r="AQ89" s="46">
        <v>0.0</v>
      </c>
      <c r="AR89" s="58" t="s">
        <v>2280</v>
      </c>
      <c r="AS89" s="58" t="s">
        <v>2281</v>
      </c>
      <c r="AT89" s="58" t="s">
        <v>2282</v>
      </c>
      <c r="AU89" s="58" t="s">
        <v>2283</v>
      </c>
      <c r="AV89" s="58" t="s">
        <v>1433</v>
      </c>
      <c r="AW89" s="58" t="s">
        <v>2284</v>
      </c>
      <c r="AX89" s="58" t="s">
        <v>2285</v>
      </c>
      <c r="AY89" s="58" t="s">
        <v>2286</v>
      </c>
      <c r="AZ89" s="58" t="s">
        <v>2287</v>
      </c>
      <c r="BA89" s="58" t="s">
        <v>2288</v>
      </c>
      <c r="BB89" s="58" t="s">
        <v>2289</v>
      </c>
      <c r="BC89" s="58" t="s">
        <v>2290</v>
      </c>
      <c r="BD89" s="58" t="s">
        <v>2291</v>
      </c>
      <c r="BE89" s="58" t="s">
        <v>2292</v>
      </c>
      <c r="BF89" s="58" t="s">
        <v>2293</v>
      </c>
      <c r="BG89" s="58" t="s">
        <v>1029</v>
      </c>
      <c r="BH89" s="58" t="s">
        <v>1030</v>
      </c>
      <c r="BI89" s="58" t="s">
        <v>1031</v>
      </c>
      <c r="BJ89" s="58" t="s">
        <v>1032</v>
      </c>
      <c r="BK89" s="58" t="s">
        <v>1033</v>
      </c>
      <c r="BL89" s="58" t="s">
        <v>1034</v>
      </c>
      <c r="BM89" s="58" t="s">
        <v>1035</v>
      </c>
      <c r="BN89" s="58" t="s">
        <v>1036</v>
      </c>
      <c r="BO89" s="58" t="s">
        <v>1037</v>
      </c>
      <c r="BP89" s="46">
        <v>0.0</v>
      </c>
      <c r="BQ89" s="46">
        <v>5.0</v>
      </c>
      <c r="BR89" s="46">
        <v>3.09</v>
      </c>
      <c r="BS89" s="46">
        <v>1.863</v>
      </c>
      <c r="BT89" s="46">
        <v>1.321</v>
      </c>
      <c r="BU89" s="46">
        <v>1.029</v>
      </c>
      <c r="BV89" s="46">
        <v>0.794</v>
      </c>
      <c r="BW89" s="46">
        <v>0.0</v>
      </c>
      <c r="BX89" s="46">
        <v>0.0</v>
      </c>
      <c r="BY89" s="46">
        <v>0.0</v>
      </c>
      <c r="BZ89" s="46">
        <v>3.545</v>
      </c>
      <c r="CA89" s="46">
        <v>4.066</v>
      </c>
      <c r="CB89" s="46">
        <v>2.0</v>
      </c>
      <c r="CC89" s="46">
        <v>0.0</v>
      </c>
      <c r="CD89" s="46">
        <v>0.0</v>
      </c>
      <c r="CE89" s="46">
        <v>8000.0</v>
      </c>
      <c r="CF89" s="46">
        <v>7250.0</v>
      </c>
      <c r="CG89" s="46">
        <v>0.0</v>
      </c>
      <c r="CH89" s="46">
        <v>1.0</v>
      </c>
      <c r="CI89" s="46">
        <v>0.0</v>
      </c>
      <c r="CJ89" s="2"/>
      <c r="CK89" s="2"/>
    </row>
    <row r="90">
      <c r="A90" s="44">
        <v>89.0</v>
      </c>
      <c r="B90" s="44">
        <v>133.0</v>
      </c>
      <c r="C90" s="44" t="s">
        <v>315</v>
      </c>
      <c r="D90" s="44" t="s">
        <v>316</v>
      </c>
      <c r="E90" s="44" t="s">
        <v>317</v>
      </c>
      <c r="F90" s="44">
        <v>1470.0</v>
      </c>
      <c r="G90" s="44">
        <v>4.555</v>
      </c>
      <c r="H90" s="44">
        <v>1.87</v>
      </c>
      <c r="I90" s="44">
        <v>1.23</v>
      </c>
      <c r="J90" s="44">
        <v>2.655</v>
      </c>
      <c r="K90" s="44">
        <v>1.575</v>
      </c>
      <c r="L90" s="44">
        <v>1.575</v>
      </c>
      <c r="M90" s="44">
        <v>0.14</v>
      </c>
      <c r="N90" s="44">
        <v>0.476</v>
      </c>
      <c r="O90" s="44">
        <v>0.0</v>
      </c>
      <c r="P90" s="44">
        <v>0.52</v>
      </c>
      <c r="Q90" s="44">
        <v>1.15</v>
      </c>
      <c r="R90" s="44">
        <v>0.0</v>
      </c>
      <c r="S90" s="44">
        <v>1.025</v>
      </c>
      <c r="T90" s="44">
        <v>0.245</v>
      </c>
      <c r="U90" s="44">
        <v>0.45</v>
      </c>
      <c r="V90" s="44">
        <v>17.0</v>
      </c>
      <c r="W90" s="44">
        <v>0.275</v>
      </c>
      <c r="X90" s="44">
        <v>0.4</v>
      </c>
      <c r="Y90" s="44">
        <v>18.0</v>
      </c>
      <c r="Z90" s="44">
        <v>2.0</v>
      </c>
      <c r="AA90" s="44">
        <v>-0.2</v>
      </c>
      <c r="AB90" s="44">
        <v>2.0</v>
      </c>
      <c r="AC90" s="44">
        <v>14.0</v>
      </c>
      <c r="AD90" s="44">
        <v>1.7</v>
      </c>
      <c r="AE90" s="44">
        <v>5.0</v>
      </c>
      <c r="AF90" s="44">
        <v>-4.0</v>
      </c>
      <c r="AG90" s="44">
        <v>-1.0</v>
      </c>
      <c r="AH90" s="44">
        <v>1.7</v>
      </c>
      <c r="AI90" s="44">
        <v>2.0</v>
      </c>
      <c r="AJ90" s="44">
        <v>5665.0</v>
      </c>
      <c r="AK90" s="44">
        <v>0.0</v>
      </c>
      <c r="AL90" s="44">
        <v>6000.0</v>
      </c>
      <c r="AM90" s="44">
        <v>6000.0</v>
      </c>
      <c r="AN90" s="44">
        <v>600.0</v>
      </c>
      <c r="AO90" s="44">
        <v>4000.0</v>
      </c>
      <c r="AP90" s="44">
        <v>5200.0</v>
      </c>
      <c r="AQ90" s="44">
        <v>0.0</v>
      </c>
      <c r="AR90" s="57" t="s">
        <v>2294</v>
      </c>
      <c r="AS90" s="57" t="s">
        <v>2295</v>
      </c>
      <c r="AT90" s="57" t="s">
        <v>2296</v>
      </c>
      <c r="AU90" s="57" t="s">
        <v>2297</v>
      </c>
      <c r="AV90" s="57" t="s">
        <v>2298</v>
      </c>
      <c r="AW90" s="57" t="s">
        <v>2299</v>
      </c>
      <c r="AX90" s="57" t="s">
        <v>2300</v>
      </c>
      <c r="AY90" s="57" t="s">
        <v>2301</v>
      </c>
      <c r="AZ90" s="57" t="s">
        <v>2302</v>
      </c>
      <c r="BA90" s="57" t="s">
        <v>2303</v>
      </c>
      <c r="BB90" s="57" t="s">
        <v>2304</v>
      </c>
      <c r="BC90" s="57" t="s">
        <v>2305</v>
      </c>
      <c r="BD90" s="57" t="s">
        <v>1342</v>
      </c>
      <c r="BE90" s="57" t="s">
        <v>1143</v>
      </c>
      <c r="BF90" s="57" t="s">
        <v>1052</v>
      </c>
      <c r="BG90" s="57" t="s">
        <v>1029</v>
      </c>
      <c r="BH90" s="57" t="s">
        <v>1030</v>
      </c>
      <c r="BI90" s="57" t="s">
        <v>1031</v>
      </c>
      <c r="BJ90" s="57" t="s">
        <v>1032</v>
      </c>
      <c r="BK90" s="57" t="s">
        <v>1033</v>
      </c>
      <c r="BL90" s="57" t="s">
        <v>1034</v>
      </c>
      <c r="BM90" s="57" t="s">
        <v>1035</v>
      </c>
      <c r="BN90" s="57" t="s">
        <v>1036</v>
      </c>
      <c r="BO90" s="57" t="s">
        <v>1037</v>
      </c>
      <c r="BP90" s="44">
        <v>0.0</v>
      </c>
      <c r="BQ90" s="44">
        <v>6.0</v>
      </c>
      <c r="BR90" s="44">
        <v>2.664</v>
      </c>
      <c r="BS90" s="44">
        <v>1.783</v>
      </c>
      <c r="BT90" s="44">
        <v>1.302</v>
      </c>
      <c r="BU90" s="44">
        <v>1.0</v>
      </c>
      <c r="BV90" s="44">
        <v>0.74</v>
      </c>
      <c r="BW90" s="44">
        <v>0.502</v>
      </c>
      <c r="BX90" s="44">
        <v>0.0</v>
      </c>
      <c r="BY90" s="44">
        <v>0.0</v>
      </c>
      <c r="BZ90" s="44">
        <v>2.903</v>
      </c>
      <c r="CA90" s="44">
        <v>3.416</v>
      </c>
      <c r="CB90" s="44">
        <v>0.0</v>
      </c>
      <c r="CC90" s="44">
        <v>0.0</v>
      </c>
      <c r="CD90" s="44">
        <v>0.0</v>
      </c>
      <c r="CE90" s="44">
        <v>7500.0</v>
      </c>
      <c r="CF90" s="44">
        <v>6000.0</v>
      </c>
      <c r="CG90" s="44">
        <v>1.0</v>
      </c>
      <c r="CH90" s="44">
        <v>0.0</v>
      </c>
      <c r="CI90" s="44">
        <v>0.0</v>
      </c>
      <c r="CJ90" s="2"/>
      <c r="CK90" s="2"/>
    </row>
    <row r="91">
      <c r="A91" s="46">
        <v>90.0</v>
      </c>
      <c r="B91" s="46">
        <v>137.0</v>
      </c>
      <c r="C91" s="46" t="s">
        <v>318</v>
      </c>
      <c r="D91" s="46" t="s">
        <v>319</v>
      </c>
      <c r="E91" s="46" t="s">
        <v>320</v>
      </c>
      <c r="F91" s="46">
        <v>1580.0</v>
      </c>
      <c r="G91" s="46">
        <v>4.72</v>
      </c>
      <c r="H91" s="46">
        <v>1.745</v>
      </c>
      <c r="I91" s="46">
        <v>1.55</v>
      </c>
      <c r="J91" s="46">
        <v>2.65</v>
      </c>
      <c r="K91" s="46">
        <v>1.47</v>
      </c>
      <c r="L91" s="46">
        <v>1.465</v>
      </c>
      <c r="M91" s="46">
        <v>0.2</v>
      </c>
      <c r="N91" s="46">
        <v>0.421</v>
      </c>
      <c r="O91" s="46">
        <v>4.0</v>
      </c>
      <c r="P91" s="46">
        <v>0.49</v>
      </c>
      <c r="Q91" s="46">
        <v>1.0</v>
      </c>
      <c r="R91" s="46">
        <v>0.0</v>
      </c>
      <c r="S91" s="46">
        <v>1.202</v>
      </c>
      <c r="T91" s="46">
        <v>0.215</v>
      </c>
      <c r="U91" s="46">
        <v>0.6</v>
      </c>
      <c r="V91" s="46">
        <v>16.0</v>
      </c>
      <c r="W91" s="46">
        <v>0.215</v>
      </c>
      <c r="X91" s="46">
        <v>0.6</v>
      </c>
      <c r="Y91" s="46">
        <v>16.0</v>
      </c>
      <c r="Z91" s="46">
        <v>0.0</v>
      </c>
      <c r="AA91" s="46">
        <v>0.25</v>
      </c>
      <c r="AB91" s="46">
        <v>2.4</v>
      </c>
      <c r="AC91" s="46">
        <v>13.2</v>
      </c>
      <c r="AD91" s="46">
        <v>1.4</v>
      </c>
      <c r="AE91" s="46">
        <v>1.0</v>
      </c>
      <c r="AF91" s="46">
        <v>0.0</v>
      </c>
      <c r="AG91" s="46">
        <v>-0.1</v>
      </c>
      <c r="AH91" s="46">
        <v>1.4</v>
      </c>
      <c r="AI91" s="46">
        <v>1.0</v>
      </c>
      <c r="AJ91" s="46">
        <v>2999.0</v>
      </c>
      <c r="AK91" s="46">
        <v>0.0</v>
      </c>
      <c r="AL91" s="46">
        <v>6500.0</v>
      </c>
      <c r="AM91" s="46">
        <v>6500.0</v>
      </c>
      <c r="AN91" s="46">
        <v>700.0</v>
      </c>
      <c r="AO91" s="46">
        <v>4400.0</v>
      </c>
      <c r="AP91" s="46">
        <v>6000.0</v>
      </c>
      <c r="AQ91" s="46">
        <v>0.0</v>
      </c>
      <c r="AR91" s="58" t="s">
        <v>2306</v>
      </c>
      <c r="AS91" s="58" t="s">
        <v>2307</v>
      </c>
      <c r="AT91" s="58" t="s">
        <v>2308</v>
      </c>
      <c r="AU91" s="58" t="s">
        <v>1621</v>
      </c>
      <c r="AV91" s="58" t="s">
        <v>2309</v>
      </c>
      <c r="AW91" s="58" t="s">
        <v>2310</v>
      </c>
      <c r="AX91" s="58" t="s">
        <v>2311</v>
      </c>
      <c r="AY91" s="58" t="s">
        <v>2312</v>
      </c>
      <c r="AZ91" s="58" t="s">
        <v>2313</v>
      </c>
      <c r="BA91" s="58" t="s">
        <v>2314</v>
      </c>
      <c r="BB91" s="58" t="s">
        <v>2315</v>
      </c>
      <c r="BC91" s="58" t="s">
        <v>2316</v>
      </c>
      <c r="BD91" s="58" t="s">
        <v>2317</v>
      </c>
      <c r="BE91" s="58" t="s">
        <v>2318</v>
      </c>
      <c r="BF91" s="58" t="s">
        <v>1052</v>
      </c>
      <c r="BG91" s="58" t="s">
        <v>1029</v>
      </c>
      <c r="BH91" s="58" t="s">
        <v>1030</v>
      </c>
      <c r="BI91" s="58" t="s">
        <v>1031</v>
      </c>
      <c r="BJ91" s="58" t="s">
        <v>1032</v>
      </c>
      <c r="BK91" s="58" t="s">
        <v>1033</v>
      </c>
      <c r="BL91" s="58" t="s">
        <v>1034</v>
      </c>
      <c r="BM91" s="58" t="s">
        <v>1035</v>
      </c>
      <c r="BN91" s="58" t="s">
        <v>1036</v>
      </c>
      <c r="BO91" s="58" t="s">
        <v>1037</v>
      </c>
      <c r="BP91" s="46">
        <v>1.0</v>
      </c>
      <c r="BQ91" s="46">
        <v>4.0</v>
      </c>
      <c r="BR91" s="46">
        <v>2.785</v>
      </c>
      <c r="BS91" s="46">
        <v>1.545</v>
      </c>
      <c r="BT91" s="46">
        <v>1.0</v>
      </c>
      <c r="BU91" s="46">
        <v>0.694</v>
      </c>
      <c r="BV91" s="46">
        <v>0.0</v>
      </c>
      <c r="BW91" s="46">
        <v>0.0</v>
      </c>
      <c r="BX91" s="46">
        <v>0.0</v>
      </c>
      <c r="BY91" s="46">
        <v>0.0</v>
      </c>
      <c r="BZ91" s="46">
        <v>2.272</v>
      </c>
      <c r="CA91" s="46">
        <v>4.111</v>
      </c>
      <c r="CB91" s="46">
        <v>0.0</v>
      </c>
      <c r="CC91" s="46">
        <v>0.0</v>
      </c>
      <c r="CD91" s="46">
        <v>1.0</v>
      </c>
      <c r="CE91" s="46">
        <v>7000.0</v>
      </c>
      <c r="CF91" s="46">
        <v>6500.0</v>
      </c>
      <c r="CG91" s="46">
        <v>0.0</v>
      </c>
      <c r="CH91" s="46">
        <v>1.0</v>
      </c>
      <c r="CI91" s="46">
        <v>0.0</v>
      </c>
      <c r="CJ91" s="2"/>
      <c r="CK91" s="2"/>
    </row>
    <row r="92">
      <c r="A92" s="44">
        <v>91.0</v>
      </c>
      <c r="B92" s="44">
        <v>144.0</v>
      </c>
      <c r="C92" s="44" t="s">
        <v>321</v>
      </c>
      <c r="D92" s="44" t="s">
        <v>322</v>
      </c>
      <c r="E92" s="44" t="s">
        <v>323</v>
      </c>
      <c r="F92" s="44">
        <v>1500.0</v>
      </c>
      <c r="G92" s="44">
        <v>4.615</v>
      </c>
      <c r="H92" s="44">
        <v>1.81</v>
      </c>
      <c r="I92" s="44">
        <v>1.365</v>
      </c>
      <c r="J92" s="44">
        <v>2.7</v>
      </c>
      <c r="K92" s="44">
        <v>1.51</v>
      </c>
      <c r="L92" s="44">
        <v>1.52</v>
      </c>
      <c r="M92" s="44">
        <v>0.135</v>
      </c>
      <c r="N92" s="44">
        <v>0.34</v>
      </c>
      <c r="O92" s="44">
        <v>1.0</v>
      </c>
      <c r="P92" s="44">
        <v>0.5</v>
      </c>
      <c r="Q92" s="44">
        <v>1.0</v>
      </c>
      <c r="R92" s="44">
        <v>0.0</v>
      </c>
      <c r="S92" s="44">
        <v>1.113</v>
      </c>
      <c r="T92" s="44">
        <v>0.215</v>
      </c>
      <c r="U92" s="44">
        <v>0.55</v>
      </c>
      <c r="V92" s="44">
        <v>16.0</v>
      </c>
      <c r="W92" s="44">
        <v>0.215</v>
      </c>
      <c r="X92" s="44">
        <v>0.55</v>
      </c>
      <c r="Y92" s="44">
        <v>16.0</v>
      </c>
      <c r="Z92" s="44">
        <v>0.0</v>
      </c>
      <c r="AA92" s="44">
        <v>-1.0</v>
      </c>
      <c r="AB92" s="44">
        <v>3.0</v>
      </c>
      <c r="AC92" s="44">
        <v>10.0</v>
      </c>
      <c r="AD92" s="44">
        <v>1.4</v>
      </c>
      <c r="AE92" s="44">
        <v>2.0</v>
      </c>
      <c r="AF92" s="44">
        <v>-1.0</v>
      </c>
      <c r="AG92" s="44">
        <v>-0.3</v>
      </c>
      <c r="AH92" s="44">
        <v>1.4</v>
      </c>
      <c r="AI92" s="44">
        <v>1.0</v>
      </c>
      <c r="AJ92" s="44">
        <v>2946.0</v>
      </c>
      <c r="AK92" s="44">
        <v>0.0</v>
      </c>
      <c r="AL92" s="44">
        <v>6500.0</v>
      </c>
      <c r="AM92" s="44">
        <v>6500.0</v>
      </c>
      <c r="AN92" s="44">
        <v>700.0</v>
      </c>
      <c r="AO92" s="44">
        <v>3750.0</v>
      </c>
      <c r="AP92" s="44">
        <v>6000.0</v>
      </c>
      <c r="AQ92" s="44">
        <v>0.0</v>
      </c>
      <c r="AR92" s="57" t="s">
        <v>2319</v>
      </c>
      <c r="AS92" s="57" t="s">
        <v>2320</v>
      </c>
      <c r="AT92" s="57" t="s">
        <v>2321</v>
      </c>
      <c r="AU92" s="57" t="s">
        <v>2322</v>
      </c>
      <c r="AV92" s="57" t="s">
        <v>2323</v>
      </c>
      <c r="AW92" s="57" t="s">
        <v>2324</v>
      </c>
      <c r="AX92" s="57" t="s">
        <v>2325</v>
      </c>
      <c r="AY92" s="57" t="s">
        <v>2326</v>
      </c>
      <c r="AZ92" s="57" t="s">
        <v>2327</v>
      </c>
      <c r="BA92" s="57" t="s">
        <v>2328</v>
      </c>
      <c r="BB92" s="57" t="s">
        <v>2329</v>
      </c>
      <c r="BC92" s="57" t="s">
        <v>2330</v>
      </c>
      <c r="BD92" s="57" t="s">
        <v>2331</v>
      </c>
      <c r="BE92" s="57" t="s">
        <v>2332</v>
      </c>
      <c r="BF92" s="57" t="s">
        <v>1052</v>
      </c>
      <c r="BG92" s="57" t="s">
        <v>1029</v>
      </c>
      <c r="BH92" s="57" t="s">
        <v>1030</v>
      </c>
      <c r="BI92" s="57" t="s">
        <v>1031</v>
      </c>
      <c r="BJ92" s="57" t="s">
        <v>1032</v>
      </c>
      <c r="BK92" s="57" t="s">
        <v>1033</v>
      </c>
      <c r="BL92" s="57" t="s">
        <v>1034</v>
      </c>
      <c r="BM92" s="57" t="s">
        <v>1035</v>
      </c>
      <c r="BN92" s="57" t="s">
        <v>1036</v>
      </c>
      <c r="BO92" s="57" t="s">
        <v>1037</v>
      </c>
      <c r="BP92" s="44">
        <v>1.0</v>
      </c>
      <c r="BQ92" s="44">
        <v>4.0</v>
      </c>
      <c r="BR92" s="44">
        <v>3.131</v>
      </c>
      <c r="BS92" s="44">
        <v>1.707</v>
      </c>
      <c r="BT92" s="44">
        <v>1.153</v>
      </c>
      <c r="BU92" s="44">
        <v>0.829</v>
      </c>
      <c r="BV92" s="44">
        <v>0.0</v>
      </c>
      <c r="BW92" s="44">
        <v>0.0</v>
      </c>
      <c r="BX92" s="44">
        <v>0.0</v>
      </c>
      <c r="BY92" s="44">
        <v>0.0</v>
      </c>
      <c r="BZ92" s="44">
        <v>2.959</v>
      </c>
      <c r="CA92" s="44">
        <v>3.45</v>
      </c>
      <c r="CB92" s="44">
        <v>0.0</v>
      </c>
      <c r="CC92" s="44">
        <v>0.0</v>
      </c>
      <c r="CD92" s="44">
        <v>0.0</v>
      </c>
      <c r="CE92" s="44">
        <v>7000.0</v>
      </c>
      <c r="CF92" s="44">
        <v>6500.0</v>
      </c>
      <c r="CG92" s="44">
        <v>0.0</v>
      </c>
      <c r="CH92" s="44">
        <v>0.0</v>
      </c>
      <c r="CI92" s="44">
        <v>0.0</v>
      </c>
      <c r="CJ92" s="2"/>
      <c r="CK92" s="2"/>
    </row>
    <row r="93">
      <c r="A93" s="46">
        <v>92.0</v>
      </c>
      <c r="B93" s="46">
        <v>146.0</v>
      </c>
      <c r="C93" s="46" t="s">
        <v>324</v>
      </c>
      <c r="D93" s="46" t="s">
        <v>325</v>
      </c>
      <c r="E93" s="46" t="s">
        <v>326</v>
      </c>
      <c r="F93" s="46">
        <v>1650.0</v>
      </c>
      <c r="G93" s="46">
        <v>4.615</v>
      </c>
      <c r="H93" s="46">
        <v>1.815</v>
      </c>
      <c r="I93" s="46">
        <v>1.43</v>
      </c>
      <c r="J93" s="46">
        <v>2.715</v>
      </c>
      <c r="K93" s="46">
        <v>1.555</v>
      </c>
      <c r="L93" s="46">
        <v>1.555</v>
      </c>
      <c r="M93" s="46">
        <v>0.1</v>
      </c>
      <c r="N93" s="46">
        <v>0.45</v>
      </c>
      <c r="O93" s="46">
        <v>4.0</v>
      </c>
      <c r="P93" s="46">
        <v>0.5</v>
      </c>
      <c r="Q93" s="46">
        <v>1.0</v>
      </c>
      <c r="R93" s="46">
        <v>0.0</v>
      </c>
      <c r="S93" s="46">
        <v>1.148</v>
      </c>
      <c r="T93" s="46">
        <v>0.235</v>
      </c>
      <c r="U93" s="46">
        <v>0.4</v>
      </c>
      <c r="V93" s="46">
        <v>18.0</v>
      </c>
      <c r="W93" s="46">
        <v>0.235</v>
      </c>
      <c r="X93" s="46">
        <v>0.4</v>
      </c>
      <c r="Y93" s="46">
        <v>18.0</v>
      </c>
      <c r="Z93" s="46">
        <v>0.0</v>
      </c>
      <c r="AA93" s="46">
        <v>-0.15</v>
      </c>
      <c r="AB93" s="46">
        <v>3.0</v>
      </c>
      <c r="AC93" s="46">
        <v>14.0</v>
      </c>
      <c r="AD93" s="46">
        <v>1.8</v>
      </c>
      <c r="AE93" s="46">
        <v>2.0</v>
      </c>
      <c r="AF93" s="46">
        <v>0.0</v>
      </c>
      <c r="AG93" s="46">
        <v>-0.3</v>
      </c>
      <c r="AH93" s="46">
        <v>1.8</v>
      </c>
      <c r="AI93" s="46">
        <v>2.0</v>
      </c>
      <c r="AJ93" s="46">
        <v>2521.0</v>
      </c>
      <c r="AK93" s="46">
        <v>6.0</v>
      </c>
      <c r="AL93" s="46">
        <v>7000.0</v>
      </c>
      <c r="AM93" s="46">
        <v>7200.0</v>
      </c>
      <c r="AN93" s="46">
        <v>700.0</v>
      </c>
      <c r="AO93" s="46">
        <v>1850.0</v>
      </c>
      <c r="AP93" s="46">
        <v>6000.0</v>
      </c>
      <c r="AQ93" s="46">
        <v>0.0</v>
      </c>
      <c r="AR93" s="58" t="s">
        <v>2333</v>
      </c>
      <c r="AS93" s="58" t="s">
        <v>2334</v>
      </c>
      <c r="AT93" s="58" t="s">
        <v>1503</v>
      </c>
      <c r="AU93" s="58" t="s">
        <v>2335</v>
      </c>
      <c r="AV93" s="58" t="s">
        <v>2336</v>
      </c>
      <c r="AW93" s="58" t="s">
        <v>2337</v>
      </c>
      <c r="AX93" s="58" t="s">
        <v>2338</v>
      </c>
      <c r="AY93" s="58" t="s">
        <v>2339</v>
      </c>
      <c r="AZ93" s="58" t="s">
        <v>2340</v>
      </c>
      <c r="BA93" s="58" t="s">
        <v>2341</v>
      </c>
      <c r="BB93" s="58" t="s">
        <v>2342</v>
      </c>
      <c r="BC93" s="58" t="s">
        <v>2343</v>
      </c>
      <c r="BD93" s="58" t="s">
        <v>2344</v>
      </c>
      <c r="BE93" s="58" t="s">
        <v>2345</v>
      </c>
      <c r="BF93" s="58" t="s">
        <v>2346</v>
      </c>
      <c r="BG93" s="58" t="s">
        <v>1029</v>
      </c>
      <c r="BH93" s="58" t="s">
        <v>1030</v>
      </c>
      <c r="BI93" s="58" t="s">
        <v>1031</v>
      </c>
      <c r="BJ93" s="58" t="s">
        <v>1032</v>
      </c>
      <c r="BK93" s="58" t="s">
        <v>1033</v>
      </c>
      <c r="BL93" s="58" t="s">
        <v>1034</v>
      </c>
      <c r="BM93" s="58" t="s">
        <v>1035</v>
      </c>
      <c r="BN93" s="58" t="s">
        <v>1036</v>
      </c>
      <c r="BO93" s="58" t="s">
        <v>1037</v>
      </c>
      <c r="BP93" s="46">
        <v>1.0</v>
      </c>
      <c r="BQ93" s="46">
        <v>5.0</v>
      </c>
      <c r="BR93" s="46">
        <v>4.657</v>
      </c>
      <c r="BS93" s="46">
        <v>3.032</v>
      </c>
      <c r="BT93" s="46">
        <v>1.982</v>
      </c>
      <c r="BU93" s="46">
        <v>1.341</v>
      </c>
      <c r="BV93" s="46">
        <v>1.018</v>
      </c>
      <c r="BW93" s="46">
        <v>0.0</v>
      </c>
      <c r="BX93" s="46">
        <v>0.0</v>
      </c>
      <c r="BY93" s="46">
        <v>0.0</v>
      </c>
      <c r="BZ93" s="46">
        <v>5.114</v>
      </c>
      <c r="CA93" s="46">
        <v>2.65</v>
      </c>
      <c r="CB93" s="46">
        <v>0.0</v>
      </c>
      <c r="CC93" s="46">
        <v>0.0</v>
      </c>
      <c r="CD93" s="46">
        <v>1.0</v>
      </c>
      <c r="CE93" s="46">
        <v>8000.0</v>
      </c>
      <c r="CF93" s="46">
        <v>7000.0</v>
      </c>
      <c r="CG93" s="46">
        <v>0.0</v>
      </c>
      <c r="CH93" s="46">
        <v>1.0</v>
      </c>
      <c r="CI93" s="46">
        <v>0.0</v>
      </c>
      <c r="CJ93" s="2"/>
      <c r="CK93" s="2"/>
    </row>
    <row r="94">
      <c r="A94" s="44">
        <v>93.0</v>
      </c>
      <c r="B94" s="44">
        <v>148.0</v>
      </c>
      <c r="C94" s="44" t="s">
        <v>327</v>
      </c>
      <c r="D94" s="44" t="s">
        <v>328</v>
      </c>
      <c r="E94" s="44" t="s">
        <v>329</v>
      </c>
      <c r="F94" s="44">
        <v>1370.0</v>
      </c>
      <c r="G94" s="44">
        <v>4.395</v>
      </c>
      <c r="H94" s="44">
        <v>1.76</v>
      </c>
      <c r="I94" s="44">
        <v>1.33</v>
      </c>
      <c r="J94" s="44">
        <v>2.53</v>
      </c>
      <c r="K94" s="44">
        <v>1.49</v>
      </c>
      <c r="L94" s="44">
        <v>1.49</v>
      </c>
      <c r="M94" s="44">
        <v>0.125</v>
      </c>
      <c r="N94" s="44">
        <v>0.358</v>
      </c>
      <c r="O94" s="44">
        <v>1.0</v>
      </c>
      <c r="P94" s="44">
        <v>0.5</v>
      </c>
      <c r="Q94" s="44">
        <v>1.0</v>
      </c>
      <c r="R94" s="44">
        <v>0.0</v>
      </c>
      <c r="S94" s="44">
        <v>1.119</v>
      </c>
      <c r="T94" s="44">
        <v>0.215</v>
      </c>
      <c r="U94" s="44">
        <v>0.45</v>
      </c>
      <c r="V94" s="44">
        <v>17.0</v>
      </c>
      <c r="W94" s="44">
        <v>0.215</v>
      </c>
      <c r="X94" s="44">
        <v>0.45</v>
      </c>
      <c r="Y94" s="44">
        <v>17.0</v>
      </c>
      <c r="Z94" s="44">
        <v>0.0</v>
      </c>
      <c r="AA94" s="44">
        <v>-0.35</v>
      </c>
      <c r="AB94" s="44">
        <v>2.0</v>
      </c>
      <c r="AC94" s="44">
        <v>10.0</v>
      </c>
      <c r="AD94" s="44">
        <v>1.5</v>
      </c>
      <c r="AE94" s="44">
        <v>2.0</v>
      </c>
      <c r="AF94" s="44">
        <v>-3.0</v>
      </c>
      <c r="AG94" s="44">
        <v>-1.0</v>
      </c>
      <c r="AH94" s="44">
        <v>1.5</v>
      </c>
      <c r="AI94" s="44">
        <v>1.0</v>
      </c>
      <c r="AJ94" s="44">
        <v>2656.0</v>
      </c>
      <c r="AK94" s="44">
        <v>0.0</v>
      </c>
      <c r="AL94" s="44">
        <v>6500.0</v>
      </c>
      <c r="AM94" s="44">
        <v>6700.0</v>
      </c>
      <c r="AN94" s="44">
        <v>700.0</v>
      </c>
      <c r="AO94" s="44">
        <v>4000.0</v>
      </c>
      <c r="AP94" s="44">
        <v>6000.0</v>
      </c>
      <c r="AQ94" s="44">
        <v>0.0</v>
      </c>
      <c r="AR94" s="57" t="s">
        <v>2347</v>
      </c>
      <c r="AS94" s="57" t="s">
        <v>2348</v>
      </c>
      <c r="AT94" s="57" t="s">
        <v>2349</v>
      </c>
      <c r="AU94" s="57" t="s">
        <v>2350</v>
      </c>
      <c r="AV94" s="57" t="s">
        <v>2351</v>
      </c>
      <c r="AW94" s="57" t="s">
        <v>2352</v>
      </c>
      <c r="AX94" s="57" t="s">
        <v>2353</v>
      </c>
      <c r="AY94" s="57" t="s">
        <v>2354</v>
      </c>
      <c r="AZ94" s="57" t="s">
        <v>2355</v>
      </c>
      <c r="BA94" s="57" t="s">
        <v>2356</v>
      </c>
      <c r="BB94" s="57" t="s">
        <v>2357</v>
      </c>
      <c r="BC94" s="57" t="s">
        <v>2358</v>
      </c>
      <c r="BD94" s="57" t="s">
        <v>2359</v>
      </c>
      <c r="BE94" s="57" t="s">
        <v>2360</v>
      </c>
      <c r="BF94" s="57" t="s">
        <v>1052</v>
      </c>
      <c r="BG94" s="57" t="s">
        <v>1029</v>
      </c>
      <c r="BH94" s="57" t="s">
        <v>1030</v>
      </c>
      <c r="BI94" s="57" t="s">
        <v>1031</v>
      </c>
      <c r="BJ94" s="57" t="s">
        <v>1032</v>
      </c>
      <c r="BK94" s="57" t="s">
        <v>1033</v>
      </c>
      <c r="BL94" s="57" t="s">
        <v>1034</v>
      </c>
      <c r="BM94" s="57" t="s">
        <v>1035</v>
      </c>
      <c r="BN94" s="57" t="s">
        <v>1036</v>
      </c>
      <c r="BO94" s="57" t="s">
        <v>1037</v>
      </c>
      <c r="BP94" s="44">
        <v>0.0</v>
      </c>
      <c r="BQ94" s="44">
        <v>6.0</v>
      </c>
      <c r="BR94" s="44">
        <v>3.153</v>
      </c>
      <c r="BS94" s="44">
        <v>1.944</v>
      </c>
      <c r="BT94" s="44">
        <v>1.333</v>
      </c>
      <c r="BU94" s="44">
        <v>1.055</v>
      </c>
      <c r="BV94" s="44">
        <v>0.857</v>
      </c>
      <c r="BW94" s="44">
        <v>0.704</v>
      </c>
      <c r="BX94" s="44">
        <v>0.0</v>
      </c>
      <c r="BY94" s="44">
        <v>0.0</v>
      </c>
      <c r="BZ94" s="44">
        <v>3.002</v>
      </c>
      <c r="CA94" s="44">
        <v>4.428</v>
      </c>
      <c r="CB94" s="44">
        <v>0.0</v>
      </c>
      <c r="CC94" s="44">
        <v>0.0</v>
      </c>
      <c r="CD94" s="44">
        <v>0.0</v>
      </c>
      <c r="CE94" s="44">
        <v>8000.0</v>
      </c>
      <c r="CF94" s="44">
        <v>6500.0</v>
      </c>
      <c r="CG94" s="44">
        <v>0.0</v>
      </c>
      <c r="CH94" s="44">
        <v>0.0</v>
      </c>
      <c r="CI94" s="44">
        <v>0.0</v>
      </c>
      <c r="CJ94" s="2"/>
      <c r="CK94" s="2"/>
    </row>
    <row r="95">
      <c r="A95" s="46">
        <v>94.0</v>
      </c>
      <c r="B95" s="46">
        <v>151.0</v>
      </c>
      <c r="C95" s="46" t="s">
        <v>330</v>
      </c>
      <c r="D95" s="46" t="s">
        <v>331</v>
      </c>
      <c r="E95" s="46" t="s">
        <v>332</v>
      </c>
      <c r="F95" s="46">
        <v>1160.0</v>
      </c>
      <c r="G95" s="46">
        <v>3.925</v>
      </c>
      <c r="H95" s="46">
        <v>1.715</v>
      </c>
      <c r="I95" s="46">
        <v>1.204</v>
      </c>
      <c r="J95" s="46">
        <v>2.361</v>
      </c>
      <c r="K95" s="46">
        <v>1.448</v>
      </c>
      <c r="L95" s="46">
        <v>1.492</v>
      </c>
      <c r="M95" s="46">
        <v>0.07</v>
      </c>
      <c r="N95" s="46">
        <v>0.47</v>
      </c>
      <c r="O95" s="46">
        <v>0.0</v>
      </c>
      <c r="P95" s="46">
        <v>0.46</v>
      </c>
      <c r="Q95" s="46">
        <v>1.15</v>
      </c>
      <c r="R95" s="46">
        <v>0.0</v>
      </c>
      <c r="S95" s="46">
        <v>0.995</v>
      </c>
      <c r="T95" s="46">
        <v>0.225</v>
      </c>
      <c r="U95" s="46">
        <v>0.5</v>
      </c>
      <c r="V95" s="46">
        <v>16.0</v>
      </c>
      <c r="W95" s="46">
        <v>0.225</v>
      </c>
      <c r="X95" s="46">
        <v>0.5</v>
      </c>
      <c r="Y95" s="46">
        <v>16.0</v>
      </c>
      <c r="Z95" s="46">
        <v>0.0</v>
      </c>
      <c r="AA95" s="46">
        <v>0.3</v>
      </c>
      <c r="AB95" s="46">
        <v>6.0</v>
      </c>
      <c r="AC95" s="46">
        <v>14.0</v>
      </c>
      <c r="AD95" s="46">
        <v>2.4</v>
      </c>
      <c r="AE95" s="46">
        <v>3.0</v>
      </c>
      <c r="AF95" s="46">
        <v>-4.0</v>
      </c>
      <c r="AG95" s="46">
        <v>-0.3</v>
      </c>
      <c r="AH95" s="46">
        <v>2.3</v>
      </c>
      <c r="AI95" s="46">
        <v>2.0</v>
      </c>
      <c r="AJ95" s="46">
        <v>3605.0</v>
      </c>
      <c r="AK95" s="46">
        <v>0.0</v>
      </c>
      <c r="AL95" s="46">
        <v>7500.0</v>
      </c>
      <c r="AM95" s="46">
        <v>7500.0</v>
      </c>
      <c r="AN95" s="46">
        <v>700.0</v>
      </c>
      <c r="AO95" s="46">
        <v>5750.0</v>
      </c>
      <c r="AP95" s="46">
        <v>7500.0</v>
      </c>
      <c r="AQ95" s="46">
        <v>0.0</v>
      </c>
      <c r="AR95" s="58" t="s">
        <v>2361</v>
      </c>
      <c r="AS95" s="58" t="s">
        <v>2362</v>
      </c>
      <c r="AT95" s="58" t="s">
        <v>2363</v>
      </c>
      <c r="AU95" s="58" t="s">
        <v>2364</v>
      </c>
      <c r="AV95" s="58" t="s">
        <v>2365</v>
      </c>
      <c r="AW95" s="58" t="s">
        <v>2366</v>
      </c>
      <c r="AX95" s="58" t="s">
        <v>2367</v>
      </c>
      <c r="AY95" s="58" t="s">
        <v>2368</v>
      </c>
      <c r="AZ95" s="58" t="s">
        <v>2369</v>
      </c>
      <c r="BA95" s="58" t="s">
        <v>2370</v>
      </c>
      <c r="BB95" s="58" t="s">
        <v>2371</v>
      </c>
      <c r="BC95" s="58" t="s">
        <v>2372</v>
      </c>
      <c r="BD95" s="58" t="s">
        <v>2373</v>
      </c>
      <c r="BE95" s="58" t="s">
        <v>2374</v>
      </c>
      <c r="BF95" s="58" t="s">
        <v>2375</v>
      </c>
      <c r="BG95" s="58" t="s">
        <v>2376</v>
      </c>
      <c r="BH95" s="58" t="s">
        <v>1030</v>
      </c>
      <c r="BI95" s="58" t="s">
        <v>1031</v>
      </c>
      <c r="BJ95" s="58" t="s">
        <v>1032</v>
      </c>
      <c r="BK95" s="58" t="s">
        <v>1033</v>
      </c>
      <c r="BL95" s="58" t="s">
        <v>1034</v>
      </c>
      <c r="BM95" s="58" t="s">
        <v>1035</v>
      </c>
      <c r="BN95" s="58" t="s">
        <v>1036</v>
      </c>
      <c r="BO95" s="58" t="s">
        <v>1037</v>
      </c>
      <c r="BP95" s="46">
        <v>0.0</v>
      </c>
      <c r="BQ95" s="46">
        <v>5.0</v>
      </c>
      <c r="BR95" s="46">
        <v>2.95</v>
      </c>
      <c r="BS95" s="46">
        <v>1.95</v>
      </c>
      <c r="BT95" s="46">
        <v>1.34</v>
      </c>
      <c r="BU95" s="46">
        <v>1.0</v>
      </c>
      <c r="BV95" s="46">
        <v>0.8</v>
      </c>
      <c r="BW95" s="46">
        <v>0.0</v>
      </c>
      <c r="BX95" s="46">
        <v>0.0</v>
      </c>
      <c r="BY95" s="46">
        <v>0.0</v>
      </c>
      <c r="BZ95" s="46">
        <v>3.1</v>
      </c>
      <c r="CA95" s="46">
        <v>3.73</v>
      </c>
      <c r="CB95" s="46">
        <v>3.0</v>
      </c>
      <c r="CC95" s="46">
        <v>0.0</v>
      </c>
      <c r="CD95" s="46">
        <v>0.0</v>
      </c>
      <c r="CE95" s="46">
        <v>8000.0</v>
      </c>
      <c r="CF95" s="46">
        <v>7500.0</v>
      </c>
      <c r="CG95" s="46">
        <v>0.0</v>
      </c>
      <c r="CH95" s="46">
        <v>0.0</v>
      </c>
      <c r="CI95" s="46">
        <v>0.0</v>
      </c>
      <c r="CJ95" s="2"/>
      <c r="CK95" s="2"/>
    </row>
    <row r="96">
      <c r="A96" s="44">
        <v>95.0</v>
      </c>
      <c r="B96" s="44">
        <v>152.0</v>
      </c>
      <c r="C96" s="44" t="s">
        <v>333</v>
      </c>
      <c r="D96" s="44" t="s">
        <v>334</v>
      </c>
      <c r="E96" s="44" t="s">
        <v>335</v>
      </c>
      <c r="F96" s="44">
        <v>850.0</v>
      </c>
      <c r="G96" s="44">
        <v>3.395</v>
      </c>
      <c r="H96" s="44">
        <v>1.475</v>
      </c>
      <c r="I96" s="44">
        <v>1.59</v>
      </c>
      <c r="J96" s="44">
        <v>2.36</v>
      </c>
      <c r="K96" s="44">
        <v>1.295</v>
      </c>
      <c r="L96" s="44">
        <v>1.29</v>
      </c>
      <c r="M96" s="44">
        <v>0.15</v>
      </c>
      <c r="N96" s="44">
        <v>0.4</v>
      </c>
      <c r="O96" s="44">
        <v>1.0</v>
      </c>
      <c r="P96" s="44">
        <v>0.5</v>
      </c>
      <c r="Q96" s="44">
        <v>0.9</v>
      </c>
      <c r="R96" s="44">
        <v>0.0</v>
      </c>
      <c r="S96" s="44">
        <v>1.268</v>
      </c>
      <c r="T96" s="44">
        <v>0.155</v>
      </c>
      <c r="U96" s="44">
        <v>0.65</v>
      </c>
      <c r="V96" s="44">
        <v>13.0</v>
      </c>
      <c r="W96" s="44">
        <v>0.155</v>
      </c>
      <c r="X96" s="44">
        <v>0.65</v>
      </c>
      <c r="Y96" s="44">
        <v>13.0</v>
      </c>
      <c r="Z96" s="44">
        <v>0.0</v>
      </c>
      <c r="AA96" s="44">
        <v>0.1</v>
      </c>
      <c r="AB96" s="44">
        <v>3.35</v>
      </c>
      <c r="AC96" s="44">
        <v>11.4</v>
      </c>
      <c r="AD96" s="44">
        <v>1.3</v>
      </c>
      <c r="AE96" s="44">
        <v>0.5</v>
      </c>
      <c r="AF96" s="44">
        <v>0.0</v>
      </c>
      <c r="AG96" s="44">
        <v>0.0</v>
      </c>
      <c r="AH96" s="44">
        <v>1.3</v>
      </c>
      <c r="AI96" s="44">
        <v>0.5</v>
      </c>
      <c r="AJ96" s="44">
        <v>658.0</v>
      </c>
      <c r="AK96" s="44">
        <v>0.0</v>
      </c>
      <c r="AL96" s="44">
        <v>7000.0</v>
      </c>
      <c r="AM96" s="44">
        <v>7000.0</v>
      </c>
      <c r="AN96" s="44">
        <v>650.0</v>
      </c>
      <c r="AO96" s="44">
        <v>3500.0</v>
      </c>
      <c r="AP96" s="44">
        <v>6500.0</v>
      </c>
      <c r="AQ96" s="44">
        <v>0.0</v>
      </c>
      <c r="AR96" s="57" t="s">
        <v>2377</v>
      </c>
      <c r="AS96" s="57" t="s">
        <v>1131</v>
      </c>
      <c r="AT96" s="57" t="s">
        <v>2378</v>
      </c>
      <c r="AU96" s="57" t="s">
        <v>2379</v>
      </c>
      <c r="AV96" s="57" t="s">
        <v>2380</v>
      </c>
      <c r="AW96" s="57" t="s">
        <v>2381</v>
      </c>
      <c r="AX96" s="57" t="s">
        <v>2382</v>
      </c>
      <c r="AY96" s="57" t="s">
        <v>2383</v>
      </c>
      <c r="AZ96" s="57" t="s">
        <v>2384</v>
      </c>
      <c r="BA96" s="57" t="s">
        <v>2385</v>
      </c>
      <c r="BB96" s="57" t="s">
        <v>2386</v>
      </c>
      <c r="BC96" s="57" t="s">
        <v>2387</v>
      </c>
      <c r="BD96" s="57" t="s">
        <v>2388</v>
      </c>
      <c r="BE96" s="57" t="s">
        <v>2389</v>
      </c>
      <c r="BF96" s="57" t="s">
        <v>2390</v>
      </c>
      <c r="BG96" s="57" t="s">
        <v>1029</v>
      </c>
      <c r="BH96" s="57" t="s">
        <v>1030</v>
      </c>
      <c r="BI96" s="57" t="s">
        <v>1031</v>
      </c>
      <c r="BJ96" s="57" t="s">
        <v>1032</v>
      </c>
      <c r="BK96" s="57" t="s">
        <v>1033</v>
      </c>
      <c r="BL96" s="57" t="s">
        <v>1034</v>
      </c>
      <c r="BM96" s="57" t="s">
        <v>1035</v>
      </c>
      <c r="BN96" s="57" t="s">
        <v>1036</v>
      </c>
      <c r="BO96" s="57" t="s">
        <v>1037</v>
      </c>
      <c r="BP96" s="44">
        <v>1.0</v>
      </c>
      <c r="BQ96" s="44">
        <v>4.0</v>
      </c>
      <c r="BR96" s="44">
        <v>2.914</v>
      </c>
      <c r="BS96" s="44">
        <v>1.525</v>
      </c>
      <c r="BT96" s="44">
        <v>1.0</v>
      </c>
      <c r="BU96" s="44">
        <v>0.725</v>
      </c>
      <c r="BV96" s="44">
        <v>0.0</v>
      </c>
      <c r="BW96" s="44">
        <v>0.0</v>
      </c>
      <c r="BX96" s="44">
        <v>0.0</v>
      </c>
      <c r="BY96" s="44">
        <v>0.0</v>
      </c>
      <c r="BZ96" s="44">
        <v>2.642</v>
      </c>
      <c r="CA96" s="44">
        <v>5.482</v>
      </c>
      <c r="CB96" s="44">
        <v>0.0</v>
      </c>
      <c r="CC96" s="44">
        <v>0.0</v>
      </c>
      <c r="CD96" s="44">
        <v>0.0</v>
      </c>
      <c r="CE96" s="44">
        <v>7000.0</v>
      </c>
      <c r="CF96" s="44">
        <v>6500.0</v>
      </c>
      <c r="CG96" s="44">
        <v>0.0</v>
      </c>
      <c r="CH96" s="44">
        <v>0.0</v>
      </c>
      <c r="CI96" s="44">
        <v>0.0</v>
      </c>
      <c r="CJ96" s="2"/>
      <c r="CK96" s="2"/>
    </row>
    <row r="97">
      <c r="A97" s="46">
        <v>96.0</v>
      </c>
      <c r="B97" s="46">
        <v>153.0</v>
      </c>
      <c r="C97" s="46" t="s">
        <v>336</v>
      </c>
      <c r="D97" s="46" t="s">
        <v>337</v>
      </c>
      <c r="E97" s="46" t="s">
        <v>338</v>
      </c>
      <c r="F97" s="46">
        <v>1140.0</v>
      </c>
      <c r="G97" s="46">
        <v>4.34</v>
      </c>
      <c r="H97" s="46">
        <v>1.735</v>
      </c>
      <c r="I97" s="46">
        <v>1.305</v>
      </c>
      <c r="J97" s="46">
        <v>2.6</v>
      </c>
      <c r="K97" s="46">
        <v>1.49</v>
      </c>
      <c r="L97" s="46">
        <v>1.48</v>
      </c>
      <c r="M97" s="46">
        <v>0.14</v>
      </c>
      <c r="N97" s="46">
        <v>0.368</v>
      </c>
      <c r="O97" s="46">
        <v>1.0</v>
      </c>
      <c r="P97" s="46">
        <v>0.5</v>
      </c>
      <c r="Q97" s="46">
        <v>1.1</v>
      </c>
      <c r="R97" s="46">
        <v>0.0</v>
      </c>
      <c r="S97" s="46">
        <v>1.069</v>
      </c>
      <c r="T97" s="46">
        <v>0.205</v>
      </c>
      <c r="U97" s="46">
        <v>0.5</v>
      </c>
      <c r="V97" s="46">
        <v>16.0</v>
      </c>
      <c r="W97" s="46">
        <v>0.205</v>
      </c>
      <c r="X97" s="46">
        <v>0.5</v>
      </c>
      <c r="Y97" s="46">
        <v>16.0</v>
      </c>
      <c r="Z97" s="46">
        <v>0.0</v>
      </c>
      <c r="AA97" s="46">
        <v>-0.1</v>
      </c>
      <c r="AB97" s="46">
        <v>2.45</v>
      </c>
      <c r="AC97" s="46">
        <v>2.55</v>
      </c>
      <c r="AD97" s="46">
        <v>1.4</v>
      </c>
      <c r="AE97" s="46">
        <v>1.0</v>
      </c>
      <c r="AF97" s="46">
        <v>-3.0</v>
      </c>
      <c r="AG97" s="46">
        <v>-1.15</v>
      </c>
      <c r="AH97" s="46">
        <v>1.4</v>
      </c>
      <c r="AI97" s="46">
        <v>1.0</v>
      </c>
      <c r="AJ97" s="46">
        <v>1795.0</v>
      </c>
      <c r="AK97" s="46">
        <v>0.0</v>
      </c>
      <c r="AL97" s="46">
        <v>7800.0</v>
      </c>
      <c r="AM97" s="46">
        <v>7800.0</v>
      </c>
      <c r="AN97" s="46">
        <v>700.0</v>
      </c>
      <c r="AO97" s="46">
        <v>6800.0</v>
      </c>
      <c r="AP97" s="46">
        <v>7600.0</v>
      </c>
      <c r="AQ97" s="46">
        <v>0.0</v>
      </c>
      <c r="AR97" s="58" t="s">
        <v>2391</v>
      </c>
      <c r="AS97" s="58" t="s">
        <v>2392</v>
      </c>
      <c r="AT97" s="58" t="s">
        <v>2218</v>
      </c>
      <c r="AU97" s="58" t="s">
        <v>2393</v>
      </c>
      <c r="AV97" s="58" t="s">
        <v>2394</v>
      </c>
      <c r="AW97" s="58" t="s">
        <v>2395</v>
      </c>
      <c r="AX97" s="58" t="s">
        <v>2396</v>
      </c>
      <c r="AY97" s="58" t="s">
        <v>2397</v>
      </c>
      <c r="AZ97" s="58" t="s">
        <v>2398</v>
      </c>
      <c r="BA97" s="58" t="s">
        <v>2399</v>
      </c>
      <c r="BB97" s="58" t="s">
        <v>2400</v>
      </c>
      <c r="BC97" s="58" t="s">
        <v>2198</v>
      </c>
      <c r="BD97" s="58" t="s">
        <v>2401</v>
      </c>
      <c r="BE97" s="58" t="s">
        <v>2402</v>
      </c>
      <c r="BF97" s="58" t="s">
        <v>2403</v>
      </c>
      <c r="BG97" s="58" t="s">
        <v>2404</v>
      </c>
      <c r="BH97" s="58" t="s">
        <v>2405</v>
      </c>
      <c r="BI97" s="58" t="s">
        <v>1031</v>
      </c>
      <c r="BJ97" s="58" t="s">
        <v>1032</v>
      </c>
      <c r="BK97" s="58" t="s">
        <v>1033</v>
      </c>
      <c r="BL97" s="58" t="s">
        <v>1034</v>
      </c>
      <c r="BM97" s="58" t="s">
        <v>1035</v>
      </c>
      <c r="BN97" s="58" t="s">
        <v>1036</v>
      </c>
      <c r="BO97" s="58" t="s">
        <v>1037</v>
      </c>
      <c r="BP97" s="46">
        <v>0.0</v>
      </c>
      <c r="BQ97" s="46">
        <v>6.0</v>
      </c>
      <c r="BR97" s="46">
        <v>3.166</v>
      </c>
      <c r="BS97" s="46">
        <v>2.05</v>
      </c>
      <c r="BT97" s="46">
        <v>1.481</v>
      </c>
      <c r="BU97" s="46">
        <v>1.166</v>
      </c>
      <c r="BV97" s="46">
        <v>0.916</v>
      </c>
      <c r="BW97" s="46">
        <v>0.725</v>
      </c>
      <c r="BX97" s="46">
        <v>0.0</v>
      </c>
      <c r="BY97" s="46">
        <v>0.0</v>
      </c>
      <c r="BZ97" s="46">
        <v>3.25</v>
      </c>
      <c r="CA97" s="46">
        <v>4.529</v>
      </c>
      <c r="CB97" s="46">
        <v>2.0</v>
      </c>
      <c r="CC97" s="46">
        <v>0.0</v>
      </c>
      <c r="CD97" s="46">
        <v>0.0</v>
      </c>
      <c r="CE97" s="46">
        <v>9000.0</v>
      </c>
      <c r="CF97" s="46">
        <v>7800.0</v>
      </c>
      <c r="CG97" s="46">
        <v>0.0</v>
      </c>
      <c r="CH97" s="46">
        <v>1.0</v>
      </c>
      <c r="CI97" s="46">
        <v>0.0</v>
      </c>
      <c r="CJ97" s="2"/>
      <c r="CK97" s="2"/>
    </row>
    <row r="98">
      <c r="A98" s="44">
        <v>97.0</v>
      </c>
      <c r="B98" s="44">
        <v>154.0</v>
      </c>
      <c r="C98" s="44" t="s">
        <v>339</v>
      </c>
      <c r="D98" s="44" t="s">
        <v>340</v>
      </c>
      <c r="E98" s="44" t="s">
        <v>341</v>
      </c>
      <c r="F98" s="44">
        <v>1250.0</v>
      </c>
      <c r="G98" s="44">
        <v>4.28</v>
      </c>
      <c r="H98" s="44">
        <v>1.865</v>
      </c>
      <c r="I98" s="44">
        <v>1.22</v>
      </c>
      <c r="J98" s="44">
        <v>2.566</v>
      </c>
      <c r="K98" s="44">
        <v>1.464</v>
      </c>
      <c r="L98" s="44">
        <v>1.47</v>
      </c>
      <c r="M98" s="44">
        <v>0.1</v>
      </c>
      <c r="N98" s="44">
        <v>0.52</v>
      </c>
      <c r="O98" s="44">
        <v>0.0</v>
      </c>
      <c r="P98" s="44">
        <v>0.46</v>
      </c>
      <c r="Q98" s="44">
        <v>1.1</v>
      </c>
      <c r="R98" s="44">
        <v>0.0</v>
      </c>
      <c r="S98" s="44">
        <v>0.994</v>
      </c>
      <c r="T98" s="44">
        <v>0.225</v>
      </c>
      <c r="U98" s="44">
        <v>0.35</v>
      </c>
      <c r="V98" s="44">
        <v>18.0</v>
      </c>
      <c r="W98" s="44">
        <v>0.255</v>
      </c>
      <c r="X98" s="44">
        <v>0.35</v>
      </c>
      <c r="Y98" s="44">
        <v>18.0</v>
      </c>
      <c r="Z98" s="44">
        <v>0.0</v>
      </c>
      <c r="AA98" s="44">
        <v>-0.2</v>
      </c>
      <c r="AB98" s="44">
        <v>6.0</v>
      </c>
      <c r="AC98" s="44">
        <v>14.0</v>
      </c>
      <c r="AD98" s="44">
        <v>2.0</v>
      </c>
      <c r="AE98" s="44">
        <v>3.0</v>
      </c>
      <c r="AF98" s="44">
        <v>-6.0</v>
      </c>
      <c r="AG98" s="44">
        <v>-0.3</v>
      </c>
      <c r="AH98" s="44">
        <v>2.0</v>
      </c>
      <c r="AI98" s="44">
        <v>2.0</v>
      </c>
      <c r="AJ98" s="44">
        <v>4475.0</v>
      </c>
      <c r="AK98" s="44">
        <v>0.0</v>
      </c>
      <c r="AL98" s="44">
        <v>7400.0</v>
      </c>
      <c r="AM98" s="44">
        <v>7400.0</v>
      </c>
      <c r="AN98" s="44">
        <v>700.0</v>
      </c>
      <c r="AO98" s="44">
        <v>5500.0</v>
      </c>
      <c r="AP98" s="44">
        <v>6750.0</v>
      </c>
      <c r="AQ98" s="44">
        <v>0.0</v>
      </c>
      <c r="AR98" s="57" t="s">
        <v>2406</v>
      </c>
      <c r="AS98" s="57" t="s">
        <v>2407</v>
      </c>
      <c r="AT98" s="57" t="s">
        <v>2408</v>
      </c>
      <c r="AU98" s="57" t="s">
        <v>2409</v>
      </c>
      <c r="AV98" s="57" t="s">
        <v>2410</v>
      </c>
      <c r="AW98" s="57" t="s">
        <v>2411</v>
      </c>
      <c r="AX98" s="57" t="s">
        <v>2412</v>
      </c>
      <c r="AY98" s="57" t="s">
        <v>2413</v>
      </c>
      <c r="AZ98" s="57" t="s">
        <v>2414</v>
      </c>
      <c r="BA98" s="57" t="s">
        <v>2415</v>
      </c>
      <c r="BB98" s="57" t="s">
        <v>2416</v>
      </c>
      <c r="BC98" s="57" t="s">
        <v>2417</v>
      </c>
      <c r="BD98" s="57" t="s">
        <v>2418</v>
      </c>
      <c r="BE98" s="57" t="s">
        <v>2419</v>
      </c>
      <c r="BF98" s="57" t="s">
        <v>2420</v>
      </c>
      <c r="BG98" s="57" t="s">
        <v>2421</v>
      </c>
      <c r="BH98" s="57" t="s">
        <v>1029</v>
      </c>
      <c r="BI98" s="57" t="s">
        <v>1031</v>
      </c>
      <c r="BJ98" s="57" t="s">
        <v>1032</v>
      </c>
      <c r="BK98" s="57" t="s">
        <v>1033</v>
      </c>
      <c r="BL98" s="57" t="s">
        <v>1034</v>
      </c>
      <c r="BM98" s="57" t="s">
        <v>1035</v>
      </c>
      <c r="BN98" s="57" t="s">
        <v>1036</v>
      </c>
      <c r="BO98" s="57" t="s">
        <v>1037</v>
      </c>
      <c r="BP98" s="44">
        <v>0.0</v>
      </c>
      <c r="BQ98" s="44">
        <v>5.0</v>
      </c>
      <c r="BR98" s="44">
        <v>2.95</v>
      </c>
      <c r="BS98" s="44">
        <v>1.95</v>
      </c>
      <c r="BT98" s="44">
        <v>1.34</v>
      </c>
      <c r="BU98" s="44">
        <v>1.0</v>
      </c>
      <c r="BV98" s="44">
        <v>0.8</v>
      </c>
      <c r="BW98" s="44">
        <v>0.0</v>
      </c>
      <c r="BX98" s="44">
        <v>0.0</v>
      </c>
      <c r="BY98" s="44">
        <v>0.0</v>
      </c>
      <c r="BZ98" s="44">
        <v>3.1</v>
      </c>
      <c r="CA98" s="44">
        <v>3.45</v>
      </c>
      <c r="CB98" s="44">
        <v>3.0</v>
      </c>
      <c r="CC98" s="44">
        <v>0.0</v>
      </c>
      <c r="CD98" s="44">
        <v>0.0</v>
      </c>
      <c r="CE98" s="44">
        <v>8000.0</v>
      </c>
      <c r="CF98" s="44">
        <v>7400.0</v>
      </c>
      <c r="CG98" s="44">
        <v>0.0</v>
      </c>
      <c r="CH98" s="44">
        <v>1.0</v>
      </c>
      <c r="CI98" s="44">
        <v>0.0</v>
      </c>
      <c r="CJ98" s="2"/>
      <c r="CK98" s="2"/>
    </row>
    <row r="99">
      <c r="A99" s="46">
        <v>98.0</v>
      </c>
      <c r="B99" s="46">
        <v>155.0</v>
      </c>
      <c r="C99" s="46" t="s">
        <v>342</v>
      </c>
      <c r="D99" s="46" t="s">
        <v>343</v>
      </c>
      <c r="E99" s="46" t="s">
        <v>344</v>
      </c>
      <c r="F99" s="46">
        <v>710.0</v>
      </c>
      <c r="G99" s="46">
        <v>3.63</v>
      </c>
      <c r="H99" s="46">
        <v>1.74</v>
      </c>
      <c r="I99" s="46">
        <v>1.11</v>
      </c>
      <c r="J99" s="46">
        <v>2.375</v>
      </c>
      <c r="K99" s="46">
        <v>1.42</v>
      </c>
      <c r="L99" s="46">
        <v>1.48</v>
      </c>
      <c r="M99" s="46">
        <v>0.1</v>
      </c>
      <c r="N99" s="46">
        <v>0.58</v>
      </c>
      <c r="O99" s="46">
        <v>2.0</v>
      </c>
      <c r="P99" s="46">
        <v>0.43</v>
      </c>
      <c r="Q99" s="46">
        <v>1.1</v>
      </c>
      <c r="R99" s="46">
        <v>0.0</v>
      </c>
      <c r="S99" s="46">
        <v>0.906</v>
      </c>
      <c r="T99" s="46">
        <v>0.195</v>
      </c>
      <c r="U99" s="46">
        <v>0.5</v>
      </c>
      <c r="V99" s="46">
        <v>15.0</v>
      </c>
      <c r="W99" s="46">
        <v>0.205</v>
      </c>
      <c r="X99" s="46">
        <v>0.5</v>
      </c>
      <c r="Y99" s="46">
        <v>15.0</v>
      </c>
      <c r="Z99" s="46">
        <v>-2.0</v>
      </c>
      <c r="AA99" s="46">
        <v>0.0</v>
      </c>
      <c r="AB99" s="46">
        <v>6.0</v>
      </c>
      <c r="AC99" s="46">
        <v>10.0</v>
      </c>
      <c r="AD99" s="46">
        <v>2.0</v>
      </c>
      <c r="AE99" s="46">
        <v>2.0</v>
      </c>
      <c r="AF99" s="46">
        <v>-6.0</v>
      </c>
      <c r="AG99" s="46">
        <v>-0.3</v>
      </c>
      <c r="AH99" s="46">
        <v>2.0</v>
      </c>
      <c r="AI99" s="46">
        <v>1.0</v>
      </c>
      <c r="AJ99" s="46">
        <v>1998.0</v>
      </c>
      <c r="AK99" s="46">
        <v>0.0</v>
      </c>
      <c r="AL99" s="46">
        <v>7500.0</v>
      </c>
      <c r="AM99" s="46">
        <v>8000.0</v>
      </c>
      <c r="AN99" s="46">
        <v>700.0</v>
      </c>
      <c r="AO99" s="46">
        <v>6400.0</v>
      </c>
      <c r="AP99" s="46">
        <v>7300.0</v>
      </c>
      <c r="AQ99" s="46">
        <v>0.0</v>
      </c>
      <c r="AR99" s="58" t="s">
        <v>1429</v>
      </c>
      <c r="AS99" s="58" t="s">
        <v>2422</v>
      </c>
      <c r="AT99" s="58" t="s">
        <v>2423</v>
      </c>
      <c r="AU99" s="58" t="s">
        <v>2424</v>
      </c>
      <c r="AV99" s="58" t="s">
        <v>2425</v>
      </c>
      <c r="AW99" s="58" t="s">
        <v>2426</v>
      </c>
      <c r="AX99" s="58" t="s">
        <v>2427</v>
      </c>
      <c r="AY99" s="58" t="s">
        <v>2428</v>
      </c>
      <c r="AZ99" s="58" t="s">
        <v>2429</v>
      </c>
      <c r="BA99" s="58" t="s">
        <v>2430</v>
      </c>
      <c r="BB99" s="58" t="s">
        <v>2431</v>
      </c>
      <c r="BC99" s="58" t="s">
        <v>2432</v>
      </c>
      <c r="BD99" s="58" t="s">
        <v>2433</v>
      </c>
      <c r="BE99" s="58" t="s">
        <v>2434</v>
      </c>
      <c r="BF99" s="58" t="s">
        <v>2435</v>
      </c>
      <c r="BG99" s="58" t="s">
        <v>2436</v>
      </c>
      <c r="BH99" s="58" t="s">
        <v>1030</v>
      </c>
      <c r="BI99" s="58" t="s">
        <v>1031</v>
      </c>
      <c r="BJ99" s="58" t="s">
        <v>1032</v>
      </c>
      <c r="BK99" s="58" t="s">
        <v>1033</v>
      </c>
      <c r="BL99" s="58" t="s">
        <v>1034</v>
      </c>
      <c r="BM99" s="58" t="s">
        <v>1035</v>
      </c>
      <c r="BN99" s="58" t="s">
        <v>1036</v>
      </c>
      <c r="BO99" s="58" t="s">
        <v>1037</v>
      </c>
      <c r="BP99" s="46">
        <v>0.0</v>
      </c>
      <c r="BQ99" s="46">
        <v>5.0</v>
      </c>
      <c r="BR99" s="46">
        <v>3.063</v>
      </c>
      <c r="BS99" s="46">
        <v>1.826</v>
      </c>
      <c r="BT99" s="46">
        <v>1.207</v>
      </c>
      <c r="BU99" s="46">
        <v>0.926</v>
      </c>
      <c r="BV99" s="46">
        <v>0.756</v>
      </c>
      <c r="BW99" s="46">
        <v>0.0</v>
      </c>
      <c r="BX99" s="46">
        <v>0.0</v>
      </c>
      <c r="BY99" s="46">
        <v>0.0</v>
      </c>
      <c r="BZ99" s="46">
        <v>3.153</v>
      </c>
      <c r="CA99" s="46">
        <v>4.176</v>
      </c>
      <c r="CB99" s="46">
        <v>2.0</v>
      </c>
      <c r="CC99" s="46">
        <v>0.0</v>
      </c>
      <c r="CD99" s="46">
        <v>0.0</v>
      </c>
      <c r="CE99" s="46">
        <v>8000.0</v>
      </c>
      <c r="CF99" s="46">
        <v>7500.0</v>
      </c>
      <c r="CG99" s="46">
        <v>0.0</v>
      </c>
      <c r="CH99" s="46">
        <v>0.0</v>
      </c>
      <c r="CI99" s="46">
        <v>0.0</v>
      </c>
      <c r="CJ99" s="2"/>
      <c r="CK99" s="2"/>
    </row>
    <row r="100">
      <c r="A100" s="44">
        <v>99.0</v>
      </c>
      <c r="B100" s="44">
        <v>156.0</v>
      </c>
      <c r="C100" s="44" t="s">
        <v>345</v>
      </c>
      <c r="D100" s="44" t="s">
        <v>346</v>
      </c>
      <c r="E100" s="44" t="s">
        <v>347</v>
      </c>
      <c r="F100" s="44">
        <v>2550.0</v>
      </c>
      <c r="G100" s="44">
        <v>4.89</v>
      </c>
      <c r="H100" s="44">
        <v>1.94</v>
      </c>
      <c r="I100" s="44">
        <v>1.89</v>
      </c>
      <c r="J100" s="44">
        <v>2.85</v>
      </c>
      <c r="K100" s="44">
        <v>1.62</v>
      </c>
      <c r="L100" s="44">
        <v>1.615</v>
      </c>
      <c r="M100" s="44">
        <v>0.22</v>
      </c>
      <c r="N100" s="44">
        <v>0.443</v>
      </c>
      <c r="O100" s="44">
        <v>4.0</v>
      </c>
      <c r="P100" s="44">
        <v>0.6</v>
      </c>
      <c r="Q100" s="44">
        <v>1.0</v>
      </c>
      <c r="R100" s="44">
        <v>0.0</v>
      </c>
      <c r="S100" s="44">
        <v>1.506</v>
      </c>
      <c r="T100" s="44">
        <v>0.275</v>
      </c>
      <c r="U100" s="44">
        <v>0.65</v>
      </c>
      <c r="V100" s="44">
        <v>17.0</v>
      </c>
      <c r="W100" s="44">
        <v>0.275</v>
      </c>
      <c r="X100" s="44">
        <v>0.65</v>
      </c>
      <c r="Y100" s="44">
        <v>17.0</v>
      </c>
      <c r="Z100" s="44">
        <v>0.0</v>
      </c>
      <c r="AA100" s="44">
        <v>0.0</v>
      </c>
      <c r="AB100" s="44">
        <v>3.05</v>
      </c>
      <c r="AC100" s="44">
        <v>12.15</v>
      </c>
      <c r="AD100" s="44">
        <v>1.4</v>
      </c>
      <c r="AE100" s="44">
        <v>1.0</v>
      </c>
      <c r="AF100" s="44">
        <v>-1.5</v>
      </c>
      <c r="AG100" s="44">
        <v>0.0</v>
      </c>
      <c r="AH100" s="44">
        <v>1.4</v>
      </c>
      <c r="AI100" s="44">
        <v>1.0</v>
      </c>
      <c r="AJ100" s="44">
        <v>4163.0</v>
      </c>
      <c r="AK100" s="44">
        <v>6.0</v>
      </c>
      <c r="AL100" s="44">
        <v>4200.0</v>
      </c>
      <c r="AM100" s="44">
        <v>4200.0</v>
      </c>
      <c r="AN100" s="44">
        <v>700.0</v>
      </c>
      <c r="AO100" s="44">
        <v>1200.0</v>
      </c>
      <c r="AP100" s="44">
        <v>3200.0</v>
      </c>
      <c r="AQ100" s="44">
        <v>0.0</v>
      </c>
      <c r="AR100" s="57" t="s">
        <v>2437</v>
      </c>
      <c r="AS100" s="57" t="s">
        <v>2438</v>
      </c>
      <c r="AT100" s="57" t="s">
        <v>2439</v>
      </c>
      <c r="AU100" s="57" t="s">
        <v>2440</v>
      </c>
      <c r="AV100" s="57" t="s">
        <v>2441</v>
      </c>
      <c r="AW100" s="57" t="s">
        <v>2442</v>
      </c>
      <c r="AX100" s="57" t="s">
        <v>2443</v>
      </c>
      <c r="AY100" s="57" t="s">
        <v>2444</v>
      </c>
      <c r="AZ100" s="57" t="s">
        <v>2445</v>
      </c>
      <c r="BA100" s="57" t="s">
        <v>2446</v>
      </c>
      <c r="BB100" s="57" t="s">
        <v>2447</v>
      </c>
      <c r="BC100" s="57" t="s">
        <v>1341</v>
      </c>
      <c r="BD100" s="57" t="s">
        <v>1342</v>
      </c>
      <c r="BE100" s="57" t="s">
        <v>1143</v>
      </c>
      <c r="BF100" s="57" t="s">
        <v>1052</v>
      </c>
      <c r="BG100" s="57" t="s">
        <v>1029</v>
      </c>
      <c r="BH100" s="57" t="s">
        <v>1030</v>
      </c>
      <c r="BI100" s="57" t="s">
        <v>1031</v>
      </c>
      <c r="BJ100" s="57" t="s">
        <v>1032</v>
      </c>
      <c r="BK100" s="57" t="s">
        <v>1033</v>
      </c>
      <c r="BL100" s="57" t="s">
        <v>1034</v>
      </c>
      <c r="BM100" s="57" t="s">
        <v>1035</v>
      </c>
      <c r="BN100" s="57" t="s">
        <v>1036</v>
      </c>
      <c r="BO100" s="57" t="s">
        <v>1037</v>
      </c>
      <c r="BP100" s="44">
        <v>1.0</v>
      </c>
      <c r="BQ100" s="44">
        <v>5.0</v>
      </c>
      <c r="BR100" s="44">
        <v>3.52</v>
      </c>
      <c r="BS100" s="44">
        <v>2.042</v>
      </c>
      <c r="BT100" s="44">
        <v>1.4</v>
      </c>
      <c r="BU100" s="44">
        <v>1.0</v>
      </c>
      <c r="BV100" s="44">
        <v>0.716</v>
      </c>
      <c r="BW100" s="44">
        <v>0.0</v>
      </c>
      <c r="BX100" s="44">
        <v>0.0</v>
      </c>
      <c r="BY100" s="44">
        <v>0.0</v>
      </c>
      <c r="BZ100" s="44">
        <v>3.224</v>
      </c>
      <c r="CA100" s="44">
        <v>3.909</v>
      </c>
      <c r="CB100" s="44">
        <v>0.0</v>
      </c>
      <c r="CC100" s="44">
        <v>3.0</v>
      </c>
      <c r="CD100" s="44">
        <v>1.0</v>
      </c>
      <c r="CE100" s="44">
        <v>6000.0</v>
      </c>
      <c r="CF100" s="44">
        <v>4200.0</v>
      </c>
      <c r="CG100" s="44">
        <v>0.0</v>
      </c>
      <c r="CH100" s="44">
        <v>0.0</v>
      </c>
      <c r="CI100" s="44">
        <v>33.0</v>
      </c>
      <c r="CJ100" s="2"/>
      <c r="CK100" s="2"/>
    </row>
    <row r="101">
      <c r="A101" s="46">
        <v>100.0</v>
      </c>
      <c r="B101" s="46">
        <v>157.0</v>
      </c>
      <c r="C101" s="46" t="s">
        <v>348</v>
      </c>
      <c r="D101" s="46" t="s">
        <v>349</v>
      </c>
      <c r="E101" s="46" t="s">
        <v>350</v>
      </c>
      <c r="F101" s="46">
        <v>2040.0</v>
      </c>
      <c r="G101" s="46">
        <v>4.795</v>
      </c>
      <c r="H101" s="46">
        <v>1.795</v>
      </c>
      <c r="I101" s="46">
        <v>1.92</v>
      </c>
      <c r="J101" s="46">
        <v>2.95</v>
      </c>
      <c r="K101" s="46">
        <v>1.535</v>
      </c>
      <c r="L101" s="46">
        <v>1.54</v>
      </c>
      <c r="M101" s="46">
        <v>0.13</v>
      </c>
      <c r="N101" s="46">
        <v>0.49</v>
      </c>
      <c r="O101" s="46">
        <v>0.0</v>
      </c>
      <c r="P101" s="46">
        <v>0.6</v>
      </c>
      <c r="Q101" s="46">
        <v>1.05</v>
      </c>
      <c r="R101" s="46">
        <v>0.0</v>
      </c>
      <c r="S101" s="46">
        <v>1.537</v>
      </c>
      <c r="T101" s="46">
        <v>0.215</v>
      </c>
      <c r="U101" s="46">
        <v>0.65</v>
      </c>
      <c r="V101" s="46">
        <v>16.0</v>
      </c>
      <c r="W101" s="46">
        <v>0.215</v>
      </c>
      <c r="X101" s="46">
        <v>0.65</v>
      </c>
      <c r="Y101" s="46">
        <v>16.0</v>
      </c>
      <c r="Z101" s="46">
        <v>0.0</v>
      </c>
      <c r="AA101" s="46">
        <v>0.0</v>
      </c>
      <c r="AB101" s="46">
        <v>4.0</v>
      </c>
      <c r="AC101" s="46">
        <v>13.2</v>
      </c>
      <c r="AD101" s="46">
        <v>1.6</v>
      </c>
      <c r="AE101" s="46">
        <v>2.0</v>
      </c>
      <c r="AF101" s="46">
        <v>-2.0</v>
      </c>
      <c r="AG101" s="46">
        <v>-0.05</v>
      </c>
      <c r="AH101" s="46">
        <v>1.6</v>
      </c>
      <c r="AI101" s="46">
        <v>1.0</v>
      </c>
      <c r="AJ101" s="46">
        <v>3498.0</v>
      </c>
      <c r="AK101" s="46">
        <v>0.0</v>
      </c>
      <c r="AL101" s="46">
        <v>6500.0</v>
      </c>
      <c r="AM101" s="46">
        <v>6500.0</v>
      </c>
      <c r="AN101" s="46">
        <v>700.0</v>
      </c>
      <c r="AO101" s="46">
        <v>3200.0</v>
      </c>
      <c r="AP101" s="46">
        <v>6000.0</v>
      </c>
      <c r="AQ101" s="46">
        <v>0.0</v>
      </c>
      <c r="AR101" s="58" t="s">
        <v>2448</v>
      </c>
      <c r="AS101" s="58" t="s">
        <v>2449</v>
      </c>
      <c r="AT101" s="58" t="s">
        <v>2450</v>
      </c>
      <c r="AU101" s="58" t="s">
        <v>2451</v>
      </c>
      <c r="AV101" s="58" t="s">
        <v>2452</v>
      </c>
      <c r="AW101" s="58" t="s">
        <v>2453</v>
      </c>
      <c r="AX101" s="58" t="s">
        <v>2454</v>
      </c>
      <c r="AY101" s="58" t="s">
        <v>2455</v>
      </c>
      <c r="AZ101" s="58" t="s">
        <v>2456</v>
      </c>
      <c r="BA101" s="58" t="s">
        <v>2457</v>
      </c>
      <c r="BB101" s="58" t="s">
        <v>2458</v>
      </c>
      <c r="BC101" s="58" t="s">
        <v>2459</v>
      </c>
      <c r="BD101" s="58" t="s">
        <v>2460</v>
      </c>
      <c r="BE101" s="58" t="s">
        <v>2461</v>
      </c>
      <c r="BF101" s="58" t="s">
        <v>1052</v>
      </c>
      <c r="BG101" s="58" t="s">
        <v>1029</v>
      </c>
      <c r="BH101" s="58" t="s">
        <v>1030</v>
      </c>
      <c r="BI101" s="58" t="s">
        <v>1031</v>
      </c>
      <c r="BJ101" s="58" t="s">
        <v>1032</v>
      </c>
      <c r="BK101" s="58" t="s">
        <v>1033</v>
      </c>
      <c r="BL101" s="58" t="s">
        <v>1034</v>
      </c>
      <c r="BM101" s="58" t="s">
        <v>1035</v>
      </c>
      <c r="BN101" s="58" t="s">
        <v>1036</v>
      </c>
      <c r="BO101" s="58" t="s">
        <v>1037</v>
      </c>
      <c r="BP101" s="46">
        <v>1.0</v>
      </c>
      <c r="BQ101" s="46">
        <v>5.0</v>
      </c>
      <c r="BR101" s="46">
        <v>3.54</v>
      </c>
      <c r="BS101" s="46">
        <v>2.264</v>
      </c>
      <c r="BT101" s="46">
        <v>1.471</v>
      </c>
      <c r="BU101" s="46">
        <v>1.0</v>
      </c>
      <c r="BV101" s="46">
        <v>0.834</v>
      </c>
      <c r="BW101" s="46">
        <v>0.0</v>
      </c>
      <c r="BX101" s="46">
        <v>0.0</v>
      </c>
      <c r="BY101" s="46">
        <v>0.0</v>
      </c>
      <c r="BZ101" s="46">
        <v>2.37</v>
      </c>
      <c r="CA101" s="46">
        <v>3.133</v>
      </c>
      <c r="CB101" s="46">
        <v>0.0</v>
      </c>
      <c r="CC101" s="46">
        <v>0.0</v>
      </c>
      <c r="CD101" s="46">
        <v>0.0</v>
      </c>
      <c r="CE101" s="46">
        <v>8000.0</v>
      </c>
      <c r="CF101" s="46">
        <v>6500.0</v>
      </c>
      <c r="CG101" s="46">
        <v>0.0</v>
      </c>
      <c r="CH101" s="46">
        <v>1.0</v>
      </c>
      <c r="CI101" s="46">
        <v>0.0</v>
      </c>
      <c r="CJ101" s="2"/>
      <c r="CK101" s="2"/>
    </row>
    <row r="102">
      <c r="A102" s="44">
        <v>101.0</v>
      </c>
      <c r="B102" s="44">
        <v>158.0</v>
      </c>
      <c r="C102" s="44" t="s">
        <v>351</v>
      </c>
      <c r="D102" s="44" t="s">
        <v>352</v>
      </c>
      <c r="E102" s="44" t="s">
        <v>353</v>
      </c>
      <c r="F102" s="44">
        <v>1470.0</v>
      </c>
      <c r="G102" s="44">
        <v>4.6</v>
      </c>
      <c r="H102" s="44">
        <v>1.785</v>
      </c>
      <c r="I102" s="44">
        <v>1.335</v>
      </c>
      <c r="J102" s="44">
        <v>2.665</v>
      </c>
      <c r="K102" s="44">
        <v>1.48</v>
      </c>
      <c r="L102" s="44">
        <v>1.49</v>
      </c>
      <c r="M102" s="44">
        <v>0.1</v>
      </c>
      <c r="N102" s="44">
        <v>0.475</v>
      </c>
      <c r="O102" s="44">
        <v>4.0</v>
      </c>
      <c r="P102" s="44">
        <v>0.5</v>
      </c>
      <c r="Q102" s="44">
        <v>1.2</v>
      </c>
      <c r="R102" s="44">
        <v>200.0</v>
      </c>
      <c r="S102" s="44">
        <v>1.133</v>
      </c>
      <c r="T102" s="44">
        <v>0.275</v>
      </c>
      <c r="U102" s="44">
        <v>0.35</v>
      </c>
      <c r="V102" s="44">
        <v>18.0</v>
      </c>
      <c r="W102" s="44">
        <v>0.275</v>
      </c>
      <c r="X102" s="44">
        <v>0.35</v>
      </c>
      <c r="Y102" s="44">
        <v>18.0</v>
      </c>
      <c r="Z102" s="44">
        <v>-1.0</v>
      </c>
      <c r="AA102" s="44">
        <v>-0.5</v>
      </c>
      <c r="AB102" s="44">
        <v>3.55</v>
      </c>
      <c r="AC102" s="44">
        <v>15.2</v>
      </c>
      <c r="AD102" s="44">
        <v>2.0</v>
      </c>
      <c r="AE102" s="44">
        <v>2.0</v>
      </c>
      <c r="AF102" s="44">
        <v>-2.0</v>
      </c>
      <c r="AG102" s="44">
        <v>-1.15</v>
      </c>
      <c r="AH102" s="44">
        <v>2.0</v>
      </c>
      <c r="AI102" s="44">
        <v>2.0</v>
      </c>
      <c r="AJ102" s="44">
        <v>2568.0</v>
      </c>
      <c r="AK102" s="44">
        <v>1.0</v>
      </c>
      <c r="AL102" s="44">
        <v>8000.0</v>
      </c>
      <c r="AM102" s="44">
        <v>8200.0</v>
      </c>
      <c r="AN102" s="44">
        <v>700.0</v>
      </c>
      <c r="AO102" s="44">
        <v>5600.0</v>
      </c>
      <c r="AP102" s="44">
        <v>6800.0</v>
      </c>
      <c r="AQ102" s="44">
        <v>0.0</v>
      </c>
      <c r="AR102" s="57" t="s">
        <v>2462</v>
      </c>
      <c r="AS102" s="57" t="s">
        <v>2463</v>
      </c>
      <c r="AT102" s="57" t="s">
        <v>2464</v>
      </c>
      <c r="AU102" s="57" t="s">
        <v>1973</v>
      </c>
      <c r="AV102" s="57" t="s">
        <v>2465</v>
      </c>
      <c r="AW102" s="57" t="s">
        <v>2466</v>
      </c>
      <c r="AX102" s="57" t="s">
        <v>2467</v>
      </c>
      <c r="AY102" s="57" t="s">
        <v>2468</v>
      </c>
      <c r="AZ102" s="57" t="s">
        <v>2469</v>
      </c>
      <c r="BA102" s="57" t="s">
        <v>2470</v>
      </c>
      <c r="BB102" s="57" t="s">
        <v>2471</v>
      </c>
      <c r="BC102" s="57" t="s">
        <v>2472</v>
      </c>
      <c r="BD102" s="57" t="s">
        <v>2473</v>
      </c>
      <c r="BE102" s="57" t="s">
        <v>2474</v>
      </c>
      <c r="BF102" s="57" t="s">
        <v>2475</v>
      </c>
      <c r="BG102" s="57" t="s">
        <v>2476</v>
      </c>
      <c r="BH102" s="57" t="s">
        <v>2477</v>
      </c>
      <c r="BI102" s="57" t="s">
        <v>2478</v>
      </c>
      <c r="BJ102" s="57" t="s">
        <v>1032</v>
      </c>
      <c r="BK102" s="57" t="s">
        <v>1033</v>
      </c>
      <c r="BL102" s="57" t="s">
        <v>1034</v>
      </c>
      <c r="BM102" s="57" t="s">
        <v>1035</v>
      </c>
      <c r="BN102" s="57" t="s">
        <v>1036</v>
      </c>
      <c r="BO102" s="57" t="s">
        <v>1037</v>
      </c>
      <c r="BP102" s="44">
        <v>0.0</v>
      </c>
      <c r="BQ102" s="44">
        <v>6.0</v>
      </c>
      <c r="BR102" s="44">
        <v>3.827</v>
      </c>
      <c r="BS102" s="44">
        <v>2.36</v>
      </c>
      <c r="BT102" s="44">
        <v>1.685</v>
      </c>
      <c r="BU102" s="44">
        <v>1.312</v>
      </c>
      <c r="BV102" s="44">
        <v>1.0</v>
      </c>
      <c r="BW102" s="44">
        <v>0.793</v>
      </c>
      <c r="BX102" s="44">
        <v>0.0</v>
      </c>
      <c r="BY102" s="44">
        <v>0.0</v>
      </c>
      <c r="BZ102" s="44">
        <v>3.28</v>
      </c>
      <c r="CA102" s="44">
        <v>3.545</v>
      </c>
      <c r="CB102" s="44">
        <v>0.0</v>
      </c>
      <c r="CC102" s="44">
        <v>2.0</v>
      </c>
      <c r="CD102" s="44">
        <v>5.0</v>
      </c>
      <c r="CE102" s="44">
        <v>11000.0</v>
      </c>
      <c r="CF102" s="44">
        <v>8000.0</v>
      </c>
      <c r="CG102" s="44">
        <v>0.0</v>
      </c>
      <c r="CH102" s="44">
        <v>1.0</v>
      </c>
      <c r="CI102" s="44">
        <v>0.0</v>
      </c>
      <c r="CJ102" s="2"/>
      <c r="CK102" s="2"/>
    </row>
    <row r="103">
      <c r="A103" s="46">
        <v>102.0</v>
      </c>
      <c r="B103" s="46">
        <v>159.0</v>
      </c>
      <c r="C103" s="46" t="s">
        <v>354</v>
      </c>
      <c r="D103" s="46" t="s">
        <v>355</v>
      </c>
      <c r="E103" s="46" t="s">
        <v>356</v>
      </c>
      <c r="F103" s="46">
        <v>1210.0</v>
      </c>
      <c r="G103" s="46">
        <v>4.445</v>
      </c>
      <c r="H103" s="46">
        <v>1.695</v>
      </c>
      <c r="I103" s="46">
        <v>1.265</v>
      </c>
      <c r="J103" s="46">
        <v>2.525</v>
      </c>
      <c r="K103" s="46">
        <v>1.47</v>
      </c>
      <c r="L103" s="46">
        <v>1.46</v>
      </c>
      <c r="M103" s="46">
        <v>0.06</v>
      </c>
      <c r="N103" s="46">
        <v>0.444</v>
      </c>
      <c r="O103" s="46">
        <v>0.0</v>
      </c>
      <c r="P103" s="46">
        <v>0.48</v>
      </c>
      <c r="Q103" s="46">
        <v>1.15</v>
      </c>
      <c r="R103" s="46">
        <v>100.0</v>
      </c>
      <c r="S103" s="46">
        <v>1.044</v>
      </c>
      <c r="T103" s="46">
        <v>0.225</v>
      </c>
      <c r="U103" s="46">
        <v>0.45</v>
      </c>
      <c r="V103" s="46">
        <v>17.0</v>
      </c>
      <c r="W103" s="46">
        <v>0.245</v>
      </c>
      <c r="X103" s="46">
        <v>0.4</v>
      </c>
      <c r="Y103" s="46">
        <v>17.0</v>
      </c>
      <c r="Z103" s="46">
        <v>0.0</v>
      </c>
      <c r="AA103" s="46">
        <v>-0.3</v>
      </c>
      <c r="AB103" s="46">
        <v>6.5</v>
      </c>
      <c r="AC103" s="46">
        <v>14.0</v>
      </c>
      <c r="AD103" s="46">
        <v>2.0</v>
      </c>
      <c r="AE103" s="46">
        <v>3.0</v>
      </c>
      <c r="AF103" s="46">
        <v>-4.0</v>
      </c>
      <c r="AG103" s="46">
        <v>-1.3</v>
      </c>
      <c r="AH103" s="46">
        <v>2.0</v>
      </c>
      <c r="AI103" s="46">
        <v>2.0</v>
      </c>
      <c r="AJ103" s="46">
        <v>1998.0</v>
      </c>
      <c r="AK103" s="46">
        <v>1.0</v>
      </c>
      <c r="AL103" s="46">
        <v>7250.0</v>
      </c>
      <c r="AM103" s="46">
        <v>7600.0</v>
      </c>
      <c r="AN103" s="46">
        <v>800.0</v>
      </c>
      <c r="AO103" s="46">
        <v>4800.0</v>
      </c>
      <c r="AP103" s="46">
        <v>6400.0</v>
      </c>
      <c r="AQ103" s="46">
        <v>0.0</v>
      </c>
      <c r="AR103" s="58" t="s">
        <v>2479</v>
      </c>
      <c r="AS103" s="58" t="s">
        <v>2480</v>
      </c>
      <c r="AT103" s="58" t="s">
        <v>2481</v>
      </c>
      <c r="AU103" s="58" t="s">
        <v>2482</v>
      </c>
      <c r="AV103" s="58" t="s">
        <v>2483</v>
      </c>
      <c r="AW103" s="58" t="s">
        <v>2484</v>
      </c>
      <c r="AX103" s="58" t="s">
        <v>2485</v>
      </c>
      <c r="AY103" s="58" t="s">
        <v>2486</v>
      </c>
      <c r="AZ103" s="58" t="s">
        <v>2487</v>
      </c>
      <c r="BA103" s="58" t="s">
        <v>2488</v>
      </c>
      <c r="BB103" s="58" t="s">
        <v>2489</v>
      </c>
      <c r="BC103" s="58" t="s">
        <v>2490</v>
      </c>
      <c r="BD103" s="58" t="s">
        <v>2491</v>
      </c>
      <c r="BE103" s="58" t="s">
        <v>2492</v>
      </c>
      <c r="BF103" s="58" t="s">
        <v>2493</v>
      </c>
      <c r="BG103" s="58" t="s">
        <v>2494</v>
      </c>
      <c r="BH103" s="58" t="s">
        <v>1030</v>
      </c>
      <c r="BI103" s="58" t="s">
        <v>1031</v>
      </c>
      <c r="BJ103" s="58" t="s">
        <v>1032</v>
      </c>
      <c r="BK103" s="58" t="s">
        <v>1033</v>
      </c>
      <c r="BL103" s="58" t="s">
        <v>1034</v>
      </c>
      <c r="BM103" s="58" t="s">
        <v>1035</v>
      </c>
      <c r="BN103" s="58" t="s">
        <v>1036</v>
      </c>
      <c r="BO103" s="58" t="s">
        <v>1037</v>
      </c>
      <c r="BP103" s="46">
        <v>0.0</v>
      </c>
      <c r="BQ103" s="46">
        <v>6.0</v>
      </c>
      <c r="BR103" s="46">
        <v>3.626</v>
      </c>
      <c r="BS103" s="46">
        <v>2.2</v>
      </c>
      <c r="BT103" s="46">
        <v>1.541</v>
      </c>
      <c r="BU103" s="46">
        <v>1.213</v>
      </c>
      <c r="BV103" s="46">
        <v>1.0</v>
      </c>
      <c r="BW103" s="46">
        <v>0.767</v>
      </c>
      <c r="BX103" s="46">
        <v>0.0</v>
      </c>
      <c r="BY103" s="46">
        <v>0.0</v>
      </c>
      <c r="BZ103" s="46">
        <v>3.437</v>
      </c>
      <c r="CA103" s="46">
        <v>3.692</v>
      </c>
      <c r="CB103" s="46">
        <v>3.0</v>
      </c>
      <c r="CC103" s="46">
        <v>0.0</v>
      </c>
      <c r="CD103" s="46">
        <v>0.0</v>
      </c>
      <c r="CE103" s="46">
        <v>10000.0</v>
      </c>
      <c r="CF103" s="46">
        <v>7250.0</v>
      </c>
      <c r="CG103" s="46">
        <v>0.0</v>
      </c>
      <c r="CH103" s="46">
        <v>1.0</v>
      </c>
      <c r="CI103" s="46">
        <v>0.0</v>
      </c>
      <c r="CJ103" s="2"/>
      <c r="CK103" s="2"/>
    </row>
    <row r="104">
      <c r="A104" s="44">
        <v>103.0</v>
      </c>
      <c r="B104" s="44">
        <v>160.0</v>
      </c>
      <c r="C104" s="44" t="s">
        <v>357</v>
      </c>
      <c r="D104" s="44" t="s">
        <v>358</v>
      </c>
      <c r="E104" s="44" t="s">
        <v>359</v>
      </c>
      <c r="F104" s="44">
        <v>1270.0</v>
      </c>
      <c r="G104" s="44">
        <v>4.41</v>
      </c>
      <c r="H104" s="44">
        <v>1.695</v>
      </c>
      <c r="I104" s="44">
        <v>1.5</v>
      </c>
      <c r="J104" s="44">
        <v>2.535</v>
      </c>
      <c r="K104" s="44">
        <v>1.47</v>
      </c>
      <c r="L104" s="44">
        <v>1.455</v>
      </c>
      <c r="M104" s="44">
        <v>0.13</v>
      </c>
      <c r="N104" s="44">
        <v>0.394</v>
      </c>
      <c r="O104" s="44">
        <v>1.0</v>
      </c>
      <c r="P104" s="44">
        <v>0.5</v>
      </c>
      <c r="Q104" s="44">
        <v>1.0</v>
      </c>
      <c r="R104" s="44">
        <v>0.0</v>
      </c>
      <c r="S104" s="44">
        <v>1.175</v>
      </c>
      <c r="T104" s="44">
        <v>0.185</v>
      </c>
      <c r="U104" s="44">
        <v>0.65</v>
      </c>
      <c r="V104" s="44">
        <v>15.0</v>
      </c>
      <c r="W104" s="44">
        <v>0.185</v>
      </c>
      <c r="X104" s="44">
        <v>0.65</v>
      </c>
      <c r="Y104" s="44">
        <v>15.0</v>
      </c>
      <c r="Z104" s="44">
        <v>0.0</v>
      </c>
      <c r="AA104" s="44">
        <v>-0.2</v>
      </c>
      <c r="AB104" s="44">
        <v>1.05</v>
      </c>
      <c r="AC104" s="44">
        <v>14.45</v>
      </c>
      <c r="AD104" s="44">
        <v>1.4</v>
      </c>
      <c r="AE104" s="44">
        <v>0.5</v>
      </c>
      <c r="AF104" s="44">
        <v>-1.0</v>
      </c>
      <c r="AG104" s="44">
        <v>-1.0</v>
      </c>
      <c r="AH104" s="44">
        <v>1.4</v>
      </c>
      <c r="AI104" s="44">
        <v>0.5</v>
      </c>
      <c r="AJ104" s="44">
        <v>1998.0</v>
      </c>
      <c r="AK104" s="44">
        <v>0.0</v>
      </c>
      <c r="AL104" s="44">
        <v>6600.0</v>
      </c>
      <c r="AM104" s="44">
        <v>6600.0</v>
      </c>
      <c r="AN104" s="44">
        <v>700.0</v>
      </c>
      <c r="AO104" s="44">
        <v>4000.0</v>
      </c>
      <c r="AP104" s="44">
        <v>6000.0</v>
      </c>
      <c r="AQ104" s="44">
        <v>0.0</v>
      </c>
      <c r="AR104" s="57" t="s">
        <v>2495</v>
      </c>
      <c r="AS104" s="57" t="s">
        <v>2496</v>
      </c>
      <c r="AT104" s="57" t="s">
        <v>2497</v>
      </c>
      <c r="AU104" s="57" t="s">
        <v>2044</v>
      </c>
      <c r="AV104" s="57" t="s">
        <v>2498</v>
      </c>
      <c r="AW104" s="57" t="s">
        <v>1549</v>
      </c>
      <c r="AX104" s="57" t="s">
        <v>2499</v>
      </c>
      <c r="AY104" s="57" t="s">
        <v>2500</v>
      </c>
      <c r="AZ104" s="57" t="s">
        <v>2501</v>
      </c>
      <c r="BA104" s="57" t="s">
        <v>2502</v>
      </c>
      <c r="BB104" s="57" t="s">
        <v>2503</v>
      </c>
      <c r="BC104" s="57" t="s">
        <v>2504</v>
      </c>
      <c r="BD104" s="57" t="s">
        <v>2505</v>
      </c>
      <c r="BE104" s="57" t="s">
        <v>2506</v>
      </c>
      <c r="BF104" s="57" t="s">
        <v>1052</v>
      </c>
      <c r="BG104" s="57" t="s">
        <v>1029</v>
      </c>
      <c r="BH104" s="57" t="s">
        <v>1030</v>
      </c>
      <c r="BI104" s="57" t="s">
        <v>1031</v>
      </c>
      <c r="BJ104" s="57" t="s">
        <v>1032</v>
      </c>
      <c r="BK104" s="57" t="s">
        <v>1033</v>
      </c>
      <c r="BL104" s="57" t="s">
        <v>1034</v>
      </c>
      <c r="BM104" s="57" t="s">
        <v>1035</v>
      </c>
      <c r="BN104" s="57" t="s">
        <v>1036</v>
      </c>
      <c r="BO104" s="57" t="s">
        <v>1037</v>
      </c>
      <c r="BP104" s="44">
        <v>3.0</v>
      </c>
      <c r="BQ104" s="44">
        <v>6.0</v>
      </c>
      <c r="BR104" s="44">
        <v>2.326</v>
      </c>
      <c r="BS104" s="44">
        <v>1.562</v>
      </c>
      <c r="BT104" s="44">
        <v>1.166</v>
      </c>
      <c r="BU104" s="44">
        <v>0.897</v>
      </c>
      <c r="BV104" s="44">
        <v>0.701</v>
      </c>
      <c r="BW104" s="44">
        <v>0.508</v>
      </c>
      <c r="BX104" s="44">
        <v>0.0</v>
      </c>
      <c r="BY104" s="44">
        <v>0.0</v>
      </c>
      <c r="BZ104" s="44">
        <v>1.586</v>
      </c>
      <c r="CA104" s="44">
        <v>5.473</v>
      </c>
      <c r="CB104" s="44">
        <v>0.0</v>
      </c>
      <c r="CC104" s="44">
        <v>0.0</v>
      </c>
      <c r="CD104" s="44">
        <v>0.0</v>
      </c>
      <c r="CE104" s="44">
        <v>8000.0</v>
      </c>
      <c r="CF104" s="44">
        <v>6600.0</v>
      </c>
      <c r="CG104" s="44">
        <v>0.0</v>
      </c>
      <c r="CH104" s="44">
        <v>1.0</v>
      </c>
      <c r="CI104" s="44">
        <v>0.0</v>
      </c>
      <c r="CJ104" s="2"/>
      <c r="CK104" s="2"/>
    </row>
    <row r="105">
      <c r="A105" s="46">
        <v>104.0</v>
      </c>
      <c r="B105" s="46">
        <v>161.0</v>
      </c>
      <c r="C105" s="46" t="s">
        <v>360</v>
      </c>
      <c r="D105" s="46" t="s">
        <v>361</v>
      </c>
      <c r="E105" s="46" t="s">
        <v>362</v>
      </c>
      <c r="F105" s="46">
        <v>960.0</v>
      </c>
      <c r="G105" s="46">
        <v>3.735</v>
      </c>
      <c r="H105" s="46">
        <v>1.62</v>
      </c>
      <c r="I105" s="46">
        <v>1.36</v>
      </c>
      <c r="J105" s="46">
        <v>2.385</v>
      </c>
      <c r="K105" s="46">
        <v>1.415</v>
      </c>
      <c r="L105" s="46">
        <v>1.365</v>
      </c>
      <c r="M105" s="46">
        <v>0.12</v>
      </c>
      <c r="N105" s="46">
        <v>0.333</v>
      </c>
      <c r="O105" s="46">
        <v>1.0</v>
      </c>
      <c r="P105" s="46">
        <v>0.48</v>
      </c>
      <c r="Q105" s="46">
        <v>1.0</v>
      </c>
      <c r="R105" s="46">
        <v>0.0</v>
      </c>
      <c r="S105" s="46">
        <v>1.087</v>
      </c>
      <c r="T105" s="46">
        <v>0.185</v>
      </c>
      <c r="U105" s="46">
        <v>0.55</v>
      </c>
      <c r="V105" s="46">
        <v>14.0</v>
      </c>
      <c r="W105" s="46">
        <v>0.185</v>
      </c>
      <c r="X105" s="46">
        <v>0.55</v>
      </c>
      <c r="Y105" s="46">
        <v>14.0</v>
      </c>
      <c r="Z105" s="46">
        <v>0.0</v>
      </c>
      <c r="AA105" s="46">
        <v>-0.35</v>
      </c>
      <c r="AB105" s="46">
        <v>4.0</v>
      </c>
      <c r="AC105" s="46">
        <v>8.0</v>
      </c>
      <c r="AD105" s="46">
        <v>1.5</v>
      </c>
      <c r="AE105" s="46">
        <v>1.0</v>
      </c>
      <c r="AF105" s="46">
        <v>-3.0</v>
      </c>
      <c r="AG105" s="46">
        <v>0.0</v>
      </c>
      <c r="AH105" s="46">
        <v>1.5</v>
      </c>
      <c r="AI105" s="46">
        <v>0.5</v>
      </c>
      <c r="AJ105" s="46">
        <v>1587.0</v>
      </c>
      <c r="AK105" s="46">
        <v>0.0</v>
      </c>
      <c r="AL105" s="46">
        <v>6750.0</v>
      </c>
      <c r="AM105" s="46">
        <v>6900.0</v>
      </c>
      <c r="AN105" s="46">
        <v>700.0</v>
      </c>
      <c r="AO105" s="46">
        <v>5200.0</v>
      </c>
      <c r="AP105" s="46">
        <v>6600.0</v>
      </c>
      <c r="AQ105" s="46">
        <v>0.0</v>
      </c>
      <c r="AR105" s="58" t="s">
        <v>2507</v>
      </c>
      <c r="AS105" s="58" t="s">
        <v>2508</v>
      </c>
      <c r="AT105" s="58" t="s">
        <v>2509</v>
      </c>
      <c r="AU105" s="58" t="s">
        <v>2510</v>
      </c>
      <c r="AV105" s="58" t="s">
        <v>2511</v>
      </c>
      <c r="AW105" s="58" t="s">
        <v>2512</v>
      </c>
      <c r="AX105" s="58" t="s">
        <v>2513</v>
      </c>
      <c r="AY105" s="58" t="s">
        <v>2514</v>
      </c>
      <c r="AZ105" s="58" t="s">
        <v>2515</v>
      </c>
      <c r="BA105" s="58" t="s">
        <v>2516</v>
      </c>
      <c r="BB105" s="58" t="s">
        <v>2517</v>
      </c>
      <c r="BC105" s="58" t="s">
        <v>2518</v>
      </c>
      <c r="BD105" s="58" t="s">
        <v>2519</v>
      </c>
      <c r="BE105" s="58" t="s">
        <v>2229</v>
      </c>
      <c r="BF105" s="58" t="s">
        <v>2520</v>
      </c>
      <c r="BG105" s="58" t="s">
        <v>1029</v>
      </c>
      <c r="BH105" s="58" t="s">
        <v>1030</v>
      </c>
      <c r="BI105" s="58" t="s">
        <v>1031</v>
      </c>
      <c r="BJ105" s="58" t="s">
        <v>1032</v>
      </c>
      <c r="BK105" s="58" t="s">
        <v>1033</v>
      </c>
      <c r="BL105" s="58" t="s">
        <v>1034</v>
      </c>
      <c r="BM105" s="58" t="s">
        <v>1035</v>
      </c>
      <c r="BN105" s="58" t="s">
        <v>1036</v>
      </c>
      <c r="BO105" s="58" t="s">
        <v>1037</v>
      </c>
      <c r="BP105" s="46">
        <v>0.0</v>
      </c>
      <c r="BQ105" s="46">
        <v>5.0</v>
      </c>
      <c r="BR105" s="46">
        <v>3.416</v>
      </c>
      <c r="BS105" s="46">
        <v>1.956</v>
      </c>
      <c r="BT105" s="46">
        <v>1.366</v>
      </c>
      <c r="BU105" s="46">
        <v>1.054</v>
      </c>
      <c r="BV105" s="46">
        <v>0.853</v>
      </c>
      <c r="BW105" s="46">
        <v>0.0</v>
      </c>
      <c r="BX105" s="46">
        <v>0.0</v>
      </c>
      <c r="BY105" s="46">
        <v>0.0</v>
      </c>
      <c r="BZ105" s="46">
        <v>3.583</v>
      </c>
      <c r="CA105" s="46">
        <v>3.937</v>
      </c>
      <c r="CB105" s="46">
        <v>0.0</v>
      </c>
      <c r="CC105" s="46">
        <v>0.0</v>
      </c>
      <c r="CD105" s="46">
        <v>0.0</v>
      </c>
      <c r="CE105" s="46">
        <v>8000.0</v>
      </c>
      <c r="CF105" s="46">
        <v>6750.0</v>
      </c>
      <c r="CG105" s="46">
        <v>0.0</v>
      </c>
      <c r="CH105" s="46">
        <v>0.0</v>
      </c>
      <c r="CI105" s="46">
        <v>0.0</v>
      </c>
      <c r="CJ105" s="2"/>
      <c r="CK105" s="2"/>
    </row>
    <row r="106">
      <c r="A106" s="44">
        <v>105.0</v>
      </c>
      <c r="B106" s="44">
        <v>163.0</v>
      </c>
      <c r="C106" s="44" t="s">
        <v>363</v>
      </c>
      <c r="D106" s="44" t="s">
        <v>364</v>
      </c>
      <c r="E106" s="44" t="s">
        <v>365</v>
      </c>
      <c r="F106" s="44">
        <v>1440.0</v>
      </c>
      <c r="G106" s="44">
        <v>4.31</v>
      </c>
      <c r="H106" s="44">
        <v>1.815</v>
      </c>
      <c r="I106" s="44">
        <v>1.315</v>
      </c>
      <c r="J106" s="44">
        <v>2.65</v>
      </c>
      <c r="K106" s="44">
        <v>1.535</v>
      </c>
      <c r="L106" s="44">
        <v>1.545</v>
      </c>
      <c r="M106" s="44">
        <v>0.1</v>
      </c>
      <c r="N106" s="44">
        <v>0.465</v>
      </c>
      <c r="O106" s="44">
        <v>0.0</v>
      </c>
      <c r="P106" s="44">
        <v>0.5</v>
      </c>
      <c r="Q106" s="44">
        <v>1.15</v>
      </c>
      <c r="R106" s="44">
        <v>0.0</v>
      </c>
      <c r="S106" s="44">
        <v>1.073</v>
      </c>
      <c r="T106" s="44">
        <v>0.225</v>
      </c>
      <c r="U106" s="44">
        <v>0.45</v>
      </c>
      <c r="V106" s="44">
        <v>18.0</v>
      </c>
      <c r="W106" s="44">
        <v>0.245</v>
      </c>
      <c r="X106" s="44">
        <v>0.45</v>
      </c>
      <c r="Y106" s="44">
        <v>18.0</v>
      </c>
      <c r="Z106" s="44">
        <v>-1.0</v>
      </c>
      <c r="AA106" s="44">
        <v>-0.4</v>
      </c>
      <c r="AB106" s="44">
        <v>8.1</v>
      </c>
      <c r="AC106" s="44">
        <v>5.1</v>
      </c>
      <c r="AD106" s="44">
        <v>1.8</v>
      </c>
      <c r="AE106" s="44">
        <v>3.0</v>
      </c>
      <c r="AF106" s="44">
        <v>-1.0</v>
      </c>
      <c r="AG106" s="44">
        <v>-1.35</v>
      </c>
      <c r="AH106" s="44">
        <v>1.8</v>
      </c>
      <c r="AI106" s="44">
        <v>2.0</v>
      </c>
      <c r="AJ106" s="44">
        <v>3498.0</v>
      </c>
      <c r="AK106" s="44">
        <v>0.0</v>
      </c>
      <c r="AL106" s="44">
        <v>6600.0</v>
      </c>
      <c r="AM106" s="44">
        <v>6600.0</v>
      </c>
      <c r="AN106" s="44">
        <v>700.0</v>
      </c>
      <c r="AO106" s="44">
        <v>4800.0</v>
      </c>
      <c r="AP106" s="44">
        <v>6200.0</v>
      </c>
      <c r="AQ106" s="44">
        <v>0.0</v>
      </c>
      <c r="AR106" s="57" t="s">
        <v>2521</v>
      </c>
      <c r="AS106" s="57" t="s">
        <v>2522</v>
      </c>
      <c r="AT106" s="57" t="s">
        <v>2523</v>
      </c>
      <c r="AU106" s="57" t="s">
        <v>2524</v>
      </c>
      <c r="AV106" s="57" t="s">
        <v>2452</v>
      </c>
      <c r="AW106" s="57" t="s">
        <v>2525</v>
      </c>
      <c r="AX106" s="57" t="s">
        <v>2526</v>
      </c>
      <c r="AY106" s="57" t="s">
        <v>2527</v>
      </c>
      <c r="AZ106" s="57" t="s">
        <v>2528</v>
      </c>
      <c r="BA106" s="57" t="s">
        <v>2529</v>
      </c>
      <c r="BB106" s="57" t="s">
        <v>2530</v>
      </c>
      <c r="BC106" s="57" t="s">
        <v>2531</v>
      </c>
      <c r="BD106" s="57" t="s">
        <v>1385</v>
      </c>
      <c r="BE106" s="57" t="s">
        <v>2532</v>
      </c>
      <c r="BF106" s="57" t="s">
        <v>2533</v>
      </c>
      <c r="BG106" s="57" t="s">
        <v>1029</v>
      </c>
      <c r="BH106" s="57" t="s">
        <v>1030</v>
      </c>
      <c r="BI106" s="57" t="s">
        <v>1031</v>
      </c>
      <c r="BJ106" s="57" t="s">
        <v>1032</v>
      </c>
      <c r="BK106" s="57" t="s">
        <v>1033</v>
      </c>
      <c r="BL106" s="57" t="s">
        <v>1034</v>
      </c>
      <c r="BM106" s="57" t="s">
        <v>1035</v>
      </c>
      <c r="BN106" s="57" t="s">
        <v>1036</v>
      </c>
      <c r="BO106" s="57" t="s">
        <v>1037</v>
      </c>
      <c r="BP106" s="44">
        <v>0.0</v>
      </c>
      <c r="BQ106" s="44">
        <v>6.0</v>
      </c>
      <c r="BR106" s="44">
        <v>3.794</v>
      </c>
      <c r="BS106" s="44">
        <v>2.324</v>
      </c>
      <c r="BT106" s="44">
        <v>1.624</v>
      </c>
      <c r="BU106" s="44">
        <v>1.271</v>
      </c>
      <c r="BV106" s="44">
        <v>1.0</v>
      </c>
      <c r="BW106" s="44">
        <v>0.794</v>
      </c>
      <c r="BX106" s="44">
        <v>0.0</v>
      </c>
      <c r="BY106" s="44">
        <v>0.0</v>
      </c>
      <c r="BZ106" s="44">
        <v>3.446</v>
      </c>
      <c r="CA106" s="44">
        <v>3.538</v>
      </c>
      <c r="CB106" s="44">
        <v>1.0</v>
      </c>
      <c r="CC106" s="44">
        <v>0.0</v>
      </c>
      <c r="CD106" s="44">
        <v>0.0</v>
      </c>
      <c r="CE106" s="44">
        <v>8000.0</v>
      </c>
      <c r="CF106" s="44">
        <v>6600.0</v>
      </c>
      <c r="CG106" s="44">
        <v>0.0</v>
      </c>
      <c r="CH106" s="44">
        <v>1.0</v>
      </c>
      <c r="CI106" s="44">
        <v>0.0</v>
      </c>
      <c r="CJ106" s="2"/>
      <c r="CK106" s="2"/>
    </row>
    <row r="107">
      <c r="A107" s="46">
        <v>106.0</v>
      </c>
      <c r="B107" s="46">
        <v>166.0</v>
      </c>
      <c r="C107" s="46" t="s">
        <v>366</v>
      </c>
      <c r="D107" s="46" t="s">
        <v>367</v>
      </c>
      <c r="E107" s="46" t="s">
        <v>368</v>
      </c>
      <c r="F107" s="46">
        <v>1080.0</v>
      </c>
      <c r="G107" s="46">
        <v>4.22</v>
      </c>
      <c r="H107" s="46">
        <v>1.62</v>
      </c>
      <c r="I107" s="46">
        <v>1.41</v>
      </c>
      <c r="J107" s="46">
        <v>2.5</v>
      </c>
      <c r="K107" s="46">
        <v>1.375</v>
      </c>
      <c r="L107" s="46">
        <v>1.362</v>
      </c>
      <c r="M107" s="46">
        <v>0.15</v>
      </c>
      <c r="N107" s="46">
        <v>0.5</v>
      </c>
      <c r="O107" s="46">
        <v>0.0</v>
      </c>
      <c r="P107" s="46">
        <v>0.48</v>
      </c>
      <c r="Q107" s="46">
        <v>0.9</v>
      </c>
      <c r="R107" s="46">
        <v>0.0</v>
      </c>
      <c r="S107" s="46">
        <v>1.16</v>
      </c>
      <c r="T107" s="46">
        <v>0.185</v>
      </c>
      <c r="U107" s="46">
        <v>0.7</v>
      </c>
      <c r="V107" s="46">
        <v>13.0</v>
      </c>
      <c r="W107" s="46">
        <v>0.185</v>
      </c>
      <c r="X107" s="46">
        <v>0.7</v>
      </c>
      <c r="Y107" s="46">
        <v>13.0</v>
      </c>
      <c r="Z107" s="46">
        <v>0.0</v>
      </c>
      <c r="AA107" s="46">
        <v>0.0</v>
      </c>
      <c r="AB107" s="46">
        <v>6.0</v>
      </c>
      <c r="AC107" s="46">
        <v>12.0</v>
      </c>
      <c r="AD107" s="46">
        <v>1.6</v>
      </c>
      <c r="AE107" s="46">
        <v>2.0</v>
      </c>
      <c r="AF107" s="46">
        <v>-4.0</v>
      </c>
      <c r="AG107" s="46">
        <v>-0.3</v>
      </c>
      <c r="AH107" s="46">
        <v>1.5</v>
      </c>
      <c r="AI107" s="46">
        <v>1.0</v>
      </c>
      <c r="AJ107" s="46">
        <v>1990.0</v>
      </c>
      <c r="AK107" s="46">
        <v>6.0</v>
      </c>
      <c r="AL107" s="46">
        <v>6400.0</v>
      </c>
      <c r="AM107" s="46">
        <v>6500.0</v>
      </c>
      <c r="AN107" s="46">
        <v>800.0</v>
      </c>
      <c r="AO107" s="46">
        <v>4000.0</v>
      </c>
      <c r="AP107" s="46">
        <v>5800.0</v>
      </c>
      <c r="AQ107" s="46">
        <v>0.0</v>
      </c>
      <c r="AR107" s="58" t="s">
        <v>1101</v>
      </c>
      <c r="AS107" s="58" t="s">
        <v>2534</v>
      </c>
      <c r="AT107" s="58" t="s">
        <v>2535</v>
      </c>
      <c r="AU107" s="58" t="s">
        <v>2536</v>
      </c>
      <c r="AV107" s="58" t="s">
        <v>2537</v>
      </c>
      <c r="AW107" s="58" t="s">
        <v>2538</v>
      </c>
      <c r="AX107" s="58" t="s">
        <v>2539</v>
      </c>
      <c r="AY107" s="58" t="s">
        <v>2540</v>
      </c>
      <c r="AZ107" s="58" t="s">
        <v>2541</v>
      </c>
      <c r="BA107" s="58" t="s">
        <v>2542</v>
      </c>
      <c r="BB107" s="58" t="s">
        <v>2543</v>
      </c>
      <c r="BC107" s="58" t="s">
        <v>2544</v>
      </c>
      <c r="BD107" s="58" t="s">
        <v>2545</v>
      </c>
      <c r="BE107" s="58" t="s">
        <v>1143</v>
      </c>
      <c r="BF107" s="58" t="s">
        <v>1052</v>
      </c>
      <c r="BG107" s="58" t="s">
        <v>1029</v>
      </c>
      <c r="BH107" s="58" t="s">
        <v>1030</v>
      </c>
      <c r="BI107" s="58" t="s">
        <v>1031</v>
      </c>
      <c r="BJ107" s="58" t="s">
        <v>1032</v>
      </c>
      <c r="BK107" s="58" t="s">
        <v>1033</v>
      </c>
      <c r="BL107" s="58" t="s">
        <v>1034</v>
      </c>
      <c r="BM107" s="58" t="s">
        <v>1035</v>
      </c>
      <c r="BN107" s="58" t="s">
        <v>1036</v>
      </c>
      <c r="BO107" s="58" t="s">
        <v>1037</v>
      </c>
      <c r="BP107" s="46">
        <v>0.0</v>
      </c>
      <c r="BQ107" s="46">
        <v>4.0</v>
      </c>
      <c r="BR107" s="46">
        <v>3.764</v>
      </c>
      <c r="BS107" s="46">
        <v>2.09</v>
      </c>
      <c r="BT107" s="46">
        <v>1.32</v>
      </c>
      <c r="BU107" s="46">
        <v>1.0</v>
      </c>
      <c r="BV107" s="46">
        <v>0.0</v>
      </c>
      <c r="BW107" s="46">
        <v>0.0</v>
      </c>
      <c r="BX107" s="46">
        <v>0.0</v>
      </c>
      <c r="BY107" s="46">
        <v>0.0</v>
      </c>
      <c r="BZ107" s="46">
        <v>4.096</v>
      </c>
      <c r="CA107" s="46">
        <v>3.36</v>
      </c>
      <c r="CB107" s="46">
        <v>0.0</v>
      </c>
      <c r="CC107" s="46">
        <v>0.0</v>
      </c>
      <c r="CD107" s="46">
        <v>0.0</v>
      </c>
      <c r="CE107" s="46">
        <v>8000.0</v>
      </c>
      <c r="CF107" s="46">
        <v>6400.0</v>
      </c>
      <c r="CG107" s="46">
        <v>0.0</v>
      </c>
      <c r="CH107" s="46">
        <v>0.0</v>
      </c>
      <c r="CI107" s="46">
        <v>0.0</v>
      </c>
      <c r="CJ107" s="2"/>
      <c r="CK107" s="2"/>
    </row>
    <row r="108">
      <c r="A108" s="44">
        <v>107.0</v>
      </c>
      <c r="B108" s="44">
        <v>167.0</v>
      </c>
      <c r="C108" s="44" t="s">
        <v>369</v>
      </c>
      <c r="D108" s="44" t="s">
        <v>370</v>
      </c>
      <c r="E108" s="44" t="s">
        <v>371</v>
      </c>
      <c r="F108" s="44">
        <v>710.0</v>
      </c>
      <c r="G108" s="44">
        <v>3.85</v>
      </c>
      <c r="H108" s="44">
        <v>1.55</v>
      </c>
      <c r="I108" s="44">
        <v>1.12</v>
      </c>
      <c r="J108" s="44">
        <v>2.1</v>
      </c>
      <c r="K108" s="44">
        <v>1.311</v>
      </c>
      <c r="L108" s="44">
        <v>1.29</v>
      </c>
      <c r="M108" s="44">
        <v>0.12</v>
      </c>
      <c r="N108" s="44">
        <v>0.6</v>
      </c>
      <c r="O108" s="44">
        <v>3.0</v>
      </c>
      <c r="P108" s="44">
        <v>0.43</v>
      </c>
      <c r="Q108" s="44">
        <v>0.9</v>
      </c>
      <c r="R108" s="44">
        <v>0.0</v>
      </c>
      <c r="S108" s="44">
        <v>0.914</v>
      </c>
      <c r="T108" s="44">
        <v>0.165</v>
      </c>
      <c r="U108" s="44">
        <v>0.7</v>
      </c>
      <c r="V108" s="44">
        <v>13.0</v>
      </c>
      <c r="W108" s="44">
        <v>0.165</v>
      </c>
      <c r="X108" s="44">
        <v>0.7</v>
      </c>
      <c r="Y108" s="44">
        <v>13.0</v>
      </c>
      <c r="Z108" s="44">
        <v>2.0</v>
      </c>
      <c r="AA108" s="44">
        <v>0.0</v>
      </c>
      <c r="AB108" s="44">
        <v>12.0</v>
      </c>
      <c r="AC108" s="44">
        <v>14.0</v>
      </c>
      <c r="AD108" s="44">
        <v>1.4</v>
      </c>
      <c r="AE108" s="44">
        <v>2.0</v>
      </c>
      <c r="AF108" s="44">
        <v>-4.0</v>
      </c>
      <c r="AG108" s="44">
        <v>-1.0</v>
      </c>
      <c r="AH108" s="44">
        <v>1.4</v>
      </c>
      <c r="AI108" s="44">
        <v>1.0</v>
      </c>
      <c r="AJ108" s="44">
        <v>1605.0</v>
      </c>
      <c r="AK108" s="44">
        <v>0.0</v>
      </c>
      <c r="AL108" s="44">
        <v>7000.0</v>
      </c>
      <c r="AM108" s="44">
        <v>7000.0</v>
      </c>
      <c r="AN108" s="44">
        <v>700.0</v>
      </c>
      <c r="AO108" s="44">
        <v>5000.0</v>
      </c>
      <c r="AP108" s="44">
        <v>6250.0</v>
      </c>
      <c r="AQ108" s="44">
        <v>0.0</v>
      </c>
      <c r="AR108" s="57" t="s">
        <v>1788</v>
      </c>
      <c r="AS108" s="57" t="s">
        <v>2546</v>
      </c>
      <c r="AT108" s="57" t="s">
        <v>2547</v>
      </c>
      <c r="AU108" s="57" t="s">
        <v>2548</v>
      </c>
      <c r="AV108" s="57" t="s">
        <v>2549</v>
      </c>
      <c r="AW108" s="57" t="s">
        <v>2550</v>
      </c>
      <c r="AX108" s="57" t="s">
        <v>2551</v>
      </c>
      <c r="AY108" s="57" t="s">
        <v>2552</v>
      </c>
      <c r="AZ108" s="57" t="s">
        <v>2553</v>
      </c>
      <c r="BA108" s="57" t="s">
        <v>2554</v>
      </c>
      <c r="BB108" s="57" t="s">
        <v>2555</v>
      </c>
      <c r="BC108" s="57" t="s">
        <v>2556</v>
      </c>
      <c r="BD108" s="57" t="s">
        <v>2557</v>
      </c>
      <c r="BE108" s="57" t="s">
        <v>2558</v>
      </c>
      <c r="BF108" s="57" t="s">
        <v>2559</v>
      </c>
      <c r="BG108" s="57" t="s">
        <v>2560</v>
      </c>
      <c r="BH108" s="57" t="s">
        <v>1030</v>
      </c>
      <c r="BI108" s="57" t="s">
        <v>1031</v>
      </c>
      <c r="BJ108" s="57" t="s">
        <v>1032</v>
      </c>
      <c r="BK108" s="57" t="s">
        <v>1033</v>
      </c>
      <c r="BL108" s="57" t="s">
        <v>1034</v>
      </c>
      <c r="BM108" s="57" t="s">
        <v>1035</v>
      </c>
      <c r="BN108" s="57" t="s">
        <v>1036</v>
      </c>
      <c r="BO108" s="57" t="s">
        <v>1037</v>
      </c>
      <c r="BP108" s="44">
        <v>0.0</v>
      </c>
      <c r="BQ108" s="44">
        <v>5.0</v>
      </c>
      <c r="BR108" s="44">
        <v>3.61</v>
      </c>
      <c r="BS108" s="44">
        <v>2.33</v>
      </c>
      <c r="BT108" s="44">
        <v>1.6</v>
      </c>
      <c r="BU108" s="44">
        <v>1.21</v>
      </c>
      <c r="BV108" s="44">
        <v>0.96</v>
      </c>
      <c r="BW108" s="44">
        <v>0.0</v>
      </c>
      <c r="BX108" s="44">
        <v>0.0</v>
      </c>
      <c r="BY108" s="44">
        <v>0.0</v>
      </c>
      <c r="BZ108" s="44">
        <v>3.07</v>
      </c>
      <c r="CA108" s="44">
        <v>3.375</v>
      </c>
      <c r="CB108" s="44">
        <v>0.0</v>
      </c>
      <c r="CC108" s="44">
        <v>0.0</v>
      </c>
      <c r="CD108" s="44">
        <v>0.0</v>
      </c>
      <c r="CE108" s="44">
        <v>8000.0</v>
      </c>
      <c r="CF108" s="44">
        <v>7000.0</v>
      </c>
      <c r="CG108" s="44">
        <v>0.0</v>
      </c>
      <c r="CH108" s="44">
        <v>0.0</v>
      </c>
      <c r="CI108" s="44">
        <v>0.0</v>
      </c>
      <c r="CJ108" s="2"/>
      <c r="CK108" s="2"/>
    </row>
    <row r="109">
      <c r="A109" s="46">
        <v>108.0</v>
      </c>
      <c r="B109" s="46">
        <v>168.0</v>
      </c>
      <c r="C109" s="46" t="s">
        <v>372</v>
      </c>
      <c r="D109" s="46" t="s">
        <v>373</v>
      </c>
      <c r="E109" s="46" t="s">
        <v>374</v>
      </c>
      <c r="F109" s="46">
        <v>590.0</v>
      </c>
      <c r="G109" s="46">
        <v>3.83</v>
      </c>
      <c r="H109" s="46">
        <v>1.48</v>
      </c>
      <c r="I109" s="46">
        <v>1.6</v>
      </c>
      <c r="J109" s="46">
        <v>2.4</v>
      </c>
      <c r="K109" s="46">
        <v>1.26</v>
      </c>
      <c r="L109" s="46">
        <v>1.26</v>
      </c>
      <c r="M109" s="46">
        <v>0.155</v>
      </c>
      <c r="N109" s="46">
        <v>0.407</v>
      </c>
      <c r="O109" s="46">
        <v>1.0</v>
      </c>
      <c r="P109" s="46">
        <v>0.55</v>
      </c>
      <c r="Q109" s="46">
        <v>0.8</v>
      </c>
      <c r="R109" s="46">
        <v>0.0</v>
      </c>
      <c r="S109" s="46">
        <v>1.244</v>
      </c>
      <c r="T109" s="46">
        <v>0.125</v>
      </c>
      <c r="U109" s="46">
        <v>0.9</v>
      </c>
      <c r="V109" s="46">
        <v>15.0</v>
      </c>
      <c r="W109" s="46">
        <v>0.125</v>
      </c>
      <c r="X109" s="46">
        <v>0.9</v>
      </c>
      <c r="Y109" s="46">
        <v>15.0</v>
      </c>
      <c r="Z109" s="46">
        <v>0.0</v>
      </c>
      <c r="AA109" s="46">
        <v>0.0</v>
      </c>
      <c r="AB109" s="46">
        <v>6.0</v>
      </c>
      <c r="AC109" s="46">
        <v>10.0</v>
      </c>
      <c r="AD109" s="46">
        <v>1.3</v>
      </c>
      <c r="AE109" s="46">
        <v>0.5</v>
      </c>
      <c r="AF109" s="46">
        <v>-2.0</v>
      </c>
      <c r="AG109" s="46">
        <v>0.0</v>
      </c>
      <c r="AH109" s="46">
        <v>1.3</v>
      </c>
      <c r="AI109" s="46">
        <v>0.0</v>
      </c>
      <c r="AJ109" s="46">
        <v>602.0</v>
      </c>
      <c r="AK109" s="46">
        <v>0.0</v>
      </c>
      <c r="AL109" s="46">
        <v>6000.0</v>
      </c>
      <c r="AM109" s="46">
        <v>6500.0</v>
      </c>
      <c r="AN109" s="46">
        <v>700.0</v>
      </c>
      <c r="AO109" s="46">
        <v>3500.0</v>
      </c>
      <c r="AP109" s="46">
        <v>5750.0</v>
      </c>
      <c r="AQ109" s="46">
        <v>0.0</v>
      </c>
      <c r="AR109" s="58" t="s">
        <v>2561</v>
      </c>
      <c r="AS109" s="58" t="s">
        <v>2562</v>
      </c>
      <c r="AT109" s="58" t="s">
        <v>2563</v>
      </c>
      <c r="AU109" s="58" t="s">
        <v>2564</v>
      </c>
      <c r="AV109" s="58" t="s">
        <v>2565</v>
      </c>
      <c r="AW109" s="58" t="s">
        <v>2566</v>
      </c>
      <c r="AX109" s="58" t="s">
        <v>2567</v>
      </c>
      <c r="AY109" s="58" t="s">
        <v>2568</v>
      </c>
      <c r="AZ109" s="58" t="s">
        <v>2569</v>
      </c>
      <c r="BA109" s="58" t="s">
        <v>2570</v>
      </c>
      <c r="BB109" s="58" t="s">
        <v>2571</v>
      </c>
      <c r="BC109" s="58" t="s">
        <v>2572</v>
      </c>
      <c r="BD109" s="58" t="s">
        <v>2573</v>
      </c>
      <c r="BE109" s="58" t="s">
        <v>2574</v>
      </c>
      <c r="BF109" s="58" t="s">
        <v>1052</v>
      </c>
      <c r="BG109" s="58" t="s">
        <v>1029</v>
      </c>
      <c r="BH109" s="58" t="s">
        <v>1030</v>
      </c>
      <c r="BI109" s="58" t="s">
        <v>1031</v>
      </c>
      <c r="BJ109" s="58" t="s">
        <v>1032</v>
      </c>
      <c r="BK109" s="58" t="s">
        <v>1033</v>
      </c>
      <c r="BL109" s="58" t="s">
        <v>1034</v>
      </c>
      <c r="BM109" s="58" t="s">
        <v>1035</v>
      </c>
      <c r="BN109" s="58" t="s">
        <v>1036</v>
      </c>
      <c r="BO109" s="58" t="s">
        <v>1037</v>
      </c>
      <c r="BP109" s="46">
        <v>0.0</v>
      </c>
      <c r="BQ109" s="46">
        <v>4.0</v>
      </c>
      <c r="BR109" s="46">
        <v>5.202</v>
      </c>
      <c r="BS109" s="46">
        <v>2.656</v>
      </c>
      <c r="BT109" s="46">
        <v>1.785</v>
      </c>
      <c r="BU109" s="46">
        <v>1.315</v>
      </c>
      <c r="BV109" s="46">
        <v>0.0</v>
      </c>
      <c r="BW109" s="46">
        <v>0.0</v>
      </c>
      <c r="BX109" s="46">
        <v>0.0</v>
      </c>
      <c r="BY109" s="46">
        <v>0.0</v>
      </c>
      <c r="BZ109" s="46">
        <v>5.202</v>
      </c>
      <c r="CA109" s="46">
        <v>4.125</v>
      </c>
      <c r="CB109" s="46">
        <v>0.0</v>
      </c>
      <c r="CC109" s="46">
        <v>0.0</v>
      </c>
      <c r="CD109" s="46">
        <v>0.0</v>
      </c>
      <c r="CE109" s="46">
        <v>6500.0</v>
      </c>
      <c r="CF109" s="46">
        <v>6000.0</v>
      </c>
      <c r="CG109" s="46">
        <v>0.0</v>
      </c>
      <c r="CH109" s="46">
        <v>0.0</v>
      </c>
      <c r="CI109" s="46">
        <v>0.0</v>
      </c>
      <c r="CJ109" s="2"/>
      <c r="CK109" s="2"/>
    </row>
    <row r="110">
      <c r="A110" s="44">
        <v>109.0</v>
      </c>
      <c r="B110" s="44">
        <v>170.0</v>
      </c>
      <c r="C110" s="44" t="s">
        <v>375</v>
      </c>
      <c r="D110" s="44" t="s">
        <v>376</v>
      </c>
      <c r="E110" s="44" t="s">
        <v>377</v>
      </c>
      <c r="F110" s="44">
        <v>1230.0</v>
      </c>
      <c r="G110" s="44">
        <v>4.247</v>
      </c>
      <c r="H110" s="44">
        <v>1.77</v>
      </c>
      <c r="I110" s="44">
        <v>1.42</v>
      </c>
      <c r="J110" s="44">
        <v>2.615</v>
      </c>
      <c r="K110" s="44">
        <v>1.536</v>
      </c>
      <c r="L110" s="44">
        <v>1.532</v>
      </c>
      <c r="M110" s="44">
        <v>0.09</v>
      </c>
      <c r="N110" s="44">
        <v>0.49</v>
      </c>
      <c r="O110" s="44">
        <v>4.0</v>
      </c>
      <c r="P110" s="44">
        <v>0.47</v>
      </c>
      <c r="Q110" s="44">
        <v>1.2</v>
      </c>
      <c r="R110" s="44">
        <v>300.0</v>
      </c>
      <c r="S110" s="44">
        <v>1.088</v>
      </c>
      <c r="T110" s="44">
        <v>0.225</v>
      </c>
      <c r="U110" s="44">
        <v>0.42</v>
      </c>
      <c r="V110" s="44">
        <v>18.0</v>
      </c>
      <c r="W110" s="44">
        <v>0.225</v>
      </c>
      <c r="X110" s="44">
        <v>0.42</v>
      </c>
      <c r="Y110" s="44">
        <v>18.0</v>
      </c>
      <c r="Z110" s="44">
        <v>0.0</v>
      </c>
      <c r="AA110" s="44">
        <v>-0.3</v>
      </c>
      <c r="AB110" s="44">
        <v>6.0</v>
      </c>
      <c r="AC110" s="44">
        <v>12.0</v>
      </c>
      <c r="AD110" s="44">
        <v>2.0</v>
      </c>
      <c r="AE110" s="44">
        <v>2.0</v>
      </c>
      <c r="AF110" s="44">
        <v>0.0</v>
      </c>
      <c r="AG110" s="44">
        <v>-1.0</v>
      </c>
      <c r="AH110" s="44">
        <v>2.0</v>
      </c>
      <c r="AI110" s="44">
        <v>2.0</v>
      </c>
      <c r="AJ110" s="44">
        <v>1998.0</v>
      </c>
      <c r="AK110" s="44">
        <v>1.0</v>
      </c>
      <c r="AL110" s="44">
        <v>7000.0</v>
      </c>
      <c r="AM110" s="44">
        <v>7000.0</v>
      </c>
      <c r="AN110" s="44">
        <v>800.0</v>
      </c>
      <c r="AO110" s="44">
        <v>4000.0</v>
      </c>
      <c r="AP110" s="44">
        <v>6500.0</v>
      </c>
      <c r="AQ110" s="44">
        <v>1.0</v>
      </c>
      <c r="AR110" s="57" t="s">
        <v>2575</v>
      </c>
      <c r="AS110" s="57" t="s">
        <v>2576</v>
      </c>
      <c r="AT110" s="57" t="s">
        <v>2577</v>
      </c>
      <c r="AU110" s="57" t="s">
        <v>2578</v>
      </c>
      <c r="AV110" s="57" t="s">
        <v>2579</v>
      </c>
      <c r="AW110" s="57" t="s">
        <v>2580</v>
      </c>
      <c r="AX110" s="57" t="s">
        <v>2581</v>
      </c>
      <c r="AY110" s="57" t="s">
        <v>2582</v>
      </c>
      <c r="AZ110" s="57" t="s">
        <v>2583</v>
      </c>
      <c r="BA110" s="57" t="s">
        <v>2584</v>
      </c>
      <c r="BB110" s="57" t="s">
        <v>2585</v>
      </c>
      <c r="BC110" s="57" t="s">
        <v>2586</v>
      </c>
      <c r="BD110" s="57" t="s">
        <v>2587</v>
      </c>
      <c r="BE110" s="57" t="s">
        <v>2588</v>
      </c>
      <c r="BF110" s="57" t="s">
        <v>2589</v>
      </c>
      <c r="BG110" s="57" t="s">
        <v>1029</v>
      </c>
      <c r="BH110" s="57" t="s">
        <v>1030</v>
      </c>
      <c r="BI110" s="57" t="s">
        <v>1031</v>
      </c>
      <c r="BJ110" s="57" t="s">
        <v>1032</v>
      </c>
      <c r="BK110" s="57" t="s">
        <v>1033</v>
      </c>
      <c r="BL110" s="57" t="s">
        <v>1034</v>
      </c>
      <c r="BM110" s="57" t="s">
        <v>1035</v>
      </c>
      <c r="BN110" s="57" t="s">
        <v>1036</v>
      </c>
      <c r="BO110" s="57" t="s">
        <v>1037</v>
      </c>
      <c r="BP110" s="44">
        <v>0.0</v>
      </c>
      <c r="BQ110" s="44">
        <v>6.0</v>
      </c>
      <c r="BR110" s="44">
        <v>3.164</v>
      </c>
      <c r="BS110" s="44">
        <v>2.135</v>
      </c>
      <c r="BT110" s="44">
        <v>1.634</v>
      </c>
      <c r="BU110" s="44">
        <v>1.282</v>
      </c>
      <c r="BV110" s="44">
        <v>1.031</v>
      </c>
      <c r="BW110" s="44">
        <v>0.828</v>
      </c>
      <c r="BX110" s="44">
        <v>0.0</v>
      </c>
      <c r="BY110" s="44">
        <v>0.0</v>
      </c>
      <c r="BZ110" s="44">
        <v>3.2</v>
      </c>
      <c r="CA110" s="44">
        <v>3.95</v>
      </c>
      <c r="CB110" s="44">
        <v>3.0</v>
      </c>
      <c r="CC110" s="44">
        <v>4.0</v>
      </c>
      <c r="CD110" s="44">
        <v>5.0</v>
      </c>
      <c r="CE110" s="44">
        <v>0.0</v>
      </c>
      <c r="CF110" s="44">
        <v>7000.0</v>
      </c>
      <c r="CG110" s="44">
        <v>0.0</v>
      </c>
      <c r="CH110" s="44">
        <v>1.0</v>
      </c>
      <c r="CI110" s="44">
        <v>0.0</v>
      </c>
      <c r="CJ110" s="2"/>
      <c r="CK110" s="2"/>
    </row>
    <row r="111">
      <c r="A111" s="46">
        <v>110.0</v>
      </c>
      <c r="B111" s="46">
        <v>172.0</v>
      </c>
      <c r="C111" s="46" t="s">
        <v>378</v>
      </c>
      <c r="D111" s="46" t="s">
        <v>379</v>
      </c>
      <c r="E111" s="46" t="s">
        <v>380</v>
      </c>
      <c r="F111" s="46">
        <v>1270.0</v>
      </c>
      <c r="G111" s="46">
        <v>4.17</v>
      </c>
      <c r="H111" s="46">
        <v>1.695</v>
      </c>
      <c r="I111" s="46">
        <v>1.235</v>
      </c>
      <c r="J111" s="46">
        <v>2.4</v>
      </c>
      <c r="K111" s="46">
        <v>1.47</v>
      </c>
      <c r="L111" s="46">
        <v>1.45</v>
      </c>
      <c r="M111" s="46">
        <v>0.13</v>
      </c>
      <c r="N111" s="46">
        <v>0.583</v>
      </c>
      <c r="O111" s="46">
        <v>2.0</v>
      </c>
      <c r="P111" s="46">
        <v>0.48</v>
      </c>
      <c r="Q111" s="46">
        <v>1.1</v>
      </c>
      <c r="R111" s="46">
        <v>0.0</v>
      </c>
      <c r="S111" s="46">
        <v>1.031</v>
      </c>
      <c r="T111" s="46">
        <v>0.195</v>
      </c>
      <c r="U111" s="46">
        <v>0.55</v>
      </c>
      <c r="V111" s="46">
        <v>15.0</v>
      </c>
      <c r="W111" s="46">
        <v>0.225</v>
      </c>
      <c r="X111" s="46">
        <v>0.5</v>
      </c>
      <c r="Y111" s="46">
        <v>15.0</v>
      </c>
      <c r="Z111" s="46">
        <v>-1.0</v>
      </c>
      <c r="AA111" s="46">
        <v>-1.0</v>
      </c>
      <c r="AB111" s="46">
        <v>3.15</v>
      </c>
      <c r="AC111" s="46">
        <v>13.5</v>
      </c>
      <c r="AD111" s="46">
        <v>1.6</v>
      </c>
      <c r="AE111" s="46">
        <v>2.0</v>
      </c>
      <c r="AF111" s="46">
        <v>-4.0</v>
      </c>
      <c r="AG111" s="46">
        <v>-1.35</v>
      </c>
      <c r="AH111" s="46">
        <v>1.6</v>
      </c>
      <c r="AI111" s="46">
        <v>2.0</v>
      </c>
      <c r="AJ111" s="46">
        <v>1998.0</v>
      </c>
      <c r="AK111" s="46">
        <v>1.0</v>
      </c>
      <c r="AL111" s="46">
        <v>7000.0</v>
      </c>
      <c r="AM111" s="46">
        <v>7200.0</v>
      </c>
      <c r="AN111" s="46">
        <v>700.0</v>
      </c>
      <c r="AO111" s="46">
        <v>4000.0</v>
      </c>
      <c r="AP111" s="46">
        <v>6000.0</v>
      </c>
      <c r="AQ111" s="46">
        <v>0.0</v>
      </c>
      <c r="AR111" s="58" t="s">
        <v>2590</v>
      </c>
      <c r="AS111" s="58" t="s">
        <v>2591</v>
      </c>
      <c r="AT111" s="58" t="s">
        <v>2592</v>
      </c>
      <c r="AU111" s="58" t="s">
        <v>2593</v>
      </c>
      <c r="AV111" s="58" t="s">
        <v>2594</v>
      </c>
      <c r="AW111" s="58" t="s">
        <v>2595</v>
      </c>
      <c r="AX111" s="58" t="s">
        <v>2596</v>
      </c>
      <c r="AY111" s="58" t="s">
        <v>2597</v>
      </c>
      <c r="AZ111" s="58" t="s">
        <v>2598</v>
      </c>
      <c r="BA111" s="58" t="s">
        <v>2599</v>
      </c>
      <c r="BB111" s="58" t="s">
        <v>2600</v>
      </c>
      <c r="BC111" s="58" t="s">
        <v>2601</v>
      </c>
      <c r="BD111" s="58" t="s">
        <v>2602</v>
      </c>
      <c r="BE111" s="58" t="s">
        <v>2603</v>
      </c>
      <c r="BF111" s="58" t="s">
        <v>2604</v>
      </c>
      <c r="BG111" s="58" t="s">
        <v>1029</v>
      </c>
      <c r="BH111" s="58" t="s">
        <v>1030</v>
      </c>
      <c r="BI111" s="58" t="s">
        <v>1031</v>
      </c>
      <c r="BJ111" s="58" t="s">
        <v>1032</v>
      </c>
      <c r="BK111" s="58" t="s">
        <v>1033</v>
      </c>
      <c r="BL111" s="58" t="s">
        <v>1034</v>
      </c>
      <c r="BM111" s="58" t="s">
        <v>1035</v>
      </c>
      <c r="BN111" s="58" t="s">
        <v>1036</v>
      </c>
      <c r="BO111" s="58" t="s">
        <v>1037</v>
      </c>
      <c r="BP111" s="46">
        <v>0.0</v>
      </c>
      <c r="BQ111" s="46">
        <v>5.0</v>
      </c>
      <c r="BR111" s="46">
        <v>3.23</v>
      </c>
      <c r="BS111" s="46">
        <v>1.913</v>
      </c>
      <c r="BT111" s="46">
        <v>1.258</v>
      </c>
      <c r="BU111" s="46">
        <v>0.918</v>
      </c>
      <c r="BV111" s="46">
        <v>0.731</v>
      </c>
      <c r="BW111" s="46">
        <v>0.0</v>
      </c>
      <c r="BX111" s="46">
        <v>0.0</v>
      </c>
      <c r="BY111" s="46">
        <v>0.0</v>
      </c>
      <c r="BZ111" s="46">
        <v>3.545</v>
      </c>
      <c r="CA111" s="46">
        <v>4.285</v>
      </c>
      <c r="CB111" s="46">
        <v>1.0</v>
      </c>
      <c r="CC111" s="46">
        <v>0.0</v>
      </c>
      <c r="CD111" s="46">
        <v>0.0</v>
      </c>
      <c r="CE111" s="46">
        <v>9000.0</v>
      </c>
      <c r="CF111" s="46">
        <v>7000.0</v>
      </c>
      <c r="CG111" s="46">
        <v>1.0</v>
      </c>
      <c r="CH111" s="46">
        <v>0.0</v>
      </c>
      <c r="CI111" s="46">
        <v>0.0</v>
      </c>
      <c r="CJ111" s="2"/>
      <c r="CK111" s="2"/>
    </row>
    <row r="112">
      <c r="A112" s="44">
        <v>111.0</v>
      </c>
      <c r="B112" s="44">
        <v>173.0</v>
      </c>
      <c r="C112" s="44" t="s">
        <v>381</v>
      </c>
      <c r="D112" s="44" t="s">
        <v>382</v>
      </c>
      <c r="E112" s="44" t="s">
        <v>383</v>
      </c>
      <c r="F112" s="44">
        <v>1100.0</v>
      </c>
      <c r="G112" s="44">
        <v>4.52</v>
      </c>
      <c r="H112" s="44">
        <v>1.91</v>
      </c>
      <c r="I112" s="44">
        <v>1.2</v>
      </c>
      <c r="J112" s="44">
        <v>2.55</v>
      </c>
      <c r="K112" s="44">
        <v>1.6</v>
      </c>
      <c r="L112" s="44">
        <v>1.58</v>
      </c>
      <c r="M112" s="44">
        <v>0.04</v>
      </c>
      <c r="N112" s="44">
        <v>0.48</v>
      </c>
      <c r="O112" s="44">
        <v>0.0</v>
      </c>
      <c r="P112" s="44">
        <v>0.43</v>
      </c>
      <c r="Q112" s="44">
        <v>1.6</v>
      </c>
      <c r="R112" s="44">
        <v>500.0</v>
      </c>
      <c r="S112" s="44">
        <v>0.913</v>
      </c>
      <c r="T112" s="44">
        <v>0.33</v>
      </c>
      <c r="U112" s="44">
        <v>0.4</v>
      </c>
      <c r="V112" s="44">
        <v>18.0</v>
      </c>
      <c r="W112" s="44">
        <v>0.33</v>
      </c>
      <c r="X112" s="44">
        <v>0.4</v>
      </c>
      <c r="Y112" s="44">
        <v>18.0</v>
      </c>
      <c r="Z112" s="44">
        <v>2.0</v>
      </c>
      <c r="AA112" s="44">
        <v>-0.3</v>
      </c>
      <c r="AB112" s="44">
        <v>6.0</v>
      </c>
      <c r="AC112" s="44">
        <v>12.0</v>
      </c>
      <c r="AD112" s="44">
        <v>2.8</v>
      </c>
      <c r="AE112" s="44">
        <v>4.0</v>
      </c>
      <c r="AF112" s="44">
        <v>-6.0</v>
      </c>
      <c r="AG112" s="44">
        <v>-0.3</v>
      </c>
      <c r="AH112" s="44">
        <v>2.7</v>
      </c>
      <c r="AI112" s="44">
        <v>3.0</v>
      </c>
      <c r="AJ112" s="44">
        <v>5163.0</v>
      </c>
      <c r="AK112" s="44">
        <v>0.0</v>
      </c>
      <c r="AL112" s="44">
        <v>8000.0</v>
      </c>
      <c r="AM112" s="44">
        <v>8000.0</v>
      </c>
      <c r="AN112" s="44">
        <v>700.0</v>
      </c>
      <c r="AO112" s="44">
        <v>5200.0</v>
      </c>
      <c r="AP112" s="44">
        <v>7200.0</v>
      </c>
      <c r="AQ112" s="44">
        <v>1.0</v>
      </c>
      <c r="AR112" s="57" t="s">
        <v>2605</v>
      </c>
      <c r="AS112" s="57" t="s">
        <v>2606</v>
      </c>
      <c r="AT112" s="57" t="s">
        <v>2607</v>
      </c>
      <c r="AU112" s="57" t="s">
        <v>2608</v>
      </c>
      <c r="AV112" s="57" t="s">
        <v>2609</v>
      </c>
      <c r="AW112" s="57" t="s">
        <v>2610</v>
      </c>
      <c r="AX112" s="57" t="s">
        <v>2611</v>
      </c>
      <c r="AY112" s="57" t="s">
        <v>2612</v>
      </c>
      <c r="AZ112" s="57" t="s">
        <v>2613</v>
      </c>
      <c r="BA112" s="57" t="s">
        <v>2614</v>
      </c>
      <c r="BB112" s="57" t="s">
        <v>2615</v>
      </c>
      <c r="BC112" s="57" t="s">
        <v>2616</v>
      </c>
      <c r="BD112" s="57" t="s">
        <v>2617</v>
      </c>
      <c r="BE112" s="57" t="s">
        <v>2618</v>
      </c>
      <c r="BF112" s="57" t="s">
        <v>2619</v>
      </c>
      <c r="BG112" s="57" t="s">
        <v>2620</v>
      </c>
      <c r="BH112" s="57" t="s">
        <v>2621</v>
      </c>
      <c r="BI112" s="57" t="s">
        <v>1031</v>
      </c>
      <c r="BJ112" s="57" t="s">
        <v>1032</v>
      </c>
      <c r="BK112" s="57" t="s">
        <v>1033</v>
      </c>
      <c r="BL112" s="57" t="s">
        <v>1034</v>
      </c>
      <c r="BM112" s="57" t="s">
        <v>1035</v>
      </c>
      <c r="BN112" s="57" t="s">
        <v>1036</v>
      </c>
      <c r="BO112" s="57" t="s">
        <v>1037</v>
      </c>
      <c r="BP112" s="44">
        <v>0.0</v>
      </c>
      <c r="BQ112" s="44">
        <v>6.0</v>
      </c>
      <c r="BR112" s="44">
        <v>3.233</v>
      </c>
      <c r="BS112" s="44">
        <v>2.165</v>
      </c>
      <c r="BT112" s="44">
        <v>1.754</v>
      </c>
      <c r="BU112" s="44">
        <v>1.422</v>
      </c>
      <c r="BV112" s="44">
        <v>1.151</v>
      </c>
      <c r="BW112" s="44">
        <v>0.886</v>
      </c>
      <c r="BX112" s="44">
        <v>0.0</v>
      </c>
      <c r="BY112" s="44">
        <v>0.0</v>
      </c>
      <c r="BZ112" s="44">
        <v>3.4</v>
      </c>
      <c r="CA112" s="44">
        <v>3.605</v>
      </c>
      <c r="CB112" s="44">
        <v>4.0</v>
      </c>
      <c r="CC112" s="44">
        <v>0.0</v>
      </c>
      <c r="CD112" s="44">
        <v>0.0</v>
      </c>
      <c r="CE112" s="44">
        <v>0.0</v>
      </c>
      <c r="CF112" s="44">
        <v>8000.0</v>
      </c>
      <c r="CG112" s="44">
        <v>0.0</v>
      </c>
      <c r="CH112" s="44">
        <v>1.0</v>
      </c>
      <c r="CI112" s="44">
        <v>0.0</v>
      </c>
      <c r="CJ112" s="2"/>
      <c r="CK112" s="2"/>
    </row>
    <row r="113">
      <c r="A113" s="46">
        <v>112.0</v>
      </c>
      <c r="B113" s="46">
        <v>174.0</v>
      </c>
      <c r="C113" s="46" t="s">
        <v>384</v>
      </c>
      <c r="D113" s="46" t="s">
        <v>385</v>
      </c>
      <c r="E113" s="46" t="s">
        <v>386</v>
      </c>
      <c r="F113" s="46">
        <v>940.0</v>
      </c>
      <c r="G113" s="46">
        <v>4.205</v>
      </c>
      <c r="H113" s="46">
        <v>1.625</v>
      </c>
      <c r="I113" s="46">
        <v>1.335</v>
      </c>
      <c r="J113" s="46">
        <v>2.4</v>
      </c>
      <c r="K113" s="46">
        <v>1.355</v>
      </c>
      <c r="L113" s="46">
        <v>1.345</v>
      </c>
      <c r="M113" s="46">
        <v>0.15</v>
      </c>
      <c r="N113" s="46">
        <v>0.457</v>
      </c>
      <c r="O113" s="46">
        <v>0.0</v>
      </c>
      <c r="P113" s="46">
        <v>0.5</v>
      </c>
      <c r="Q113" s="46">
        <v>1.0</v>
      </c>
      <c r="R113" s="46">
        <v>0.0</v>
      </c>
      <c r="S113" s="46">
        <v>1.096</v>
      </c>
      <c r="T113" s="46">
        <v>0.185</v>
      </c>
      <c r="U113" s="46">
        <v>0.7</v>
      </c>
      <c r="V113" s="46">
        <v>13.0</v>
      </c>
      <c r="W113" s="46">
        <v>0.185</v>
      </c>
      <c r="X113" s="46">
        <v>0.7</v>
      </c>
      <c r="Y113" s="46">
        <v>13.0</v>
      </c>
      <c r="Z113" s="46">
        <v>1.0</v>
      </c>
      <c r="AA113" s="46">
        <v>0.15</v>
      </c>
      <c r="AB113" s="46">
        <v>3.45</v>
      </c>
      <c r="AC113" s="46">
        <v>8.5</v>
      </c>
      <c r="AD113" s="46">
        <v>1.4</v>
      </c>
      <c r="AE113" s="46">
        <v>2.0</v>
      </c>
      <c r="AF113" s="46">
        <v>-2.0</v>
      </c>
      <c r="AG113" s="46">
        <v>0.0</v>
      </c>
      <c r="AH113" s="46">
        <v>1.4</v>
      </c>
      <c r="AI113" s="46">
        <v>0.0</v>
      </c>
      <c r="AJ113" s="46">
        <v>1587.0</v>
      </c>
      <c r="AK113" s="46">
        <v>0.0</v>
      </c>
      <c r="AL113" s="46">
        <v>7700.0</v>
      </c>
      <c r="AM113" s="46">
        <v>7900.0</v>
      </c>
      <c r="AN113" s="46">
        <v>800.0</v>
      </c>
      <c r="AO113" s="46">
        <v>5200.0</v>
      </c>
      <c r="AP113" s="46">
        <v>6600.0</v>
      </c>
      <c r="AQ113" s="46">
        <v>0.0</v>
      </c>
      <c r="AR113" s="58" t="s">
        <v>2622</v>
      </c>
      <c r="AS113" s="58" t="s">
        <v>2623</v>
      </c>
      <c r="AT113" s="58" t="s">
        <v>2624</v>
      </c>
      <c r="AU113" s="58" t="s">
        <v>2625</v>
      </c>
      <c r="AV113" s="58" t="s">
        <v>2076</v>
      </c>
      <c r="AW113" s="58" t="s">
        <v>2626</v>
      </c>
      <c r="AX113" s="58" t="s">
        <v>2627</v>
      </c>
      <c r="AY113" s="58" t="s">
        <v>2628</v>
      </c>
      <c r="AZ113" s="58" t="s">
        <v>2629</v>
      </c>
      <c r="BA113" s="58" t="s">
        <v>2630</v>
      </c>
      <c r="BB113" s="58" t="s">
        <v>2631</v>
      </c>
      <c r="BC113" s="58" t="s">
        <v>2632</v>
      </c>
      <c r="BD113" s="58" t="s">
        <v>2633</v>
      </c>
      <c r="BE113" s="58" t="s">
        <v>2634</v>
      </c>
      <c r="BF113" s="58" t="s">
        <v>2635</v>
      </c>
      <c r="BG113" s="58" t="s">
        <v>2636</v>
      </c>
      <c r="BH113" s="58" t="s">
        <v>1030</v>
      </c>
      <c r="BI113" s="58" t="s">
        <v>1031</v>
      </c>
      <c r="BJ113" s="58" t="s">
        <v>1032</v>
      </c>
      <c r="BK113" s="58" t="s">
        <v>1033</v>
      </c>
      <c r="BL113" s="58" t="s">
        <v>1034</v>
      </c>
      <c r="BM113" s="58" t="s">
        <v>1035</v>
      </c>
      <c r="BN113" s="58" t="s">
        <v>1036</v>
      </c>
      <c r="BO113" s="58" t="s">
        <v>1037</v>
      </c>
      <c r="BP113" s="46">
        <v>0.0</v>
      </c>
      <c r="BQ113" s="46">
        <v>5.0</v>
      </c>
      <c r="BR113" s="46">
        <v>3.587</v>
      </c>
      <c r="BS113" s="46">
        <v>2.022</v>
      </c>
      <c r="BT113" s="46">
        <v>1.384</v>
      </c>
      <c r="BU113" s="46">
        <v>1.0</v>
      </c>
      <c r="BV113" s="46">
        <v>0.861</v>
      </c>
      <c r="BW113" s="46">
        <v>0.0</v>
      </c>
      <c r="BX113" s="46">
        <v>0.0</v>
      </c>
      <c r="BY113" s="46">
        <v>0.0</v>
      </c>
      <c r="BZ113" s="46">
        <v>3.484</v>
      </c>
      <c r="CA113" s="46">
        <v>4.3</v>
      </c>
      <c r="CB113" s="46">
        <v>0.0</v>
      </c>
      <c r="CC113" s="46">
        <v>0.0</v>
      </c>
      <c r="CD113" s="46">
        <v>0.0</v>
      </c>
      <c r="CE113" s="46">
        <v>8000.0</v>
      </c>
      <c r="CF113" s="46">
        <v>7700.0</v>
      </c>
      <c r="CG113" s="46">
        <v>1.0</v>
      </c>
      <c r="CH113" s="46">
        <v>0.0</v>
      </c>
      <c r="CI113" s="46">
        <v>0.0</v>
      </c>
      <c r="CJ113" s="2"/>
      <c r="CK113" s="2"/>
    </row>
    <row r="114">
      <c r="A114" s="44">
        <v>113.0</v>
      </c>
      <c r="B114" s="44">
        <v>175.0</v>
      </c>
      <c r="C114" s="44" t="s">
        <v>387</v>
      </c>
      <c r="D114" s="44" t="s">
        <v>388</v>
      </c>
      <c r="E114" s="44" t="s">
        <v>389</v>
      </c>
      <c r="F114" s="44">
        <v>1380.0</v>
      </c>
      <c r="G114" s="44">
        <v>4.42</v>
      </c>
      <c r="H114" s="44">
        <v>1.75</v>
      </c>
      <c r="I114" s="44">
        <v>1.305</v>
      </c>
      <c r="J114" s="44">
        <v>2.535</v>
      </c>
      <c r="K114" s="44">
        <v>1.51</v>
      </c>
      <c r="L114" s="44">
        <v>1.485</v>
      </c>
      <c r="M114" s="44">
        <v>0.145</v>
      </c>
      <c r="N114" s="44">
        <v>0.391</v>
      </c>
      <c r="O114" s="44">
        <v>4.0</v>
      </c>
      <c r="P114" s="44">
        <v>0.5</v>
      </c>
      <c r="Q114" s="44">
        <v>1.05</v>
      </c>
      <c r="R114" s="44">
        <v>0.0</v>
      </c>
      <c r="S114" s="44">
        <v>1.071</v>
      </c>
      <c r="T114" s="44">
        <v>0.215</v>
      </c>
      <c r="U114" s="44">
        <v>0.5</v>
      </c>
      <c r="V114" s="44">
        <v>16.0</v>
      </c>
      <c r="W114" s="44">
        <v>0.215</v>
      </c>
      <c r="X114" s="44">
        <v>0.5</v>
      </c>
      <c r="Y114" s="44">
        <v>16.0</v>
      </c>
      <c r="Z114" s="44">
        <v>-2.0</v>
      </c>
      <c r="AA114" s="44">
        <v>-0.2</v>
      </c>
      <c r="AB114" s="44">
        <v>2.45</v>
      </c>
      <c r="AC114" s="44">
        <v>3.0</v>
      </c>
      <c r="AD114" s="44">
        <v>1.5</v>
      </c>
      <c r="AE114" s="44">
        <v>1.0</v>
      </c>
      <c r="AF114" s="44">
        <v>-4.0</v>
      </c>
      <c r="AG114" s="44">
        <v>-1.2</v>
      </c>
      <c r="AH114" s="44">
        <v>1.5</v>
      </c>
      <c r="AI114" s="44">
        <v>1.0</v>
      </c>
      <c r="AJ114" s="44">
        <v>1998.0</v>
      </c>
      <c r="AK114" s="44">
        <v>1.0</v>
      </c>
      <c r="AL114" s="44">
        <v>6800.0</v>
      </c>
      <c r="AM114" s="44">
        <v>7000.0</v>
      </c>
      <c r="AN114" s="44">
        <v>700.0</v>
      </c>
      <c r="AO114" s="44">
        <v>4000.0</v>
      </c>
      <c r="AP114" s="44">
        <v>6000.0</v>
      </c>
      <c r="AQ114" s="44">
        <v>0.0</v>
      </c>
      <c r="AR114" s="57" t="s">
        <v>2637</v>
      </c>
      <c r="AS114" s="57" t="s">
        <v>2638</v>
      </c>
      <c r="AT114" s="57" t="s">
        <v>2639</v>
      </c>
      <c r="AU114" s="57" t="s">
        <v>2640</v>
      </c>
      <c r="AV114" s="57" t="s">
        <v>1931</v>
      </c>
      <c r="AW114" s="57" t="s">
        <v>2641</v>
      </c>
      <c r="AX114" s="57" t="s">
        <v>2642</v>
      </c>
      <c r="AY114" s="57" t="s">
        <v>2597</v>
      </c>
      <c r="AZ114" s="57" t="s">
        <v>2643</v>
      </c>
      <c r="BA114" s="57" t="s">
        <v>2644</v>
      </c>
      <c r="BB114" s="57" t="s">
        <v>2645</v>
      </c>
      <c r="BC114" s="57" t="s">
        <v>2646</v>
      </c>
      <c r="BD114" s="57" t="s">
        <v>2647</v>
      </c>
      <c r="BE114" s="57" t="s">
        <v>2648</v>
      </c>
      <c r="BF114" s="57" t="s">
        <v>1052</v>
      </c>
      <c r="BG114" s="57" t="s">
        <v>1029</v>
      </c>
      <c r="BH114" s="57" t="s">
        <v>1030</v>
      </c>
      <c r="BI114" s="57" t="s">
        <v>1031</v>
      </c>
      <c r="BJ114" s="57" t="s">
        <v>1032</v>
      </c>
      <c r="BK114" s="57" t="s">
        <v>1033</v>
      </c>
      <c r="BL114" s="57" t="s">
        <v>1034</v>
      </c>
      <c r="BM114" s="57" t="s">
        <v>1035</v>
      </c>
      <c r="BN114" s="57" t="s">
        <v>1036</v>
      </c>
      <c r="BO114" s="57" t="s">
        <v>1037</v>
      </c>
      <c r="BP114" s="44">
        <v>0.0</v>
      </c>
      <c r="BQ114" s="44">
        <v>5.0</v>
      </c>
      <c r="BR114" s="44">
        <v>3.384</v>
      </c>
      <c r="BS114" s="44">
        <v>1.913</v>
      </c>
      <c r="BT114" s="44">
        <v>1.258</v>
      </c>
      <c r="BU114" s="44">
        <v>0.918</v>
      </c>
      <c r="BV114" s="44">
        <v>0.731</v>
      </c>
      <c r="BW114" s="44">
        <v>0.0</v>
      </c>
      <c r="BX114" s="44">
        <v>0.0</v>
      </c>
      <c r="BY114" s="44">
        <v>0.0</v>
      </c>
      <c r="BZ114" s="44">
        <v>3.545</v>
      </c>
      <c r="CA114" s="44">
        <v>4.285</v>
      </c>
      <c r="CB114" s="44">
        <v>0.0</v>
      </c>
      <c r="CC114" s="44">
        <v>2.0</v>
      </c>
      <c r="CD114" s="44">
        <v>1.0</v>
      </c>
      <c r="CE114" s="44">
        <v>9000.0</v>
      </c>
      <c r="CF114" s="44">
        <v>6800.0</v>
      </c>
      <c r="CG114" s="44">
        <v>0.0</v>
      </c>
      <c r="CH114" s="44">
        <v>0.0</v>
      </c>
      <c r="CI114" s="44">
        <v>0.0</v>
      </c>
      <c r="CJ114" s="2"/>
      <c r="CK114" s="2"/>
    </row>
    <row r="115">
      <c r="A115" s="46">
        <v>114.0</v>
      </c>
      <c r="B115" s="46">
        <v>176.0</v>
      </c>
      <c r="C115" s="46" t="s">
        <v>390</v>
      </c>
      <c r="D115" s="46" t="s">
        <v>391</v>
      </c>
      <c r="E115" s="46" t="s">
        <v>392</v>
      </c>
      <c r="F115" s="46">
        <v>1240.0</v>
      </c>
      <c r="G115" s="46">
        <v>4.52</v>
      </c>
      <c r="H115" s="46">
        <v>1.695</v>
      </c>
      <c r="I115" s="46">
        <v>1.29</v>
      </c>
      <c r="J115" s="46">
        <v>2.475</v>
      </c>
      <c r="K115" s="46">
        <v>1.465</v>
      </c>
      <c r="L115" s="46">
        <v>1.46</v>
      </c>
      <c r="M115" s="46">
        <v>0.13</v>
      </c>
      <c r="N115" s="46">
        <v>0.476</v>
      </c>
      <c r="O115" s="46">
        <v>0.0</v>
      </c>
      <c r="P115" s="46">
        <v>0.48</v>
      </c>
      <c r="Q115" s="46">
        <v>1.05</v>
      </c>
      <c r="R115" s="46">
        <v>0.0</v>
      </c>
      <c r="S115" s="46">
        <v>1.085</v>
      </c>
      <c r="T115" s="46">
        <v>0.205</v>
      </c>
      <c r="U115" s="46">
        <v>0.6</v>
      </c>
      <c r="V115" s="46">
        <v>15.0</v>
      </c>
      <c r="W115" s="46">
        <v>0.205</v>
      </c>
      <c r="X115" s="46">
        <v>0.6</v>
      </c>
      <c r="Y115" s="46">
        <v>15.0</v>
      </c>
      <c r="Z115" s="46">
        <v>-1.0</v>
      </c>
      <c r="AA115" s="46">
        <v>-0.5</v>
      </c>
      <c r="AB115" s="46">
        <v>6.5</v>
      </c>
      <c r="AC115" s="46">
        <v>13.25</v>
      </c>
      <c r="AD115" s="46">
        <v>1.5</v>
      </c>
      <c r="AE115" s="46">
        <v>2.0</v>
      </c>
      <c r="AF115" s="46">
        <v>-2.0</v>
      </c>
      <c r="AG115" s="46">
        <v>-1.05</v>
      </c>
      <c r="AH115" s="46">
        <v>1.5</v>
      </c>
      <c r="AI115" s="46">
        <v>1.0</v>
      </c>
      <c r="AJ115" s="46">
        <v>1998.0</v>
      </c>
      <c r="AK115" s="46">
        <v>1.0</v>
      </c>
      <c r="AL115" s="46">
        <v>7500.0</v>
      </c>
      <c r="AM115" s="46">
        <v>7700.0</v>
      </c>
      <c r="AN115" s="46">
        <v>700.0</v>
      </c>
      <c r="AO115" s="46">
        <v>4000.0</v>
      </c>
      <c r="AP115" s="46">
        <v>6000.0</v>
      </c>
      <c r="AQ115" s="46">
        <v>0.0</v>
      </c>
      <c r="AR115" s="58" t="s">
        <v>2649</v>
      </c>
      <c r="AS115" s="58" t="s">
        <v>2650</v>
      </c>
      <c r="AT115" s="58" t="s">
        <v>2651</v>
      </c>
      <c r="AU115" s="58" t="s">
        <v>2652</v>
      </c>
      <c r="AV115" s="58" t="s">
        <v>2653</v>
      </c>
      <c r="AW115" s="58" t="s">
        <v>2654</v>
      </c>
      <c r="AX115" s="58" t="s">
        <v>2655</v>
      </c>
      <c r="AY115" s="58" t="s">
        <v>2656</v>
      </c>
      <c r="AZ115" s="58" t="s">
        <v>2657</v>
      </c>
      <c r="BA115" s="58" t="s">
        <v>2658</v>
      </c>
      <c r="BB115" s="58" t="s">
        <v>2659</v>
      </c>
      <c r="BC115" s="58" t="s">
        <v>2660</v>
      </c>
      <c r="BD115" s="58" t="s">
        <v>2661</v>
      </c>
      <c r="BE115" s="58" t="s">
        <v>2662</v>
      </c>
      <c r="BF115" s="58" t="s">
        <v>2663</v>
      </c>
      <c r="BG115" s="58" t="s">
        <v>2664</v>
      </c>
      <c r="BH115" s="58" t="s">
        <v>1030</v>
      </c>
      <c r="BI115" s="58" t="s">
        <v>1031</v>
      </c>
      <c r="BJ115" s="58" t="s">
        <v>1032</v>
      </c>
      <c r="BK115" s="58" t="s">
        <v>1033</v>
      </c>
      <c r="BL115" s="58" t="s">
        <v>1034</v>
      </c>
      <c r="BM115" s="58" t="s">
        <v>1035</v>
      </c>
      <c r="BN115" s="58" t="s">
        <v>1036</v>
      </c>
      <c r="BO115" s="58" t="s">
        <v>1037</v>
      </c>
      <c r="BP115" s="46">
        <v>0.0</v>
      </c>
      <c r="BQ115" s="46">
        <v>5.0</v>
      </c>
      <c r="BR115" s="46">
        <v>3.321</v>
      </c>
      <c r="BS115" s="46">
        <v>1.902</v>
      </c>
      <c r="BT115" s="46">
        <v>1.308</v>
      </c>
      <c r="BU115" s="46">
        <v>1.0</v>
      </c>
      <c r="BV115" s="46">
        <v>0.759</v>
      </c>
      <c r="BW115" s="46">
        <v>0.0</v>
      </c>
      <c r="BX115" s="46">
        <v>0.0</v>
      </c>
      <c r="BY115" s="46">
        <v>0.0</v>
      </c>
      <c r="BZ115" s="46">
        <v>3.382</v>
      </c>
      <c r="CA115" s="46">
        <v>4.083</v>
      </c>
      <c r="CB115" s="46">
        <v>1.0</v>
      </c>
      <c r="CC115" s="46">
        <v>0.0</v>
      </c>
      <c r="CD115" s="46">
        <v>0.0</v>
      </c>
      <c r="CE115" s="46">
        <v>9000.0</v>
      </c>
      <c r="CF115" s="46">
        <v>7500.0</v>
      </c>
      <c r="CG115" s="46">
        <v>1.0</v>
      </c>
      <c r="CH115" s="46">
        <v>0.0</v>
      </c>
      <c r="CI115" s="46">
        <v>0.0</v>
      </c>
      <c r="CJ115" s="2"/>
      <c r="CK115" s="2"/>
    </row>
    <row r="116">
      <c r="A116" s="44">
        <v>115.0</v>
      </c>
      <c r="B116" s="44">
        <v>177.0</v>
      </c>
      <c r="C116" s="44" t="s">
        <v>393</v>
      </c>
      <c r="D116" s="44" t="s">
        <v>394</v>
      </c>
      <c r="E116" s="44" t="s">
        <v>395</v>
      </c>
      <c r="F116" s="44">
        <v>1150.0</v>
      </c>
      <c r="G116" s="44">
        <v>4.47</v>
      </c>
      <c r="H116" s="44">
        <v>1.69</v>
      </c>
      <c r="I116" s="44">
        <v>1.29</v>
      </c>
      <c r="J116" s="44">
        <v>2.475</v>
      </c>
      <c r="K116" s="44">
        <v>1.465</v>
      </c>
      <c r="L116" s="44">
        <v>1.46</v>
      </c>
      <c r="M116" s="44">
        <v>0.135</v>
      </c>
      <c r="N116" s="44">
        <v>0.461</v>
      </c>
      <c r="O116" s="44">
        <v>0.0</v>
      </c>
      <c r="P116" s="44">
        <v>0.48</v>
      </c>
      <c r="Q116" s="44">
        <v>1.05</v>
      </c>
      <c r="R116" s="44">
        <v>0.0</v>
      </c>
      <c r="S116" s="44">
        <v>1.066</v>
      </c>
      <c r="T116" s="44">
        <v>0.205</v>
      </c>
      <c r="U116" s="44">
        <v>0.6</v>
      </c>
      <c r="V116" s="44">
        <v>15.0</v>
      </c>
      <c r="W116" s="44">
        <v>0.205</v>
      </c>
      <c r="X116" s="44">
        <v>0.6</v>
      </c>
      <c r="Y116" s="44">
        <v>15.0</v>
      </c>
      <c r="Z116" s="44">
        <v>0.0</v>
      </c>
      <c r="AA116" s="44">
        <v>-0.5</v>
      </c>
      <c r="AB116" s="44">
        <v>6.5</v>
      </c>
      <c r="AC116" s="44">
        <v>13.25</v>
      </c>
      <c r="AD116" s="44">
        <v>1.5</v>
      </c>
      <c r="AE116" s="44">
        <v>2.0</v>
      </c>
      <c r="AF116" s="44">
        <v>-2.0</v>
      </c>
      <c r="AG116" s="44">
        <v>-1.05</v>
      </c>
      <c r="AH116" s="44">
        <v>1.5</v>
      </c>
      <c r="AI116" s="44">
        <v>1.0</v>
      </c>
      <c r="AJ116" s="44">
        <v>1998.0</v>
      </c>
      <c r="AK116" s="44">
        <v>1.0</v>
      </c>
      <c r="AL116" s="44">
        <v>7500.0</v>
      </c>
      <c r="AM116" s="44">
        <v>7600.0</v>
      </c>
      <c r="AN116" s="44">
        <v>700.0</v>
      </c>
      <c r="AO116" s="44">
        <v>4000.0</v>
      </c>
      <c r="AP116" s="44">
        <v>6000.0</v>
      </c>
      <c r="AQ116" s="44">
        <v>0.0</v>
      </c>
      <c r="AR116" s="57" t="s">
        <v>2665</v>
      </c>
      <c r="AS116" s="57" t="s">
        <v>2666</v>
      </c>
      <c r="AT116" s="57" t="s">
        <v>2667</v>
      </c>
      <c r="AU116" s="57" t="s">
        <v>2668</v>
      </c>
      <c r="AV116" s="57" t="s">
        <v>2669</v>
      </c>
      <c r="AW116" s="57" t="s">
        <v>2670</v>
      </c>
      <c r="AX116" s="57" t="s">
        <v>2671</v>
      </c>
      <c r="AY116" s="57" t="s">
        <v>2672</v>
      </c>
      <c r="AZ116" s="57" t="s">
        <v>2673</v>
      </c>
      <c r="BA116" s="57" t="s">
        <v>2674</v>
      </c>
      <c r="BB116" s="57" t="s">
        <v>2675</v>
      </c>
      <c r="BC116" s="57" t="s">
        <v>2676</v>
      </c>
      <c r="BD116" s="57" t="s">
        <v>2677</v>
      </c>
      <c r="BE116" s="57" t="s">
        <v>2678</v>
      </c>
      <c r="BF116" s="57" t="s">
        <v>2679</v>
      </c>
      <c r="BG116" s="57" t="s">
        <v>2680</v>
      </c>
      <c r="BH116" s="57" t="s">
        <v>1030</v>
      </c>
      <c r="BI116" s="57" t="s">
        <v>1031</v>
      </c>
      <c r="BJ116" s="57" t="s">
        <v>1032</v>
      </c>
      <c r="BK116" s="57" t="s">
        <v>1033</v>
      </c>
      <c r="BL116" s="57" t="s">
        <v>1034</v>
      </c>
      <c r="BM116" s="57" t="s">
        <v>1035</v>
      </c>
      <c r="BN116" s="57" t="s">
        <v>1036</v>
      </c>
      <c r="BO116" s="57" t="s">
        <v>1037</v>
      </c>
      <c r="BP116" s="44">
        <v>0.0</v>
      </c>
      <c r="BQ116" s="44">
        <v>5.0</v>
      </c>
      <c r="BR116" s="44">
        <v>3.321</v>
      </c>
      <c r="BS116" s="44">
        <v>1.902</v>
      </c>
      <c r="BT116" s="44">
        <v>1.308</v>
      </c>
      <c r="BU116" s="44">
        <v>1.0</v>
      </c>
      <c r="BV116" s="44">
        <v>0.759</v>
      </c>
      <c r="BW116" s="44">
        <v>0.0</v>
      </c>
      <c r="BX116" s="44">
        <v>0.0</v>
      </c>
      <c r="BY116" s="44">
        <v>0.0</v>
      </c>
      <c r="BZ116" s="44">
        <v>3.382</v>
      </c>
      <c r="CA116" s="44">
        <v>4.083</v>
      </c>
      <c r="CB116" s="44">
        <v>1.0</v>
      </c>
      <c r="CC116" s="44">
        <v>0.0</v>
      </c>
      <c r="CD116" s="44">
        <v>0.0</v>
      </c>
      <c r="CE116" s="44">
        <v>9000.0</v>
      </c>
      <c r="CF116" s="44">
        <v>7500.0</v>
      </c>
      <c r="CG116" s="44">
        <v>0.0</v>
      </c>
      <c r="CH116" s="44">
        <v>0.0</v>
      </c>
      <c r="CI116" s="44">
        <v>0.0</v>
      </c>
      <c r="CJ116" s="2"/>
      <c r="CK116" s="2"/>
    </row>
    <row r="117">
      <c r="A117" s="46">
        <v>116.0</v>
      </c>
      <c r="B117" s="46">
        <v>179.0</v>
      </c>
      <c r="C117" s="46" t="s">
        <v>396</v>
      </c>
      <c r="D117" s="46" t="s">
        <v>397</v>
      </c>
      <c r="E117" s="46" t="s">
        <v>398</v>
      </c>
      <c r="F117" s="46">
        <v>1500.0</v>
      </c>
      <c r="G117" s="46">
        <v>4.545</v>
      </c>
      <c r="H117" s="46">
        <v>1.755</v>
      </c>
      <c r="I117" s="46">
        <v>1.355</v>
      </c>
      <c r="J117" s="46">
        <v>2.615</v>
      </c>
      <c r="K117" s="46">
        <v>1.48</v>
      </c>
      <c r="L117" s="46">
        <v>1.48</v>
      </c>
      <c r="M117" s="46">
        <v>0.12</v>
      </c>
      <c r="N117" s="46">
        <v>0.41</v>
      </c>
      <c r="O117" s="46">
        <v>4.0</v>
      </c>
      <c r="P117" s="46">
        <v>0.5</v>
      </c>
      <c r="Q117" s="46">
        <v>1.1</v>
      </c>
      <c r="R117" s="46">
        <v>100.0</v>
      </c>
      <c r="S117" s="46">
        <v>1.113</v>
      </c>
      <c r="T117" s="46">
        <v>0.245</v>
      </c>
      <c r="U117" s="46">
        <v>0.45</v>
      </c>
      <c r="V117" s="46">
        <v>17.0</v>
      </c>
      <c r="W117" s="46">
        <v>0.245</v>
      </c>
      <c r="X117" s="46">
        <v>0.45</v>
      </c>
      <c r="Y117" s="46">
        <v>17.0</v>
      </c>
      <c r="Z117" s="46">
        <v>0.0</v>
      </c>
      <c r="AA117" s="46">
        <v>-0.55</v>
      </c>
      <c r="AB117" s="46">
        <v>3.4</v>
      </c>
      <c r="AC117" s="46">
        <v>15.25</v>
      </c>
      <c r="AD117" s="46">
        <v>1.6</v>
      </c>
      <c r="AE117" s="46">
        <v>3.0</v>
      </c>
      <c r="AF117" s="46">
        <v>-2.0</v>
      </c>
      <c r="AG117" s="46">
        <v>1.05</v>
      </c>
      <c r="AH117" s="46">
        <v>1.6</v>
      </c>
      <c r="AI117" s="46">
        <v>2.0</v>
      </c>
      <c r="AJ117" s="46">
        <v>2568.0</v>
      </c>
      <c r="AK117" s="46">
        <v>1.0</v>
      </c>
      <c r="AL117" s="46">
        <v>7500.0</v>
      </c>
      <c r="AM117" s="46">
        <v>8000.0</v>
      </c>
      <c r="AN117" s="46">
        <v>700.0</v>
      </c>
      <c r="AO117" s="46">
        <v>4400.0</v>
      </c>
      <c r="AP117" s="46">
        <v>6800.0</v>
      </c>
      <c r="AQ117" s="46">
        <v>0.0</v>
      </c>
      <c r="AR117" s="58" t="s">
        <v>2681</v>
      </c>
      <c r="AS117" s="58" t="s">
        <v>2682</v>
      </c>
      <c r="AT117" s="58" t="s">
        <v>2683</v>
      </c>
      <c r="AU117" s="58" t="s">
        <v>2684</v>
      </c>
      <c r="AV117" s="58" t="s">
        <v>2685</v>
      </c>
      <c r="AW117" s="58" t="s">
        <v>2686</v>
      </c>
      <c r="AX117" s="58" t="s">
        <v>2687</v>
      </c>
      <c r="AY117" s="58" t="s">
        <v>2688</v>
      </c>
      <c r="AZ117" s="58" t="s">
        <v>2689</v>
      </c>
      <c r="BA117" s="58" t="s">
        <v>2690</v>
      </c>
      <c r="BB117" s="58" t="s">
        <v>2691</v>
      </c>
      <c r="BC117" s="58" t="s">
        <v>2692</v>
      </c>
      <c r="BD117" s="58" t="s">
        <v>2693</v>
      </c>
      <c r="BE117" s="58" t="s">
        <v>2694</v>
      </c>
      <c r="BF117" s="58" t="s">
        <v>2695</v>
      </c>
      <c r="BG117" s="58" t="s">
        <v>2696</v>
      </c>
      <c r="BH117" s="58" t="s">
        <v>1030</v>
      </c>
      <c r="BI117" s="58" t="s">
        <v>1031</v>
      </c>
      <c r="BJ117" s="58" t="s">
        <v>1032</v>
      </c>
      <c r="BK117" s="58" t="s">
        <v>1033</v>
      </c>
      <c r="BL117" s="58" t="s">
        <v>1034</v>
      </c>
      <c r="BM117" s="58" t="s">
        <v>1035</v>
      </c>
      <c r="BN117" s="58" t="s">
        <v>1036</v>
      </c>
      <c r="BO117" s="58" t="s">
        <v>1037</v>
      </c>
      <c r="BP117" s="46">
        <v>0.0</v>
      </c>
      <c r="BQ117" s="46">
        <v>5.0</v>
      </c>
      <c r="BR117" s="46">
        <v>3.214</v>
      </c>
      <c r="BS117" s="46">
        <v>1.925</v>
      </c>
      <c r="BT117" s="46">
        <v>1.302</v>
      </c>
      <c r="BU117" s="46">
        <v>1.0</v>
      </c>
      <c r="BV117" s="46">
        <v>0.752</v>
      </c>
      <c r="BW117" s="46">
        <v>0.0</v>
      </c>
      <c r="BX117" s="46">
        <v>0.0</v>
      </c>
      <c r="BY117" s="46">
        <v>0.0</v>
      </c>
      <c r="BZ117" s="46">
        <v>3.369</v>
      </c>
      <c r="CA117" s="46">
        <v>4.111</v>
      </c>
      <c r="CB117" s="46">
        <v>0.0</v>
      </c>
      <c r="CC117" s="46">
        <v>3.0</v>
      </c>
      <c r="CD117" s="46">
        <v>5.0</v>
      </c>
      <c r="CE117" s="46">
        <v>10000.0</v>
      </c>
      <c r="CF117" s="46">
        <v>7500.0</v>
      </c>
      <c r="CG117" s="46">
        <v>0.0</v>
      </c>
      <c r="CH117" s="46">
        <v>0.0</v>
      </c>
      <c r="CI117" s="46">
        <v>0.0</v>
      </c>
      <c r="CJ117" s="2"/>
      <c r="CK117" s="2"/>
    </row>
    <row r="118">
      <c r="A118" s="44">
        <v>117.0</v>
      </c>
      <c r="B118" s="44">
        <v>180.0</v>
      </c>
      <c r="C118" s="44" t="s">
        <v>399</v>
      </c>
      <c r="D118" s="44" t="s">
        <v>400</v>
      </c>
      <c r="E118" s="44" t="s">
        <v>401</v>
      </c>
      <c r="F118" s="44">
        <v>1560.0</v>
      </c>
      <c r="G118" s="44">
        <v>4.6</v>
      </c>
      <c r="H118" s="44">
        <v>1.785</v>
      </c>
      <c r="I118" s="44">
        <v>1.36</v>
      </c>
      <c r="J118" s="44">
        <v>2.665</v>
      </c>
      <c r="K118" s="44">
        <v>1.48</v>
      </c>
      <c r="L118" s="44">
        <v>1.49</v>
      </c>
      <c r="M118" s="44">
        <v>0.13</v>
      </c>
      <c r="N118" s="44">
        <v>0.442</v>
      </c>
      <c r="O118" s="44">
        <v>4.0</v>
      </c>
      <c r="P118" s="44">
        <v>0.5</v>
      </c>
      <c r="Q118" s="44">
        <v>1.2</v>
      </c>
      <c r="R118" s="44">
        <v>200.0</v>
      </c>
      <c r="S118" s="44">
        <v>1.131</v>
      </c>
      <c r="T118" s="44">
        <v>0.245</v>
      </c>
      <c r="U118" s="44">
        <v>0.4</v>
      </c>
      <c r="V118" s="44">
        <v>18.0</v>
      </c>
      <c r="W118" s="44">
        <v>0.245</v>
      </c>
      <c r="X118" s="44">
        <v>0.4</v>
      </c>
      <c r="Y118" s="44">
        <v>18.0</v>
      </c>
      <c r="Z118" s="44">
        <v>0.0</v>
      </c>
      <c r="AA118" s="44">
        <v>-0.5</v>
      </c>
      <c r="AB118" s="44">
        <v>3.55</v>
      </c>
      <c r="AC118" s="44">
        <v>15.2</v>
      </c>
      <c r="AD118" s="44">
        <v>1.5</v>
      </c>
      <c r="AE118" s="44">
        <v>4.0</v>
      </c>
      <c r="AF118" s="44">
        <v>-2.7</v>
      </c>
      <c r="AG118" s="44">
        <v>-1.15</v>
      </c>
      <c r="AH118" s="44">
        <v>1.5</v>
      </c>
      <c r="AI118" s="44">
        <v>3.0</v>
      </c>
      <c r="AJ118" s="44">
        <v>2568.0</v>
      </c>
      <c r="AK118" s="44">
        <v>1.0</v>
      </c>
      <c r="AL118" s="44">
        <v>8000.0</v>
      </c>
      <c r="AM118" s="44">
        <v>8500.0</v>
      </c>
      <c r="AN118" s="44">
        <v>700.0</v>
      </c>
      <c r="AO118" s="44">
        <v>4400.0</v>
      </c>
      <c r="AP118" s="44">
        <v>6800.0</v>
      </c>
      <c r="AQ118" s="44">
        <v>0.0</v>
      </c>
      <c r="AR118" s="57" t="s">
        <v>1883</v>
      </c>
      <c r="AS118" s="57" t="s">
        <v>2697</v>
      </c>
      <c r="AT118" s="57" t="s">
        <v>2698</v>
      </c>
      <c r="AU118" s="57" t="s">
        <v>2699</v>
      </c>
      <c r="AV118" s="57" t="s">
        <v>2700</v>
      </c>
      <c r="AW118" s="57" t="s">
        <v>2701</v>
      </c>
      <c r="AX118" s="57" t="s">
        <v>2702</v>
      </c>
      <c r="AY118" s="57" t="s">
        <v>2703</v>
      </c>
      <c r="AZ118" s="57" t="s">
        <v>2704</v>
      </c>
      <c r="BA118" s="57" t="s">
        <v>2705</v>
      </c>
      <c r="BB118" s="57" t="s">
        <v>2706</v>
      </c>
      <c r="BC118" s="57" t="s">
        <v>2707</v>
      </c>
      <c r="BD118" s="57" t="s">
        <v>2708</v>
      </c>
      <c r="BE118" s="57" t="s">
        <v>2709</v>
      </c>
      <c r="BF118" s="57" t="s">
        <v>2710</v>
      </c>
      <c r="BG118" s="57" t="s">
        <v>2711</v>
      </c>
      <c r="BH118" s="57" t="s">
        <v>2712</v>
      </c>
      <c r="BI118" s="57" t="s">
        <v>2713</v>
      </c>
      <c r="BJ118" s="57" t="s">
        <v>1032</v>
      </c>
      <c r="BK118" s="57" t="s">
        <v>1033</v>
      </c>
      <c r="BL118" s="57" t="s">
        <v>1034</v>
      </c>
      <c r="BM118" s="57" t="s">
        <v>1035</v>
      </c>
      <c r="BN118" s="57" t="s">
        <v>1036</v>
      </c>
      <c r="BO118" s="57" t="s">
        <v>1037</v>
      </c>
      <c r="BP118" s="44">
        <v>0.0</v>
      </c>
      <c r="BQ118" s="44">
        <v>6.0</v>
      </c>
      <c r="BR118" s="44">
        <v>3.827</v>
      </c>
      <c r="BS118" s="44">
        <v>2.36</v>
      </c>
      <c r="BT118" s="44">
        <v>1.685</v>
      </c>
      <c r="BU118" s="44">
        <v>1.312</v>
      </c>
      <c r="BV118" s="44">
        <v>1.0</v>
      </c>
      <c r="BW118" s="44">
        <v>0.793</v>
      </c>
      <c r="BX118" s="44">
        <v>0.0</v>
      </c>
      <c r="BY118" s="44">
        <v>0.0</v>
      </c>
      <c r="BZ118" s="44">
        <v>3.28</v>
      </c>
      <c r="CA118" s="44">
        <v>3.545</v>
      </c>
      <c r="CB118" s="44">
        <v>0.0</v>
      </c>
      <c r="CC118" s="44">
        <v>3.0</v>
      </c>
      <c r="CD118" s="44">
        <v>5.0</v>
      </c>
      <c r="CE118" s="44">
        <v>10000.0</v>
      </c>
      <c r="CF118" s="44">
        <v>8000.0</v>
      </c>
      <c r="CG118" s="44">
        <v>0.0</v>
      </c>
      <c r="CH118" s="44">
        <v>1.0</v>
      </c>
      <c r="CI118" s="44">
        <v>0.0</v>
      </c>
      <c r="CJ118" s="2"/>
      <c r="CK118" s="2"/>
    </row>
    <row r="119">
      <c r="A119" s="46">
        <v>118.0</v>
      </c>
      <c r="B119" s="46">
        <v>181.0</v>
      </c>
      <c r="C119" s="46" t="s">
        <v>402</v>
      </c>
      <c r="D119" s="46" t="s">
        <v>403</v>
      </c>
      <c r="E119" s="46" t="s">
        <v>404</v>
      </c>
      <c r="F119" s="46">
        <v>1080.0</v>
      </c>
      <c r="G119" s="46">
        <v>4.6</v>
      </c>
      <c r="H119" s="46">
        <v>1.885</v>
      </c>
      <c r="I119" s="46">
        <v>1.2</v>
      </c>
      <c r="J119" s="46">
        <v>2.665</v>
      </c>
      <c r="K119" s="46">
        <v>1.555</v>
      </c>
      <c r="L119" s="46">
        <v>1.555</v>
      </c>
      <c r="M119" s="46">
        <v>0.04</v>
      </c>
      <c r="N119" s="46">
        <v>0.464</v>
      </c>
      <c r="O119" s="46">
        <v>0.0</v>
      </c>
      <c r="P119" s="46">
        <v>0.4</v>
      </c>
      <c r="Q119" s="46">
        <v>1.6</v>
      </c>
      <c r="R119" s="46">
        <v>500.0</v>
      </c>
      <c r="S119" s="46">
        <v>0.916</v>
      </c>
      <c r="T119" s="46">
        <v>0.33</v>
      </c>
      <c r="U119" s="46">
        <v>0.4</v>
      </c>
      <c r="V119" s="46">
        <v>18.0</v>
      </c>
      <c r="W119" s="46">
        <v>0.33</v>
      </c>
      <c r="X119" s="46">
        <v>0.4</v>
      </c>
      <c r="Y119" s="46">
        <v>18.0</v>
      </c>
      <c r="Z119" s="46">
        <v>2.0</v>
      </c>
      <c r="AA119" s="46">
        <v>0.0</v>
      </c>
      <c r="AB119" s="46">
        <v>5.0</v>
      </c>
      <c r="AC119" s="46">
        <v>12.0</v>
      </c>
      <c r="AD119" s="46">
        <v>2.9</v>
      </c>
      <c r="AE119" s="46">
        <v>6.0</v>
      </c>
      <c r="AF119" s="46">
        <v>-6.0</v>
      </c>
      <c r="AG119" s="46">
        <v>-0.3</v>
      </c>
      <c r="AH119" s="46">
        <v>2.8</v>
      </c>
      <c r="AI119" s="46">
        <v>3.0</v>
      </c>
      <c r="AJ119" s="46">
        <v>2987.0</v>
      </c>
      <c r="AK119" s="46">
        <v>1.0</v>
      </c>
      <c r="AL119" s="46">
        <v>7500.0</v>
      </c>
      <c r="AM119" s="46">
        <v>7500.0</v>
      </c>
      <c r="AN119" s="46">
        <v>700.0</v>
      </c>
      <c r="AO119" s="46">
        <v>4000.0</v>
      </c>
      <c r="AP119" s="46">
        <v>5600.0</v>
      </c>
      <c r="AQ119" s="46">
        <v>1.0</v>
      </c>
      <c r="AR119" s="58" t="s">
        <v>2714</v>
      </c>
      <c r="AS119" s="58" t="s">
        <v>2715</v>
      </c>
      <c r="AT119" s="58" t="s">
        <v>2716</v>
      </c>
      <c r="AU119" s="58" t="s">
        <v>2717</v>
      </c>
      <c r="AV119" s="58" t="s">
        <v>2718</v>
      </c>
      <c r="AW119" s="58" t="s">
        <v>2719</v>
      </c>
      <c r="AX119" s="58" t="s">
        <v>2720</v>
      </c>
      <c r="AY119" s="58" t="s">
        <v>2721</v>
      </c>
      <c r="AZ119" s="58" t="s">
        <v>2722</v>
      </c>
      <c r="BA119" s="58" t="s">
        <v>2723</v>
      </c>
      <c r="BB119" s="58" t="s">
        <v>2724</v>
      </c>
      <c r="BC119" s="58" t="s">
        <v>2725</v>
      </c>
      <c r="BD119" s="58" t="s">
        <v>2726</v>
      </c>
      <c r="BE119" s="58" t="s">
        <v>2727</v>
      </c>
      <c r="BF119" s="58" t="s">
        <v>2728</v>
      </c>
      <c r="BG119" s="58" t="s">
        <v>2729</v>
      </c>
      <c r="BH119" s="58" t="s">
        <v>1030</v>
      </c>
      <c r="BI119" s="58" t="s">
        <v>1031</v>
      </c>
      <c r="BJ119" s="58" t="s">
        <v>1032</v>
      </c>
      <c r="BK119" s="58" t="s">
        <v>1033</v>
      </c>
      <c r="BL119" s="58" t="s">
        <v>1034</v>
      </c>
      <c r="BM119" s="58" t="s">
        <v>1035</v>
      </c>
      <c r="BN119" s="58" t="s">
        <v>1036</v>
      </c>
      <c r="BO119" s="58" t="s">
        <v>1037</v>
      </c>
      <c r="BP119" s="46">
        <v>0.0</v>
      </c>
      <c r="BQ119" s="46">
        <v>6.0</v>
      </c>
      <c r="BR119" s="46">
        <v>3.076</v>
      </c>
      <c r="BS119" s="46">
        <v>2.064</v>
      </c>
      <c r="BT119" s="46">
        <v>1.693</v>
      </c>
      <c r="BU119" s="46">
        <v>1.39</v>
      </c>
      <c r="BV119" s="46">
        <v>1.123</v>
      </c>
      <c r="BW119" s="46">
        <v>0.864</v>
      </c>
      <c r="BX119" s="46">
        <v>0.0</v>
      </c>
      <c r="BY119" s="46">
        <v>0.0</v>
      </c>
      <c r="BZ119" s="46">
        <v>3.1</v>
      </c>
      <c r="CA119" s="46">
        <v>3.458</v>
      </c>
      <c r="CB119" s="46">
        <v>4.0</v>
      </c>
      <c r="CC119" s="46">
        <v>0.0</v>
      </c>
      <c r="CD119" s="46">
        <v>0.0</v>
      </c>
      <c r="CE119" s="46">
        <v>0.0</v>
      </c>
      <c r="CF119" s="46">
        <v>7500.0</v>
      </c>
      <c r="CG119" s="46">
        <v>0.0</v>
      </c>
      <c r="CH119" s="46">
        <v>1.0</v>
      </c>
      <c r="CI119" s="46">
        <v>0.0</v>
      </c>
      <c r="CJ119" s="2"/>
      <c r="CK119" s="2"/>
    </row>
    <row r="120">
      <c r="A120" s="44">
        <v>119.0</v>
      </c>
      <c r="B120" s="44">
        <v>183.0</v>
      </c>
      <c r="C120" s="44" t="s">
        <v>405</v>
      </c>
      <c r="D120" s="44" t="s">
        <v>406</v>
      </c>
      <c r="E120" s="44" t="s">
        <v>407</v>
      </c>
      <c r="F120" s="44">
        <v>1230.0</v>
      </c>
      <c r="G120" s="44">
        <v>4.405</v>
      </c>
      <c r="H120" s="44">
        <v>1.77</v>
      </c>
      <c r="I120" s="44">
        <v>1.39</v>
      </c>
      <c r="J120" s="44">
        <v>2.535</v>
      </c>
      <c r="K120" s="44">
        <v>1.54</v>
      </c>
      <c r="L120" s="44">
        <v>1.552</v>
      </c>
      <c r="M120" s="44">
        <v>0.1</v>
      </c>
      <c r="N120" s="44">
        <v>0.48</v>
      </c>
      <c r="O120" s="44">
        <v>4.0</v>
      </c>
      <c r="P120" s="44">
        <v>0.47</v>
      </c>
      <c r="Q120" s="44">
        <v>1.2</v>
      </c>
      <c r="R120" s="44">
        <v>300.0</v>
      </c>
      <c r="S120" s="44">
        <v>1.118</v>
      </c>
      <c r="T120" s="44">
        <v>0.225</v>
      </c>
      <c r="U120" s="44">
        <v>0.42</v>
      </c>
      <c r="V120" s="44">
        <v>18.0</v>
      </c>
      <c r="W120" s="44">
        <v>0.225</v>
      </c>
      <c r="X120" s="44">
        <v>0.42</v>
      </c>
      <c r="Y120" s="44">
        <v>18.0</v>
      </c>
      <c r="Z120" s="44">
        <v>0.0</v>
      </c>
      <c r="AA120" s="44">
        <v>-0.15</v>
      </c>
      <c r="AB120" s="44">
        <v>6.0</v>
      </c>
      <c r="AC120" s="44">
        <v>12.0</v>
      </c>
      <c r="AD120" s="44">
        <v>2.0</v>
      </c>
      <c r="AE120" s="44">
        <v>2.0</v>
      </c>
      <c r="AF120" s="44">
        <v>0.0</v>
      </c>
      <c r="AG120" s="44">
        <v>-0.3</v>
      </c>
      <c r="AH120" s="44">
        <v>2.0</v>
      </c>
      <c r="AI120" s="44">
        <v>2.0</v>
      </c>
      <c r="AJ120" s="44">
        <v>1994.0</v>
      </c>
      <c r="AK120" s="44">
        <v>1.0</v>
      </c>
      <c r="AL120" s="44">
        <v>6500.0</v>
      </c>
      <c r="AM120" s="44">
        <v>6500.0</v>
      </c>
      <c r="AN120" s="44">
        <v>800.0</v>
      </c>
      <c r="AO120" s="44">
        <v>4000.0</v>
      </c>
      <c r="AP120" s="44">
        <v>5500.0</v>
      </c>
      <c r="AQ120" s="44">
        <v>1.0</v>
      </c>
      <c r="AR120" s="57" t="s">
        <v>2730</v>
      </c>
      <c r="AS120" s="57" t="s">
        <v>2731</v>
      </c>
      <c r="AT120" s="57" t="s">
        <v>2732</v>
      </c>
      <c r="AU120" s="57" t="s">
        <v>2733</v>
      </c>
      <c r="AV120" s="57" t="s">
        <v>2734</v>
      </c>
      <c r="AW120" s="57" t="s">
        <v>2735</v>
      </c>
      <c r="AX120" s="57" t="s">
        <v>2736</v>
      </c>
      <c r="AY120" s="57" t="s">
        <v>2737</v>
      </c>
      <c r="AZ120" s="57" t="s">
        <v>2738</v>
      </c>
      <c r="BA120" s="57" t="s">
        <v>2739</v>
      </c>
      <c r="BB120" s="57" t="s">
        <v>2740</v>
      </c>
      <c r="BC120" s="57" t="s">
        <v>2741</v>
      </c>
      <c r="BD120" s="57" t="s">
        <v>2742</v>
      </c>
      <c r="BE120" s="57" t="s">
        <v>1143</v>
      </c>
      <c r="BF120" s="57" t="s">
        <v>1052</v>
      </c>
      <c r="BG120" s="57" t="s">
        <v>1029</v>
      </c>
      <c r="BH120" s="57" t="s">
        <v>1030</v>
      </c>
      <c r="BI120" s="57" t="s">
        <v>1031</v>
      </c>
      <c r="BJ120" s="57" t="s">
        <v>1032</v>
      </c>
      <c r="BK120" s="57" t="s">
        <v>1033</v>
      </c>
      <c r="BL120" s="57" t="s">
        <v>1034</v>
      </c>
      <c r="BM120" s="57" t="s">
        <v>1035</v>
      </c>
      <c r="BN120" s="57" t="s">
        <v>1036</v>
      </c>
      <c r="BO120" s="57" t="s">
        <v>1037</v>
      </c>
      <c r="BP120" s="44">
        <v>0.0</v>
      </c>
      <c r="BQ120" s="44">
        <v>6.0</v>
      </c>
      <c r="BR120" s="44">
        <v>3.296</v>
      </c>
      <c r="BS120" s="44">
        <v>2.196</v>
      </c>
      <c r="BT120" s="44">
        <v>1.68</v>
      </c>
      <c r="BU120" s="44">
        <v>1.31</v>
      </c>
      <c r="BV120" s="44">
        <v>1.037</v>
      </c>
      <c r="BW120" s="44">
        <v>0.828</v>
      </c>
      <c r="BX120" s="44">
        <v>0.0</v>
      </c>
      <c r="BY120" s="44">
        <v>0.0</v>
      </c>
      <c r="BZ120" s="44">
        <v>3.2</v>
      </c>
      <c r="CA120" s="44">
        <v>3.67</v>
      </c>
      <c r="CB120" s="44">
        <v>3.0</v>
      </c>
      <c r="CC120" s="44">
        <v>4.0</v>
      </c>
      <c r="CD120" s="44">
        <v>5.0</v>
      </c>
      <c r="CE120" s="44">
        <v>0.0</v>
      </c>
      <c r="CF120" s="44">
        <v>6500.0</v>
      </c>
      <c r="CG120" s="44">
        <v>0.0</v>
      </c>
      <c r="CH120" s="44">
        <v>1.0</v>
      </c>
      <c r="CI120" s="44">
        <v>0.0</v>
      </c>
      <c r="CJ120" s="2"/>
      <c r="CK120" s="2"/>
    </row>
    <row r="121">
      <c r="A121" s="46">
        <v>120.0</v>
      </c>
      <c r="B121" s="46">
        <v>184.0</v>
      </c>
      <c r="C121" s="46" t="s">
        <v>408</v>
      </c>
      <c r="D121" s="46" t="s">
        <v>409</v>
      </c>
      <c r="E121" s="46" t="s">
        <v>410</v>
      </c>
      <c r="F121" s="46">
        <v>1270.0</v>
      </c>
      <c r="G121" s="46">
        <v>4.43</v>
      </c>
      <c r="H121" s="46">
        <v>1.81</v>
      </c>
      <c r="I121" s="46">
        <v>1.16</v>
      </c>
      <c r="J121" s="46">
        <v>2.53</v>
      </c>
      <c r="K121" s="46">
        <v>1.51</v>
      </c>
      <c r="L121" s="46">
        <v>1.53</v>
      </c>
      <c r="M121" s="46">
        <v>0.09</v>
      </c>
      <c r="N121" s="46">
        <v>0.591</v>
      </c>
      <c r="O121" s="46">
        <v>2.0</v>
      </c>
      <c r="P121" s="46">
        <v>0.47</v>
      </c>
      <c r="Q121" s="46">
        <v>1.15</v>
      </c>
      <c r="R121" s="46">
        <v>100.0</v>
      </c>
      <c r="S121" s="46">
        <v>0.937</v>
      </c>
      <c r="T121" s="46">
        <v>0.215</v>
      </c>
      <c r="U121" s="46">
        <v>0.45</v>
      </c>
      <c r="V121" s="46">
        <v>16.0</v>
      </c>
      <c r="W121" s="46">
        <v>0.245</v>
      </c>
      <c r="X121" s="46">
        <v>0.4</v>
      </c>
      <c r="Y121" s="46">
        <v>17.0</v>
      </c>
      <c r="Z121" s="46">
        <v>2.0</v>
      </c>
      <c r="AA121" s="46">
        <v>-0.3</v>
      </c>
      <c r="AB121" s="46">
        <v>8.15</v>
      </c>
      <c r="AC121" s="46">
        <v>8.15</v>
      </c>
      <c r="AD121" s="46">
        <v>1.8</v>
      </c>
      <c r="AE121" s="46">
        <v>3.0</v>
      </c>
      <c r="AF121" s="46">
        <v>-4.0</v>
      </c>
      <c r="AG121" s="46">
        <v>-1.3</v>
      </c>
      <c r="AH121" s="46">
        <v>1.8</v>
      </c>
      <c r="AI121" s="46">
        <v>2.0</v>
      </c>
      <c r="AJ121" s="46">
        <v>3179.0</v>
      </c>
      <c r="AK121" s="46">
        <v>0.0</v>
      </c>
      <c r="AL121" s="46">
        <v>8000.0</v>
      </c>
      <c r="AM121" s="46">
        <v>8400.0</v>
      </c>
      <c r="AN121" s="46">
        <v>750.0</v>
      </c>
      <c r="AO121" s="46">
        <v>5300.0</v>
      </c>
      <c r="AP121" s="46">
        <v>7300.0</v>
      </c>
      <c r="AQ121" s="46">
        <v>0.0</v>
      </c>
      <c r="AR121" s="58" t="s">
        <v>2743</v>
      </c>
      <c r="AS121" s="58" t="s">
        <v>2744</v>
      </c>
      <c r="AT121" s="58" t="s">
        <v>2745</v>
      </c>
      <c r="AU121" s="58" t="s">
        <v>2746</v>
      </c>
      <c r="AV121" s="58" t="s">
        <v>2747</v>
      </c>
      <c r="AW121" s="58" t="s">
        <v>2748</v>
      </c>
      <c r="AX121" s="58" t="s">
        <v>2749</v>
      </c>
      <c r="AY121" s="58" t="s">
        <v>2750</v>
      </c>
      <c r="AZ121" s="58" t="s">
        <v>2751</v>
      </c>
      <c r="BA121" s="58" t="s">
        <v>2752</v>
      </c>
      <c r="BB121" s="58" t="s">
        <v>2753</v>
      </c>
      <c r="BC121" s="58" t="s">
        <v>2754</v>
      </c>
      <c r="BD121" s="58" t="s">
        <v>2755</v>
      </c>
      <c r="BE121" s="58" t="s">
        <v>2756</v>
      </c>
      <c r="BF121" s="58" t="s">
        <v>1646</v>
      </c>
      <c r="BG121" s="58" t="s">
        <v>2757</v>
      </c>
      <c r="BH121" s="58" t="s">
        <v>2758</v>
      </c>
      <c r="BI121" s="58" t="s">
        <v>2759</v>
      </c>
      <c r="BJ121" s="58" t="s">
        <v>1032</v>
      </c>
      <c r="BK121" s="58" t="s">
        <v>1033</v>
      </c>
      <c r="BL121" s="58" t="s">
        <v>1034</v>
      </c>
      <c r="BM121" s="58" t="s">
        <v>1035</v>
      </c>
      <c r="BN121" s="58" t="s">
        <v>1036</v>
      </c>
      <c r="BO121" s="58" t="s">
        <v>1037</v>
      </c>
      <c r="BP121" s="46">
        <v>0.0</v>
      </c>
      <c r="BQ121" s="46">
        <v>6.0</v>
      </c>
      <c r="BR121" s="46">
        <v>3.066</v>
      </c>
      <c r="BS121" s="46">
        <v>1.956</v>
      </c>
      <c r="BT121" s="46">
        <v>1.428</v>
      </c>
      <c r="BU121" s="46">
        <v>1.125</v>
      </c>
      <c r="BV121" s="46">
        <v>0.914</v>
      </c>
      <c r="BW121" s="46">
        <v>0.717</v>
      </c>
      <c r="BX121" s="46">
        <v>0.0</v>
      </c>
      <c r="BY121" s="46">
        <v>0.0</v>
      </c>
      <c r="BZ121" s="46">
        <v>3.186</v>
      </c>
      <c r="CA121" s="46">
        <v>4.062</v>
      </c>
      <c r="CB121" s="46">
        <v>2.0</v>
      </c>
      <c r="CC121" s="46">
        <v>0.0</v>
      </c>
      <c r="CD121" s="46">
        <v>0.0</v>
      </c>
      <c r="CE121" s="46">
        <v>9000.0</v>
      </c>
      <c r="CF121" s="46">
        <v>8000.0</v>
      </c>
      <c r="CG121" s="46">
        <v>1.0</v>
      </c>
      <c r="CH121" s="46">
        <v>0.0</v>
      </c>
      <c r="CI121" s="46">
        <v>0.0</v>
      </c>
      <c r="CJ121" s="2"/>
      <c r="CK121" s="2"/>
    </row>
    <row r="122">
      <c r="A122" s="44">
        <v>121.0</v>
      </c>
      <c r="B122" s="44">
        <v>186.0</v>
      </c>
      <c r="C122" s="44" t="s">
        <v>411</v>
      </c>
      <c r="D122" s="44" t="s">
        <v>412</v>
      </c>
      <c r="E122" s="44" t="s">
        <v>413</v>
      </c>
      <c r="F122" s="44">
        <v>1170.0</v>
      </c>
      <c r="G122" s="44">
        <v>4.63</v>
      </c>
      <c r="H122" s="44">
        <v>1.91</v>
      </c>
      <c r="I122" s="44">
        <v>1.1</v>
      </c>
      <c r="J122" s="44">
        <v>2.53</v>
      </c>
      <c r="K122" s="44">
        <v>1.6</v>
      </c>
      <c r="L122" s="44">
        <v>1.585</v>
      </c>
      <c r="M122" s="44">
        <v>0.038</v>
      </c>
      <c r="N122" s="44">
        <v>0.56</v>
      </c>
      <c r="O122" s="44">
        <v>2.0</v>
      </c>
      <c r="P122" s="44">
        <v>0.4</v>
      </c>
      <c r="Q122" s="44">
        <v>1.6</v>
      </c>
      <c r="R122" s="44">
        <v>500.0</v>
      </c>
      <c r="S122" s="44">
        <v>0.862</v>
      </c>
      <c r="T122" s="44">
        <v>0.325</v>
      </c>
      <c r="U122" s="44">
        <v>0.35</v>
      </c>
      <c r="V122" s="44">
        <v>18.0</v>
      </c>
      <c r="W122" s="44">
        <v>0.33</v>
      </c>
      <c r="X122" s="44">
        <v>0.35</v>
      </c>
      <c r="Y122" s="44">
        <v>18.0</v>
      </c>
      <c r="Z122" s="44">
        <v>2.0</v>
      </c>
      <c r="AA122" s="44">
        <v>-0.3</v>
      </c>
      <c r="AB122" s="44">
        <v>5.0</v>
      </c>
      <c r="AC122" s="44">
        <v>12.0</v>
      </c>
      <c r="AD122" s="44">
        <v>2.8</v>
      </c>
      <c r="AE122" s="44">
        <v>5.0</v>
      </c>
      <c r="AF122" s="44">
        <v>-6.0</v>
      </c>
      <c r="AG122" s="44">
        <v>-0.3</v>
      </c>
      <c r="AH122" s="44">
        <v>2.7</v>
      </c>
      <c r="AI122" s="44">
        <v>4.0</v>
      </c>
      <c r="AJ122" s="44">
        <v>3499.0</v>
      </c>
      <c r="AK122" s="44">
        <v>0.0</v>
      </c>
      <c r="AL122" s="44">
        <v>9500.0</v>
      </c>
      <c r="AM122" s="44">
        <v>9500.0</v>
      </c>
      <c r="AN122" s="44">
        <v>900.0</v>
      </c>
      <c r="AO122" s="44">
        <v>8000.0</v>
      </c>
      <c r="AP122" s="44">
        <v>9500.0</v>
      </c>
      <c r="AQ122" s="44">
        <v>1.0</v>
      </c>
      <c r="AR122" s="57" t="s">
        <v>2760</v>
      </c>
      <c r="AS122" s="57" t="s">
        <v>2761</v>
      </c>
      <c r="AT122" s="57" t="s">
        <v>2762</v>
      </c>
      <c r="AU122" s="57" t="s">
        <v>2763</v>
      </c>
      <c r="AV122" s="57" t="s">
        <v>2764</v>
      </c>
      <c r="AW122" s="57" t="s">
        <v>2765</v>
      </c>
      <c r="AX122" s="57" t="s">
        <v>2766</v>
      </c>
      <c r="AY122" s="57" t="s">
        <v>2767</v>
      </c>
      <c r="AZ122" s="57" t="s">
        <v>2768</v>
      </c>
      <c r="BA122" s="57" t="s">
        <v>2769</v>
      </c>
      <c r="BB122" s="57" t="s">
        <v>2770</v>
      </c>
      <c r="BC122" s="57" t="s">
        <v>2771</v>
      </c>
      <c r="BD122" s="57" t="s">
        <v>2772</v>
      </c>
      <c r="BE122" s="57" t="s">
        <v>2773</v>
      </c>
      <c r="BF122" s="57" t="s">
        <v>2774</v>
      </c>
      <c r="BG122" s="57" t="s">
        <v>2775</v>
      </c>
      <c r="BH122" s="57" t="s">
        <v>2776</v>
      </c>
      <c r="BI122" s="57" t="s">
        <v>2777</v>
      </c>
      <c r="BJ122" s="57" t="s">
        <v>2778</v>
      </c>
      <c r="BK122" s="57" t="s">
        <v>2779</v>
      </c>
      <c r="BL122" s="57" t="s">
        <v>2780</v>
      </c>
      <c r="BM122" s="57" t="s">
        <v>1035</v>
      </c>
      <c r="BN122" s="57" t="s">
        <v>1036</v>
      </c>
      <c r="BO122" s="57" t="s">
        <v>1037</v>
      </c>
      <c r="BP122" s="44">
        <v>0.0</v>
      </c>
      <c r="BQ122" s="44">
        <v>6.0</v>
      </c>
      <c r="BR122" s="44">
        <v>3.434</v>
      </c>
      <c r="BS122" s="44">
        <v>2.235</v>
      </c>
      <c r="BT122" s="44">
        <v>1.794</v>
      </c>
      <c r="BU122" s="44">
        <v>1.472</v>
      </c>
      <c r="BV122" s="44">
        <v>1.211</v>
      </c>
      <c r="BW122" s="44">
        <v>0.908</v>
      </c>
      <c r="BX122" s="44">
        <v>0.0</v>
      </c>
      <c r="BY122" s="44">
        <v>0.0</v>
      </c>
      <c r="BZ122" s="44">
        <v>3.6</v>
      </c>
      <c r="CA122" s="44">
        <v>3.992</v>
      </c>
      <c r="CB122" s="44">
        <v>3.0</v>
      </c>
      <c r="CC122" s="44">
        <v>0.0</v>
      </c>
      <c r="CD122" s="44">
        <v>0.0</v>
      </c>
      <c r="CE122" s="44">
        <v>0.0</v>
      </c>
      <c r="CF122" s="44">
        <v>9500.0</v>
      </c>
      <c r="CG122" s="44">
        <v>0.0</v>
      </c>
      <c r="CH122" s="44">
        <v>1.0</v>
      </c>
      <c r="CI122" s="44">
        <v>0.0</v>
      </c>
      <c r="CJ122" s="2"/>
      <c r="CK122" s="2"/>
    </row>
    <row r="123">
      <c r="A123" s="46">
        <v>122.0</v>
      </c>
      <c r="B123" s="46">
        <v>187.0</v>
      </c>
      <c r="C123" s="46" t="s">
        <v>414</v>
      </c>
      <c r="D123" s="46" t="s">
        <v>415</v>
      </c>
      <c r="E123" s="46" t="s">
        <v>416</v>
      </c>
      <c r="F123" s="46">
        <v>1060.0</v>
      </c>
      <c r="G123" s="46">
        <v>4.185</v>
      </c>
      <c r="H123" s="46">
        <v>1.695</v>
      </c>
      <c r="I123" s="46">
        <v>1.36</v>
      </c>
      <c r="J123" s="46">
        <v>2.62</v>
      </c>
      <c r="K123" s="46">
        <v>1.48</v>
      </c>
      <c r="L123" s="46">
        <v>1.48</v>
      </c>
      <c r="M123" s="46">
        <v>0.08</v>
      </c>
      <c r="N123" s="46">
        <v>0.358</v>
      </c>
      <c r="O123" s="46">
        <v>1.0</v>
      </c>
      <c r="P123" s="46">
        <v>0.48</v>
      </c>
      <c r="Q123" s="46">
        <v>1.1</v>
      </c>
      <c r="R123" s="46">
        <v>0.0</v>
      </c>
      <c r="S123" s="46">
        <v>1.088</v>
      </c>
      <c r="T123" s="46">
        <v>0.195</v>
      </c>
      <c r="U123" s="46">
        <v>0.55</v>
      </c>
      <c r="V123" s="46">
        <v>15.0</v>
      </c>
      <c r="W123" s="46">
        <v>0.195</v>
      </c>
      <c r="X123" s="46">
        <v>0.55</v>
      </c>
      <c r="Y123" s="46">
        <v>15.0</v>
      </c>
      <c r="Z123" s="46">
        <v>0.0</v>
      </c>
      <c r="AA123" s="46">
        <v>-0.15</v>
      </c>
      <c r="AB123" s="46">
        <v>1.4</v>
      </c>
      <c r="AC123" s="46">
        <v>11.05</v>
      </c>
      <c r="AD123" s="46">
        <v>2.0</v>
      </c>
      <c r="AE123" s="46">
        <v>1.5</v>
      </c>
      <c r="AF123" s="46">
        <v>0.0</v>
      </c>
      <c r="AG123" s="46">
        <v>-1.15</v>
      </c>
      <c r="AH123" s="46">
        <v>2.0</v>
      </c>
      <c r="AI123" s="46">
        <v>1.5</v>
      </c>
      <c r="AJ123" s="46">
        <v>1595.0</v>
      </c>
      <c r="AK123" s="46">
        <v>0.0</v>
      </c>
      <c r="AL123" s="46">
        <v>8400.0</v>
      </c>
      <c r="AM123" s="46">
        <v>9000.0</v>
      </c>
      <c r="AN123" s="46">
        <v>700.0</v>
      </c>
      <c r="AO123" s="46">
        <v>7500.0</v>
      </c>
      <c r="AP123" s="46">
        <v>8200.0</v>
      </c>
      <c r="AQ123" s="46">
        <v>0.0</v>
      </c>
      <c r="AR123" s="58" t="s">
        <v>2781</v>
      </c>
      <c r="AS123" s="58" t="s">
        <v>1015</v>
      </c>
      <c r="AT123" s="58" t="s">
        <v>2782</v>
      </c>
      <c r="AU123" s="58" t="s">
        <v>2783</v>
      </c>
      <c r="AV123" s="58" t="s">
        <v>2784</v>
      </c>
      <c r="AW123" s="58" t="s">
        <v>2785</v>
      </c>
      <c r="AX123" s="58" t="s">
        <v>2786</v>
      </c>
      <c r="AY123" s="58" t="s">
        <v>2514</v>
      </c>
      <c r="AZ123" s="58" t="s">
        <v>2787</v>
      </c>
      <c r="BA123" s="58" t="s">
        <v>2788</v>
      </c>
      <c r="BB123" s="58" t="s">
        <v>2789</v>
      </c>
      <c r="BC123" s="58" t="s">
        <v>2790</v>
      </c>
      <c r="BD123" s="58" t="s">
        <v>2791</v>
      </c>
      <c r="BE123" s="58" t="s">
        <v>2792</v>
      </c>
      <c r="BF123" s="58" t="s">
        <v>2793</v>
      </c>
      <c r="BG123" s="58" t="s">
        <v>2794</v>
      </c>
      <c r="BH123" s="58" t="s">
        <v>2795</v>
      </c>
      <c r="BI123" s="58" t="s">
        <v>2796</v>
      </c>
      <c r="BJ123" s="58" t="s">
        <v>2797</v>
      </c>
      <c r="BK123" s="58" t="s">
        <v>1033</v>
      </c>
      <c r="BL123" s="58" t="s">
        <v>1034</v>
      </c>
      <c r="BM123" s="58" t="s">
        <v>1035</v>
      </c>
      <c r="BN123" s="58" t="s">
        <v>1036</v>
      </c>
      <c r="BO123" s="58" t="s">
        <v>1037</v>
      </c>
      <c r="BP123" s="46">
        <v>0.0</v>
      </c>
      <c r="BQ123" s="46">
        <v>5.0</v>
      </c>
      <c r="BR123" s="46">
        <v>3.23</v>
      </c>
      <c r="BS123" s="46">
        <v>2.105</v>
      </c>
      <c r="BT123" s="46">
        <v>1.458</v>
      </c>
      <c r="BU123" s="46">
        <v>1.107</v>
      </c>
      <c r="BV123" s="46">
        <v>0.848</v>
      </c>
      <c r="BW123" s="46">
        <v>0.0</v>
      </c>
      <c r="BX123" s="46">
        <v>0.0</v>
      </c>
      <c r="BY123" s="46">
        <v>0.0</v>
      </c>
      <c r="BZ123" s="46">
        <v>3.0</v>
      </c>
      <c r="CA123" s="46">
        <v>4.4</v>
      </c>
      <c r="CB123" s="46">
        <v>2.0</v>
      </c>
      <c r="CC123" s="46">
        <v>0.0</v>
      </c>
      <c r="CD123" s="46">
        <v>0.0</v>
      </c>
      <c r="CE123" s="46">
        <v>9500.0</v>
      </c>
      <c r="CF123" s="46">
        <v>8400.0</v>
      </c>
      <c r="CG123" s="46">
        <v>0.0</v>
      </c>
      <c r="CH123" s="46">
        <v>0.0</v>
      </c>
      <c r="CI123" s="46">
        <v>0.0</v>
      </c>
      <c r="CJ123" s="2"/>
      <c r="CK123" s="2"/>
    </row>
    <row r="124">
      <c r="A124" s="44">
        <v>123.0</v>
      </c>
      <c r="B124" s="44">
        <v>188.0</v>
      </c>
      <c r="C124" s="44" t="s">
        <v>417</v>
      </c>
      <c r="D124" s="44" t="s">
        <v>418</v>
      </c>
      <c r="E124" s="44" t="s">
        <v>419</v>
      </c>
      <c r="F124" s="44">
        <v>1230.0</v>
      </c>
      <c r="G124" s="44">
        <v>4.335</v>
      </c>
      <c r="H124" s="44">
        <v>1.69</v>
      </c>
      <c r="I124" s="44">
        <v>1.27</v>
      </c>
      <c r="J124" s="44">
        <v>2.43</v>
      </c>
      <c r="K124" s="44">
        <v>1.45</v>
      </c>
      <c r="L124" s="44">
        <v>1.44</v>
      </c>
      <c r="M124" s="44">
        <v>0.11</v>
      </c>
      <c r="N124" s="44">
        <v>0.488</v>
      </c>
      <c r="O124" s="44">
        <v>0.0</v>
      </c>
      <c r="P124" s="44">
        <v>0.43</v>
      </c>
      <c r="Q124" s="44">
        <v>1.1</v>
      </c>
      <c r="R124" s="44">
        <v>0.0</v>
      </c>
      <c r="S124" s="44">
        <v>1.056</v>
      </c>
      <c r="T124" s="44">
        <v>0.205</v>
      </c>
      <c r="U124" s="44">
        <v>0.55</v>
      </c>
      <c r="V124" s="44">
        <v>16.0</v>
      </c>
      <c r="W124" s="44">
        <v>0.205</v>
      </c>
      <c r="X124" s="44">
        <v>0.55</v>
      </c>
      <c r="Y124" s="44">
        <v>16.0</v>
      </c>
      <c r="Z124" s="44">
        <v>-2.0</v>
      </c>
      <c r="AA124" s="44">
        <v>0.2</v>
      </c>
      <c r="AB124" s="44">
        <v>4.4</v>
      </c>
      <c r="AC124" s="44">
        <v>13.45</v>
      </c>
      <c r="AD124" s="44">
        <v>1.6</v>
      </c>
      <c r="AE124" s="44">
        <v>2.0</v>
      </c>
      <c r="AF124" s="44">
        <v>-3.0</v>
      </c>
      <c r="AG124" s="44">
        <v>-0.5</v>
      </c>
      <c r="AH124" s="44">
        <v>1.6</v>
      </c>
      <c r="AI124" s="44">
        <v>1.0</v>
      </c>
      <c r="AJ124" s="44">
        <v>1308.0</v>
      </c>
      <c r="AK124" s="44">
        <v>3.0</v>
      </c>
      <c r="AL124" s="44">
        <v>7000.0</v>
      </c>
      <c r="AM124" s="44">
        <v>7200.0</v>
      </c>
      <c r="AN124" s="44">
        <v>700.0</v>
      </c>
      <c r="AO124" s="44">
        <v>4000.0</v>
      </c>
      <c r="AP124" s="44">
        <v>6500.0</v>
      </c>
      <c r="AQ124" s="44">
        <v>0.0</v>
      </c>
      <c r="AR124" s="57" t="s">
        <v>2798</v>
      </c>
      <c r="AS124" s="57" t="s">
        <v>2799</v>
      </c>
      <c r="AT124" s="57" t="s">
        <v>2800</v>
      </c>
      <c r="AU124" s="57" t="s">
        <v>2801</v>
      </c>
      <c r="AV124" s="57" t="s">
        <v>2802</v>
      </c>
      <c r="AW124" s="57" t="s">
        <v>2803</v>
      </c>
      <c r="AX124" s="57" t="s">
        <v>2804</v>
      </c>
      <c r="AY124" s="57" t="s">
        <v>2805</v>
      </c>
      <c r="AZ124" s="57" t="s">
        <v>2806</v>
      </c>
      <c r="BA124" s="57" t="s">
        <v>2807</v>
      </c>
      <c r="BB124" s="57" t="s">
        <v>2808</v>
      </c>
      <c r="BC124" s="57" t="s">
        <v>2809</v>
      </c>
      <c r="BD124" s="57" t="s">
        <v>2810</v>
      </c>
      <c r="BE124" s="57" t="s">
        <v>2811</v>
      </c>
      <c r="BF124" s="57" t="s">
        <v>2812</v>
      </c>
      <c r="BG124" s="57" t="s">
        <v>1029</v>
      </c>
      <c r="BH124" s="57" t="s">
        <v>1030</v>
      </c>
      <c r="BI124" s="57" t="s">
        <v>1031</v>
      </c>
      <c r="BJ124" s="57" t="s">
        <v>1032</v>
      </c>
      <c r="BK124" s="57" t="s">
        <v>1033</v>
      </c>
      <c r="BL124" s="57" t="s">
        <v>1034</v>
      </c>
      <c r="BM124" s="57" t="s">
        <v>1035</v>
      </c>
      <c r="BN124" s="57" t="s">
        <v>1036</v>
      </c>
      <c r="BO124" s="57" t="s">
        <v>1037</v>
      </c>
      <c r="BP124" s="44">
        <v>0.0</v>
      </c>
      <c r="BQ124" s="44">
        <v>5.0</v>
      </c>
      <c r="BR124" s="44">
        <v>3.483</v>
      </c>
      <c r="BS124" s="44">
        <v>2.015</v>
      </c>
      <c r="BT124" s="44">
        <v>1.391</v>
      </c>
      <c r="BU124" s="44">
        <v>1.0</v>
      </c>
      <c r="BV124" s="44">
        <v>0.762</v>
      </c>
      <c r="BW124" s="44">
        <v>0.0</v>
      </c>
      <c r="BX124" s="44">
        <v>0.0</v>
      </c>
      <c r="BY124" s="44">
        <v>0.0</v>
      </c>
      <c r="BZ124" s="44">
        <v>3.288</v>
      </c>
      <c r="CA124" s="44">
        <v>4.3</v>
      </c>
      <c r="CB124" s="44">
        <v>1.0</v>
      </c>
      <c r="CC124" s="44">
        <v>0.0</v>
      </c>
      <c r="CD124" s="44">
        <v>0.0</v>
      </c>
      <c r="CE124" s="44">
        <v>8000.0</v>
      </c>
      <c r="CF124" s="44">
        <v>7000.0</v>
      </c>
      <c r="CG124" s="44">
        <v>1.0</v>
      </c>
      <c r="CH124" s="44">
        <v>0.0</v>
      </c>
      <c r="CI124" s="44">
        <v>0.0</v>
      </c>
      <c r="CJ124" s="2"/>
      <c r="CK124" s="2"/>
    </row>
    <row r="125">
      <c r="A125" s="46">
        <v>124.0</v>
      </c>
      <c r="B125" s="46">
        <v>189.0</v>
      </c>
      <c r="C125" s="46" t="s">
        <v>420</v>
      </c>
      <c r="D125" s="46" t="s">
        <v>421</v>
      </c>
      <c r="E125" s="46" t="s">
        <v>422</v>
      </c>
      <c r="F125" s="46">
        <v>1230.0</v>
      </c>
      <c r="G125" s="46">
        <v>4.36</v>
      </c>
      <c r="H125" s="46">
        <v>1.77</v>
      </c>
      <c r="I125" s="46">
        <v>1.43</v>
      </c>
      <c r="J125" s="46">
        <v>2.6</v>
      </c>
      <c r="K125" s="46">
        <v>1.55</v>
      </c>
      <c r="L125" s="46">
        <v>1.55</v>
      </c>
      <c r="M125" s="46">
        <v>0.09</v>
      </c>
      <c r="N125" s="46">
        <v>0.48</v>
      </c>
      <c r="O125" s="46">
        <v>4.0</v>
      </c>
      <c r="P125" s="46">
        <v>0.47</v>
      </c>
      <c r="Q125" s="46">
        <v>1.2</v>
      </c>
      <c r="R125" s="46">
        <v>300.0</v>
      </c>
      <c r="S125" s="46">
        <v>1.132</v>
      </c>
      <c r="T125" s="46">
        <v>0.225</v>
      </c>
      <c r="U125" s="46">
        <v>0.42</v>
      </c>
      <c r="V125" s="46">
        <v>18.0</v>
      </c>
      <c r="W125" s="46">
        <v>0.225</v>
      </c>
      <c r="X125" s="46">
        <v>0.42</v>
      </c>
      <c r="Y125" s="46">
        <v>18.0</v>
      </c>
      <c r="Z125" s="46">
        <v>0.0</v>
      </c>
      <c r="AA125" s="46">
        <v>-1.0</v>
      </c>
      <c r="AB125" s="46">
        <v>6.0</v>
      </c>
      <c r="AC125" s="46">
        <v>14.0</v>
      </c>
      <c r="AD125" s="46">
        <v>2.0</v>
      </c>
      <c r="AE125" s="46">
        <v>2.0</v>
      </c>
      <c r="AF125" s="46">
        <v>0.0</v>
      </c>
      <c r="AG125" s="46">
        <v>-1.0</v>
      </c>
      <c r="AH125" s="46">
        <v>2.0</v>
      </c>
      <c r="AI125" s="46">
        <v>2.0</v>
      </c>
      <c r="AJ125" s="46">
        <v>1996.0</v>
      </c>
      <c r="AK125" s="46">
        <v>1.0</v>
      </c>
      <c r="AL125" s="46">
        <v>7000.0</v>
      </c>
      <c r="AM125" s="46">
        <v>7000.0</v>
      </c>
      <c r="AN125" s="46">
        <v>800.0</v>
      </c>
      <c r="AO125" s="46">
        <v>3500.0</v>
      </c>
      <c r="AP125" s="46">
        <v>5500.0</v>
      </c>
      <c r="AQ125" s="46">
        <v>1.0</v>
      </c>
      <c r="AR125" s="58" t="s">
        <v>2813</v>
      </c>
      <c r="AS125" s="58" t="s">
        <v>1956</v>
      </c>
      <c r="AT125" s="58" t="s">
        <v>2814</v>
      </c>
      <c r="AU125" s="58" t="s">
        <v>2815</v>
      </c>
      <c r="AV125" s="58" t="s">
        <v>2816</v>
      </c>
      <c r="AW125" s="58" t="s">
        <v>2817</v>
      </c>
      <c r="AX125" s="58" t="s">
        <v>2818</v>
      </c>
      <c r="AY125" s="58" t="s">
        <v>2819</v>
      </c>
      <c r="AZ125" s="58" t="s">
        <v>2820</v>
      </c>
      <c r="BA125" s="58" t="s">
        <v>2821</v>
      </c>
      <c r="BB125" s="58" t="s">
        <v>2822</v>
      </c>
      <c r="BC125" s="58" t="s">
        <v>2823</v>
      </c>
      <c r="BD125" s="58" t="s">
        <v>2824</v>
      </c>
      <c r="BE125" s="58" t="s">
        <v>2825</v>
      </c>
      <c r="BF125" s="58" t="s">
        <v>1028</v>
      </c>
      <c r="BG125" s="58" t="s">
        <v>1029</v>
      </c>
      <c r="BH125" s="58" t="s">
        <v>1030</v>
      </c>
      <c r="BI125" s="58" t="s">
        <v>1031</v>
      </c>
      <c r="BJ125" s="58" t="s">
        <v>1032</v>
      </c>
      <c r="BK125" s="58" t="s">
        <v>1033</v>
      </c>
      <c r="BL125" s="58" t="s">
        <v>1034</v>
      </c>
      <c r="BM125" s="58" t="s">
        <v>1035</v>
      </c>
      <c r="BN125" s="58" t="s">
        <v>1036</v>
      </c>
      <c r="BO125" s="58" t="s">
        <v>1037</v>
      </c>
      <c r="BP125" s="46">
        <v>0.0</v>
      </c>
      <c r="BQ125" s="46">
        <v>6.0</v>
      </c>
      <c r="BR125" s="46">
        <v>3.438</v>
      </c>
      <c r="BS125" s="46">
        <v>2.107</v>
      </c>
      <c r="BT125" s="46">
        <v>1.405</v>
      </c>
      <c r="BU125" s="46">
        <v>1.0</v>
      </c>
      <c r="BV125" s="46">
        <v>0.833</v>
      </c>
      <c r="BW125" s="46">
        <v>0.0</v>
      </c>
      <c r="BX125" s="46">
        <v>0.0</v>
      </c>
      <c r="BY125" s="46">
        <v>0.0</v>
      </c>
      <c r="BZ125" s="46">
        <v>3.2</v>
      </c>
      <c r="CA125" s="46">
        <v>3.542</v>
      </c>
      <c r="CB125" s="46">
        <v>3.0</v>
      </c>
      <c r="CC125" s="46">
        <v>4.0</v>
      </c>
      <c r="CD125" s="46">
        <v>5.0</v>
      </c>
      <c r="CE125" s="46">
        <v>0.0</v>
      </c>
      <c r="CF125" s="46">
        <v>7000.0</v>
      </c>
      <c r="CG125" s="46">
        <v>0.0</v>
      </c>
      <c r="CH125" s="46">
        <v>1.0</v>
      </c>
      <c r="CI125" s="46">
        <v>0.0</v>
      </c>
      <c r="CJ125" s="2"/>
      <c r="CK125" s="2"/>
    </row>
    <row r="126">
      <c r="A126" s="44">
        <v>125.0</v>
      </c>
      <c r="B126" s="44">
        <v>190.0</v>
      </c>
      <c r="C126" s="44" t="s">
        <v>423</v>
      </c>
      <c r="D126" s="44" t="s">
        <v>424</v>
      </c>
      <c r="E126" s="44" t="s">
        <v>425</v>
      </c>
      <c r="F126" s="44">
        <v>1230.0</v>
      </c>
      <c r="G126" s="44">
        <v>4.005</v>
      </c>
      <c r="H126" s="44">
        <v>1.77</v>
      </c>
      <c r="I126" s="44">
        <v>1.37</v>
      </c>
      <c r="J126" s="44">
        <v>2.468</v>
      </c>
      <c r="K126" s="44">
        <v>1.52</v>
      </c>
      <c r="L126" s="44">
        <v>1.545</v>
      </c>
      <c r="M126" s="44">
        <v>0.1</v>
      </c>
      <c r="N126" s="44">
        <v>0.5</v>
      </c>
      <c r="O126" s="44">
        <v>4.0</v>
      </c>
      <c r="P126" s="44">
        <v>0.47</v>
      </c>
      <c r="Q126" s="44">
        <v>1.2</v>
      </c>
      <c r="R126" s="44">
        <v>300.0</v>
      </c>
      <c r="S126" s="44">
        <v>1.064</v>
      </c>
      <c r="T126" s="44">
        <v>0.225</v>
      </c>
      <c r="U126" s="44">
        <v>0.42</v>
      </c>
      <c r="V126" s="44">
        <v>18.0</v>
      </c>
      <c r="W126" s="44">
        <v>0.225</v>
      </c>
      <c r="X126" s="44">
        <v>0.42</v>
      </c>
      <c r="Y126" s="44">
        <v>18.0</v>
      </c>
      <c r="Z126" s="44">
        <v>0.0</v>
      </c>
      <c r="AA126" s="44">
        <v>-1.0</v>
      </c>
      <c r="AB126" s="44">
        <v>3.0</v>
      </c>
      <c r="AC126" s="44">
        <v>10.0</v>
      </c>
      <c r="AD126" s="44">
        <v>2.0</v>
      </c>
      <c r="AE126" s="44">
        <v>2.0</v>
      </c>
      <c r="AF126" s="44">
        <v>0.0</v>
      </c>
      <c r="AG126" s="44">
        <v>-0.3</v>
      </c>
      <c r="AH126" s="44">
        <v>2.0</v>
      </c>
      <c r="AI126" s="44">
        <v>2.0</v>
      </c>
      <c r="AJ126" s="44">
        <v>1998.0</v>
      </c>
      <c r="AK126" s="44">
        <v>1.0</v>
      </c>
      <c r="AL126" s="44">
        <v>7000.0</v>
      </c>
      <c r="AM126" s="44">
        <v>7000.0</v>
      </c>
      <c r="AN126" s="44">
        <v>800.0</v>
      </c>
      <c r="AO126" s="44">
        <v>3500.0</v>
      </c>
      <c r="AP126" s="44">
        <v>5250.0</v>
      </c>
      <c r="AQ126" s="44">
        <v>1.0</v>
      </c>
      <c r="AR126" s="57" t="s">
        <v>2826</v>
      </c>
      <c r="AS126" s="57" t="s">
        <v>2827</v>
      </c>
      <c r="AT126" s="57" t="s">
        <v>2828</v>
      </c>
      <c r="AU126" s="57" t="s">
        <v>2829</v>
      </c>
      <c r="AV126" s="57" t="s">
        <v>2830</v>
      </c>
      <c r="AW126" s="57" t="s">
        <v>2831</v>
      </c>
      <c r="AX126" s="57" t="s">
        <v>2832</v>
      </c>
      <c r="AY126" s="57" t="s">
        <v>2833</v>
      </c>
      <c r="AZ126" s="57" t="s">
        <v>2834</v>
      </c>
      <c r="BA126" s="57" t="s">
        <v>2835</v>
      </c>
      <c r="BB126" s="57" t="s">
        <v>2836</v>
      </c>
      <c r="BC126" s="57" t="s">
        <v>2837</v>
      </c>
      <c r="BD126" s="57" t="s">
        <v>2838</v>
      </c>
      <c r="BE126" s="57" t="s">
        <v>2839</v>
      </c>
      <c r="BF126" s="57" t="s">
        <v>1028</v>
      </c>
      <c r="BG126" s="57" t="s">
        <v>1029</v>
      </c>
      <c r="BH126" s="57" t="s">
        <v>1030</v>
      </c>
      <c r="BI126" s="57" t="s">
        <v>1031</v>
      </c>
      <c r="BJ126" s="57" t="s">
        <v>1032</v>
      </c>
      <c r="BK126" s="57" t="s">
        <v>1033</v>
      </c>
      <c r="BL126" s="57" t="s">
        <v>1034</v>
      </c>
      <c r="BM126" s="57" t="s">
        <v>1035</v>
      </c>
      <c r="BN126" s="57" t="s">
        <v>1036</v>
      </c>
      <c r="BO126" s="57" t="s">
        <v>1037</v>
      </c>
      <c r="BP126" s="44">
        <v>0.0</v>
      </c>
      <c r="BQ126" s="44">
        <v>6.0</v>
      </c>
      <c r="BR126" s="44">
        <v>3.296</v>
      </c>
      <c r="BS126" s="44">
        <v>2.196</v>
      </c>
      <c r="BT126" s="44">
        <v>1.68</v>
      </c>
      <c r="BU126" s="44">
        <v>1.31</v>
      </c>
      <c r="BV126" s="44">
        <v>1.037</v>
      </c>
      <c r="BW126" s="44">
        <v>0.828</v>
      </c>
      <c r="BX126" s="44">
        <v>0.0</v>
      </c>
      <c r="BY126" s="44">
        <v>0.0</v>
      </c>
      <c r="BZ126" s="44">
        <v>3.2</v>
      </c>
      <c r="CA126" s="44">
        <v>3.95</v>
      </c>
      <c r="CB126" s="44">
        <v>3.0</v>
      </c>
      <c r="CC126" s="44">
        <v>4.0</v>
      </c>
      <c r="CD126" s="44">
        <v>5.0</v>
      </c>
      <c r="CE126" s="44">
        <v>0.0</v>
      </c>
      <c r="CF126" s="44">
        <v>7000.0</v>
      </c>
      <c r="CG126" s="44">
        <v>0.0</v>
      </c>
      <c r="CH126" s="44">
        <v>0.0</v>
      </c>
      <c r="CI126" s="44">
        <v>0.0</v>
      </c>
      <c r="CJ126" s="2"/>
      <c r="CK126" s="2"/>
    </row>
    <row r="127">
      <c r="A127" s="46">
        <v>126.0</v>
      </c>
      <c r="B127" s="46">
        <v>193.0</v>
      </c>
      <c r="C127" s="46" t="s">
        <v>426</v>
      </c>
      <c r="D127" s="46" t="s">
        <v>427</v>
      </c>
      <c r="E127" s="46" t="s">
        <v>428</v>
      </c>
      <c r="F127" s="46">
        <v>1125.0</v>
      </c>
      <c r="G127" s="46">
        <v>3.962</v>
      </c>
      <c r="H127" s="46">
        <v>1.779</v>
      </c>
      <c r="I127" s="46">
        <v>1.245</v>
      </c>
      <c r="J127" s="46">
        <v>2.286</v>
      </c>
      <c r="K127" s="46">
        <v>1.442</v>
      </c>
      <c r="L127" s="46">
        <v>1.473</v>
      </c>
      <c r="M127" s="46">
        <v>0.09</v>
      </c>
      <c r="N127" s="46">
        <v>0.5</v>
      </c>
      <c r="O127" s="46">
        <v>0.0</v>
      </c>
      <c r="P127" s="46">
        <v>0.43</v>
      </c>
      <c r="Q127" s="46">
        <v>1.05</v>
      </c>
      <c r="R127" s="46">
        <v>0.0</v>
      </c>
      <c r="S127" s="46">
        <v>1.07</v>
      </c>
      <c r="T127" s="46">
        <v>0.245</v>
      </c>
      <c r="U127" s="46">
        <v>0.6</v>
      </c>
      <c r="V127" s="46">
        <v>15.0</v>
      </c>
      <c r="W127" s="46">
        <v>0.29</v>
      </c>
      <c r="X127" s="46">
        <v>0.6</v>
      </c>
      <c r="Y127" s="46">
        <v>15.0</v>
      </c>
      <c r="Z127" s="46">
        <v>-3.0</v>
      </c>
      <c r="AA127" s="46">
        <v>1.0</v>
      </c>
      <c r="AB127" s="46">
        <v>6.0</v>
      </c>
      <c r="AC127" s="46">
        <v>8.0</v>
      </c>
      <c r="AD127" s="46">
        <v>1.8</v>
      </c>
      <c r="AE127" s="46">
        <v>1.0</v>
      </c>
      <c r="AF127" s="46">
        <v>-6.0</v>
      </c>
      <c r="AG127" s="46">
        <v>-1.0</v>
      </c>
      <c r="AH127" s="46">
        <v>1.8</v>
      </c>
      <c r="AI127" s="46">
        <v>1.0</v>
      </c>
      <c r="AJ127" s="46">
        <v>6998.0</v>
      </c>
      <c r="AK127" s="46">
        <v>0.0</v>
      </c>
      <c r="AL127" s="46">
        <v>8000.0</v>
      </c>
      <c r="AM127" s="46">
        <v>8000.0</v>
      </c>
      <c r="AN127" s="46">
        <v>600.0</v>
      </c>
      <c r="AO127" s="46">
        <v>3500.0</v>
      </c>
      <c r="AP127" s="46">
        <v>6500.0</v>
      </c>
      <c r="AQ127" s="46">
        <v>0.0</v>
      </c>
      <c r="AR127" s="58" t="s">
        <v>2840</v>
      </c>
      <c r="AS127" s="58" t="s">
        <v>2841</v>
      </c>
      <c r="AT127" s="58" t="s">
        <v>2842</v>
      </c>
      <c r="AU127" s="58" t="s">
        <v>2843</v>
      </c>
      <c r="AV127" s="58" t="s">
        <v>2844</v>
      </c>
      <c r="AW127" s="58" t="s">
        <v>2845</v>
      </c>
      <c r="AX127" s="58" t="s">
        <v>2846</v>
      </c>
      <c r="AY127" s="58" t="s">
        <v>2847</v>
      </c>
      <c r="AZ127" s="58" t="s">
        <v>2848</v>
      </c>
      <c r="BA127" s="58" t="s">
        <v>2849</v>
      </c>
      <c r="BB127" s="58" t="s">
        <v>2850</v>
      </c>
      <c r="BC127" s="58" t="s">
        <v>2851</v>
      </c>
      <c r="BD127" s="58" t="s">
        <v>2852</v>
      </c>
      <c r="BE127" s="58" t="s">
        <v>2853</v>
      </c>
      <c r="BF127" s="58" t="s">
        <v>2854</v>
      </c>
      <c r="BG127" s="58" t="s">
        <v>2855</v>
      </c>
      <c r="BH127" s="58" t="s">
        <v>1030</v>
      </c>
      <c r="BI127" s="58" t="s">
        <v>1031</v>
      </c>
      <c r="BJ127" s="58" t="s">
        <v>1032</v>
      </c>
      <c r="BK127" s="58" t="s">
        <v>1033</v>
      </c>
      <c r="BL127" s="58" t="s">
        <v>1034</v>
      </c>
      <c r="BM127" s="58" t="s">
        <v>1035</v>
      </c>
      <c r="BN127" s="58" t="s">
        <v>1036</v>
      </c>
      <c r="BO127" s="58" t="s">
        <v>1037</v>
      </c>
      <c r="BP127" s="46">
        <v>0.0</v>
      </c>
      <c r="BQ127" s="46">
        <v>4.0</v>
      </c>
      <c r="BR127" s="46">
        <v>2.32</v>
      </c>
      <c r="BS127" s="46">
        <v>1.69</v>
      </c>
      <c r="BT127" s="46">
        <v>1.29</v>
      </c>
      <c r="BU127" s="46">
        <v>1.0</v>
      </c>
      <c r="BV127" s="46">
        <v>0.0</v>
      </c>
      <c r="BW127" s="46">
        <v>0.0</v>
      </c>
      <c r="BX127" s="46">
        <v>0.0</v>
      </c>
      <c r="BY127" s="46">
        <v>0.0</v>
      </c>
      <c r="BZ127" s="46">
        <v>2.32</v>
      </c>
      <c r="CA127" s="46">
        <v>3.77</v>
      </c>
      <c r="CB127" s="46">
        <v>4.0</v>
      </c>
      <c r="CC127" s="46">
        <v>0.0</v>
      </c>
      <c r="CD127" s="46">
        <v>0.0</v>
      </c>
      <c r="CE127" s="46">
        <v>8000.0</v>
      </c>
      <c r="CF127" s="46">
        <v>0.0</v>
      </c>
      <c r="CG127" s="46">
        <v>0.0</v>
      </c>
      <c r="CH127" s="46">
        <v>0.0</v>
      </c>
      <c r="CI127" s="46">
        <v>0.0</v>
      </c>
      <c r="CJ127" s="2"/>
      <c r="CK127" s="2"/>
    </row>
    <row r="128">
      <c r="A128" s="44">
        <v>127.0</v>
      </c>
      <c r="B128" s="44">
        <v>194.0</v>
      </c>
      <c r="C128" s="44" t="s">
        <v>429</v>
      </c>
      <c r="D128" s="44" t="s">
        <v>430</v>
      </c>
      <c r="E128" s="44" t="s">
        <v>431</v>
      </c>
      <c r="F128" s="44">
        <v>480.0</v>
      </c>
      <c r="G128" s="44">
        <v>3.2</v>
      </c>
      <c r="H128" s="44">
        <v>1.575</v>
      </c>
      <c r="I128" s="44">
        <v>1.09</v>
      </c>
      <c r="J128" s="44">
        <v>2.225</v>
      </c>
      <c r="K128" s="44">
        <v>1.336</v>
      </c>
      <c r="L128" s="44">
        <v>1.336</v>
      </c>
      <c r="M128" s="44">
        <v>0.11</v>
      </c>
      <c r="N128" s="44">
        <v>0.6</v>
      </c>
      <c r="O128" s="44">
        <v>0.0</v>
      </c>
      <c r="P128" s="44">
        <v>0.35</v>
      </c>
      <c r="Q128" s="44">
        <v>1.3</v>
      </c>
      <c r="R128" s="44">
        <v>0.0</v>
      </c>
      <c r="S128" s="44">
        <v>0.86</v>
      </c>
      <c r="T128" s="44">
        <v>0.185</v>
      </c>
      <c r="U128" s="44">
        <v>0.55</v>
      </c>
      <c r="V128" s="44">
        <v>13.0</v>
      </c>
      <c r="W128" s="44">
        <v>0.215</v>
      </c>
      <c r="X128" s="44">
        <v>0.5</v>
      </c>
      <c r="Y128" s="44">
        <v>13.0</v>
      </c>
      <c r="Z128" s="44">
        <v>2.0</v>
      </c>
      <c r="AA128" s="44">
        <v>0.3</v>
      </c>
      <c r="AB128" s="44">
        <v>8.0</v>
      </c>
      <c r="AC128" s="44">
        <v>14.0</v>
      </c>
      <c r="AD128" s="44">
        <v>1.8</v>
      </c>
      <c r="AE128" s="44">
        <v>3.0</v>
      </c>
      <c r="AF128" s="44">
        <v>-6.0</v>
      </c>
      <c r="AG128" s="44">
        <v>-0.3</v>
      </c>
      <c r="AH128" s="44">
        <v>1.8</v>
      </c>
      <c r="AI128" s="44">
        <v>3.0</v>
      </c>
      <c r="AJ128" s="44">
        <v>1795.0</v>
      </c>
      <c r="AK128" s="44">
        <v>0.0</v>
      </c>
      <c r="AL128" s="44">
        <v>9000.0</v>
      </c>
      <c r="AM128" s="44">
        <v>9500.0</v>
      </c>
      <c r="AN128" s="44">
        <v>900.0</v>
      </c>
      <c r="AO128" s="44">
        <v>7200.0</v>
      </c>
      <c r="AP128" s="44">
        <v>8600.0</v>
      </c>
      <c r="AQ128" s="44">
        <v>0.0</v>
      </c>
      <c r="AR128" s="57" t="s">
        <v>2856</v>
      </c>
      <c r="AS128" s="57" t="s">
        <v>2857</v>
      </c>
      <c r="AT128" s="57" t="s">
        <v>2858</v>
      </c>
      <c r="AU128" s="57" t="s">
        <v>2859</v>
      </c>
      <c r="AV128" s="57" t="s">
        <v>2860</v>
      </c>
      <c r="AW128" s="57" t="s">
        <v>2861</v>
      </c>
      <c r="AX128" s="57" t="s">
        <v>2862</v>
      </c>
      <c r="AY128" s="57" t="s">
        <v>2863</v>
      </c>
      <c r="AZ128" s="57" t="s">
        <v>2864</v>
      </c>
      <c r="BA128" s="57" t="s">
        <v>2865</v>
      </c>
      <c r="BB128" s="57" t="s">
        <v>2866</v>
      </c>
      <c r="BC128" s="57" t="s">
        <v>2867</v>
      </c>
      <c r="BD128" s="57" t="s">
        <v>2868</v>
      </c>
      <c r="BE128" s="57" t="s">
        <v>2869</v>
      </c>
      <c r="BF128" s="57" t="s">
        <v>2870</v>
      </c>
      <c r="BG128" s="57" t="s">
        <v>2871</v>
      </c>
      <c r="BH128" s="57" t="s">
        <v>2872</v>
      </c>
      <c r="BI128" s="57" t="s">
        <v>2873</v>
      </c>
      <c r="BJ128" s="57" t="s">
        <v>2874</v>
      </c>
      <c r="BK128" s="57" t="s">
        <v>2875</v>
      </c>
      <c r="BL128" s="57" t="s">
        <v>1034</v>
      </c>
      <c r="BM128" s="57" t="s">
        <v>1035</v>
      </c>
      <c r="BN128" s="57" t="s">
        <v>1036</v>
      </c>
      <c r="BO128" s="57" t="s">
        <v>1037</v>
      </c>
      <c r="BP128" s="44">
        <v>0.0</v>
      </c>
      <c r="BQ128" s="44">
        <v>6.0</v>
      </c>
      <c r="BR128" s="44">
        <v>2.69</v>
      </c>
      <c r="BS128" s="44">
        <v>2.01</v>
      </c>
      <c r="BT128" s="44">
        <v>1.59</v>
      </c>
      <c r="BU128" s="44">
        <v>1.32</v>
      </c>
      <c r="BV128" s="44">
        <v>1.13</v>
      </c>
      <c r="BW128" s="44">
        <v>1.0</v>
      </c>
      <c r="BX128" s="44">
        <v>0.0</v>
      </c>
      <c r="BY128" s="44">
        <v>0.0</v>
      </c>
      <c r="BZ128" s="44">
        <v>2.96</v>
      </c>
      <c r="CA128" s="44">
        <v>3.62</v>
      </c>
      <c r="CB128" s="44">
        <v>3.0</v>
      </c>
      <c r="CC128" s="44">
        <v>0.0</v>
      </c>
      <c r="CD128" s="44">
        <v>0.0</v>
      </c>
      <c r="CE128" s="44">
        <v>10000.0</v>
      </c>
      <c r="CF128" s="44">
        <v>9000.0</v>
      </c>
      <c r="CG128" s="44">
        <v>0.0</v>
      </c>
      <c r="CH128" s="44">
        <v>0.0</v>
      </c>
      <c r="CI128" s="44">
        <v>0.0</v>
      </c>
      <c r="CJ128" s="2"/>
      <c r="CK128" s="2"/>
    </row>
    <row r="129">
      <c r="A129" s="46">
        <v>128.0</v>
      </c>
      <c r="B129" s="46">
        <v>197.0</v>
      </c>
      <c r="C129" s="46" t="s">
        <v>432</v>
      </c>
      <c r="D129" s="46" t="s">
        <v>433</v>
      </c>
      <c r="E129" s="46" t="s">
        <v>434</v>
      </c>
      <c r="F129" s="46">
        <v>760.0</v>
      </c>
      <c r="G129" s="46">
        <v>4.0</v>
      </c>
      <c r="H129" s="46">
        <v>1.635</v>
      </c>
      <c r="I129" s="46">
        <v>1.08</v>
      </c>
      <c r="J129" s="46">
        <v>2.34</v>
      </c>
      <c r="K129" s="46">
        <v>1.375</v>
      </c>
      <c r="L129" s="46">
        <v>1.385</v>
      </c>
      <c r="M129" s="46">
        <v>0.1</v>
      </c>
      <c r="N129" s="46">
        <v>0.589</v>
      </c>
      <c r="O129" s="46">
        <v>2.0</v>
      </c>
      <c r="P129" s="46">
        <v>0.43</v>
      </c>
      <c r="Q129" s="46">
        <v>0.9</v>
      </c>
      <c r="R129" s="46">
        <v>0.0</v>
      </c>
      <c r="S129" s="46">
        <v>0.912</v>
      </c>
      <c r="T129" s="46">
        <v>0.175</v>
      </c>
      <c r="U129" s="46">
        <v>0.7</v>
      </c>
      <c r="V129" s="46">
        <v>13.0</v>
      </c>
      <c r="W129" s="46">
        <v>0.185</v>
      </c>
      <c r="X129" s="46">
        <v>0.7</v>
      </c>
      <c r="Y129" s="46">
        <v>13.0</v>
      </c>
      <c r="Z129" s="46">
        <v>-1.6</v>
      </c>
      <c r="AA129" s="46">
        <v>0.0</v>
      </c>
      <c r="AB129" s="46">
        <v>2.3</v>
      </c>
      <c r="AC129" s="46">
        <v>9.0</v>
      </c>
      <c r="AD129" s="46">
        <v>1.6</v>
      </c>
      <c r="AE129" s="46">
        <v>2.0</v>
      </c>
      <c r="AF129" s="46">
        <v>-6.35</v>
      </c>
      <c r="AG129" s="46">
        <v>-0.3</v>
      </c>
      <c r="AH129" s="46">
        <v>1.6</v>
      </c>
      <c r="AI129" s="46">
        <v>1.0</v>
      </c>
      <c r="AJ129" s="46">
        <v>1558.0</v>
      </c>
      <c r="AK129" s="46">
        <v>0.0</v>
      </c>
      <c r="AL129" s="46">
        <v>6800.0</v>
      </c>
      <c r="AM129" s="46">
        <v>7000.0</v>
      </c>
      <c r="AN129" s="46">
        <v>1000.0</v>
      </c>
      <c r="AO129" s="46">
        <v>5500.0</v>
      </c>
      <c r="AP129" s="46">
        <v>6500.0</v>
      </c>
      <c r="AQ129" s="46">
        <v>0.0</v>
      </c>
      <c r="AR129" s="58" t="s">
        <v>2876</v>
      </c>
      <c r="AS129" s="58" t="s">
        <v>2877</v>
      </c>
      <c r="AT129" s="58" t="s">
        <v>2878</v>
      </c>
      <c r="AU129" s="58" t="s">
        <v>2879</v>
      </c>
      <c r="AV129" s="58" t="s">
        <v>2549</v>
      </c>
      <c r="AW129" s="58" t="s">
        <v>2880</v>
      </c>
      <c r="AX129" s="58" t="s">
        <v>2881</v>
      </c>
      <c r="AY129" s="58" t="s">
        <v>2882</v>
      </c>
      <c r="AZ129" s="58" t="s">
        <v>2883</v>
      </c>
      <c r="BA129" s="58" t="s">
        <v>2884</v>
      </c>
      <c r="BB129" s="58" t="s">
        <v>1024</v>
      </c>
      <c r="BC129" s="58" t="s">
        <v>2885</v>
      </c>
      <c r="BD129" s="58" t="s">
        <v>2886</v>
      </c>
      <c r="BE129" s="58" t="s">
        <v>2887</v>
      </c>
      <c r="BF129" s="58" t="s">
        <v>2888</v>
      </c>
      <c r="BG129" s="58" t="s">
        <v>1029</v>
      </c>
      <c r="BH129" s="58" t="s">
        <v>1030</v>
      </c>
      <c r="BI129" s="58" t="s">
        <v>1031</v>
      </c>
      <c r="BJ129" s="58" t="s">
        <v>1032</v>
      </c>
      <c r="BK129" s="58" t="s">
        <v>1033</v>
      </c>
      <c r="BL129" s="58" t="s">
        <v>1034</v>
      </c>
      <c r="BM129" s="58" t="s">
        <v>1035</v>
      </c>
      <c r="BN129" s="58" t="s">
        <v>1036</v>
      </c>
      <c r="BO129" s="58" t="s">
        <v>1037</v>
      </c>
      <c r="BP129" s="46">
        <v>0.0</v>
      </c>
      <c r="BQ129" s="46">
        <v>5.0</v>
      </c>
      <c r="BR129" s="46">
        <v>3.62</v>
      </c>
      <c r="BS129" s="46">
        <v>2.33</v>
      </c>
      <c r="BT129" s="46">
        <v>1.6</v>
      </c>
      <c r="BU129" s="46">
        <v>1.21</v>
      </c>
      <c r="BV129" s="46">
        <v>0.87</v>
      </c>
      <c r="BW129" s="46">
        <v>0.0</v>
      </c>
      <c r="BX129" s="46">
        <v>0.0</v>
      </c>
      <c r="BY129" s="46">
        <v>0.0</v>
      </c>
      <c r="BZ129" s="46">
        <v>3.08</v>
      </c>
      <c r="CA129" s="46">
        <v>3.77</v>
      </c>
      <c r="CB129" s="46">
        <v>0.0</v>
      </c>
      <c r="CC129" s="46">
        <v>0.0</v>
      </c>
      <c r="CD129" s="46">
        <v>0.0</v>
      </c>
      <c r="CE129" s="46">
        <v>8000.0</v>
      </c>
      <c r="CF129" s="46">
        <v>6800.0</v>
      </c>
      <c r="CG129" s="46">
        <v>0.0</v>
      </c>
      <c r="CH129" s="46">
        <v>0.0</v>
      </c>
      <c r="CI129" s="46">
        <v>0.0</v>
      </c>
      <c r="CJ129" s="2"/>
      <c r="CK129" s="2"/>
    </row>
    <row r="130">
      <c r="A130" s="44">
        <v>129.0</v>
      </c>
      <c r="B130" s="44">
        <v>198.0</v>
      </c>
      <c r="C130" s="44" t="s">
        <v>435</v>
      </c>
      <c r="D130" s="44" t="s">
        <v>436</v>
      </c>
      <c r="E130" s="44" t="s">
        <v>437</v>
      </c>
      <c r="F130" s="44">
        <v>635.0</v>
      </c>
      <c r="G130" s="44">
        <v>3.05</v>
      </c>
      <c r="H130" s="44">
        <v>1.41</v>
      </c>
      <c r="I130" s="44">
        <v>1.35</v>
      </c>
      <c r="J130" s="44">
        <v>2.03</v>
      </c>
      <c r="K130" s="44">
        <v>1.21</v>
      </c>
      <c r="L130" s="44">
        <v>1.18</v>
      </c>
      <c r="M130" s="44">
        <v>0.1</v>
      </c>
      <c r="N130" s="44">
        <v>0.37</v>
      </c>
      <c r="O130" s="44">
        <v>1.0</v>
      </c>
      <c r="P130" s="44">
        <v>0.48</v>
      </c>
      <c r="Q130" s="44">
        <v>0.9</v>
      </c>
      <c r="R130" s="44">
        <v>0.0</v>
      </c>
      <c r="S130" s="44">
        <v>1.078</v>
      </c>
      <c r="T130" s="44">
        <v>0.145</v>
      </c>
      <c r="U130" s="44">
        <v>0.82</v>
      </c>
      <c r="V130" s="44">
        <v>10.0</v>
      </c>
      <c r="W130" s="44">
        <v>0.145</v>
      </c>
      <c r="X130" s="44">
        <v>0.82</v>
      </c>
      <c r="Y130" s="44">
        <v>10.0</v>
      </c>
      <c r="Z130" s="44">
        <v>-1.0</v>
      </c>
      <c r="AA130" s="44">
        <v>1.0</v>
      </c>
      <c r="AB130" s="44">
        <v>2.0</v>
      </c>
      <c r="AC130" s="44">
        <v>12.0</v>
      </c>
      <c r="AD130" s="44">
        <v>1.8</v>
      </c>
      <c r="AE130" s="44">
        <v>1.0</v>
      </c>
      <c r="AF130" s="44">
        <v>-3.0</v>
      </c>
      <c r="AG130" s="44">
        <v>-0.4</v>
      </c>
      <c r="AH130" s="44">
        <v>1.8</v>
      </c>
      <c r="AI130" s="44">
        <v>1.0</v>
      </c>
      <c r="AJ130" s="44">
        <v>1275.0</v>
      </c>
      <c r="AK130" s="44">
        <v>0.0</v>
      </c>
      <c r="AL130" s="44">
        <v>6500.0</v>
      </c>
      <c r="AM130" s="44">
        <v>6500.0</v>
      </c>
      <c r="AN130" s="44">
        <v>800.0</v>
      </c>
      <c r="AO130" s="44">
        <v>3000.0</v>
      </c>
      <c r="AP130" s="44">
        <v>6000.0</v>
      </c>
      <c r="AQ130" s="44">
        <v>0.0</v>
      </c>
      <c r="AR130" s="57" t="s">
        <v>2889</v>
      </c>
      <c r="AS130" s="57" t="s">
        <v>1258</v>
      </c>
      <c r="AT130" s="57" t="s">
        <v>2890</v>
      </c>
      <c r="AU130" s="57" t="s">
        <v>2891</v>
      </c>
      <c r="AV130" s="57" t="s">
        <v>2892</v>
      </c>
      <c r="AW130" s="57" t="s">
        <v>2893</v>
      </c>
      <c r="AX130" s="57" t="s">
        <v>2894</v>
      </c>
      <c r="AY130" s="57" t="s">
        <v>2895</v>
      </c>
      <c r="AZ130" s="57" t="s">
        <v>2896</v>
      </c>
      <c r="BA130" s="57" t="s">
        <v>2897</v>
      </c>
      <c r="BB130" s="57" t="s">
        <v>2898</v>
      </c>
      <c r="BC130" s="57" t="s">
        <v>2899</v>
      </c>
      <c r="BD130" s="57" t="s">
        <v>2900</v>
      </c>
      <c r="BE130" s="57" t="s">
        <v>2901</v>
      </c>
      <c r="BF130" s="57" t="s">
        <v>1052</v>
      </c>
      <c r="BG130" s="57" t="s">
        <v>1029</v>
      </c>
      <c r="BH130" s="57" t="s">
        <v>1030</v>
      </c>
      <c r="BI130" s="57" t="s">
        <v>1031</v>
      </c>
      <c r="BJ130" s="57" t="s">
        <v>1032</v>
      </c>
      <c r="BK130" s="57" t="s">
        <v>1033</v>
      </c>
      <c r="BL130" s="57" t="s">
        <v>1034</v>
      </c>
      <c r="BM130" s="57" t="s">
        <v>1035</v>
      </c>
      <c r="BN130" s="57" t="s">
        <v>1036</v>
      </c>
      <c r="BO130" s="57" t="s">
        <v>1037</v>
      </c>
      <c r="BP130" s="44">
        <v>0.0</v>
      </c>
      <c r="BQ130" s="44">
        <v>4.0</v>
      </c>
      <c r="BR130" s="44">
        <v>3.2</v>
      </c>
      <c r="BS130" s="44">
        <v>1.92</v>
      </c>
      <c r="BT130" s="44">
        <v>1.36</v>
      </c>
      <c r="BU130" s="44">
        <v>1.0</v>
      </c>
      <c r="BV130" s="44">
        <v>0.0</v>
      </c>
      <c r="BW130" s="44">
        <v>0.0</v>
      </c>
      <c r="BX130" s="44">
        <v>0.0</v>
      </c>
      <c r="BY130" s="44">
        <v>0.0</v>
      </c>
      <c r="BZ130" s="44">
        <v>3.2</v>
      </c>
      <c r="CA130" s="44">
        <v>3.44</v>
      </c>
      <c r="CB130" s="44">
        <v>0.0</v>
      </c>
      <c r="CC130" s="44">
        <v>0.0</v>
      </c>
      <c r="CD130" s="44">
        <v>0.0</v>
      </c>
      <c r="CE130" s="44">
        <v>7000.0</v>
      </c>
      <c r="CF130" s="44">
        <v>6500.0</v>
      </c>
      <c r="CG130" s="44">
        <v>0.0</v>
      </c>
      <c r="CH130" s="44">
        <v>0.0</v>
      </c>
      <c r="CI130" s="44">
        <v>0.0</v>
      </c>
      <c r="CJ130" s="2"/>
      <c r="CK130" s="2"/>
    </row>
    <row r="131">
      <c r="A131" s="46">
        <v>130.0</v>
      </c>
      <c r="B131" s="46">
        <v>199.0</v>
      </c>
      <c r="C131" s="46" t="s">
        <v>438</v>
      </c>
      <c r="D131" s="46" t="s">
        <v>439</v>
      </c>
      <c r="E131" s="46" t="s">
        <v>440</v>
      </c>
      <c r="F131" s="46">
        <v>520.0</v>
      </c>
      <c r="G131" s="46">
        <v>2.97</v>
      </c>
      <c r="H131" s="46">
        <v>1.32</v>
      </c>
      <c r="I131" s="46">
        <v>1.335</v>
      </c>
      <c r="J131" s="46">
        <v>1.84</v>
      </c>
      <c r="K131" s="46">
        <v>1.121</v>
      </c>
      <c r="L131" s="46">
        <v>1.135</v>
      </c>
      <c r="M131" s="46">
        <v>0.1</v>
      </c>
      <c r="N131" s="46">
        <v>0.65</v>
      </c>
      <c r="O131" s="46">
        <v>3.0</v>
      </c>
      <c r="P131" s="46">
        <v>0.43</v>
      </c>
      <c r="Q131" s="46">
        <v>0.9</v>
      </c>
      <c r="R131" s="46">
        <v>0.0</v>
      </c>
      <c r="S131" s="46">
        <v>1.094</v>
      </c>
      <c r="T131" s="46">
        <v>0.125</v>
      </c>
      <c r="U131" s="46">
        <v>0.853</v>
      </c>
      <c r="V131" s="46">
        <v>12.0</v>
      </c>
      <c r="W131" s="46">
        <v>0.125</v>
      </c>
      <c r="X131" s="46">
        <v>0.853</v>
      </c>
      <c r="Y131" s="46">
        <v>12.0</v>
      </c>
      <c r="Z131" s="46">
        <v>0.0</v>
      </c>
      <c r="AA131" s="46">
        <v>1.0</v>
      </c>
      <c r="AB131" s="46">
        <v>6.0</v>
      </c>
      <c r="AC131" s="46">
        <v>5.0</v>
      </c>
      <c r="AD131" s="46">
        <v>1.8</v>
      </c>
      <c r="AE131" s="46">
        <v>0.5</v>
      </c>
      <c r="AF131" s="46">
        <v>0.0</v>
      </c>
      <c r="AG131" s="46">
        <v>0.0</v>
      </c>
      <c r="AH131" s="46">
        <v>1.8</v>
      </c>
      <c r="AI131" s="46">
        <v>0.0</v>
      </c>
      <c r="AJ131" s="46">
        <v>499.0</v>
      </c>
      <c r="AK131" s="46">
        <v>0.0</v>
      </c>
      <c r="AL131" s="46">
        <v>5500.0</v>
      </c>
      <c r="AM131" s="46">
        <v>6000.0</v>
      </c>
      <c r="AN131" s="46">
        <v>700.0</v>
      </c>
      <c r="AO131" s="46">
        <v>3500.0</v>
      </c>
      <c r="AP131" s="46">
        <v>4400.0</v>
      </c>
      <c r="AQ131" s="46">
        <v>0.0</v>
      </c>
      <c r="AR131" s="58" t="s">
        <v>2902</v>
      </c>
      <c r="AS131" s="58" t="s">
        <v>2903</v>
      </c>
      <c r="AT131" s="58" t="s">
        <v>2904</v>
      </c>
      <c r="AU131" s="58" t="s">
        <v>2905</v>
      </c>
      <c r="AV131" s="58" t="s">
        <v>2906</v>
      </c>
      <c r="AW131" s="58" t="s">
        <v>2907</v>
      </c>
      <c r="AX131" s="58" t="s">
        <v>2908</v>
      </c>
      <c r="AY131" s="58" t="s">
        <v>2909</v>
      </c>
      <c r="AZ131" s="58" t="s">
        <v>2910</v>
      </c>
      <c r="BA131" s="58" t="s">
        <v>2911</v>
      </c>
      <c r="BB131" s="58" t="s">
        <v>2912</v>
      </c>
      <c r="BC131" s="58" t="s">
        <v>2913</v>
      </c>
      <c r="BD131" s="58" t="s">
        <v>1342</v>
      </c>
      <c r="BE131" s="58" t="s">
        <v>1143</v>
      </c>
      <c r="BF131" s="58" t="s">
        <v>1052</v>
      </c>
      <c r="BG131" s="58" t="s">
        <v>1029</v>
      </c>
      <c r="BH131" s="58" t="s">
        <v>1030</v>
      </c>
      <c r="BI131" s="58" t="s">
        <v>1031</v>
      </c>
      <c r="BJ131" s="58" t="s">
        <v>1032</v>
      </c>
      <c r="BK131" s="58" t="s">
        <v>1033</v>
      </c>
      <c r="BL131" s="58" t="s">
        <v>1034</v>
      </c>
      <c r="BM131" s="58" t="s">
        <v>1035</v>
      </c>
      <c r="BN131" s="58" t="s">
        <v>1036</v>
      </c>
      <c r="BO131" s="58" t="s">
        <v>1037</v>
      </c>
      <c r="BP131" s="46">
        <v>0.0</v>
      </c>
      <c r="BQ131" s="46">
        <v>4.0</v>
      </c>
      <c r="BR131" s="46">
        <v>3.7</v>
      </c>
      <c r="BS131" s="46">
        <v>2.067</v>
      </c>
      <c r="BT131" s="46">
        <v>1.3</v>
      </c>
      <c r="BU131" s="46">
        <v>0.875</v>
      </c>
      <c r="BV131" s="46">
        <v>0.0</v>
      </c>
      <c r="BW131" s="46">
        <v>0.0</v>
      </c>
      <c r="BX131" s="46">
        <v>0.0</v>
      </c>
      <c r="BY131" s="46">
        <v>0.0</v>
      </c>
      <c r="BZ131" s="46">
        <v>5.12</v>
      </c>
      <c r="CA131" s="46">
        <v>5.125</v>
      </c>
      <c r="CB131" s="46">
        <v>0.0</v>
      </c>
      <c r="CC131" s="46">
        <v>0.0</v>
      </c>
      <c r="CD131" s="46">
        <v>0.0</v>
      </c>
      <c r="CE131" s="46">
        <v>6000.0</v>
      </c>
      <c r="CF131" s="46">
        <v>5500.0</v>
      </c>
      <c r="CG131" s="46">
        <v>0.0</v>
      </c>
      <c r="CH131" s="46">
        <v>0.0</v>
      </c>
      <c r="CI131" s="46">
        <v>30.0</v>
      </c>
      <c r="CJ131" s="2"/>
      <c r="CK131" s="2"/>
    </row>
    <row r="132">
      <c r="A132" s="44">
        <v>131.0</v>
      </c>
      <c r="B132" s="44">
        <v>200.0</v>
      </c>
      <c r="C132" s="44" t="s">
        <v>441</v>
      </c>
      <c r="D132" s="44" t="s">
        <v>442</v>
      </c>
      <c r="E132" s="44" t="s">
        <v>443</v>
      </c>
      <c r="F132" s="44">
        <v>1170.0</v>
      </c>
      <c r="G132" s="44">
        <v>3.915</v>
      </c>
      <c r="H132" s="44">
        <v>1.85</v>
      </c>
      <c r="I132" s="44">
        <v>1.245</v>
      </c>
      <c r="J132" s="44">
        <v>2.44</v>
      </c>
      <c r="K132" s="44">
        <v>1.508</v>
      </c>
      <c r="L132" s="44">
        <v>1.49</v>
      </c>
      <c r="M132" s="44">
        <v>0.1</v>
      </c>
      <c r="N132" s="44">
        <v>0.573</v>
      </c>
      <c r="O132" s="44">
        <v>2.0</v>
      </c>
      <c r="P132" s="44">
        <v>0.45</v>
      </c>
      <c r="Q132" s="44">
        <v>1.0</v>
      </c>
      <c r="R132" s="44">
        <v>0.0</v>
      </c>
      <c r="S132" s="44">
        <v>0.952</v>
      </c>
      <c r="T132" s="44">
        <v>0.205</v>
      </c>
      <c r="U132" s="44">
        <v>0.55</v>
      </c>
      <c r="V132" s="44">
        <v>16.0</v>
      </c>
      <c r="W132" s="44">
        <v>0.225</v>
      </c>
      <c r="X132" s="44">
        <v>0.5</v>
      </c>
      <c r="Y132" s="44">
        <v>16.0</v>
      </c>
      <c r="Z132" s="44">
        <v>-2.0</v>
      </c>
      <c r="AA132" s="44">
        <v>-1.0</v>
      </c>
      <c r="AB132" s="44">
        <v>4.3</v>
      </c>
      <c r="AC132" s="44">
        <v>14.0</v>
      </c>
      <c r="AD132" s="44">
        <v>1.8</v>
      </c>
      <c r="AE132" s="44">
        <v>3.0</v>
      </c>
      <c r="AF132" s="44">
        <v>-4.0</v>
      </c>
      <c r="AG132" s="44">
        <v>-2.0</v>
      </c>
      <c r="AH132" s="44">
        <v>1.8</v>
      </c>
      <c r="AI132" s="44">
        <v>2.0</v>
      </c>
      <c r="AJ132" s="44">
        <v>1995.0</v>
      </c>
      <c r="AK132" s="44">
        <v>4.0</v>
      </c>
      <c r="AL132" s="44">
        <v>8000.0</v>
      </c>
      <c r="AM132" s="44">
        <v>8000.0</v>
      </c>
      <c r="AN132" s="44">
        <v>700.0</v>
      </c>
      <c r="AO132" s="44">
        <v>5000.0</v>
      </c>
      <c r="AP132" s="44">
        <v>7000.0</v>
      </c>
      <c r="AQ132" s="44">
        <v>0.0</v>
      </c>
      <c r="AR132" s="57" t="s">
        <v>2914</v>
      </c>
      <c r="AS132" s="57" t="s">
        <v>2915</v>
      </c>
      <c r="AT132" s="57" t="s">
        <v>2916</v>
      </c>
      <c r="AU132" s="57" t="s">
        <v>2917</v>
      </c>
      <c r="AV132" s="57" t="s">
        <v>2918</v>
      </c>
      <c r="AW132" s="57" t="s">
        <v>2919</v>
      </c>
      <c r="AX132" s="57" t="s">
        <v>2920</v>
      </c>
      <c r="AY132" s="57" t="s">
        <v>2921</v>
      </c>
      <c r="AZ132" s="57" t="s">
        <v>2922</v>
      </c>
      <c r="BA132" s="57" t="s">
        <v>2923</v>
      </c>
      <c r="BB132" s="57" t="s">
        <v>2924</v>
      </c>
      <c r="BC132" s="57" t="s">
        <v>2925</v>
      </c>
      <c r="BD132" s="57" t="s">
        <v>2926</v>
      </c>
      <c r="BE132" s="57" t="s">
        <v>2927</v>
      </c>
      <c r="BF132" s="57" t="s">
        <v>2928</v>
      </c>
      <c r="BG132" s="57" t="s">
        <v>2929</v>
      </c>
      <c r="BH132" s="57" t="s">
        <v>1030</v>
      </c>
      <c r="BI132" s="57" t="s">
        <v>1031</v>
      </c>
      <c r="BJ132" s="57" t="s">
        <v>1032</v>
      </c>
      <c r="BK132" s="57" t="s">
        <v>1033</v>
      </c>
      <c r="BL132" s="57" t="s">
        <v>1034</v>
      </c>
      <c r="BM132" s="57" t="s">
        <v>1035</v>
      </c>
      <c r="BN132" s="57" t="s">
        <v>1036</v>
      </c>
      <c r="BO132" s="57" t="s">
        <v>1037</v>
      </c>
      <c r="BP132" s="44">
        <v>0.0</v>
      </c>
      <c r="BQ132" s="44">
        <v>5.0</v>
      </c>
      <c r="BR132" s="44">
        <v>2.417</v>
      </c>
      <c r="BS132" s="44">
        <v>1.611</v>
      </c>
      <c r="BT132" s="44">
        <v>1.136</v>
      </c>
      <c r="BU132" s="44">
        <v>0.846</v>
      </c>
      <c r="BV132" s="44">
        <v>0.704</v>
      </c>
      <c r="BW132" s="44">
        <v>0.0</v>
      </c>
      <c r="BX132" s="44">
        <v>0.0</v>
      </c>
      <c r="BY132" s="44">
        <v>0.0</v>
      </c>
      <c r="BZ132" s="44">
        <v>2.867</v>
      </c>
      <c r="CA132" s="44">
        <v>5.25</v>
      </c>
      <c r="CB132" s="44">
        <v>3.0</v>
      </c>
      <c r="CC132" s="44">
        <v>0.0</v>
      </c>
      <c r="CD132" s="44">
        <v>0.0</v>
      </c>
      <c r="CE132" s="44">
        <v>10000.0</v>
      </c>
      <c r="CF132" s="44">
        <v>8000.0</v>
      </c>
      <c r="CG132" s="44">
        <v>0.0</v>
      </c>
      <c r="CH132" s="44">
        <v>0.0</v>
      </c>
      <c r="CI132" s="44">
        <v>0.0</v>
      </c>
      <c r="CJ132" s="2"/>
      <c r="CK132" s="2"/>
    </row>
    <row r="133">
      <c r="A133" s="46">
        <v>132.0</v>
      </c>
      <c r="B133" s="46">
        <v>201.0</v>
      </c>
      <c r="C133" s="46" t="s">
        <v>444</v>
      </c>
      <c r="D133" s="46" t="s">
        <v>445</v>
      </c>
      <c r="E133" s="46" t="s">
        <v>446</v>
      </c>
      <c r="F133" s="46">
        <v>1100.0</v>
      </c>
      <c r="G133" s="46">
        <v>4.33</v>
      </c>
      <c r="H133" s="46">
        <v>1.665</v>
      </c>
      <c r="I133" s="46">
        <v>1.37</v>
      </c>
      <c r="J133" s="46">
        <v>2.57</v>
      </c>
      <c r="K133" s="46">
        <v>1.37</v>
      </c>
      <c r="L133" s="46">
        <v>1.365</v>
      </c>
      <c r="M133" s="46">
        <v>0.1</v>
      </c>
      <c r="N133" s="46">
        <v>0.459</v>
      </c>
      <c r="O133" s="46">
        <v>0.0</v>
      </c>
      <c r="P133" s="46">
        <v>0.48</v>
      </c>
      <c r="Q133" s="46">
        <v>0.9</v>
      </c>
      <c r="R133" s="46">
        <v>0.0</v>
      </c>
      <c r="S133" s="46">
        <v>1.133</v>
      </c>
      <c r="T133" s="46">
        <v>0.165</v>
      </c>
      <c r="U133" s="46">
        <v>0.82</v>
      </c>
      <c r="V133" s="46">
        <v>14.0</v>
      </c>
      <c r="W133" s="46">
        <v>0.165</v>
      </c>
      <c r="X133" s="46">
        <v>0.82</v>
      </c>
      <c r="Y133" s="46">
        <v>14.0</v>
      </c>
      <c r="Z133" s="46">
        <v>0.0</v>
      </c>
      <c r="AA133" s="46">
        <v>1.0</v>
      </c>
      <c r="AB133" s="46">
        <v>1.5</v>
      </c>
      <c r="AC133" s="46">
        <v>7.4</v>
      </c>
      <c r="AD133" s="46">
        <v>1.9</v>
      </c>
      <c r="AE133" s="46">
        <v>1.0</v>
      </c>
      <c r="AF133" s="46">
        <v>-2.0</v>
      </c>
      <c r="AG133" s="46">
        <v>0.05</v>
      </c>
      <c r="AH133" s="46">
        <v>1.9</v>
      </c>
      <c r="AI133" s="46">
        <v>0.5</v>
      </c>
      <c r="AJ133" s="46">
        <v>1989.0</v>
      </c>
      <c r="AK133" s="46">
        <v>0.0</v>
      </c>
      <c r="AL133" s="46">
        <v>7500.0</v>
      </c>
      <c r="AM133" s="46">
        <v>7500.0</v>
      </c>
      <c r="AN133" s="46">
        <v>900.0</v>
      </c>
      <c r="AO133" s="46">
        <v>5600.0</v>
      </c>
      <c r="AP133" s="46">
        <v>7000.0</v>
      </c>
      <c r="AQ133" s="46">
        <v>0.0</v>
      </c>
      <c r="AR133" s="58" t="s">
        <v>2781</v>
      </c>
      <c r="AS133" s="58" t="s">
        <v>2930</v>
      </c>
      <c r="AT133" s="58" t="s">
        <v>2931</v>
      </c>
      <c r="AU133" s="58" t="s">
        <v>1104</v>
      </c>
      <c r="AV133" s="58" t="s">
        <v>1018</v>
      </c>
      <c r="AW133" s="58" t="s">
        <v>2932</v>
      </c>
      <c r="AX133" s="58" t="s">
        <v>2933</v>
      </c>
      <c r="AY133" s="58" t="s">
        <v>2934</v>
      </c>
      <c r="AZ133" s="58" t="s">
        <v>2935</v>
      </c>
      <c r="BA133" s="58" t="s">
        <v>2936</v>
      </c>
      <c r="BB133" s="58" t="s">
        <v>2937</v>
      </c>
      <c r="BC133" s="58" t="s">
        <v>2938</v>
      </c>
      <c r="BD133" s="58" t="s">
        <v>2939</v>
      </c>
      <c r="BE133" s="58" t="s">
        <v>2940</v>
      </c>
      <c r="BF133" s="58" t="s">
        <v>2941</v>
      </c>
      <c r="BG133" s="58" t="s">
        <v>2942</v>
      </c>
      <c r="BH133" s="58" t="s">
        <v>1030</v>
      </c>
      <c r="BI133" s="58" t="s">
        <v>1031</v>
      </c>
      <c r="BJ133" s="58" t="s">
        <v>1032</v>
      </c>
      <c r="BK133" s="58" t="s">
        <v>1033</v>
      </c>
      <c r="BL133" s="58" t="s">
        <v>1034</v>
      </c>
      <c r="BM133" s="58" t="s">
        <v>1035</v>
      </c>
      <c r="BN133" s="58" t="s">
        <v>1036</v>
      </c>
      <c r="BO133" s="58" t="s">
        <v>1037</v>
      </c>
      <c r="BP133" s="46">
        <v>0.0</v>
      </c>
      <c r="BQ133" s="46">
        <v>5.0</v>
      </c>
      <c r="BR133" s="46">
        <v>2.957</v>
      </c>
      <c r="BS133" s="46">
        <v>1.858</v>
      </c>
      <c r="BT133" s="46">
        <v>1.311</v>
      </c>
      <c r="BU133" s="46">
        <v>1.0</v>
      </c>
      <c r="BV133" s="46">
        <v>0.852</v>
      </c>
      <c r="BW133" s="46">
        <v>0.0</v>
      </c>
      <c r="BX133" s="46">
        <v>0.0</v>
      </c>
      <c r="BY133" s="46">
        <v>0.0</v>
      </c>
      <c r="BZ133" s="46">
        <v>2.922</v>
      </c>
      <c r="CA133" s="46">
        <v>4.444</v>
      </c>
      <c r="CB133" s="46">
        <v>3.0</v>
      </c>
      <c r="CC133" s="46">
        <v>0.0</v>
      </c>
      <c r="CD133" s="46">
        <v>0.0</v>
      </c>
      <c r="CE133" s="46">
        <v>10000.0</v>
      </c>
      <c r="CF133" s="46">
        <v>7500.0</v>
      </c>
      <c r="CG133" s="46">
        <v>0.0</v>
      </c>
      <c r="CH133" s="46">
        <v>0.0</v>
      </c>
      <c r="CI133" s="46">
        <v>0.0</v>
      </c>
      <c r="CJ133" s="2"/>
      <c r="CK133" s="2"/>
    </row>
    <row r="134">
      <c r="A134" s="44">
        <v>133.0</v>
      </c>
      <c r="B134" s="44">
        <v>203.0</v>
      </c>
      <c r="C134" s="44" t="s">
        <v>447</v>
      </c>
      <c r="D134" s="44" t="s">
        <v>448</v>
      </c>
      <c r="E134" s="44" t="s">
        <v>449</v>
      </c>
      <c r="F134" s="44">
        <v>1440.0</v>
      </c>
      <c r="G134" s="44">
        <v>4.415</v>
      </c>
      <c r="H134" s="44">
        <v>1.74</v>
      </c>
      <c r="I134" s="44">
        <v>1.425</v>
      </c>
      <c r="J134" s="44">
        <v>2.525</v>
      </c>
      <c r="K134" s="44">
        <v>1.49</v>
      </c>
      <c r="L134" s="44">
        <v>1.485</v>
      </c>
      <c r="M134" s="44">
        <v>0.14</v>
      </c>
      <c r="N134" s="44">
        <v>0.396</v>
      </c>
      <c r="O134" s="44">
        <v>4.0</v>
      </c>
      <c r="P134" s="44">
        <v>0.49</v>
      </c>
      <c r="Q134" s="44">
        <v>1.15</v>
      </c>
      <c r="R134" s="44">
        <v>100.0</v>
      </c>
      <c r="S134" s="44">
        <v>1.143</v>
      </c>
      <c r="T134" s="44">
        <v>0.225</v>
      </c>
      <c r="U134" s="44">
        <v>0.45</v>
      </c>
      <c r="V134" s="44">
        <v>17.0</v>
      </c>
      <c r="W134" s="44">
        <v>0.225</v>
      </c>
      <c r="X134" s="44">
        <v>0.45</v>
      </c>
      <c r="Y134" s="44">
        <v>17.0</v>
      </c>
      <c r="Z134" s="44">
        <v>0.0</v>
      </c>
      <c r="AA134" s="44">
        <v>-0.3</v>
      </c>
      <c r="AB134" s="44">
        <v>3.4</v>
      </c>
      <c r="AC134" s="44">
        <v>14.5</v>
      </c>
      <c r="AD134" s="44">
        <v>1.8</v>
      </c>
      <c r="AE134" s="44">
        <v>3.0</v>
      </c>
      <c r="AF134" s="44">
        <v>0.0</v>
      </c>
      <c r="AG134" s="44">
        <v>-0.4</v>
      </c>
      <c r="AH134" s="44">
        <v>1.8</v>
      </c>
      <c r="AI134" s="44">
        <v>2.0</v>
      </c>
      <c r="AJ134" s="44">
        <v>1994.0</v>
      </c>
      <c r="AK134" s="44">
        <v>1.0</v>
      </c>
      <c r="AL134" s="44">
        <v>8000.0</v>
      </c>
      <c r="AM134" s="44">
        <v>8200.0</v>
      </c>
      <c r="AN134" s="44">
        <v>800.0</v>
      </c>
      <c r="AO134" s="44">
        <v>4400.0</v>
      </c>
      <c r="AP134" s="44">
        <v>6000.0</v>
      </c>
      <c r="AQ134" s="44">
        <v>0.0</v>
      </c>
      <c r="AR134" s="57" t="s">
        <v>2943</v>
      </c>
      <c r="AS134" s="57" t="s">
        <v>2944</v>
      </c>
      <c r="AT134" s="57" t="s">
        <v>2945</v>
      </c>
      <c r="AU134" s="57" t="s">
        <v>1621</v>
      </c>
      <c r="AV134" s="57" t="s">
        <v>2946</v>
      </c>
      <c r="AW134" s="57" t="s">
        <v>2947</v>
      </c>
      <c r="AX134" s="57" t="s">
        <v>2180</v>
      </c>
      <c r="AY134" s="57" t="s">
        <v>2948</v>
      </c>
      <c r="AZ134" s="57" t="s">
        <v>2949</v>
      </c>
      <c r="BA134" s="57" t="s">
        <v>2950</v>
      </c>
      <c r="BB134" s="57" t="s">
        <v>2951</v>
      </c>
      <c r="BC134" s="57" t="s">
        <v>2952</v>
      </c>
      <c r="BD134" s="57" t="s">
        <v>2953</v>
      </c>
      <c r="BE134" s="57" t="s">
        <v>2954</v>
      </c>
      <c r="BF134" s="57" t="s">
        <v>2955</v>
      </c>
      <c r="BG134" s="57" t="s">
        <v>2956</v>
      </c>
      <c r="BH134" s="57" t="s">
        <v>2957</v>
      </c>
      <c r="BI134" s="57" t="s">
        <v>1031</v>
      </c>
      <c r="BJ134" s="57" t="s">
        <v>1032</v>
      </c>
      <c r="BK134" s="57" t="s">
        <v>1033</v>
      </c>
      <c r="BL134" s="57" t="s">
        <v>1034</v>
      </c>
      <c r="BM134" s="57" t="s">
        <v>1035</v>
      </c>
      <c r="BN134" s="57" t="s">
        <v>1036</v>
      </c>
      <c r="BO134" s="57" t="s">
        <v>1037</v>
      </c>
      <c r="BP134" s="44">
        <v>0.0</v>
      </c>
      <c r="BQ134" s="44">
        <v>6.0</v>
      </c>
      <c r="BR134" s="44">
        <v>3.636</v>
      </c>
      <c r="BS134" s="44">
        <v>2.375</v>
      </c>
      <c r="BT134" s="44">
        <v>1.761</v>
      </c>
      <c r="BU134" s="44">
        <v>1.346</v>
      </c>
      <c r="BV134" s="44">
        <v>1.062</v>
      </c>
      <c r="BW134" s="44">
        <v>0.842</v>
      </c>
      <c r="BX134" s="44">
        <v>0.0</v>
      </c>
      <c r="BY134" s="44">
        <v>0.0</v>
      </c>
      <c r="BZ134" s="44">
        <v>3.545</v>
      </c>
      <c r="CA134" s="44">
        <v>3.9</v>
      </c>
      <c r="CB134" s="44">
        <v>0.0</v>
      </c>
      <c r="CC134" s="44">
        <v>2.0</v>
      </c>
      <c r="CD134" s="44">
        <v>1.0</v>
      </c>
      <c r="CE134" s="44">
        <v>9000.0</v>
      </c>
      <c r="CF134" s="44">
        <v>8000.0</v>
      </c>
      <c r="CG134" s="44">
        <v>0.0</v>
      </c>
      <c r="CH134" s="44">
        <v>1.0</v>
      </c>
      <c r="CI134" s="44">
        <v>0.0</v>
      </c>
      <c r="CJ134" s="2"/>
      <c r="CK134" s="2"/>
    </row>
    <row r="135">
      <c r="A135" s="46">
        <v>134.0</v>
      </c>
      <c r="B135" s="46">
        <v>206.0</v>
      </c>
      <c r="C135" s="46" t="s">
        <v>450</v>
      </c>
      <c r="D135" s="46" t="s">
        <v>451</v>
      </c>
      <c r="E135" s="46" t="s">
        <v>452</v>
      </c>
      <c r="F135" s="46">
        <v>1467.0</v>
      </c>
      <c r="G135" s="46">
        <v>4.572</v>
      </c>
      <c r="H135" s="46">
        <v>1.676</v>
      </c>
      <c r="I135" s="46">
        <v>1.32</v>
      </c>
      <c r="J135" s="46">
        <v>2.49</v>
      </c>
      <c r="K135" s="46">
        <v>1.37</v>
      </c>
      <c r="L135" s="46">
        <v>1.36</v>
      </c>
      <c r="M135" s="46">
        <v>0.159</v>
      </c>
      <c r="N135" s="46">
        <v>0.492</v>
      </c>
      <c r="O135" s="46">
        <v>0.0</v>
      </c>
      <c r="P135" s="46">
        <v>0.5</v>
      </c>
      <c r="Q135" s="46">
        <v>0.95</v>
      </c>
      <c r="R135" s="46">
        <v>0.0</v>
      </c>
      <c r="S135" s="46">
        <v>1.14</v>
      </c>
      <c r="T135" s="46">
        <v>0.17</v>
      </c>
      <c r="U135" s="46">
        <v>0.82</v>
      </c>
      <c r="V135" s="46">
        <v>15.0</v>
      </c>
      <c r="W135" s="46">
        <v>0.17</v>
      </c>
      <c r="X135" s="46">
        <v>0.82</v>
      </c>
      <c r="Y135" s="46">
        <v>15.0</v>
      </c>
      <c r="Z135" s="46">
        <v>0.0</v>
      </c>
      <c r="AA135" s="46">
        <v>0.3</v>
      </c>
      <c r="AB135" s="46">
        <v>6.0</v>
      </c>
      <c r="AC135" s="46">
        <v>12.0</v>
      </c>
      <c r="AD135" s="46">
        <v>1.5</v>
      </c>
      <c r="AE135" s="46">
        <v>2.0</v>
      </c>
      <c r="AF135" s="46">
        <v>-4.0</v>
      </c>
      <c r="AG135" s="46">
        <v>-0.3</v>
      </c>
      <c r="AH135" s="46">
        <v>1.4</v>
      </c>
      <c r="AI135" s="46">
        <v>0.5</v>
      </c>
      <c r="AJ135" s="46">
        <v>3995.0</v>
      </c>
      <c r="AK135" s="46">
        <v>0.0</v>
      </c>
      <c r="AL135" s="46">
        <v>5500.0</v>
      </c>
      <c r="AM135" s="46">
        <v>5800.0</v>
      </c>
      <c r="AN135" s="46">
        <v>800.0</v>
      </c>
      <c r="AO135" s="46">
        <v>4500.0</v>
      </c>
      <c r="AP135" s="46">
        <v>5750.0</v>
      </c>
      <c r="AQ135" s="46">
        <v>0.0</v>
      </c>
      <c r="AR135" s="58" t="s">
        <v>2958</v>
      </c>
      <c r="AS135" s="58" t="s">
        <v>2959</v>
      </c>
      <c r="AT135" s="58" t="s">
        <v>2960</v>
      </c>
      <c r="AU135" s="58" t="s">
        <v>2961</v>
      </c>
      <c r="AV135" s="58" t="s">
        <v>2962</v>
      </c>
      <c r="AW135" s="58" t="s">
        <v>2963</v>
      </c>
      <c r="AX135" s="58" t="s">
        <v>2964</v>
      </c>
      <c r="AY135" s="58" t="s">
        <v>2965</v>
      </c>
      <c r="AZ135" s="58" t="s">
        <v>2966</v>
      </c>
      <c r="BA135" s="58" t="s">
        <v>1495</v>
      </c>
      <c r="BB135" s="58" t="s">
        <v>2967</v>
      </c>
      <c r="BC135" s="58" t="s">
        <v>2968</v>
      </c>
      <c r="BD135" s="58" t="s">
        <v>2969</v>
      </c>
      <c r="BE135" s="58" t="s">
        <v>1143</v>
      </c>
      <c r="BF135" s="58" t="s">
        <v>1052</v>
      </c>
      <c r="BG135" s="58" t="s">
        <v>1029</v>
      </c>
      <c r="BH135" s="58" t="s">
        <v>1030</v>
      </c>
      <c r="BI135" s="58" t="s">
        <v>1031</v>
      </c>
      <c r="BJ135" s="58" t="s">
        <v>1032</v>
      </c>
      <c r="BK135" s="58" t="s">
        <v>1033</v>
      </c>
      <c r="BL135" s="58" t="s">
        <v>1034</v>
      </c>
      <c r="BM135" s="58" t="s">
        <v>1035</v>
      </c>
      <c r="BN135" s="58" t="s">
        <v>1036</v>
      </c>
      <c r="BO135" s="58" t="s">
        <v>1037</v>
      </c>
      <c r="BP135" s="46">
        <v>0.0</v>
      </c>
      <c r="BQ135" s="46">
        <v>5.0</v>
      </c>
      <c r="BR135" s="46">
        <v>2.73</v>
      </c>
      <c r="BS135" s="46">
        <v>1.76</v>
      </c>
      <c r="BT135" s="46">
        <v>1.23</v>
      </c>
      <c r="BU135" s="46">
        <v>1.0</v>
      </c>
      <c r="BV135" s="46">
        <v>0.834</v>
      </c>
      <c r="BW135" s="46">
        <v>0.0</v>
      </c>
      <c r="BX135" s="46">
        <v>0.0</v>
      </c>
      <c r="BY135" s="46">
        <v>0.0</v>
      </c>
      <c r="BZ135" s="46">
        <v>3.31</v>
      </c>
      <c r="CA135" s="46">
        <v>3.77</v>
      </c>
      <c r="CB135" s="46">
        <v>0.0</v>
      </c>
      <c r="CC135" s="46">
        <v>0.0</v>
      </c>
      <c r="CD135" s="46">
        <v>0.0</v>
      </c>
      <c r="CE135" s="46">
        <v>6000.0</v>
      </c>
      <c r="CF135" s="46">
        <v>5500.0</v>
      </c>
      <c r="CG135" s="46">
        <v>0.0</v>
      </c>
      <c r="CH135" s="46">
        <v>0.0</v>
      </c>
      <c r="CI135" s="46">
        <v>32.0</v>
      </c>
      <c r="CJ135" s="2"/>
      <c r="CK135" s="2"/>
    </row>
    <row r="136">
      <c r="A136" s="44">
        <v>135.0</v>
      </c>
      <c r="B136" s="44">
        <v>208.0</v>
      </c>
      <c r="C136" s="44" t="s">
        <v>453</v>
      </c>
      <c r="D136" s="44" t="s">
        <v>454</v>
      </c>
      <c r="E136" s="44" t="s">
        <v>455</v>
      </c>
      <c r="F136" s="44">
        <v>1244.0</v>
      </c>
      <c r="G136" s="44">
        <v>4.267</v>
      </c>
      <c r="H136" s="44">
        <v>1.99</v>
      </c>
      <c r="I136" s="44">
        <v>1.14</v>
      </c>
      <c r="J136" s="44">
        <v>2.408</v>
      </c>
      <c r="K136" s="44">
        <v>1.59</v>
      </c>
      <c r="L136" s="44">
        <v>1.588</v>
      </c>
      <c r="M136" s="44">
        <v>0.1</v>
      </c>
      <c r="N136" s="44">
        <v>0.62</v>
      </c>
      <c r="O136" s="44">
        <v>3.0</v>
      </c>
      <c r="P136" s="44">
        <v>0.51</v>
      </c>
      <c r="Q136" s="44">
        <v>0.9</v>
      </c>
      <c r="R136" s="44">
        <v>0.0</v>
      </c>
      <c r="S136" s="44">
        <v>0.928</v>
      </c>
      <c r="T136" s="44">
        <v>0.195</v>
      </c>
      <c r="U136" s="44">
        <v>0.6</v>
      </c>
      <c r="V136" s="44">
        <v>14.0</v>
      </c>
      <c r="W136" s="44">
        <v>0.235</v>
      </c>
      <c r="X136" s="44">
        <v>0.6</v>
      </c>
      <c r="Y136" s="44">
        <v>15.0</v>
      </c>
      <c r="Z136" s="44">
        <v>-3.0</v>
      </c>
      <c r="AA136" s="44">
        <v>-1.24</v>
      </c>
      <c r="AB136" s="44">
        <v>4.0</v>
      </c>
      <c r="AC136" s="44">
        <v>8.0</v>
      </c>
      <c r="AD136" s="44">
        <v>1.8</v>
      </c>
      <c r="AE136" s="44">
        <v>1.5</v>
      </c>
      <c r="AF136" s="44">
        <v>-3.0</v>
      </c>
      <c r="AG136" s="44">
        <v>-0.45</v>
      </c>
      <c r="AH136" s="44">
        <v>1.8</v>
      </c>
      <c r="AI136" s="44">
        <v>0.5</v>
      </c>
      <c r="AJ136" s="44">
        <v>2849.0</v>
      </c>
      <c r="AK136" s="44">
        <v>0.0</v>
      </c>
      <c r="AL136" s="44">
        <v>6500.0</v>
      </c>
      <c r="AM136" s="44">
        <v>6500.0</v>
      </c>
      <c r="AN136" s="44">
        <v>700.0</v>
      </c>
      <c r="AO136" s="44">
        <v>2750.0</v>
      </c>
      <c r="AP136" s="44">
        <v>5500.0</v>
      </c>
      <c r="AQ136" s="44">
        <v>0.0</v>
      </c>
      <c r="AR136" s="57" t="s">
        <v>2970</v>
      </c>
      <c r="AS136" s="57" t="s">
        <v>2971</v>
      </c>
      <c r="AT136" s="57" t="s">
        <v>2972</v>
      </c>
      <c r="AU136" s="57" t="s">
        <v>2973</v>
      </c>
      <c r="AV136" s="57" t="s">
        <v>2974</v>
      </c>
      <c r="AW136" s="57" t="s">
        <v>2975</v>
      </c>
      <c r="AX136" s="57" t="s">
        <v>2976</v>
      </c>
      <c r="AY136" s="57" t="s">
        <v>2977</v>
      </c>
      <c r="AZ136" s="57" t="s">
        <v>2978</v>
      </c>
      <c r="BA136" s="57" t="s">
        <v>2979</v>
      </c>
      <c r="BB136" s="57" t="s">
        <v>2980</v>
      </c>
      <c r="BC136" s="57" t="s">
        <v>2981</v>
      </c>
      <c r="BD136" s="57" t="s">
        <v>2982</v>
      </c>
      <c r="BE136" s="57" t="s">
        <v>2983</v>
      </c>
      <c r="BF136" s="57" t="s">
        <v>1052</v>
      </c>
      <c r="BG136" s="57" t="s">
        <v>1029</v>
      </c>
      <c r="BH136" s="57" t="s">
        <v>1030</v>
      </c>
      <c r="BI136" s="57" t="s">
        <v>1031</v>
      </c>
      <c r="BJ136" s="57" t="s">
        <v>1032</v>
      </c>
      <c r="BK136" s="57" t="s">
        <v>1033</v>
      </c>
      <c r="BL136" s="57" t="s">
        <v>1034</v>
      </c>
      <c r="BM136" s="57" t="s">
        <v>1035</v>
      </c>
      <c r="BN136" s="57" t="s">
        <v>1036</v>
      </c>
      <c r="BO136" s="57" t="s">
        <v>1037</v>
      </c>
      <c r="BP136" s="44">
        <v>0.0</v>
      </c>
      <c r="BQ136" s="44">
        <v>5.0</v>
      </c>
      <c r="BR136" s="44">
        <v>3.36</v>
      </c>
      <c r="BS136" s="44">
        <v>2.06</v>
      </c>
      <c r="BT136" s="44">
        <v>1.38</v>
      </c>
      <c r="BU136" s="44">
        <v>1.06</v>
      </c>
      <c r="BV136" s="44">
        <v>0.82</v>
      </c>
      <c r="BW136" s="44">
        <v>0.0</v>
      </c>
      <c r="BX136" s="44">
        <v>0.0</v>
      </c>
      <c r="BY136" s="44">
        <v>0.0</v>
      </c>
      <c r="BZ136" s="44">
        <v>3.182</v>
      </c>
      <c r="CA136" s="44">
        <v>3.44</v>
      </c>
      <c r="CB136" s="44">
        <v>0.0</v>
      </c>
      <c r="CC136" s="44">
        <v>0.0</v>
      </c>
      <c r="CD136" s="44">
        <v>0.0</v>
      </c>
      <c r="CE136" s="44">
        <v>8000.0</v>
      </c>
      <c r="CF136" s="44">
        <v>6500.0</v>
      </c>
      <c r="CG136" s="44">
        <v>0.0</v>
      </c>
      <c r="CH136" s="44">
        <v>0.0</v>
      </c>
      <c r="CI136" s="44">
        <v>0.0</v>
      </c>
      <c r="CJ136" s="2"/>
      <c r="CK136" s="2"/>
    </row>
    <row r="137">
      <c r="A137" s="46">
        <v>136.0</v>
      </c>
      <c r="B137" s="46">
        <v>209.0</v>
      </c>
      <c r="C137" s="46" t="s">
        <v>456</v>
      </c>
      <c r="D137" s="46" t="s">
        <v>457</v>
      </c>
      <c r="E137" s="46" t="s">
        <v>458</v>
      </c>
      <c r="F137" s="46">
        <v>1070.0</v>
      </c>
      <c r="G137" s="46">
        <v>4.22</v>
      </c>
      <c r="H137" s="46">
        <v>1.86</v>
      </c>
      <c r="I137" s="46">
        <v>1.11</v>
      </c>
      <c r="J137" s="46">
        <v>2.438</v>
      </c>
      <c r="K137" s="46">
        <v>1.511</v>
      </c>
      <c r="L137" s="46">
        <v>1.536</v>
      </c>
      <c r="M137" s="46">
        <v>0.1</v>
      </c>
      <c r="N137" s="46">
        <v>0.58</v>
      </c>
      <c r="O137" s="46">
        <v>2.0</v>
      </c>
      <c r="P137" s="46">
        <v>0.47</v>
      </c>
      <c r="Q137" s="46">
        <v>1.0</v>
      </c>
      <c r="R137" s="46">
        <v>0.0</v>
      </c>
      <c r="S137" s="46">
        <v>0.951</v>
      </c>
      <c r="T137" s="46">
        <v>0.195</v>
      </c>
      <c r="U137" s="46">
        <v>0.6</v>
      </c>
      <c r="V137" s="46">
        <v>14.0</v>
      </c>
      <c r="W137" s="46">
        <v>0.205</v>
      </c>
      <c r="X137" s="46">
        <v>0.7</v>
      </c>
      <c r="Y137" s="46">
        <v>14.0</v>
      </c>
      <c r="Z137" s="46">
        <v>2.0</v>
      </c>
      <c r="AA137" s="46">
        <v>-0.3</v>
      </c>
      <c r="AB137" s="46">
        <v>3.0</v>
      </c>
      <c r="AC137" s="46">
        <v>9.0</v>
      </c>
      <c r="AD137" s="46">
        <v>1.6</v>
      </c>
      <c r="AE137" s="46">
        <v>2.0</v>
      </c>
      <c r="AF137" s="46">
        <v>-4.0</v>
      </c>
      <c r="AG137" s="46">
        <v>-1.0</v>
      </c>
      <c r="AH137" s="46">
        <v>1.6</v>
      </c>
      <c r="AI137" s="46">
        <v>1.0</v>
      </c>
      <c r="AJ137" s="46">
        <v>1973.0</v>
      </c>
      <c r="AK137" s="46">
        <v>0.0</v>
      </c>
      <c r="AL137" s="46">
        <v>6500.0</v>
      </c>
      <c r="AM137" s="46">
        <v>6700.0</v>
      </c>
      <c r="AN137" s="46">
        <v>700.0</v>
      </c>
      <c r="AO137" s="46">
        <v>4900.0</v>
      </c>
      <c r="AP137" s="46">
        <v>6200.0</v>
      </c>
      <c r="AQ137" s="46">
        <v>0.0</v>
      </c>
      <c r="AR137" s="58" t="s">
        <v>2984</v>
      </c>
      <c r="AS137" s="58" t="s">
        <v>2985</v>
      </c>
      <c r="AT137" s="58" t="s">
        <v>2986</v>
      </c>
      <c r="AU137" s="58" t="s">
        <v>2987</v>
      </c>
      <c r="AV137" s="58" t="s">
        <v>1363</v>
      </c>
      <c r="AW137" s="58" t="s">
        <v>2988</v>
      </c>
      <c r="AX137" s="58" t="s">
        <v>2989</v>
      </c>
      <c r="AY137" s="58" t="s">
        <v>2990</v>
      </c>
      <c r="AZ137" s="58" t="s">
        <v>2991</v>
      </c>
      <c r="BA137" s="58" t="s">
        <v>2992</v>
      </c>
      <c r="BB137" s="58" t="s">
        <v>2993</v>
      </c>
      <c r="BC137" s="58" t="s">
        <v>2994</v>
      </c>
      <c r="BD137" s="58" t="s">
        <v>2995</v>
      </c>
      <c r="BE137" s="58" t="s">
        <v>2996</v>
      </c>
      <c r="BF137" s="58" t="s">
        <v>2997</v>
      </c>
      <c r="BG137" s="58" t="s">
        <v>1029</v>
      </c>
      <c r="BH137" s="58" t="s">
        <v>1030</v>
      </c>
      <c r="BI137" s="58" t="s">
        <v>1031</v>
      </c>
      <c r="BJ137" s="58" t="s">
        <v>1032</v>
      </c>
      <c r="BK137" s="58" t="s">
        <v>1033</v>
      </c>
      <c r="BL137" s="58" t="s">
        <v>1034</v>
      </c>
      <c r="BM137" s="58" t="s">
        <v>1035</v>
      </c>
      <c r="BN137" s="58" t="s">
        <v>1036</v>
      </c>
      <c r="BO137" s="58" t="s">
        <v>1037</v>
      </c>
      <c r="BP137" s="46">
        <v>0.0</v>
      </c>
      <c r="BQ137" s="46">
        <v>5.0</v>
      </c>
      <c r="BR137" s="46">
        <v>2.92</v>
      </c>
      <c r="BS137" s="46">
        <v>1.94</v>
      </c>
      <c r="BT137" s="46">
        <v>1.32</v>
      </c>
      <c r="BU137" s="46">
        <v>0.976</v>
      </c>
      <c r="BV137" s="46">
        <v>0.76</v>
      </c>
      <c r="BW137" s="46">
        <v>0.0</v>
      </c>
      <c r="BX137" s="46">
        <v>0.0</v>
      </c>
      <c r="BY137" s="46">
        <v>0.0</v>
      </c>
      <c r="BZ137" s="46">
        <v>3.46</v>
      </c>
      <c r="CA137" s="46">
        <v>4.35</v>
      </c>
      <c r="CB137" s="46">
        <v>0.0</v>
      </c>
      <c r="CC137" s="46">
        <v>0.0</v>
      </c>
      <c r="CD137" s="46">
        <v>0.0</v>
      </c>
      <c r="CE137" s="46">
        <v>7000.0</v>
      </c>
      <c r="CF137" s="46">
        <v>6500.0</v>
      </c>
      <c r="CG137" s="46">
        <v>1.0</v>
      </c>
      <c r="CH137" s="46">
        <v>0.0</v>
      </c>
      <c r="CI137" s="46">
        <v>0.0</v>
      </c>
      <c r="CJ137" s="2"/>
      <c r="CK137" s="2"/>
    </row>
    <row r="138">
      <c r="A138" s="44">
        <v>137.0</v>
      </c>
      <c r="B138" s="44">
        <v>211.0</v>
      </c>
      <c r="C138" s="44" t="s">
        <v>459</v>
      </c>
      <c r="D138" s="44" t="s">
        <v>460</v>
      </c>
      <c r="E138" s="44" t="s">
        <v>461</v>
      </c>
      <c r="F138" s="44">
        <v>806.0</v>
      </c>
      <c r="G138" s="44">
        <v>3.785</v>
      </c>
      <c r="H138" s="44">
        <v>1.719</v>
      </c>
      <c r="I138" s="44">
        <v>1.143</v>
      </c>
      <c r="J138" s="44">
        <v>2.3</v>
      </c>
      <c r="K138" s="44">
        <v>1.457</v>
      </c>
      <c r="L138" s="44">
        <v>1.503</v>
      </c>
      <c r="M138" s="44">
        <v>0.1</v>
      </c>
      <c r="N138" s="44">
        <v>0.61</v>
      </c>
      <c r="O138" s="44">
        <v>2.0</v>
      </c>
      <c r="P138" s="44">
        <v>0.47</v>
      </c>
      <c r="Q138" s="44">
        <v>1.1</v>
      </c>
      <c r="R138" s="44">
        <v>0.0</v>
      </c>
      <c r="S138" s="44">
        <v>0.961</v>
      </c>
      <c r="T138" s="44">
        <v>0.175</v>
      </c>
      <c r="U138" s="44">
        <v>0.55</v>
      </c>
      <c r="V138" s="44">
        <v>16.0</v>
      </c>
      <c r="W138" s="44">
        <v>0.225</v>
      </c>
      <c r="X138" s="44">
        <v>0.45</v>
      </c>
      <c r="Y138" s="44">
        <v>17.0</v>
      </c>
      <c r="Z138" s="44">
        <v>0.2</v>
      </c>
      <c r="AA138" s="44">
        <v>-0.1</v>
      </c>
      <c r="AB138" s="44">
        <v>3.5</v>
      </c>
      <c r="AC138" s="44">
        <v>12.0</v>
      </c>
      <c r="AD138" s="44">
        <v>1.8</v>
      </c>
      <c r="AE138" s="44">
        <v>2.0</v>
      </c>
      <c r="AF138" s="44">
        <v>-1.2</v>
      </c>
      <c r="AG138" s="44">
        <v>-1.5</v>
      </c>
      <c r="AH138" s="44">
        <v>1.8</v>
      </c>
      <c r="AI138" s="44">
        <v>1.5</v>
      </c>
      <c r="AJ138" s="44">
        <v>1796.0</v>
      </c>
      <c r="AK138" s="44">
        <v>0.0</v>
      </c>
      <c r="AL138" s="44">
        <v>6500.0</v>
      </c>
      <c r="AM138" s="44">
        <v>7000.0</v>
      </c>
      <c r="AN138" s="44">
        <v>700.0</v>
      </c>
      <c r="AO138" s="44">
        <v>4500.0</v>
      </c>
      <c r="AP138" s="44">
        <v>7000.0</v>
      </c>
      <c r="AQ138" s="44">
        <v>0.0</v>
      </c>
      <c r="AR138" s="57" t="s">
        <v>2998</v>
      </c>
      <c r="AS138" s="57" t="s">
        <v>1459</v>
      </c>
      <c r="AT138" s="57" t="s">
        <v>2999</v>
      </c>
      <c r="AU138" s="57" t="s">
        <v>3000</v>
      </c>
      <c r="AV138" s="57" t="s">
        <v>3001</v>
      </c>
      <c r="AW138" s="57" t="s">
        <v>3002</v>
      </c>
      <c r="AX138" s="57" t="s">
        <v>3003</v>
      </c>
      <c r="AY138" s="57" t="s">
        <v>3004</v>
      </c>
      <c r="AZ138" s="57" t="s">
        <v>3005</v>
      </c>
      <c r="BA138" s="57" t="s">
        <v>3006</v>
      </c>
      <c r="BB138" s="57" t="s">
        <v>1589</v>
      </c>
      <c r="BC138" s="57" t="s">
        <v>3007</v>
      </c>
      <c r="BD138" s="57" t="s">
        <v>3008</v>
      </c>
      <c r="BE138" s="57" t="s">
        <v>1689</v>
      </c>
      <c r="BF138" s="57" t="s">
        <v>3009</v>
      </c>
      <c r="BG138" s="57" t="s">
        <v>3010</v>
      </c>
      <c r="BH138" s="57" t="s">
        <v>1030</v>
      </c>
      <c r="BI138" s="57" t="s">
        <v>1031</v>
      </c>
      <c r="BJ138" s="57" t="s">
        <v>1032</v>
      </c>
      <c r="BK138" s="57" t="s">
        <v>1033</v>
      </c>
      <c r="BL138" s="57" t="s">
        <v>1034</v>
      </c>
      <c r="BM138" s="57" t="s">
        <v>1035</v>
      </c>
      <c r="BN138" s="57" t="s">
        <v>1036</v>
      </c>
      <c r="BO138" s="57" t="s">
        <v>1037</v>
      </c>
      <c r="BP138" s="44">
        <v>0.0</v>
      </c>
      <c r="BQ138" s="44">
        <v>5.0</v>
      </c>
      <c r="BR138" s="44">
        <v>3.25</v>
      </c>
      <c r="BS138" s="44">
        <v>1.89</v>
      </c>
      <c r="BT138" s="44">
        <v>1.313</v>
      </c>
      <c r="BU138" s="44">
        <v>1.03</v>
      </c>
      <c r="BV138" s="44">
        <v>0.851</v>
      </c>
      <c r="BW138" s="44">
        <v>0.0</v>
      </c>
      <c r="BX138" s="44">
        <v>0.0</v>
      </c>
      <c r="BY138" s="44">
        <v>0.0</v>
      </c>
      <c r="BZ138" s="44">
        <v>3.0</v>
      </c>
      <c r="CA138" s="44">
        <v>3.94</v>
      </c>
      <c r="CB138" s="44">
        <v>0.0</v>
      </c>
      <c r="CC138" s="44">
        <v>0.0</v>
      </c>
      <c r="CD138" s="44">
        <v>0.0</v>
      </c>
      <c r="CE138" s="44">
        <v>8000.0</v>
      </c>
      <c r="CF138" s="44">
        <v>6500.0</v>
      </c>
      <c r="CG138" s="44">
        <v>0.0</v>
      </c>
      <c r="CH138" s="44">
        <v>0.0</v>
      </c>
      <c r="CI138" s="44">
        <v>0.0</v>
      </c>
      <c r="CJ138" s="2"/>
      <c r="CK138" s="2"/>
    </row>
    <row r="139">
      <c r="A139" s="46">
        <v>138.0</v>
      </c>
      <c r="B139" s="46">
        <v>212.0</v>
      </c>
      <c r="C139" s="46" t="s">
        <v>462</v>
      </c>
      <c r="D139" s="46" t="s">
        <v>463</v>
      </c>
      <c r="E139" s="46" t="s">
        <v>464</v>
      </c>
      <c r="F139" s="46">
        <v>1455.0</v>
      </c>
      <c r="G139" s="46">
        <v>4.27</v>
      </c>
      <c r="H139" s="46">
        <v>1.9</v>
      </c>
      <c r="I139" s="46">
        <v>1.1</v>
      </c>
      <c r="J139" s="46">
        <v>2.515</v>
      </c>
      <c r="K139" s="46">
        <v>1.45</v>
      </c>
      <c r="L139" s="46">
        <v>1.46</v>
      </c>
      <c r="M139" s="46">
        <v>0.07</v>
      </c>
      <c r="N139" s="46">
        <v>0.6</v>
      </c>
      <c r="O139" s="46">
        <v>2.0</v>
      </c>
      <c r="P139" s="46">
        <v>0.47</v>
      </c>
      <c r="Q139" s="46">
        <v>1.0</v>
      </c>
      <c r="R139" s="46">
        <v>0.0</v>
      </c>
      <c r="S139" s="46">
        <v>0.911</v>
      </c>
      <c r="T139" s="46">
        <v>0.225</v>
      </c>
      <c r="U139" s="46">
        <v>0.5</v>
      </c>
      <c r="V139" s="46">
        <v>15.0</v>
      </c>
      <c r="W139" s="46">
        <v>0.285</v>
      </c>
      <c r="X139" s="46">
        <v>0.5</v>
      </c>
      <c r="Y139" s="46">
        <v>15.0</v>
      </c>
      <c r="Z139" s="46">
        <v>0.0</v>
      </c>
      <c r="AA139" s="46">
        <v>0.0</v>
      </c>
      <c r="AB139" s="46">
        <v>6.0</v>
      </c>
      <c r="AC139" s="46">
        <v>12.0</v>
      </c>
      <c r="AD139" s="46">
        <v>2.4</v>
      </c>
      <c r="AE139" s="46">
        <v>1.0</v>
      </c>
      <c r="AF139" s="46">
        <v>-3.0</v>
      </c>
      <c r="AG139" s="46">
        <v>-0.5</v>
      </c>
      <c r="AH139" s="46">
        <v>2.4</v>
      </c>
      <c r="AI139" s="46">
        <v>1.0</v>
      </c>
      <c r="AJ139" s="46">
        <v>5763.0</v>
      </c>
      <c r="AK139" s="46">
        <v>0.0</v>
      </c>
      <c r="AL139" s="46">
        <v>5900.0</v>
      </c>
      <c r="AM139" s="46">
        <v>6200.0</v>
      </c>
      <c r="AN139" s="46">
        <v>800.0</v>
      </c>
      <c r="AO139" s="46">
        <v>4000.0</v>
      </c>
      <c r="AP139" s="46">
        <v>6000.0</v>
      </c>
      <c r="AQ139" s="46">
        <v>0.0</v>
      </c>
      <c r="AR139" s="58" t="s">
        <v>3011</v>
      </c>
      <c r="AS139" s="58" t="s">
        <v>3012</v>
      </c>
      <c r="AT139" s="58" t="s">
        <v>3013</v>
      </c>
      <c r="AU139" s="58" t="s">
        <v>3014</v>
      </c>
      <c r="AV139" s="58" t="s">
        <v>3015</v>
      </c>
      <c r="AW139" s="58" t="s">
        <v>3016</v>
      </c>
      <c r="AX139" s="58" t="s">
        <v>3017</v>
      </c>
      <c r="AY139" s="58" t="s">
        <v>3018</v>
      </c>
      <c r="AZ139" s="58" t="s">
        <v>3019</v>
      </c>
      <c r="BA139" s="58" t="s">
        <v>2584</v>
      </c>
      <c r="BB139" s="58" t="s">
        <v>3020</v>
      </c>
      <c r="BC139" s="58" t="s">
        <v>3021</v>
      </c>
      <c r="BD139" s="58" t="s">
        <v>3022</v>
      </c>
      <c r="BE139" s="58" t="s">
        <v>3023</v>
      </c>
      <c r="BF139" s="58" t="s">
        <v>3024</v>
      </c>
      <c r="BG139" s="58" t="s">
        <v>1029</v>
      </c>
      <c r="BH139" s="58" t="s">
        <v>1030</v>
      </c>
      <c r="BI139" s="58" t="s">
        <v>1031</v>
      </c>
      <c r="BJ139" s="58" t="s">
        <v>1032</v>
      </c>
      <c r="BK139" s="58" t="s">
        <v>1033</v>
      </c>
      <c r="BL139" s="58" t="s">
        <v>1034</v>
      </c>
      <c r="BM139" s="58" t="s">
        <v>1035</v>
      </c>
      <c r="BN139" s="58" t="s">
        <v>1036</v>
      </c>
      <c r="BO139" s="58" t="s">
        <v>1037</v>
      </c>
      <c r="BP139" s="46">
        <v>0.0</v>
      </c>
      <c r="BQ139" s="46">
        <v>5.0</v>
      </c>
      <c r="BR139" s="46">
        <v>2.23</v>
      </c>
      <c r="BS139" s="46">
        <v>1.47</v>
      </c>
      <c r="BT139" s="46">
        <v>1.04</v>
      </c>
      <c r="BU139" s="46">
        <v>0.85</v>
      </c>
      <c r="BV139" s="46">
        <v>0.71</v>
      </c>
      <c r="BW139" s="46">
        <v>0.0</v>
      </c>
      <c r="BX139" s="46">
        <v>0.0</v>
      </c>
      <c r="BY139" s="46">
        <v>0.0</v>
      </c>
      <c r="BZ139" s="46">
        <v>2.86</v>
      </c>
      <c r="CA139" s="46">
        <v>4.22</v>
      </c>
      <c r="CB139" s="46">
        <v>3.0</v>
      </c>
      <c r="CC139" s="46">
        <v>0.0</v>
      </c>
      <c r="CD139" s="46">
        <v>0.0</v>
      </c>
      <c r="CE139" s="46">
        <v>8000.0</v>
      </c>
      <c r="CF139" s="46">
        <v>5900.0</v>
      </c>
      <c r="CG139" s="46">
        <v>1.0</v>
      </c>
      <c r="CH139" s="46">
        <v>0.0</v>
      </c>
      <c r="CI139" s="46">
        <v>0.0</v>
      </c>
      <c r="CJ139" s="2"/>
      <c r="CK139" s="2"/>
    </row>
    <row r="140">
      <c r="A140" s="44">
        <v>139.0</v>
      </c>
      <c r="B140" s="44">
        <v>215.0</v>
      </c>
      <c r="C140" s="44" t="s">
        <v>465</v>
      </c>
      <c r="D140" s="44" t="s">
        <v>466</v>
      </c>
      <c r="E140" s="44" t="s">
        <v>467</v>
      </c>
      <c r="F140" s="44">
        <v>1390.0</v>
      </c>
      <c r="G140" s="44">
        <v>4.1</v>
      </c>
      <c r="H140" s="44">
        <v>1.78</v>
      </c>
      <c r="I140" s="44">
        <v>1.285</v>
      </c>
      <c r="J140" s="44">
        <v>2.495</v>
      </c>
      <c r="K140" s="44">
        <v>1.475</v>
      </c>
      <c r="L140" s="44">
        <v>1.525</v>
      </c>
      <c r="M140" s="44">
        <v>0.08</v>
      </c>
      <c r="N140" s="44">
        <v>0.5</v>
      </c>
      <c r="O140" s="44">
        <v>0.0</v>
      </c>
      <c r="P140" s="44">
        <v>0.5</v>
      </c>
      <c r="Q140" s="44">
        <v>1.15</v>
      </c>
      <c r="R140" s="44">
        <v>0.0</v>
      </c>
      <c r="S140" s="44">
        <v>1.051</v>
      </c>
      <c r="T140" s="44">
        <v>0.225</v>
      </c>
      <c r="U140" s="44">
        <v>0.45</v>
      </c>
      <c r="V140" s="44">
        <v>17.0</v>
      </c>
      <c r="W140" s="44">
        <v>0.225</v>
      </c>
      <c r="X140" s="44">
        <v>0.45</v>
      </c>
      <c r="Y140" s="44">
        <v>17.0</v>
      </c>
      <c r="Z140" s="44">
        <v>2.0</v>
      </c>
      <c r="AA140" s="44">
        <v>-0.3</v>
      </c>
      <c r="AB140" s="44">
        <v>6.0</v>
      </c>
      <c r="AC140" s="44">
        <v>12.0</v>
      </c>
      <c r="AD140" s="44">
        <v>2.2</v>
      </c>
      <c r="AE140" s="44">
        <v>3.0</v>
      </c>
      <c r="AF140" s="44">
        <v>-3.0</v>
      </c>
      <c r="AG140" s="44">
        <v>-1.0</v>
      </c>
      <c r="AH140" s="44">
        <v>2.2</v>
      </c>
      <c r="AI140" s="44">
        <v>2.0</v>
      </c>
      <c r="AJ140" s="44">
        <v>2979.0</v>
      </c>
      <c r="AK140" s="44">
        <v>0.0</v>
      </c>
      <c r="AL140" s="44">
        <v>6600.0</v>
      </c>
      <c r="AM140" s="44">
        <v>6800.0</v>
      </c>
      <c r="AN140" s="44">
        <v>700.0</v>
      </c>
      <c r="AO140" s="44">
        <v>3500.0</v>
      </c>
      <c r="AP140" s="44">
        <v>5900.0</v>
      </c>
      <c r="AQ140" s="44">
        <v>0.0</v>
      </c>
      <c r="AR140" s="57" t="s">
        <v>3025</v>
      </c>
      <c r="AS140" s="57" t="s">
        <v>2576</v>
      </c>
      <c r="AT140" s="57" t="s">
        <v>3026</v>
      </c>
      <c r="AU140" s="57" t="s">
        <v>3027</v>
      </c>
      <c r="AV140" s="57" t="s">
        <v>3028</v>
      </c>
      <c r="AW140" s="57" t="s">
        <v>3029</v>
      </c>
      <c r="AX140" s="57" t="s">
        <v>3030</v>
      </c>
      <c r="AY140" s="57" t="s">
        <v>3031</v>
      </c>
      <c r="AZ140" s="57" t="s">
        <v>3032</v>
      </c>
      <c r="BA140" s="57" t="s">
        <v>3033</v>
      </c>
      <c r="BB140" s="57" t="s">
        <v>3034</v>
      </c>
      <c r="BC140" s="57" t="s">
        <v>3035</v>
      </c>
      <c r="BD140" s="57" t="s">
        <v>3036</v>
      </c>
      <c r="BE140" s="57" t="s">
        <v>2927</v>
      </c>
      <c r="BF140" s="57" t="s">
        <v>1052</v>
      </c>
      <c r="BG140" s="57" t="s">
        <v>1029</v>
      </c>
      <c r="BH140" s="57" t="s">
        <v>1030</v>
      </c>
      <c r="BI140" s="57" t="s">
        <v>1031</v>
      </c>
      <c r="BJ140" s="57" t="s">
        <v>1032</v>
      </c>
      <c r="BK140" s="57" t="s">
        <v>1033</v>
      </c>
      <c r="BL140" s="57" t="s">
        <v>1034</v>
      </c>
      <c r="BM140" s="57" t="s">
        <v>1035</v>
      </c>
      <c r="BN140" s="57" t="s">
        <v>1036</v>
      </c>
      <c r="BO140" s="57" t="s">
        <v>1037</v>
      </c>
      <c r="BP140" s="44">
        <v>0.0</v>
      </c>
      <c r="BQ140" s="44">
        <v>6.0</v>
      </c>
      <c r="BR140" s="44">
        <v>4.35</v>
      </c>
      <c r="BS140" s="44">
        <v>2.496</v>
      </c>
      <c r="BT140" s="44">
        <v>1.665</v>
      </c>
      <c r="BU140" s="44">
        <v>1.234</v>
      </c>
      <c r="BV140" s="44">
        <v>1.0</v>
      </c>
      <c r="BW140" s="44">
        <v>0.851</v>
      </c>
      <c r="BX140" s="44">
        <v>0.0</v>
      </c>
      <c r="BY140" s="44">
        <v>0.0</v>
      </c>
      <c r="BZ140" s="44">
        <v>3.926</v>
      </c>
      <c r="CA140" s="44">
        <v>3.071</v>
      </c>
      <c r="CB140" s="44">
        <v>2.0</v>
      </c>
      <c r="CC140" s="44">
        <v>0.0</v>
      </c>
      <c r="CD140" s="44">
        <v>0.0</v>
      </c>
      <c r="CE140" s="44">
        <v>7000.0</v>
      </c>
      <c r="CF140" s="44">
        <v>6600.0</v>
      </c>
      <c r="CG140" s="44">
        <v>0.0</v>
      </c>
      <c r="CH140" s="44">
        <v>1.0</v>
      </c>
      <c r="CI140" s="44">
        <v>0.0</v>
      </c>
      <c r="CJ140" s="2"/>
      <c r="CK140" s="2"/>
    </row>
    <row r="141">
      <c r="A141" s="46">
        <v>140.0</v>
      </c>
      <c r="B141" s="46">
        <v>216.0</v>
      </c>
      <c r="C141" s="46" t="s">
        <v>468</v>
      </c>
      <c r="D141" s="46" t="s">
        <v>469</v>
      </c>
      <c r="E141" s="46" t="s">
        <v>470</v>
      </c>
      <c r="F141" s="46">
        <v>740.0</v>
      </c>
      <c r="G141" s="46">
        <v>4.07</v>
      </c>
      <c r="H141" s="46">
        <v>1.54</v>
      </c>
      <c r="I141" s="46">
        <v>1.5</v>
      </c>
      <c r="J141" s="46">
        <v>2.4</v>
      </c>
      <c r="K141" s="46">
        <v>1.29</v>
      </c>
      <c r="L141" s="46">
        <v>1.25</v>
      </c>
      <c r="M141" s="46">
        <v>0.12</v>
      </c>
      <c r="N141" s="46">
        <v>0.65</v>
      </c>
      <c r="O141" s="46">
        <v>3.0</v>
      </c>
      <c r="P141" s="46">
        <v>0.5</v>
      </c>
      <c r="Q141" s="46">
        <v>0.8</v>
      </c>
      <c r="R141" s="46">
        <v>0.0</v>
      </c>
      <c r="S141" s="46">
        <v>1.215</v>
      </c>
      <c r="T141" s="46">
        <v>0.14</v>
      </c>
      <c r="U141" s="46">
        <v>0.82</v>
      </c>
      <c r="V141" s="46">
        <v>15.0</v>
      </c>
      <c r="W141" s="46">
        <v>0.14</v>
      </c>
      <c r="X141" s="46">
        <v>0.82</v>
      </c>
      <c r="Y141" s="46">
        <v>15.0</v>
      </c>
      <c r="Z141" s="46">
        <v>-2.0</v>
      </c>
      <c r="AA141" s="46">
        <v>1.0</v>
      </c>
      <c r="AB141" s="46">
        <v>6.0</v>
      </c>
      <c r="AC141" s="46">
        <v>12.0</v>
      </c>
      <c r="AD141" s="46">
        <v>1.6</v>
      </c>
      <c r="AE141" s="46">
        <v>1.0</v>
      </c>
      <c r="AF141" s="46">
        <v>0.0</v>
      </c>
      <c r="AG141" s="46">
        <v>0.0</v>
      </c>
      <c r="AH141" s="46">
        <v>1.6</v>
      </c>
      <c r="AI141" s="46">
        <v>0.5</v>
      </c>
      <c r="AJ141" s="46">
        <v>1192.0</v>
      </c>
      <c r="AK141" s="46">
        <v>0.0</v>
      </c>
      <c r="AL141" s="46">
        <v>5000.0</v>
      </c>
      <c r="AM141" s="46">
        <v>5000.0</v>
      </c>
      <c r="AN141" s="46">
        <v>700.0</v>
      </c>
      <c r="AO141" s="46">
        <v>2000.0</v>
      </c>
      <c r="AP141" s="46">
        <v>3400.0</v>
      </c>
      <c r="AQ141" s="46">
        <v>0.0</v>
      </c>
      <c r="AR141" s="58" t="s">
        <v>3037</v>
      </c>
      <c r="AS141" s="58" t="s">
        <v>3038</v>
      </c>
      <c r="AT141" s="58" t="s">
        <v>3039</v>
      </c>
      <c r="AU141" s="58" t="s">
        <v>3040</v>
      </c>
      <c r="AV141" s="58" t="s">
        <v>3041</v>
      </c>
      <c r="AW141" s="58" t="s">
        <v>3042</v>
      </c>
      <c r="AX141" s="58" t="s">
        <v>3043</v>
      </c>
      <c r="AY141" s="58" t="s">
        <v>3044</v>
      </c>
      <c r="AZ141" s="58" t="s">
        <v>3045</v>
      </c>
      <c r="BA141" s="58" t="s">
        <v>3046</v>
      </c>
      <c r="BB141" s="58" t="s">
        <v>2447</v>
      </c>
      <c r="BC141" s="58" t="s">
        <v>1341</v>
      </c>
      <c r="BD141" s="58" t="s">
        <v>1342</v>
      </c>
      <c r="BE141" s="58" t="s">
        <v>1143</v>
      </c>
      <c r="BF141" s="58" t="s">
        <v>1052</v>
      </c>
      <c r="BG141" s="58" t="s">
        <v>1029</v>
      </c>
      <c r="BH141" s="58" t="s">
        <v>1030</v>
      </c>
      <c r="BI141" s="58" t="s">
        <v>1031</v>
      </c>
      <c r="BJ141" s="58" t="s">
        <v>1032</v>
      </c>
      <c r="BK141" s="58" t="s">
        <v>1033</v>
      </c>
      <c r="BL141" s="58" t="s">
        <v>1034</v>
      </c>
      <c r="BM141" s="58" t="s">
        <v>1035</v>
      </c>
      <c r="BN141" s="58" t="s">
        <v>1036</v>
      </c>
      <c r="BO141" s="58" t="s">
        <v>1037</v>
      </c>
      <c r="BP141" s="46">
        <v>0.0</v>
      </c>
      <c r="BQ141" s="46">
        <v>4.0</v>
      </c>
      <c r="BR141" s="46">
        <v>3.6</v>
      </c>
      <c r="BS141" s="46">
        <v>1.88</v>
      </c>
      <c r="BT141" s="46">
        <v>1.23</v>
      </c>
      <c r="BU141" s="46">
        <v>0.82</v>
      </c>
      <c r="BV141" s="46">
        <v>0.0</v>
      </c>
      <c r="BW141" s="46">
        <v>0.0</v>
      </c>
      <c r="BX141" s="46">
        <v>0.0</v>
      </c>
      <c r="BY141" s="46">
        <v>0.0</v>
      </c>
      <c r="BZ141" s="46">
        <v>4.63</v>
      </c>
      <c r="CA141" s="46">
        <v>4.375</v>
      </c>
      <c r="CB141" s="46">
        <v>0.0</v>
      </c>
      <c r="CC141" s="46">
        <v>0.0</v>
      </c>
      <c r="CD141" s="46">
        <v>0.0</v>
      </c>
      <c r="CE141" s="46">
        <v>5000.0</v>
      </c>
      <c r="CF141" s="46">
        <v>0.0</v>
      </c>
      <c r="CG141" s="46">
        <v>0.0</v>
      </c>
      <c r="CH141" s="46">
        <v>0.0</v>
      </c>
      <c r="CI141" s="46">
        <v>0.0</v>
      </c>
      <c r="CJ141" s="2"/>
      <c r="CK141" s="2"/>
    </row>
    <row r="142">
      <c r="A142" s="44">
        <v>141.0</v>
      </c>
      <c r="B142" s="44">
        <v>218.0</v>
      </c>
      <c r="C142" s="44" t="s">
        <v>471</v>
      </c>
      <c r="D142" s="44" t="s">
        <v>472</v>
      </c>
      <c r="E142" s="44" t="s">
        <v>473</v>
      </c>
      <c r="F142" s="44">
        <v>700.0</v>
      </c>
      <c r="G142" s="44">
        <v>3.295</v>
      </c>
      <c r="H142" s="44">
        <v>1.395</v>
      </c>
      <c r="I142" s="44">
        <v>1.185</v>
      </c>
      <c r="J142" s="44">
        <v>2.06</v>
      </c>
      <c r="K142" s="44">
        <v>1.21</v>
      </c>
      <c r="L142" s="44">
        <v>1.21</v>
      </c>
      <c r="M142" s="44">
        <v>0.08</v>
      </c>
      <c r="N142" s="44">
        <v>0.471</v>
      </c>
      <c r="O142" s="44">
        <v>0.0</v>
      </c>
      <c r="P142" s="44">
        <v>0.45</v>
      </c>
      <c r="Q142" s="44">
        <v>1.0</v>
      </c>
      <c r="R142" s="44">
        <v>0.0</v>
      </c>
      <c r="S142" s="44">
        <v>0.973</v>
      </c>
      <c r="T142" s="44">
        <v>0.165</v>
      </c>
      <c r="U142" s="44">
        <v>0.65</v>
      </c>
      <c r="V142" s="44">
        <v>14.0</v>
      </c>
      <c r="W142" s="44">
        <v>0.165</v>
      </c>
      <c r="X142" s="44">
        <v>0.65</v>
      </c>
      <c r="Y142" s="44">
        <v>14.0</v>
      </c>
      <c r="Z142" s="44">
        <v>0.0</v>
      </c>
      <c r="AA142" s="44">
        <v>0.0</v>
      </c>
      <c r="AB142" s="44">
        <v>4.3</v>
      </c>
      <c r="AC142" s="44">
        <v>13.1</v>
      </c>
      <c r="AD142" s="44">
        <v>2.0</v>
      </c>
      <c r="AE142" s="44">
        <v>1.5</v>
      </c>
      <c r="AF142" s="44">
        <v>-4.0</v>
      </c>
      <c r="AG142" s="44">
        <v>-1.0</v>
      </c>
      <c r="AH142" s="44">
        <v>2.0</v>
      </c>
      <c r="AI142" s="44">
        <v>1.5</v>
      </c>
      <c r="AJ142" s="44">
        <v>657.0</v>
      </c>
      <c r="AK142" s="44">
        <v>1.0</v>
      </c>
      <c r="AL142" s="44">
        <v>8500.0</v>
      </c>
      <c r="AM142" s="44">
        <v>8500.0</v>
      </c>
      <c r="AN142" s="44">
        <v>850.0</v>
      </c>
      <c r="AO142" s="44">
        <v>4000.0</v>
      </c>
      <c r="AP142" s="44">
        <v>6500.0</v>
      </c>
      <c r="AQ142" s="44">
        <v>0.0</v>
      </c>
      <c r="AR142" s="57" t="s">
        <v>3047</v>
      </c>
      <c r="AS142" s="57" t="s">
        <v>3048</v>
      </c>
      <c r="AT142" s="57" t="s">
        <v>3049</v>
      </c>
      <c r="AU142" s="57" t="s">
        <v>3050</v>
      </c>
      <c r="AV142" s="57" t="s">
        <v>3051</v>
      </c>
      <c r="AW142" s="57" t="s">
        <v>3052</v>
      </c>
      <c r="AX142" s="57" t="s">
        <v>3053</v>
      </c>
      <c r="AY142" s="57" t="s">
        <v>3054</v>
      </c>
      <c r="AZ142" s="57" t="s">
        <v>3055</v>
      </c>
      <c r="BA142" s="57" t="s">
        <v>3056</v>
      </c>
      <c r="BB142" s="57" t="s">
        <v>3057</v>
      </c>
      <c r="BC142" s="57" t="s">
        <v>3058</v>
      </c>
      <c r="BD142" s="57" t="s">
        <v>3059</v>
      </c>
      <c r="BE142" s="57" t="s">
        <v>3060</v>
      </c>
      <c r="BF142" s="57" t="s">
        <v>3061</v>
      </c>
      <c r="BG142" s="57" t="s">
        <v>3062</v>
      </c>
      <c r="BH142" s="57" t="s">
        <v>3063</v>
      </c>
      <c r="BI142" s="57" t="s">
        <v>3064</v>
      </c>
      <c r="BJ142" s="57" t="s">
        <v>1032</v>
      </c>
      <c r="BK142" s="57" t="s">
        <v>1033</v>
      </c>
      <c r="BL142" s="57" t="s">
        <v>1034</v>
      </c>
      <c r="BM142" s="57" t="s">
        <v>1035</v>
      </c>
      <c r="BN142" s="57" t="s">
        <v>1036</v>
      </c>
      <c r="BO142" s="57" t="s">
        <v>1037</v>
      </c>
      <c r="BP142" s="44">
        <v>0.0</v>
      </c>
      <c r="BQ142" s="44">
        <v>5.0</v>
      </c>
      <c r="BR142" s="44">
        <v>3.478</v>
      </c>
      <c r="BS142" s="44">
        <v>2.021</v>
      </c>
      <c r="BT142" s="44">
        <v>1.352</v>
      </c>
      <c r="BU142" s="44">
        <v>1.0</v>
      </c>
      <c r="BV142" s="44">
        <v>0.79</v>
      </c>
      <c r="BW142" s="44">
        <v>0.0</v>
      </c>
      <c r="BX142" s="44">
        <v>0.0</v>
      </c>
      <c r="BY142" s="44">
        <v>0.0</v>
      </c>
      <c r="BZ142" s="44">
        <v>3.26</v>
      </c>
      <c r="CA142" s="44">
        <v>5.125</v>
      </c>
      <c r="CB142" s="44">
        <v>2.0</v>
      </c>
      <c r="CC142" s="44">
        <v>0.0</v>
      </c>
      <c r="CD142" s="44">
        <v>0.0</v>
      </c>
      <c r="CE142" s="44">
        <v>12000.0</v>
      </c>
      <c r="CF142" s="44">
        <v>8500.0</v>
      </c>
      <c r="CG142" s="44">
        <v>0.0</v>
      </c>
      <c r="CH142" s="44">
        <v>0.0</v>
      </c>
      <c r="CI142" s="44">
        <v>0.0</v>
      </c>
      <c r="CJ142" s="2"/>
      <c r="CK142" s="2"/>
    </row>
    <row r="143">
      <c r="A143" s="46">
        <v>142.0</v>
      </c>
      <c r="B143" s="46">
        <v>222.0</v>
      </c>
      <c r="C143" s="46" t="s">
        <v>474</v>
      </c>
      <c r="D143" s="46" t="s">
        <v>475</v>
      </c>
      <c r="E143" s="46" t="s">
        <v>476</v>
      </c>
      <c r="F143" s="46">
        <v>1540.0</v>
      </c>
      <c r="G143" s="46">
        <v>4.675</v>
      </c>
      <c r="H143" s="46">
        <v>1.78</v>
      </c>
      <c r="I143" s="46">
        <v>1.36</v>
      </c>
      <c r="J143" s="46">
        <v>2.72</v>
      </c>
      <c r="K143" s="46">
        <v>1.48</v>
      </c>
      <c r="L143" s="46">
        <v>1.49</v>
      </c>
      <c r="M143" s="46">
        <v>0.135</v>
      </c>
      <c r="N143" s="46">
        <v>0.429</v>
      </c>
      <c r="O143" s="46">
        <v>4.0</v>
      </c>
      <c r="P143" s="46">
        <v>0.5</v>
      </c>
      <c r="Q143" s="46">
        <v>1.15</v>
      </c>
      <c r="R143" s="46">
        <v>120.0</v>
      </c>
      <c r="S143" s="46">
        <v>1.115</v>
      </c>
      <c r="T143" s="46">
        <v>0.245</v>
      </c>
      <c r="U143" s="46">
        <v>0.45</v>
      </c>
      <c r="V143" s="46">
        <v>17.0</v>
      </c>
      <c r="W143" s="46">
        <v>0.245</v>
      </c>
      <c r="X143" s="46">
        <v>0.45</v>
      </c>
      <c r="Y143" s="46">
        <v>17.0</v>
      </c>
      <c r="Z143" s="46">
        <v>0.0</v>
      </c>
      <c r="AA143" s="46">
        <v>-0.5</v>
      </c>
      <c r="AB143" s="46">
        <v>3.55</v>
      </c>
      <c r="AC143" s="46">
        <v>15.2</v>
      </c>
      <c r="AD143" s="46">
        <v>1.5</v>
      </c>
      <c r="AE143" s="46">
        <v>3.0</v>
      </c>
      <c r="AF143" s="46">
        <v>-2.0</v>
      </c>
      <c r="AG143" s="46">
        <v>-1.15</v>
      </c>
      <c r="AH143" s="46">
        <v>1.5</v>
      </c>
      <c r="AI143" s="46">
        <v>2.0</v>
      </c>
      <c r="AJ143" s="46">
        <v>2568.0</v>
      </c>
      <c r="AK143" s="46">
        <v>1.0</v>
      </c>
      <c r="AL143" s="46">
        <v>8000.0</v>
      </c>
      <c r="AM143" s="46">
        <v>8200.0</v>
      </c>
      <c r="AN143" s="46">
        <v>700.0</v>
      </c>
      <c r="AO143" s="46">
        <v>4400.0</v>
      </c>
      <c r="AP143" s="46">
        <v>6800.0</v>
      </c>
      <c r="AQ143" s="46">
        <v>0.0</v>
      </c>
      <c r="AR143" s="58" t="s">
        <v>3065</v>
      </c>
      <c r="AS143" s="58" t="s">
        <v>3066</v>
      </c>
      <c r="AT143" s="58" t="s">
        <v>2349</v>
      </c>
      <c r="AU143" s="58" t="s">
        <v>3067</v>
      </c>
      <c r="AV143" s="58" t="s">
        <v>3068</v>
      </c>
      <c r="AW143" s="58" t="s">
        <v>3069</v>
      </c>
      <c r="AX143" s="58" t="s">
        <v>3070</v>
      </c>
      <c r="AY143" s="58" t="s">
        <v>3071</v>
      </c>
      <c r="AZ143" s="58" t="s">
        <v>3072</v>
      </c>
      <c r="BA143" s="58" t="s">
        <v>3073</v>
      </c>
      <c r="BB143" s="58" t="s">
        <v>3074</v>
      </c>
      <c r="BC143" s="58" t="s">
        <v>3075</v>
      </c>
      <c r="BD143" s="58" t="s">
        <v>3076</v>
      </c>
      <c r="BE143" s="58" t="s">
        <v>3077</v>
      </c>
      <c r="BF143" s="58" t="s">
        <v>3078</v>
      </c>
      <c r="BG143" s="58" t="s">
        <v>3079</v>
      </c>
      <c r="BH143" s="58" t="s">
        <v>3080</v>
      </c>
      <c r="BI143" s="58" t="s">
        <v>1031</v>
      </c>
      <c r="BJ143" s="58" t="s">
        <v>1032</v>
      </c>
      <c r="BK143" s="58" t="s">
        <v>1033</v>
      </c>
      <c r="BL143" s="58" t="s">
        <v>1034</v>
      </c>
      <c r="BM143" s="58" t="s">
        <v>1035</v>
      </c>
      <c r="BN143" s="58" t="s">
        <v>1036</v>
      </c>
      <c r="BO143" s="58" t="s">
        <v>1037</v>
      </c>
      <c r="BP143" s="46">
        <v>0.0</v>
      </c>
      <c r="BQ143" s="46">
        <v>5.0</v>
      </c>
      <c r="BR143" s="46">
        <v>3.214</v>
      </c>
      <c r="BS143" s="46">
        <v>1.925</v>
      </c>
      <c r="BT143" s="46">
        <v>1.302</v>
      </c>
      <c r="BU143" s="46">
        <v>1.0</v>
      </c>
      <c r="BV143" s="46">
        <v>0.752</v>
      </c>
      <c r="BW143" s="46">
        <v>0.0</v>
      </c>
      <c r="BX143" s="46">
        <v>0.0</v>
      </c>
      <c r="BY143" s="46">
        <v>0.0</v>
      </c>
      <c r="BZ143" s="46">
        <v>3.369</v>
      </c>
      <c r="CA143" s="46">
        <v>4.111</v>
      </c>
      <c r="CB143" s="46">
        <v>0.0</v>
      </c>
      <c r="CC143" s="46">
        <v>3.0</v>
      </c>
      <c r="CD143" s="46">
        <v>5.0</v>
      </c>
      <c r="CE143" s="46">
        <v>10000.0</v>
      </c>
      <c r="CF143" s="46">
        <v>8000.0</v>
      </c>
      <c r="CG143" s="46">
        <v>0.0</v>
      </c>
      <c r="CH143" s="46">
        <v>1.0</v>
      </c>
      <c r="CI143" s="46">
        <v>0.0</v>
      </c>
      <c r="CJ143" s="2"/>
      <c r="CK143" s="2"/>
    </row>
    <row r="144">
      <c r="A144" s="44">
        <v>143.0</v>
      </c>
      <c r="B144" s="44">
        <v>225.0</v>
      </c>
      <c r="C144" s="44" t="s">
        <v>477</v>
      </c>
      <c r="D144" s="44" t="s">
        <v>478</v>
      </c>
      <c r="E144" s="44" t="s">
        <v>479</v>
      </c>
      <c r="F144" s="44">
        <v>1310.0</v>
      </c>
      <c r="G144" s="44">
        <v>4.435</v>
      </c>
      <c r="H144" s="44">
        <v>1.77</v>
      </c>
      <c r="I144" s="44">
        <v>1.34</v>
      </c>
      <c r="J144" s="44">
        <v>2.7</v>
      </c>
      <c r="K144" s="44">
        <v>1.5</v>
      </c>
      <c r="L144" s="44">
        <v>1.505</v>
      </c>
      <c r="M144" s="44">
        <v>0.11</v>
      </c>
      <c r="N144" s="44">
        <v>0.5</v>
      </c>
      <c r="O144" s="44">
        <v>0.0</v>
      </c>
      <c r="P144" s="44">
        <v>0.46</v>
      </c>
      <c r="Q144" s="44">
        <v>1.1</v>
      </c>
      <c r="R144" s="44">
        <v>0.0</v>
      </c>
      <c r="S144" s="44">
        <v>1.086</v>
      </c>
      <c r="T144" s="44">
        <v>0.225</v>
      </c>
      <c r="U144" s="44">
        <v>0.45</v>
      </c>
      <c r="V144" s="44">
        <v>18.0</v>
      </c>
      <c r="W144" s="44">
        <v>0.225</v>
      </c>
      <c r="X144" s="44">
        <v>0.45</v>
      </c>
      <c r="Y144" s="44">
        <v>18.0</v>
      </c>
      <c r="Z144" s="44">
        <v>0.0</v>
      </c>
      <c r="AA144" s="44">
        <v>-0.45</v>
      </c>
      <c r="AB144" s="44">
        <v>7.07</v>
      </c>
      <c r="AC144" s="44">
        <v>8.0</v>
      </c>
      <c r="AD144" s="44">
        <v>1.6</v>
      </c>
      <c r="AE144" s="44">
        <v>2.0</v>
      </c>
      <c r="AF144" s="44">
        <v>-3.0</v>
      </c>
      <c r="AG144" s="44">
        <v>-1.0</v>
      </c>
      <c r="AH144" s="44">
        <v>1.6</v>
      </c>
      <c r="AI144" s="44">
        <v>1.0</v>
      </c>
      <c r="AJ144" s="44">
        <v>1308.0</v>
      </c>
      <c r="AK144" s="44">
        <v>2.0</v>
      </c>
      <c r="AL144" s="44">
        <v>9000.0</v>
      </c>
      <c r="AM144" s="44">
        <v>9000.0</v>
      </c>
      <c r="AN144" s="44">
        <v>600.0</v>
      </c>
      <c r="AO144" s="44">
        <v>5500.0</v>
      </c>
      <c r="AP144" s="44">
        <v>8500.0</v>
      </c>
      <c r="AQ144" s="44">
        <v>0.0</v>
      </c>
      <c r="AR144" s="57" t="s">
        <v>1843</v>
      </c>
      <c r="AS144" s="57" t="s">
        <v>3081</v>
      </c>
      <c r="AT144" s="57" t="s">
        <v>3082</v>
      </c>
      <c r="AU144" s="57" t="s">
        <v>3083</v>
      </c>
      <c r="AV144" s="57" t="s">
        <v>3084</v>
      </c>
      <c r="AW144" s="57" t="s">
        <v>1549</v>
      </c>
      <c r="AX144" s="57" t="s">
        <v>3085</v>
      </c>
      <c r="AY144" s="57" t="s">
        <v>2048</v>
      </c>
      <c r="AZ144" s="57" t="s">
        <v>1437</v>
      </c>
      <c r="BA144" s="57" t="s">
        <v>3086</v>
      </c>
      <c r="BB144" s="57" t="s">
        <v>1439</v>
      </c>
      <c r="BC144" s="57" t="s">
        <v>3087</v>
      </c>
      <c r="BD144" s="57" t="s">
        <v>3088</v>
      </c>
      <c r="BE144" s="57" t="s">
        <v>3089</v>
      </c>
      <c r="BF144" s="57" t="s">
        <v>3090</v>
      </c>
      <c r="BG144" s="57" t="s">
        <v>3091</v>
      </c>
      <c r="BH144" s="57" t="s">
        <v>3092</v>
      </c>
      <c r="BI144" s="57" t="s">
        <v>3093</v>
      </c>
      <c r="BJ144" s="57" t="s">
        <v>3094</v>
      </c>
      <c r="BK144" s="57" t="s">
        <v>1033</v>
      </c>
      <c r="BL144" s="57" t="s">
        <v>1034</v>
      </c>
      <c r="BM144" s="57" t="s">
        <v>1035</v>
      </c>
      <c r="BN144" s="57" t="s">
        <v>1036</v>
      </c>
      <c r="BO144" s="57" t="s">
        <v>1037</v>
      </c>
      <c r="BP144" s="44">
        <v>0.0</v>
      </c>
      <c r="BQ144" s="44">
        <v>6.0</v>
      </c>
      <c r="BR144" s="44">
        <v>3.76</v>
      </c>
      <c r="BS144" s="44">
        <v>2.269</v>
      </c>
      <c r="BT144" s="44">
        <v>1.539</v>
      </c>
      <c r="BU144" s="44">
        <v>1.187</v>
      </c>
      <c r="BV144" s="44">
        <v>1.0</v>
      </c>
      <c r="BW144" s="44">
        <v>0.843</v>
      </c>
      <c r="BX144" s="44">
        <v>0.0</v>
      </c>
      <c r="BY144" s="44">
        <v>0.0</v>
      </c>
      <c r="BZ144" s="44">
        <v>3.564</v>
      </c>
      <c r="CA144" s="44">
        <v>4.444</v>
      </c>
      <c r="CB144" s="44">
        <v>2.0</v>
      </c>
      <c r="CC144" s="44">
        <v>0.0</v>
      </c>
      <c r="CD144" s="44">
        <v>0.0</v>
      </c>
      <c r="CE144" s="44">
        <v>10000.0</v>
      </c>
      <c r="CF144" s="44">
        <v>9000.0</v>
      </c>
      <c r="CG144" s="44">
        <v>0.0</v>
      </c>
      <c r="CH144" s="44">
        <v>1.0</v>
      </c>
      <c r="CI144" s="44">
        <v>0.0</v>
      </c>
      <c r="CJ144" s="2"/>
      <c r="CK144" s="2"/>
    </row>
    <row r="145">
      <c r="A145" s="46">
        <v>144.0</v>
      </c>
      <c r="B145" s="46">
        <v>229.0</v>
      </c>
      <c r="C145" s="46" t="s">
        <v>480</v>
      </c>
      <c r="D145" s="46" t="s">
        <v>481</v>
      </c>
      <c r="E145" s="46" t="s">
        <v>482</v>
      </c>
      <c r="F145" s="46">
        <v>1360.0</v>
      </c>
      <c r="G145" s="46">
        <v>4.87</v>
      </c>
      <c r="H145" s="46">
        <v>1.8</v>
      </c>
      <c r="I145" s="46">
        <v>1.47</v>
      </c>
      <c r="J145" s="46">
        <v>3.125</v>
      </c>
      <c r="K145" s="46">
        <v>1.516</v>
      </c>
      <c r="L145" s="46">
        <v>1.316</v>
      </c>
      <c r="M145" s="46">
        <v>0.16</v>
      </c>
      <c r="N145" s="46">
        <v>0.368</v>
      </c>
      <c r="O145" s="46">
        <v>1.0</v>
      </c>
      <c r="P145" s="46">
        <v>0.52</v>
      </c>
      <c r="Q145" s="46">
        <v>0.9</v>
      </c>
      <c r="R145" s="46">
        <v>0.0</v>
      </c>
      <c r="S145" s="46">
        <v>1.216</v>
      </c>
      <c r="T145" s="46">
        <v>0.185</v>
      </c>
      <c r="U145" s="46">
        <v>0.7</v>
      </c>
      <c r="V145" s="46">
        <v>15.0</v>
      </c>
      <c r="W145" s="46">
        <v>0.185</v>
      </c>
      <c r="X145" s="46">
        <v>0.7</v>
      </c>
      <c r="Y145" s="46">
        <v>15.0</v>
      </c>
      <c r="Z145" s="46">
        <v>0.0</v>
      </c>
      <c r="AA145" s="46">
        <v>0.0</v>
      </c>
      <c r="AB145" s="46">
        <v>6.0</v>
      </c>
      <c r="AC145" s="46">
        <v>10.0</v>
      </c>
      <c r="AD145" s="46">
        <v>1.4</v>
      </c>
      <c r="AE145" s="46">
        <v>1.0</v>
      </c>
      <c r="AF145" s="46">
        <v>-2.0</v>
      </c>
      <c r="AG145" s="46">
        <v>-0.3</v>
      </c>
      <c r="AH145" s="46">
        <v>1.4</v>
      </c>
      <c r="AI145" s="46">
        <v>0.5</v>
      </c>
      <c r="AJ145" s="46">
        <v>2347.0</v>
      </c>
      <c r="AK145" s="46">
        <v>0.0</v>
      </c>
      <c r="AL145" s="46">
        <v>6000.0</v>
      </c>
      <c r="AM145" s="46">
        <v>6000.0</v>
      </c>
      <c r="AN145" s="46">
        <v>700.0</v>
      </c>
      <c r="AO145" s="46">
        <v>2500.0</v>
      </c>
      <c r="AP145" s="46">
        <v>5250.0</v>
      </c>
      <c r="AQ145" s="46">
        <v>0.0</v>
      </c>
      <c r="AR145" s="58" t="s">
        <v>3095</v>
      </c>
      <c r="AS145" s="58" t="s">
        <v>3096</v>
      </c>
      <c r="AT145" s="58" t="s">
        <v>3097</v>
      </c>
      <c r="AU145" s="58" t="s">
        <v>3098</v>
      </c>
      <c r="AV145" s="58" t="s">
        <v>3099</v>
      </c>
      <c r="AW145" s="58" t="s">
        <v>3100</v>
      </c>
      <c r="AX145" s="58" t="s">
        <v>3101</v>
      </c>
      <c r="AY145" s="58" t="s">
        <v>3102</v>
      </c>
      <c r="AZ145" s="58" t="s">
        <v>3103</v>
      </c>
      <c r="BA145" s="58" t="s">
        <v>3104</v>
      </c>
      <c r="BB145" s="58" t="s">
        <v>3105</v>
      </c>
      <c r="BC145" s="58" t="s">
        <v>3106</v>
      </c>
      <c r="BD145" s="58" t="s">
        <v>3107</v>
      </c>
      <c r="BE145" s="58" t="s">
        <v>3108</v>
      </c>
      <c r="BF145" s="58" t="s">
        <v>1052</v>
      </c>
      <c r="BG145" s="58" t="s">
        <v>1029</v>
      </c>
      <c r="BH145" s="58" t="s">
        <v>1030</v>
      </c>
      <c r="BI145" s="58" t="s">
        <v>1031</v>
      </c>
      <c r="BJ145" s="58" t="s">
        <v>1032</v>
      </c>
      <c r="BK145" s="58" t="s">
        <v>1033</v>
      </c>
      <c r="BL145" s="58" t="s">
        <v>1034</v>
      </c>
      <c r="BM145" s="58" t="s">
        <v>1035</v>
      </c>
      <c r="BN145" s="58" t="s">
        <v>1036</v>
      </c>
      <c r="BO145" s="58" t="s">
        <v>1037</v>
      </c>
      <c r="BP145" s="46">
        <v>0.0</v>
      </c>
      <c r="BQ145" s="46">
        <v>4.0</v>
      </c>
      <c r="BR145" s="46">
        <v>3.25</v>
      </c>
      <c r="BS145" s="46">
        <v>1.833</v>
      </c>
      <c r="BT145" s="46">
        <v>1.21</v>
      </c>
      <c r="BU145" s="46">
        <v>0.85</v>
      </c>
      <c r="BV145" s="46">
        <v>0.0</v>
      </c>
      <c r="BW145" s="46">
        <v>0.0</v>
      </c>
      <c r="BX145" s="46">
        <v>0.0</v>
      </c>
      <c r="BY145" s="46">
        <v>0.0</v>
      </c>
      <c r="BZ145" s="46">
        <v>3.1</v>
      </c>
      <c r="CA145" s="46">
        <v>4.375</v>
      </c>
      <c r="CB145" s="46">
        <v>0.0</v>
      </c>
      <c r="CC145" s="46">
        <v>0.0</v>
      </c>
      <c r="CD145" s="46">
        <v>0.0</v>
      </c>
      <c r="CE145" s="46">
        <v>8000.0</v>
      </c>
      <c r="CF145" s="46">
        <v>6000.0</v>
      </c>
      <c r="CG145" s="46">
        <v>0.0</v>
      </c>
      <c r="CH145" s="46">
        <v>0.0</v>
      </c>
      <c r="CI145" s="46">
        <v>0.0</v>
      </c>
      <c r="CJ145" s="2"/>
      <c r="CK145" s="2"/>
    </row>
    <row r="146">
      <c r="A146" s="44">
        <v>145.0</v>
      </c>
      <c r="B146" s="44">
        <v>230.0</v>
      </c>
      <c r="C146" s="44" t="s">
        <v>483</v>
      </c>
      <c r="D146" s="44" t="s">
        <v>484</v>
      </c>
      <c r="E146" s="44" t="s">
        <v>485</v>
      </c>
      <c r="F146" s="44">
        <v>1340.0</v>
      </c>
      <c r="G146" s="44">
        <v>3.9</v>
      </c>
      <c r="H146" s="44">
        <v>1.77</v>
      </c>
      <c r="I146" s="44">
        <v>1.365</v>
      </c>
      <c r="J146" s="44">
        <v>2.48</v>
      </c>
      <c r="K146" s="44">
        <v>1.502</v>
      </c>
      <c r="L146" s="44">
        <v>1.5</v>
      </c>
      <c r="M146" s="44">
        <v>0.14</v>
      </c>
      <c r="N146" s="44">
        <v>0.367</v>
      </c>
      <c r="O146" s="44">
        <v>4.0</v>
      </c>
      <c r="P146" s="44">
        <v>0.5</v>
      </c>
      <c r="Q146" s="44">
        <v>1.05</v>
      </c>
      <c r="R146" s="44">
        <v>50.0</v>
      </c>
      <c r="S146" s="44">
        <v>1.128</v>
      </c>
      <c r="T146" s="44">
        <v>0.205</v>
      </c>
      <c r="U146" s="44">
        <v>0.45</v>
      </c>
      <c r="V146" s="44">
        <v>16.0</v>
      </c>
      <c r="W146" s="44">
        <v>0.205</v>
      </c>
      <c r="X146" s="44">
        <v>0.45</v>
      </c>
      <c r="Y146" s="44">
        <v>16.0</v>
      </c>
      <c r="Z146" s="44">
        <v>1.0</v>
      </c>
      <c r="AA146" s="44">
        <v>-1.0</v>
      </c>
      <c r="AB146" s="44">
        <v>3.1</v>
      </c>
      <c r="AC146" s="44">
        <v>12.0</v>
      </c>
      <c r="AD146" s="44">
        <v>1.6</v>
      </c>
      <c r="AE146" s="44">
        <v>2.0</v>
      </c>
      <c r="AF146" s="44">
        <v>-2.0</v>
      </c>
      <c r="AG146" s="44">
        <v>-1.0</v>
      </c>
      <c r="AH146" s="44">
        <v>1.6</v>
      </c>
      <c r="AI146" s="44">
        <v>1.0</v>
      </c>
      <c r="AJ146" s="44">
        <v>1995.0</v>
      </c>
      <c r="AK146" s="44">
        <v>1.0</v>
      </c>
      <c r="AL146" s="44">
        <v>6500.0</v>
      </c>
      <c r="AM146" s="44">
        <v>6700.0</v>
      </c>
      <c r="AN146" s="44">
        <v>800.0</v>
      </c>
      <c r="AO146" s="44">
        <v>2500.0</v>
      </c>
      <c r="AP146" s="44">
        <v>5750.0</v>
      </c>
      <c r="AQ146" s="44">
        <v>0.0</v>
      </c>
      <c r="AR146" s="57" t="s">
        <v>3095</v>
      </c>
      <c r="AS146" s="57" t="s">
        <v>3109</v>
      </c>
      <c r="AT146" s="57" t="s">
        <v>3110</v>
      </c>
      <c r="AU146" s="57" t="s">
        <v>3111</v>
      </c>
      <c r="AV146" s="57" t="s">
        <v>3112</v>
      </c>
      <c r="AW146" s="57" t="s">
        <v>3113</v>
      </c>
      <c r="AX146" s="57" t="s">
        <v>3114</v>
      </c>
      <c r="AY146" s="57" t="s">
        <v>3115</v>
      </c>
      <c r="AZ146" s="57" t="s">
        <v>3116</v>
      </c>
      <c r="BA146" s="57" t="s">
        <v>3117</v>
      </c>
      <c r="BB146" s="57" t="s">
        <v>1826</v>
      </c>
      <c r="BC146" s="57" t="s">
        <v>3118</v>
      </c>
      <c r="BD146" s="57" t="s">
        <v>3119</v>
      </c>
      <c r="BE146" s="57" t="s">
        <v>3120</v>
      </c>
      <c r="BF146" s="57" t="s">
        <v>3121</v>
      </c>
      <c r="BG146" s="57" t="s">
        <v>1029</v>
      </c>
      <c r="BH146" s="57" t="s">
        <v>1030</v>
      </c>
      <c r="BI146" s="57" t="s">
        <v>1031</v>
      </c>
      <c r="BJ146" s="57" t="s">
        <v>1032</v>
      </c>
      <c r="BK146" s="57" t="s">
        <v>1033</v>
      </c>
      <c r="BL146" s="57" t="s">
        <v>1034</v>
      </c>
      <c r="BM146" s="57" t="s">
        <v>1035</v>
      </c>
      <c r="BN146" s="57" t="s">
        <v>1036</v>
      </c>
      <c r="BO146" s="57" t="s">
        <v>1037</v>
      </c>
      <c r="BP146" s="44">
        <v>0.0</v>
      </c>
      <c r="BQ146" s="44">
        <v>5.0</v>
      </c>
      <c r="BR146" s="44">
        <v>3.5</v>
      </c>
      <c r="BS146" s="44">
        <v>2.176</v>
      </c>
      <c r="BT146" s="44">
        <v>1.524</v>
      </c>
      <c r="BU146" s="44">
        <v>1.156</v>
      </c>
      <c r="BV146" s="44">
        <v>0.916</v>
      </c>
      <c r="BW146" s="44">
        <v>0.0</v>
      </c>
      <c r="BX146" s="44">
        <v>0.0</v>
      </c>
      <c r="BY146" s="44">
        <v>0.0</v>
      </c>
      <c r="BZ146" s="44">
        <v>3.545</v>
      </c>
      <c r="CA146" s="44">
        <v>3.111</v>
      </c>
      <c r="CB146" s="44">
        <v>1.0</v>
      </c>
      <c r="CC146" s="44">
        <v>2.0</v>
      </c>
      <c r="CD146" s="44">
        <v>1.0</v>
      </c>
      <c r="CE146" s="44">
        <v>9000.0</v>
      </c>
      <c r="CF146" s="44">
        <v>6500.0</v>
      </c>
      <c r="CG146" s="44">
        <v>0.0</v>
      </c>
      <c r="CH146" s="44">
        <v>0.0</v>
      </c>
      <c r="CI146" s="44">
        <v>0.0</v>
      </c>
      <c r="CJ146" s="2"/>
      <c r="CK146" s="2"/>
    </row>
    <row r="147">
      <c r="A147" s="46">
        <v>146.0</v>
      </c>
      <c r="B147" s="46">
        <v>231.0</v>
      </c>
      <c r="C147" s="46" t="s">
        <v>486</v>
      </c>
      <c r="D147" s="46" t="s">
        <v>487</v>
      </c>
      <c r="E147" s="46" t="s">
        <v>488</v>
      </c>
      <c r="F147" s="46">
        <v>698.0</v>
      </c>
      <c r="G147" s="46">
        <v>3.683</v>
      </c>
      <c r="H147" s="46">
        <v>1.422</v>
      </c>
      <c r="I147" s="46">
        <v>1.148</v>
      </c>
      <c r="J147" s="46">
        <v>2.134</v>
      </c>
      <c r="K147" s="46">
        <v>1.196</v>
      </c>
      <c r="L147" s="46">
        <v>1.195</v>
      </c>
      <c r="M147" s="46">
        <v>0.1</v>
      </c>
      <c r="N147" s="46">
        <v>0.48</v>
      </c>
      <c r="O147" s="46">
        <v>0.0</v>
      </c>
      <c r="P147" s="46">
        <v>0.43</v>
      </c>
      <c r="Q147" s="46">
        <v>0.9</v>
      </c>
      <c r="R147" s="46">
        <v>0.0</v>
      </c>
      <c r="S147" s="46">
        <v>0.943</v>
      </c>
      <c r="T147" s="46">
        <v>0.145</v>
      </c>
      <c r="U147" s="46">
        <v>0.72</v>
      </c>
      <c r="V147" s="46">
        <v>13.0</v>
      </c>
      <c r="W147" s="46">
        <v>0.145</v>
      </c>
      <c r="X147" s="46">
        <v>0.72</v>
      </c>
      <c r="Y147" s="46">
        <v>13.0</v>
      </c>
      <c r="Z147" s="46">
        <v>0.0</v>
      </c>
      <c r="AA147" s="46">
        <v>0.4</v>
      </c>
      <c r="AB147" s="46">
        <v>5.4</v>
      </c>
      <c r="AC147" s="46">
        <v>11.5</v>
      </c>
      <c r="AD147" s="46">
        <v>1.6</v>
      </c>
      <c r="AE147" s="46">
        <v>2.0</v>
      </c>
      <c r="AF147" s="46">
        <v>-3.0</v>
      </c>
      <c r="AG147" s="46">
        <v>-0.3</v>
      </c>
      <c r="AH147" s="46">
        <v>1.6</v>
      </c>
      <c r="AI147" s="46">
        <v>1.0</v>
      </c>
      <c r="AJ147" s="46">
        <v>1558.0</v>
      </c>
      <c r="AK147" s="46">
        <v>0.0</v>
      </c>
      <c r="AL147" s="46">
        <v>6500.0</v>
      </c>
      <c r="AM147" s="46">
        <v>6600.0</v>
      </c>
      <c r="AN147" s="46">
        <v>700.0</v>
      </c>
      <c r="AO147" s="46">
        <v>4000.0</v>
      </c>
      <c r="AP147" s="46">
        <v>6000.0</v>
      </c>
      <c r="AQ147" s="46">
        <v>0.0</v>
      </c>
      <c r="AR147" s="58" t="s">
        <v>1788</v>
      </c>
      <c r="AS147" s="58" t="s">
        <v>3122</v>
      </c>
      <c r="AT147" s="58" t="s">
        <v>3123</v>
      </c>
      <c r="AU147" s="58" t="s">
        <v>2879</v>
      </c>
      <c r="AV147" s="58" t="s">
        <v>3124</v>
      </c>
      <c r="AW147" s="58" t="s">
        <v>3125</v>
      </c>
      <c r="AX147" s="58" t="s">
        <v>3126</v>
      </c>
      <c r="AY147" s="58" t="s">
        <v>3127</v>
      </c>
      <c r="AZ147" s="58" t="s">
        <v>3128</v>
      </c>
      <c r="BA147" s="58" t="s">
        <v>3129</v>
      </c>
      <c r="BB147" s="58" t="s">
        <v>3130</v>
      </c>
      <c r="BC147" s="58" t="s">
        <v>3131</v>
      </c>
      <c r="BD147" s="58" t="s">
        <v>3132</v>
      </c>
      <c r="BE147" s="58" t="s">
        <v>3133</v>
      </c>
      <c r="BF147" s="58" t="s">
        <v>1052</v>
      </c>
      <c r="BG147" s="58" t="s">
        <v>1029</v>
      </c>
      <c r="BH147" s="58" t="s">
        <v>1030</v>
      </c>
      <c r="BI147" s="58" t="s">
        <v>1031</v>
      </c>
      <c r="BJ147" s="58" t="s">
        <v>1032</v>
      </c>
      <c r="BK147" s="58" t="s">
        <v>1033</v>
      </c>
      <c r="BL147" s="58" t="s">
        <v>1034</v>
      </c>
      <c r="BM147" s="58" t="s">
        <v>1035</v>
      </c>
      <c r="BN147" s="58" t="s">
        <v>1036</v>
      </c>
      <c r="BO147" s="58" t="s">
        <v>1037</v>
      </c>
      <c r="BP147" s="46">
        <v>0.0</v>
      </c>
      <c r="BQ147" s="46">
        <v>4.0</v>
      </c>
      <c r="BR147" s="46">
        <v>2.51</v>
      </c>
      <c r="BS147" s="46">
        <v>1.635</v>
      </c>
      <c r="BT147" s="46">
        <v>1.23</v>
      </c>
      <c r="BU147" s="46">
        <v>1.0</v>
      </c>
      <c r="BV147" s="46">
        <v>0.0</v>
      </c>
      <c r="BW147" s="46">
        <v>0.0</v>
      </c>
      <c r="BX147" s="46">
        <v>0.0</v>
      </c>
      <c r="BY147" s="46">
        <v>0.0</v>
      </c>
      <c r="BZ147" s="46">
        <v>3.96</v>
      </c>
      <c r="CA147" s="46">
        <v>3.9</v>
      </c>
      <c r="CB147" s="46">
        <v>3.0</v>
      </c>
      <c r="CC147" s="46">
        <v>0.0</v>
      </c>
      <c r="CD147" s="46">
        <v>0.0</v>
      </c>
      <c r="CE147" s="46">
        <v>8000.0</v>
      </c>
      <c r="CF147" s="46">
        <v>6500.0</v>
      </c>
      <c r="CG147" s="46">
        <v>1.0</v>
      </c>
      <c r="CH147" s="46">
        <v>0.0</v>
      </c>
      <c r="CI147" s="46">
        <v>0.0</v>
      </c>
      <c r="CJ147" s="2"/>
      <c r="CK147" s="2"/>
    </row>
    <row r="148">
      <c r="A148" s="44">
        <v>147.0</v>
      </c>
      <c r="B148" s="44">
        <v>232.0</v>
      </c>
      <c r="C148" s="44" t="s">
        <v>489</v>
      </c>
      <c r="D148" s="44" t="s">
        <v>490</v>
      </c>
      <c r="E148" s="44" t="s">
        <v>491</v>
      </c>
      <c r="F148" s="44">
        <v>1848.0</v>
      </c>
      <c r="G148" s="44">
        <v>4.879</v>
      </c>
      <c r="H148" s="44">
        <v>1.864</v>
      </c>
      <c r="I148" s="44">
        <v>1.28</v>
      </c>
      <c r="J148" s="44">
        <v>2.743</v>
      </c>
      <c r="K148" s="44">
        <v>1.567</v>
      </c>
      <c r="L148" s="44">
        <v>1.534</v>
      </c>
      <c r="M148" s="44">
        <v>0.1</v>
      </c>
      <c r="N148" s="44">
        <v>0.416</v>
      </c>
      <c r="O148" s="44">
        <v>0.0</v>
      </c>
      <c r="P148" s="44">
        <v>0.5</v>
      </c>
      <c r="Q148" s="44">
        <v>1.0</v>
      </c>
      <c r="R148" s="44">
        <v>0.0</v>
      </c>
      <c r="S148" s="44">
        <v>1.072</v>
      </c>
      <c r="T148" s="44">
        <v>0.245</v>
      </c>
      <c r="U148" s="44">
        <v>0.6</v>
      </c>
      <c r="V148" s="44">
        <v>15.0</v>
      </c>
      <c r="W148" s="44">
        <v>0.255</v>
      </c>
      <c r="X148" s="44">
        <v>0.55</v>
      </c>
      <c r="Y148" s="44">
        <v>15.0</v>
      </c>
      <c r="Z148" s="44">
        <v>-2.0</v>
      </c>
      <c r="AA148" s="44">
        <v>0.3</v>
      </c>
      <c r="AB148" s="44">
        <v>6.0</v>
      </c>
      <c r="AC148" s="44">
        <v>12.0</v>
      </c>
      <c r="AD148" s="44">
        <v>1.8</v>
      </c>
      <c r="AE148" s="44">
        <v>2.0</v>
      </c>
      <c r="AF148" s="44">
        <v>-4.0</v>
      </c>
      <c r="AG148" s="44">
        <v>0.0</v>
      </c>
      <c r="AH148" s="44">
        <v>1.8</v>
      </c>
      <c r="AI148" s="44">
        <v>1.0</v>
      </c>
      <c r="AJ148" s="44">
        <v>7456.0</v>
      </c>
      <c r="AK148" s="44">
        <v>0.0</v>
      </c>
      <c r="AL148" s="44">
        <v>5700.0</v>
      </c>
      <c r="AM148" s="44">
        <v>5700.0</v>
      </c>
      <c r="AN148" s="44">
        <v>600.0</v>
      </c>
      <c r="AO148" s="44">
        <v>3600.0</v>
      </c>
      <c r="AP148" s="44">
        <v>4000.0</v>
      </c>
      <c r="AQ148" s="44">
        <v>2.0</v>
      </c>
      <c r="AR148" s="57" t="s">
        <v>3134</v>
      </c>
      <c r="AS148" s="57" t="s">
        <v>3135</v>
      </c>
      <c r="AT148" s="57" t="s">
        <v>3136</v>
      </c>
      <c r="AU148" s="57" t="s">
        <v>3137</v>
      </c>
      <c r="AV148" s="57" t="s">
        <v>3138</v>
      </c>
      <c r="AW148" s="57" t="s">
        <v>3139</v>
      </c>
      <c r="AX148" s="57" t="s">
        <v>3140</v>
      </c>
      <c r="AY148" s="57" t="s">
        <v>3141</v>
      </c>
      <c r="AZ148" s="57" t="s">
        <v>3142</v>
      </c>
      <c r="BA148" s="57" t="s">
        <v>3143</v>
      </c>
      <c r="BB148" s="57" t="s">
        <v>3144</v>
      </c>
      <c r="BC148" s="57" t="s">
        <v>3145</v>
      </c>
      <c r="BD148" s="57" t="s">
        <v>1342</v>
      </c>
      <c r="BE148" s="57" t="s">
        <v>1143</v>
      </c>
      <c r="BF148" s="57" t="s">
        <v>1052</v>
      </c>
      <c r="BG148" s="57" t="s">
        <v>1029</v>
      </c>
      <c r="BH148" s="57" t="s">
        <v>1030</v>
      </c>
      <c r="BI148" s="57" t="s">
        <v>1031</v>
      </c>
      <c r="BJ148" s="57" t="s">
        <v>1032</v>
      </c>
      <c r="BK148" s="57" t="s">
        <v>1033</v>
      </c>
      <c r="BL148" s="57" t="s">
        <v>1034</v>
      </c>
      <c r="BM148" s="57" t="s">
        <v>1035</v>
      </c>
      <c r="BN148" s="57" t="s">
        <v>1036</v>
      </c>
      <c r="BO148" s="57" t="s">
        <v>1037</v>
      </c>
      <c r="BP148" s="44">
        <v>0.0</v>
      </c>
      <c r="BQ148" s="44">
        <v>4.0</v>
      </c>
      <c r="BR148" s="44">
        <v>2.602</v>
      </c>
      <c r="BS148" s="44">
        <v>1.618</v>
      </c>
      <c r="BT148" s="44">
        <v>1.113</v>
      </c>
      <c r="BU148" s="44">
        <v>0.837</v>
      </c>
      <c r="BV148" s="44">
        <v>0.0</v>
      </c>
      <c r="BW148" s="44">
        <v>0.0</v>
      </c>
      <c r="BX148" s="44">
        <v>0.0</v>
      </c>
      <c r="BY148" s="44">
        <v>0.0</v>
      </c>
      <c r="BZ148" s="44">
        <v>2.8</v>
      </c>
      <c r="CA148" s="44">
        <v>3.42</v>
      </c>
      <c r="CB148" s="44">
        <v>3.0</v>
      </c>
      <c r="CC148" s="44">
        <v>0.0</v>
      </c>
      <c r="CD148" s="44">
        <v>0.0</v>
      </c>
      <c r="CE148" s="44">
        <v>8000.0</v>
      </c>
      <c r="CF148" s="44">
        <v>5700.0</v>
      </c>
      <c r="CG148" s="44">
        <v>0.0</v>
      </c>
      <c r="CH148" s="44">
        <v>0.0</v>
      </c>
      <c r="CI148" s="44">
        <v>0.0</v>
      </c>
      <c r="CJ148" s="2"/>
      <c r="CK148" s="2"/>
    </row>
    <row r="149">
      <c r="A149" s="46">
        <v>148.0</v>
      </c>
      <c r="B149" s="46">
        <v>233.0</v>
      </c>
      <c r="C149" s="46" t="s">
        <v>492</v>
      </c>
      <c r="D149" s="46" t="s">
        <v>493</v>
      </c>
      <c r="E149" s="46" t="s">
        <v>494</v>
      </c>
      <c r="F149" s="46">
        <v>1080.0</v>
      </c>
      <c r="G149" s="46">
        <v>3.73</v>
      </c>
      <c r="H149" s="46">
        <v>1.67</v>
      </c>
      <c r="I149" s="46">
        <v>1.64</v>
      </c>
      <c r="J149" s="46">
        <v>2.43</v>
      </c>
      <c r="K149" s="46">
        <v>1.46</v>
      </c>
      <c r="L149" s="46">
        <v>1.445</v>
      </c>
      <c r="M149" s="46">
        <v>0.14</v>
      </c>
      <c r="N149" s="46">
        <v>0.389</v>
      </c>
      <c r="O149" s="46">
        <v>1.0</v>
      </c>
      <c r="P149" s="46">
        <v>0.5</v>
      </c>
      <c r="Q149" s="46">
        <v>0.9</v>
      </c>
      <c r="R149" s="46">
        <v>0.0</v>
      </c>
      <c r="S149" s="46">
        <v>1.3</v>
      </c>
      <c r="T149" s="46">
        <v>0.175</v>
      </c>
      <c r="U149" s="46">
        <v>0.6</v>
      </c>
      <c r="V149" s="46">
        <v>15.0</v>
      </c>
      <c r="W149" s="46">
        <v>0.175</v>
      </c>
      <c r="X149" s="46">
        <v>0.6</v>
      </c>
      <c r="Y149" s="46">
        <v>15.0</v>
      </c>
      <c r="Z149" s="46">
        <v>-1.0</v>
      </c>
      <c r="AA149" s="46">
        <v>-0.1</v>
      </c>
      <c r="AB149" s="46">
        <v>2.0</v>
      </c>
      <c r="AC149" s="46">
        <v>9.55</v>
      </c>
      <c r="AD149" s="46">
        <v>1.4</v>
      </c>
      <c r="AE149" s="46">
        <v>1.0</v>
      </c>
      <c r="AF149" s="46">
        <v>-4.0</v>
      </c>
      <c r="AG149" s="46">
        <v>-0.5</v>
      </c>
      <c r="AH149" s="46">
        <v>1.4</v>
      </c>
      <c r="AI149" s="46">
        <v>1.0</v>
      </c>
      <c r="AJ149" s="46">
        <v>1386.0</v>
      </c>
      <c r="AK149" s="46">
        <v>0.0</v>
      </c>
      <c r="AL149" s="46">
        <v>6400.0</v>
      </c>
      <c r="AM149" s="46">
        <v>6400.0</v>
      </c>
      <c r="AN149" s="46">
        <v>700.0</v>
      </c>
      <c r="AO149" s="46">
        <v>3200.0</v>
      </c>
      <c r="AP149" s="46">
        <v>5600.0</v>
      </c>
      <c r="AQ149" s="46">
        <v>0.0</v>
      </c>
      <c r="AR149" s="58" t="s">
        <v>3146</v>
      </c>
      <c r="AS149" s="58" t="s">
        <v>3147</v>
      </c>
      <c r="AT149" s="58" t="s">
        <v>3148</v>
      </c>
      <c r="AU149" s="58" t="s">
        <v>3149</v>
      </c>
      <c r="AV149" s="58" t="s">
        <v>3150</v>
      </c>
      <c r="AW149" s="58" t="s">
        <v>1043</v>
      </c>
      <c r="AX149" s="58" t="s">
        <v>1478</v>
      </c>
      <c r="AY149" s="58" t="s">
        <v>3151</v>
      </c>
      <c r="AZ149" s="58" t="s">
        <v>3152</v>
      </c>
      <c r="BA149" s="58" t="s">
        <v>3153</v>
      </c>
      <c r="BB149" s="58" t="s">
        <v>3154</v>
      </c>
      <c r="BC149" s="58" t="s">
        <v>3155</v>
      </c>
      <c r="BD149" s="58" t="s">
        <v>3156</v>
      </c>
      <c r="BE149" s="58" t="s">
        <v>3157</v>
      </c>
      <c r="BF149" s="58" t="s">
        <v>1052</v>
      </c>
      <c r="BG149" s="58" t="s">
        <v>1029</v>
      </c>
      <c r="BH149" s="58" t="s">
        <v>1030</v>
      </c>
      <c r="BI149" s="58" t="s">
        <v>1031</v>
      </c>
      <c r="BJ149" s="58" t="s">
        <v>1032</v>
      </c>
      <c r="BK149" s="58" t="s">
        <v>1033</v>
      </c>
      <c r="BL149" s="58" t="s">
        <v>1034</v>
      </c>
      <c r="BM149" s="58" t="s">
        <v>1035</v>
      </c>
      <c r="BN149" s="58" t="s">
        <v>1036</v>
      </c>
      <c r="BO149" s="58" t="s">
        <v>1037</v>
      </c>
      <c r="BP149" s="46">
        <v>3.0</v>
      </c>
      <c r="BQ149" s="46">
        <v>6.0</v>
      </c>
      <c r="BR149" s="46">
        <v>2.561</v>
      </c>
      <c r="BS149" s="46">
        <v>1.695</v>
      </c>
      <c r="BT149" s="46">
        <v>1.172</v>
      </c>
      <c r="BU149" s="46">
        <v>0.95</v>
      </c>
      <c r="BV149" s="46">
        <v>0.77</v>
      </c>
      <c r="BW149" s="46">
        <v>0.592</v>
      </c>
      <c r="BX149" s="46">
        <v>0.0</v>
      </c>
      <c r="BY149" s="46">
        <v>0.0</v>
      </c>
      <c r="BZ149" s="46">
        <v>2.689</v>
      </c>
      <c r="CA149" s="46">
        <v>5.473</v>
      </c>
      <c r="CB149" s="46">
        <v>0.0</v>
      </c>
      <c r="CC149" s="46">
        <v>0.0</v>
      </c>
      <c r="CD149" s="46">
        <v>0.0</v>
      </c>
      <c r="CE149" s="46">
        <v>8000.0</v>
      </c>
      <c r="CF149" s="46">
        <v>6400.0</v>
      </c>
      <c r="CG149" s="46">
        <v>0.0</v>
      </c>
      <c r="CH149" s="46">
        <v>1.0</v>
      </c>
      <c r="CI149" s="46">
        <v>0.0</v>
      </c>
      <c r="CJ149" s="2"/>
      <c r="CK149" s="2"/>
    </row>
    <row r="150">
      <c r="A150" s="44">
        <v>149.0</v>
      </c>
      <c r="B150" s="44">
        <v>236.0</v>
      </c>
      <c r="C150" s="44" t="s">
        <v>495</v>
      </c>
      <c r="D150" s="44" t="s">
        <v>496</v>
      </c>
      <c r="E150" s="44" t="s">
        <v>497</v>
      </c>
      <c r="F150" s="44">
        <v>1390.0</v>
      </c>
      <c r="G150" s="44">
        <v>4.665</v>
      </c>
      <c r="H150" s="44">
        <v>1.76</v>
      </c>
      <c r="I150" s="44">
        <v>1.45</v>
      </c>
      <c r="J150" s="44">
        <v>2.67</v>
      </c>
      <c r="K150" s="44">
        <v>1.515</v>
      </c>
      <c r="L150" s="44">
        <v>1.515</v>
      </c>
      <c r="M150" s="44">
        <v>0.15</v>
      </c>
      <c r="N150" s="44">
        <v>0.381</v>
      </c>
      <c r="O150" s="44">
        <v>1.0</v>
      </c>
      <c r="P150" s="44">
        <v>0.49</v>
      </c>
      <c r="Q150" s="44">
        <v>1.1</v>
      </c>
      <c r="R150" s="44">
        <v>0.0</v>
      </c>
      <c r="S150" s="44">
        <v>1.194</v>
      </c>
      <c r="T150" s="44">
        <v>0.215</v>
      </c>
      <c r="U150" s="44">
        <v>0.45</v>
      </c>
      <c r="V150" s="44">
        <v>17.0</v>
      </c>
      <c r="W150" s="44">
        <v>0.215</v>
      </c>
      <c r="X150" s="44">
        <v>0.45</v>
      </c>
      <c r="Y150" s="44">
        <v>17.0</v>
      </c>
      <c r="Z150" s="44">
        <v>0.0</v>
      </c>
      <c r="AA150" s="44">
        <v>0.0</v>
      </c>
      <c r="AB150" s="44">
        <v>3.1</v>
      </c>
      <c r="AC150" s="44">
        <v>8.35</v>
      </c>
      <c r="AD150" s="44">
        <v>1.5</v>
      </c>
      <c r="AE150" s="44">
        <v>2.0</v>
      </c>
      <c r="AF150" s="44">
        <v>-2.0</v>
      </c>
      <c r="AG150" s="44">
        <v>-1.0</v>
      </c>
      <c r="AH150" s="44">
        <v>1.5</v>
      </c>
      <c r="AI150" s="44">
        <v>2.0</v>
      </c>
      <c r="AJ150" s="44">
        <v>1998.0</v>
      </c>
      <c r="AK150" s="44">
        <v>0.0</v>
      </c>
      <c r="AL150" s="44">
        <v>8400.0</v>
      </c>
      <c r="AM150" s="44">
        <v>8500.0</v>
      </c>
      <c r="AN150" s="44">
        <v>700.0</v>
      </c>
      <c r="AO150" s="44">
        <v>6000.0</v>
      </c>
      <c r="AP150" s="44">
        <v>8000.0</v>
      </c>
      <c r="AQ150" s="44">
        <v>0.0</v>
      </c>
      <c r="AR150" s="57" t="s">
        <v>3158</v>
      </c>
      <c r="AS150" s="57" t="s">
        <v>3159</v>
      </c>
      <c r="AT150" s="57" t="s">
        <v>3160</v>
      </c>
      <c r="AU150" s="57" t="s">
        <v>2003</v>
      </c>
      <c r="AV150" s="57" t="s">
        <v>3161</v>
      </c>
      <c r="AW150" s="57" t="s">
        <v>1549</v>
      </c>
      <c r="AX150" s="57" t="s">
        <v>3162</v>
      </c>
      <c r="AY150" s="57" t="s">
        <v>3163</v>
      </c>
      <c r="AZ150" s="57" t="s">
        <v>3164</v>
      </c>
      <c r="BA150" s="57" t="s">
        <v>3165</v>
      </c>
      <c r="BB150" s="57" t="s">
        <v>3166</v>
      </c>
      <c r="BC150" s="57" t="s">
        <v>3167</v>
      </c>
      <c r="BD150" s="57" t="s">
        <v>2039</v>
      </c>
      <c r="BE150" s="57" t="s">
        <v>3168</v>
      </c>
      <c r="BF150" s="57" t="s">
        <v>3169</v>
      </c>
      <c r="BG150" s="57" t="s">
        <v>3170</v>
      </c>
      <c r="BH150" s="57" t="s">
        <v>3171</v>
      </c>
      <c r="BI150" s="57" t="s">
        <v>3172</v>
      </c>
      <c r="BJ150" s="57" t="s">
        <v>1032</v>
      </c>
      <c r="BK150" s="57" t="s">
        <v>1033</v>
      </c>
      <c r="BL150" s="57" t="s">
        <v>1034</v>
      </c>
      <c r="BM150" s="57" t="s">
        <v>1035</v>
      </c>
      <c r="BN150" s="57" t="s">
        <v>1036</v>
      </c>
      <c r="BO150" s="57" t="s">
        <v>1037</v>
      </c>
      <c r="BP150" s="44">
        <v>0.0</v>
      </c>
      <c r="BQ150" s="44">
        <v>6.0</v>
      </c>
      <c r="BR150" s="44">
        <v>3.266</v>
      </c>
      <c r="BS150" s="44">
        <v>2.13</v>
      </c>
      <c r="BT150" s="44">
        <v>1.517</v>
      </c>
      <c r="BU150" s="44">
        <v>1.147</v>
      </c>
      <c r="BV150" s="44">
        <v>0.921</v>
      </c>
      <c r="BW150" s="44">
        <v>0.738</v>
      </c>
      <c r="BX150" s="44">
        <v>0.0</v>
      </c>
      <c r="BY150" s="44">
        <v>0.0</v>
      </c>
      <c r="BZ150" s="44">
        <v>3.583</v>
      </c>
      <c r="CA150" s="44">
        <v>4.764</v>
      </c>
      <c r="CB150" s="44">
        <v>2.0</v>
      </c>
      <c r="CC150" s="44">
        <v>0.0</v>
      </c>
      <c r="CD150" s="44">
        <v>0.0</v>
      </c>
      <c r="CE150" s="44">
        <v>9500.0</v>
      </c>
      <c r="CF150" s="44">
        <v>8400.0</v>
      </c>
      <c r="CG150" s="44">
        <v>0.0</v>
      </c>
      <c r="CH150" s="44">
        <v>1.0</v>
      </c>
      <c r="CI150" s="44">
        <v>0.0</v>
      </c>
      <c r="CJ150" s="2"/>
      <c r="CK150" s="2"/>
    </row>
    <row r="151">
      <c r="A151" s="46">
        <v>150.0</v>
      </c>
      <c r="B151" s="46">
        <v>237.0</v>
      </c>
      <c r="C151" s="46" t="s">
        <v>498</v>
      </c>
      <c r="D151" s="46" t="s">
        <v>499</v>
      </c>
      <c r="E151" s="46" t="s">
        <v>500</v>
      </c>
      <c r="F151" s="46">
        <v>1260.0</v>
      </c>
      <c r="G151" s="46">
        <v>4.31</v>
      </c>
      <c r="H151" s="46">
        <v>1.695</v>
      </c>
      <c r="I151" s="46">
        <v>1.42</v>
      </c>
      <c r="J151" s="46">
        <v>2.51</v>
      </c>
      <c r="K151" s="46">
        <v>1.465</v>
      </c>
      <c r="L151" s="46">
        <v>1.47</v>
      </c>
      <c r="M151" s="46">
        <v>0.175</v>
      </c>
      <c r="N151" s="46">
        <v>0.373</v>
      </c>
      <c r="O151" s="46">
        <v>4.0</v>
      </c>
      <c r="P151" s="46">
        <v>0.5</v>
      </c>
      <c r="Q151" s="46">
        <v>1.1</v>
      </c>
      <c r="R151" s="46">
        <v>0.0</v>
      </c>
      <c r="S151" s="46">
        <v>1.161</v>
      </c>
      <c r="T151" s="46">
        <v>0.205</v>
      </c>
      <c r="U151" s="46">
        <v>0.6</v>
      </c>
      <c r="V151" s="46">
        <v>15.0</v>
      </c>
      <c r="W151" s="46">
        <v>0.205</v>
      </c>
      <c r="X151" s="46">
        <v>0.6</v>
      </c>
      <c r="Y151" s="46">
        <v>15.0</v>
      </c>
      <c r="Z151" s="46">
        <v>0.0</v>
      </c>
      <c r="AA151" s="46">
        <v>-0.5</v>
      </c>
      <c r="AB151" s="46">
        <v>3.55</v>
      </c>
      <c r="AC151" s="46">
        <v>12.55</v>
      </c>
      <c r="AD151" s="46">
        <v>1.5</v>
      </c>
      <c r="AE151" s="46">
        <v>2.0</v>
      </c>
      <c r="AF151" s="46">
        <v>-3.0</v>
      </c>
      <c r="AG151" s="46">
        <v>-0.55</v>
      </c>
      <c r="AH151" s="46">
        <v>1.5</v>
      </c>
      <c r="AI151" s="46">
        <v>1.0</v>
      </c>
      <c r="AJ151" s="46">
        <v>1997.0</v>
      </c>
      <c r="AK151" s="46">
        <v>1.0</v>
      </c>
      <c r="AL151" s="46">
        <v>7000.0</v>
      </c>
      <c r="AM151" s="46">
        <v>7200.0</v>
      </c>
      <c r="AN151" s="46">
        <v>800.0</v>
      </c>
      <c r="AO151" s="46">
        <v>3000.0</v>
      </c>
      <c r="AP151" s="46">
        <v>6250.0</v>
      </c>
      <c r="AQ151" s="46">
        <v>0.0</v>
      </c>
      <c r="AR151" s="58" t="s">
        <v>3173</v>
      </c>
      <c r="AS151" s="58" t="s">
        <v>3174</v>
      </c>
      <c r="AT151" s="58" t="s">
        <v>3175</v>
      </c>
      <c r="AU151" s="58" t="s">
        <v>3176</v>
      </c>
      <c r="AV151" s="58" t="s">
        <v>3177</v>
      </c>
      <c r="AW151" s="58" t="s">
        <v>3178</v>
      </c>
      <c r="AX151" s="58" t="s">
        <v>3179</v>
      </c>
      <c r="AY151" s="58" t="s">
        <v>3180</v>
      </c>
      <c r="AZ151" s="58" t="s">
        <v>3181</v>
      </c>
      <c r="BA151" s="58" t="s">
        <v>3182</v>
      </c>
      <c r="BB151" s="58" t="s">
        <v>3183</v>
      </c>
      <c r="BC151" s="58" t="s">
        <v>3184</v>
      </c>
      <c r="BD151" s="58" t="s">
        <v>3185</v>
      </c>
      <c r="BE151" s="58" t="s">
        <v>3186</v>
      </c>
      <c r="BF151" s="58" t="s">
        <v>3187</v>
      </c>
      <c r="BG151" s="58" t="s">
        <v>1029</v>
      </c>
      <c r="BH151" s="58" t="s">
        <v>1030</v>
      </c>
      <c r="BI151" s="58" t="s">
        <v>1031</v>
      </c>
      <c r="BJ151" s="58" t="s">
        <v>1032</v>
      </c>
      <c r="BK151" s="58" t="s">
        <v>1033</v>
      </c>
      <c r="BL151" s="58" t="s">
        <v>1034</v>
      </c>
      <c r="BM151" s="58" t="s">
        <v>1035</v>
      </c>
      <c r="BN151" s="58" t="s">
        <v>1036</v>
      </c>
      <c r="BO151" s="58" t="s">
        <v>1037</v>
      </c>
      <c r="BP151" s="46">
        <v>0.0</v>
      </c>
      <c r="BQ151" s="46">
        <v>5.0</v>
      </c>
      <c r="BR151" s="46">
        <v>2.75</v>
      </c>
      <c r="BS151" s="46">
        <v>1.684</v>
      </c>
      <c r="BT151" s="46">
        <v>1.16</v>
      </c>
      <c r="BU151" s="46">
        <v>0.862</v>
      </c>
      <c r="BV151" s="46">
        <v>0.617</v>
      </c>
      <c r="BW151" s="46">
        <v>0.0</v>
      </c>
      <c r="BX151" s="46">
        <v>0.0</v>
      </c>
      <c r="BY151" s="46">
        <v>0.0</v>
      </c>
      <c r="BZ151" s="46">
        <v>3.166</v>
      </c>
      <c r="CA151" s="46">
        <v>5.358</v>
      </c>
      <c r="CB151" s="46">
        <v>0.0</v>
      </c>
      <c r="CC151" s="46">
        <v>3.0</v>
      </c>
      <c r="CD151" s="46">
        <v>1.0</v>
      </c>
      <c r="CE151" s="46">
        <v>9000.0</v>
      </c>
      <c r="CF151" s="46">
        <v>7000.0</v>
      </c>
      <c r="CG151" s="46">
        <v>0.0</v>
      </c>
      <c r="CH151" s="46">
        <v>0.0</v>
      </c>
      <c r="CI151" s="46">
        <v>0.0</v>
      </c>
      <c r="CJ151" s="2"/>
      <c r="CK151" s="2"/>
    </row>
    <row r="152">
      <c r="A152" s="44">
        <v>151.0</v>
      </c>
      <c r="B152" s="44">
        <v>239.0</v>
      </c>
      <c r="C152" s="44" t="s">
        <v>501</v>
      </c>
      <c r="D152" s="44" t="s">
        <v>502</v>
      </c>
      <c r="E152" s="44" t="s">
        <v>503</v>
      </c>
      <c r="F152" s="44">
        <v>1410.0</v>
      </c>
      <c r="G152" s="44">
        <v>4.49</v>
      </c>
      <c r="H152" s="44">
        <v>1.77</v>
      </c>
      <c r="I152" s="44">
        <v>1.45</v>
      </c>
      <c r="J152" s="44">
        <v>2.625</v>
      </c>
      <c r="K152" s="44">
        <v>1.515</v>
      </c>
      <c r="L152" s="44">
        <v>1.515</v>
      </c>
      <c r="M152" s="44">
        <v>0.14</v>
      </c>
      <c r="N152" s="44">
        <v>0.383</v>
      </c>
      <c r="O152" s="44">
        <v>4.0</v>
      </c>
      <c r="P152" s="44">
        <v>0.5</v>
      </c>
      <c r="Q152" s="44">
        <v>1.15</v>
      </c>
      <c r="R152" s="44">
        <v>100.0</v>
      </c>
      <c r="S152" s="44">
        <v>1.17</v>
      </c>
      <c r="T152" s="44">
        <v>0.235</v>
      </c>
      <c r="U152" s="44">
        <v>0.45</v>
      </c>
      <c r="V152" s="44">
        <v>17.0</v>
      </c>
      <c r="W152" s="44">
        <v>0.235</v>
      </c>
      <c r="X152" s="44">
        <v>0.45</v>
      </c>
      <c r="Y152" s="44">
        <v>17.0</v>
      </c>
      <c r="Z152" s="44">
        <v>0.0</v>
      </c>
      <c r="AA152" s="44">
        <v>-1.0</v>
      </c>
      <c r="AB152" s="44">
        <v>3.55</v>
      </c>
      <c r="AC152" s="44">
        <v>13.45</v>
      </c>
      <c r="AD152" s="44">
        <v>1.6</v>
      </c>
      <c r="AE152" s="44">
        <v>2.5</v>
      </c>
      <c r="AF152" s="44">
        <v>-3.0</v>
      </c>
      <c r="AG152" s="44">
        <v>-1.0</v>
      </c>
      <c r="AH152" s="44">
        <v>1.6</v>
      </c>
      <c r="AI152" s="44">
        <v>2.5</v>
      </c>
      <c r="AJ152" s="44">
        <v>1997.0</v>
      </c>
      <c r="AK152" s="44">
        <v>1.0</v>
      </c>
      <c r="AL152" s="44">
        <v>7000.0</v>
      </c>
      <c r="AM152" s="44">
        <v>7300.0</v>
      </c>
      <c r="AN152" s="44">
        <v>800.0</v>
      </c>
      <c r="AO152" s="44">
        <v>3500.0</v>
      </c>
      <c r="AP152" s="44">
        <v>6500.0</v>
      </c>
      <c r="AQ152" s="44">
        <v>0.0</v>
      </c>
      <c r="AR152" s="57" t="s">
        <v>3188</v>
      </c>
      <c r="AS152" s="57" t="s">
        <v>3189</v>
      </c>
      <c r="AT152" s="57" t="s">
        <v>3190</v>
      </c>
      <c r="AU152" s="57" t="s">
        <v>3191</v>
      </c>
      <c r="AV152" s="57" t="s">
        <v>3192</v>
      </c>
      <c r="AW152" s="57" t="s">
        <v>3193</v>
      </c>
      <c r="AX152" s="57" t="s">
        <v>3194</v>
      </c>
      <c r="AY152" s="57" t="s">
        <v>3195</v>
      </c>
      <c r="AZ152" s="57" t="s">
        <v>3196</v>
      </c>
      <c r="BA152" s="57" t="s">
        <v>3197</v>
      </c>
      <c r="BB152" s="57" t="s">
        <v>3198</v>
      </c>
      <c r="BC152" s="57" t="s">
        <v>3199</v>
      </c>
      <c r="BD152" s="57" t="s">
        <v>3200</v>
      </c>
      <c r="BE152" s="57" t="s">
        <v>3201</v>
      </c>
      <c r="BF152" s="57" t="s">
        <v>3202</v>
      </c>
      <c r="BG152" s="57" t="s">
        <v>3203</v>
      </c>
      <c r="BH152" s="57" t="s">
        <v>3204</v>
      </c>
      <c r="BI152" s="57" t="s">
        <v>1031</v>
      </c>
      <c r="BJ152" s="57" t="s">
        <v>1032</v>
      </c>
      <c r="BK152" s="57" t="s">
        <v>1033</v>
      </c>
      <c r="BL152" s="57" t="s">
        <v>1034</v>
      </c>
      <c r="BM152" s="57" t="s">
        <v>1035</v>
      </c>
      <c r="BN152" s="57" t="s">
        <v>1036</v>
      </c>
      <c r="BO152" s="57" t="s">
        <v>1037</v>
      </c>
      <c r="BP152" s="44">
        <v>0.0</v>
      </c>
      <c r="BQ152" s="44">
        <v>6.0</v>
      </c>
      <c r="BR152" s="44">
        <v>2.909</v>
      </c>
      <c r="BS152" s="44">
        <v>1.944</v>
      </c>
      <c r="BT152" s="44">
        <v>1.434</v>
      </c>
      <c r="BU152" s="44">
        <v>1.1</v>
      </c>
      <c r="BV152" s="44">
        <v>0.868</v>
      </c>
      <c r="BW152" s="44">
        <v>0.693</v>
      </c>
      <c r="BX152" s="44">
        <v>0.0</v>
      </c>
      <c r="BY152" s="44">
        <v>0.0</v>
      </c>
      <c r="BZ152" s="44">
        <v>2.707</v>
      </c>
      <c r="CA152" s="44">
        <v>4.583</v>
      </c>
      <c r="CB152" s="44">
        <v>2.0</v>
      </c>
      <c r="CC152" s="44">
        <v>4.0</v>
      </c>
      <c r="CD152" s="44">
        <v>5.0</v>
      </c>
      <c r="CE152" s="44">
        <v>9000.0</v>
      </c>
      <c r="CF152" s="44">
        <v>7000.0</v>
      </c>
      <c r="CG152" s="44">
        <v>0.0</v>
      </c>
      <c r="CH152" s="44">
        <v>1.0</v>
      </c>
      <c r="CI152" s="44">
        <v>0.0</v>
      </c>
      <c r="CJ152" s="2"/>
      <c r="CK152" s="2"/>
    </row>
    <row r="153">
      <c r="A153" s="46">
        <v>152.0</v>
      </c>
      <c r="B153" s="46">
        <v>240.0</v>
      </c>
      <c r="C153" s="46" t="s">
        <v>504</v>
      </c>
      <c r="D153" s="46" t="s">
        <v>505</v>
      </c>
      <c r="E153" s="46" t="s">
        <v>506</v>
      </c>
      <c r="F153" s="46">
        <v>1145.0</v>
      </c>
      <c r="G153" s="46">
        <v>4.46</v>
      </c>
      <c r="H153" s="46">
        <v>1.695</v>
      </c>
      <c r="I153" s="46">
        <v>1.38</v>
      </c>
      <c r="J153" s="46">
        <v>2.61</v>
      </c>
      <c r="K153" s="46">
        <v>1.395</v>
      </c>
      <c r="L153" s="46">
        <v>1.375</v>
      </c>
      <c r="M153" s="46">
        <v>0.12</v>
      </c>
      <c r="N153" s="46">
        <v>0.441</v>
      </c>
      <c r="O153" s="46">
        <v>0.0</v>
      </c>
      <c r="P153" s="46">
        <v>0.48</v>
      </c>
      <c r="Q153" s="46">
        <v>0.9</v>
      </c>
      <c r="R153" s="46">
        <v>0.0</v>
      </c>
      <c r="S153" s="46">
        <v>1.133</v>
      </c>
      <c r="T153" s="46">
        <v>0.175</v>
      </c>
      <c r="U153" s="46">
        <v>0.82</v>
      </c>
      <c r="V153" s="46">
        <v>14.0</v>
      </c>
      <c r="W153" s="46">
        <v>0.175</v>
      </c>
      <c r="X153" s="46">
        <v>0.82</v>
      </c>
      <c r="Y153" s="46">
        <v>14.0</v>
      </c>
      <c r="Z153" s="46">
        <v>-3.0</v>
      </c>
      <c r="AA153" s="46">
        <v>1.2</v>
      </c>
      <c r="AB153" s="46">
        <v>1.5</v>
      </c>
      <c r="AC153" s="46">
        <v>7.2</v>
      </c>
      <c r="AD153" s="46">
        <v>1.6</v>
      </c>
      <c r="AE153" s="46">
        <v>1.0</v>
      </c>
      <c r="AF153" s="46">
        <v>-1.5</v>
      </c>
      <c r="AG153" s="46">
        <v>0.25</v>
      </c>
      <c r="AH153" s="46">
        <v>1.6</v>
      </c>
      <c r="AI153" s="46">
        <v>0.5</v>
      </c>
      <c r="AJ153" s="46">
        <v>1989.0</v>
      </c>
      <c r="AK153" s="46">
        <v>0.0</v>
      </c>
      <c r="AL153" s="46">
        <v>7500.0</v>
      </c>
      <c r="AM153" s="46">
        <v>7700.0</v>
      </c>
      <c r="AN153" s="46">
        <v>700.0</v>
      </c>
      <c r="AO153" s="46">
        <v>5600.0</v>
      </c>
      <c r="AP153" s="46">
        <v>7000.0</v>
      </c>
      <c r="AQ153" s="46">
        <v>0.0</v>
      </c>
      <c r="AR153" s="58" t="s">
        <v>3205</v>
      </c>
      <c r="AS153" s="58" t="s">
        <v>3206</v>
      </c>
      <c r="AT153" s="58" t="s">
        <v>3207</v>
      </c>
      <c r="AU153" s="58" t="s">
        <v>3208</v>
      </c>
      <c r="AV153" s="58" t="s">
        <v>3209</v>
      </c>
      <c r="AW153" s="58" t="s">
        <v>3002</v>
      </c>
      <c r="AX153" s="58" t="s">
        <v>3210</v>
      </c>
      <c r="AY153" s="58" t="s">
        <v>3211</v>
      </c>
      <c r="AZ153" s="58" t="s">
        <v>3212</v>
      </c>
      <c r="BA153" s="58" t="s">
        <v>3213</v>
      </c>
      <c r="BB153" s="58" t="s">
        <v>3214</v>
      </c>
      <c r="BC153" s="58" t="s">
        <v>3215</v>
      </c>
      <c r="BD153" s="58" t="s">
        <v>3216</v>
      </c>
      <c r="BE153" s="58" t="s">
        <v>3217</v>
      </c>
      <c r="BF153" s="58" t="s">
        <v>3218</v>
      </c>
      <c r="BG153" s="58" t="s">
        <v>3219</v>
      </c>
      <c r="BH153" s="58" t="s">
        <v>3220</v>
      </c>
      <c r="BI153" s="58" t="s">
        <v>1031</v>
      </c>
      <c r="BJ153" s="58" t="s">
        <v>1032</v>
      </c>
      <c r="BK153" s="58" t="s">
        <v>1033</v>
      </c>
      <c r="BL153" s="58" t="s">
        <v>1034</v>
      </c>
      <c r="BM153" s="58" t="s">
        <v>1035</v>
      </c>
      <c r="BN153" s="58" t="s">
        <v>1036</v>
      </c>
      <c r="BO153" s="58" t="s">
        <v>1037</v>
      </c>
      <c r="BP153" s="46">
        <v>0.0</v>
      </c>
      <c r="BQ153" s="46">
        <v>5.0</v>
      </c>
      <c r="BR153" s="46">
        <v>2.906</v>
      </c>
      <c r="BS153" s="46">
        <v>1.902</v>
      </c>
      <c r="BT153" s="46">
        <v>1.308</v>
      </c>
      <c r="BU153" s="46">
        <v>1.0</v>
      </c>
      <c r="BV153" s="46">
        <v>0.864</v>
      </c>
      <c r="BW153" s="46">
        <v>0.0</v>
      </c>
      <c r="BX153" s="46">
        <v>0.0</v>
      </c>
      <c r="BY153" s="46">
        <v>0.0</v>
      </c>
      <c r="BZ153" s="46">
        <v>3.382</v>
      </c>
      <c r="CA153" s="46">
        <v>4.444</v>
      </c>
      <c r="CB153" s="46">
        <v>3.0</v>
      </c>
      <c r="CC153" s="46">
        <v>0.0</v>
      </c>
      <c r="CD153" s="46">
        <v>0.0</v>
      </c>
      <c r="CE153" s="46">
        <v>10000.0</v>
      </c>
      <c r="CF153" s="46">
        <v>7500.0</v>
      </c>
      <c r="CG153" s="46">
        <v>0.0</v>
      </c>
      <c r="CH153" s="46">
        <v>0.0</v>
      </c>
      <c r="CI153" s="46">
        <v>0.0</v>
      </c>
      <c r="CJ153" s="2"/>
      <c r="CK153" s="2"/>
    </row>
    <row r="154">
      <c r="A154" s="44">
        <v>153.0</v>
      </c>
      <c r="B154" s="44">
        <v>241.0</v>
      </c>
      <c r="C154" s="44" t="s">
        <v>507</v>
      </c>
      <c r="D154" s="44" t="s">
        <v>508</v>
      </c>
      <c r="E154" s="44" t="s">
        <v>509</v>
      </c>
      <c r="F154" s="44">
        <v>735.0</v>
      </c>
      <c r="G154" s="44">
        <v>3.42</v>
      </c>
      <c r="H154" s="44">
        <v>1.625</v>
      </c>
      <c r="I154" s="44">
        <v>1.47</v>
      </c>
      <c r="J154" s="44">
        <v>2.22</v>
      </c>
      <c r="K154" s="44">
        <v>1.4</v>
      </c>
      <c r="L154" s="44">
        <v>1.39</v>
      </c>
      <c r="M154" s="44">
        <v>0.16</v>
      </c>
      <c r="N154" s="44">
        <v>0.347</v>
      </c>
      <c r="O154" s="44">
        <v>1.0</v>
      </c>
      <c r="P154" s="44">
        <v>0.53</v>
      </c>
      <c r="Q154" s="44">
        <v>0.9</v>
      </c>
      <c r="R154" s="44">
        <v>0.0</v>
      </c>
      <c r="S154" s="44">
        <v>1.214</v>
      </c>
      <c r="T154" s="44">
        <v>0.185</v>
      </c>
      <c r="U154" s="44">
        <v>0.6</v>
      </c>
      <c r="V154" s="44">
        <v>13.0</v>
      </c>
      <c r="W154" s="44">
        <v>0.185</v>
      </c>
      <c r="X154" s="44">
        <v>0.6</v>
      </c>
      <c r="Y154" s="44">
        <v>13.0</v>
      </c>
      <c r="Z154" s="44">
        <v>0.0</v>
      </c>
      <c r="AA154" s="44">
        <v>0.0</v>
      </c>
      <c r="AB154" s="44">
        <v>2.3</v>
      </c>
      <c r="AC154" s="44">
        <v>13.0</v>
      </c>
      <c r="AD154" s="44">
        <v>1.4</v>
      </c>
      <c r="AE154" s="44">
        <v>1.0</v>
      </c>
      <c r="AF154" s="44">
        <v>-1.0</v>
      </c>
      <c r="AG154" s="44">
        <v>0.0</v>
      </c>
      <c r="AH154" s="44">
        <v>1.4</v>
      </c>
      <c r="AI154" s="44">
        <v>1.0</v>
      </c>
      <c r="AJ154" s="44">
        <v>1231.0</v>
      </c>
      <c r="AK154" s="44">
        <v>6.0</v>
      </c>
      <c r="AL154" s="44">
        <v>6000.0</v>
      </c>
      <c r="AM154" s="44">
        <v>6200.0</v>
      </c>
      <c r="AN154" s="44">
        <v>700.0</v>
      </c>
      <c r="AO154" s="44">
        <v>3000.0</v>
      </c>
      <c r="AP154" s="44">
        <v>5500.0</v>
      </c>
      <c r="AQ154" s="44">
        <v>0.0</v>
      </c>
      <c r="AR154" s="57" t="s">
        <v>3221</v>
      </c>
      <c r="AS154" s="57" t="s">
        <v>3222</v>
      </c>
      <c r="AT154" s="57" t="s">
        <v>3223</v>
      </c>
      <c r="AU154" s="57" t="s">
        <v>3224</v>
      </c>
      <c r="AV154" s="57" t="s">
        <v>3225</v>
      </c>
      <c r="AW154" s="57" t="s">
        <v>3226</v>
      </c>
      <c r="AX154" s="57" t="s">
        <v>3227</v>
      </c>
      <c r="AY154" s="57" t="s">
        <v>3228</v>
      </c>
      <c r="AZ154" s="57" t="s">
        <v>3229</v>
      </c>
      <c r="BA154" s="57" t="s">
        <v>3230</v>
      </c>
      <c r="BB154" s="57" t="s">
        <v>3231</v>
      </c>
      <c r="BC154" s="57" t="s">
        <v>3232</v>
      </c>
      <c r="BD154" s="57" t="s">
        <v>3233</v>
      </c>
      <c r="BE154" s="57" t="s">
        <v>3234</v>
      </c>
      <c r="BF154" s="57" t="s">
        <v>3235</v>
      </c>
      <c r="BG154" s="57" t="s">
        <v>1029</v>
      </c>
      <c r="BH154" s="57" t="s">
        <v>1030</v>
      </c>
      <c r="BI154" s="57" t="s">
        <v>1031</v>
      </c>
      <c r="BJ154" s="57" t="s">
        <v>1032</v>
      </c>
      <c r="BK154" s="57" t="s">
        <v>1033</v>
      </c>
      <c r="BL154" s="57" t="s">
        <v>1034</v>
      </c>
      <c r="BM154" s="57" t="s">
        <v>1035</v>
      </c>
      <c r="BN154" s="57" t="s">
        <v>1036</v>
      </c>
      <c r="BO154" s="57" t="s">
        <v>1037</v>
      </c>
      <c r="BP154" s="44">
        <v>0.0</v>
      </c>
      <c r="BQ154" s="44">
        <v>5.0</v>
      </c>
      <c r="BR154" s="44">
        <v>2.916</v>
      </c>
      <c r="BS154" s="44">
        <v>1.764</v>
      </c>
      <c r="BT154" s="44">
        <v>1.181</v>
      </c>
      <c r="BU154" s="44">
        <v>0.846</v>
      </c>
      <c r="BV154" s="44">
        <v>0.655</v>
      </c>
      <c r="BW154" s="44">
        <v>0.0</v>
      </c>
      <c r="BX154" s="44">
        <v>0.0</v>
      </c>
      <c r="BY154" s="44">
        <v>0.0</v>
      </c>
      <c r="BZ154" s="44">
        <v>2.916</v>
      </c>
      <c r="CA154" s="44">
        <v>4.066</v>
      </c>
      <c r="CB154" s="44">
        <v>0.0</v>
      </c>
      <c r="CC154" s="44">
        <v>0.0</v>
      </c>
      <c r="CD154" s="44">
        <v>0.0</v>
      </c>
      <c r="CE154" s="44">
        <v>7500.0</v>
      </c>
      <c r="CF154" s="44">
        <v>6000.0</v>
      </c>
      <c r="CG154" s="44">
        <v>0.0</v>
      </c>
      <c r="CH154" s="44">
        <v>0.0</v>
      </c>
      <c r="CI154" s="44">
        <v>0.0</v>
      </c>
      <c r="CJ154" s="2"/>
      <c r="CK154" s="2"/>
    </row>
    <row r="155">
      <c r="A155" s="46">
        <v>154.0</v>
      </c>
      <c r="B155" s="46">
        <v>242.0</v>
      </c>
      <c r="C155" s="46" t="s">
        <v>510</v>
      </c>
      <c r="D155" s="46" t="s">
        <v>511</v>
      </c>
      <c r="E155" s="46" t="s">
        <v>512</v>
      </c>
      <c r="F155" s="46">
        <v>1430.0</v>
      </c>
      <c r="G155" s="46">
        <v>4.636</v>
      </c>
      <c r="H155" s="46">
        <v>1.753</v>
      </c>
      <c r="I155" s="46">
        <v>1.213</v>
      </c>
      <c r="J155" s="46">
        <v>2.489</v>
      </c>
      <c r="K155" s="46">
        <v>1.491</v>
      </c>
      <c r="L155" s="46">
        <v>1.509</v>
      </c>
      <c r="M155" s="46">
        <v>0.1</v>
      </c>
      <c r="N155" s="46">
        <v>0.503</v>
      </c>
      <c r="O155" s="46">
        <v>0.0</v>
      </c>
      <c r="P155" s="46">
        <v>0.47</v>
      </c>
      <c r="Q155" s="46">
        <v>1.05</v>
      </c>
      <c r="R155" s="46">
        <v>0.0</v>
      </c>
      <c r="S155" s="46">
        <v>1.026</v>
      </c>
      <c r="T155" s="46">
        <v>0.275</v>
      </c>
      <c r="U155" s="46">
        <v>0.55</v>
      </c>
      <c r="V155" s="46">
        <v>15.0</v>
      </c>
      <c r="W155" s="46">
        <v>0.275</v>
      </c>
      <c r="X155" s="46">
        <v>0.55</v>
      </c>
      <c r="Y155" s="46">
        <v>15.0</v>
      </c>
      <c r="Z155" s="46">
        <v>-2.0</v>
      </c>
      <c r="AA155" s="46">
        <v>0.0</v>
      </c>
      <c r="AB155" s="46">
        <v>6.0</v>
      </c>
      <c r="AC155" s="46">
        <v>14.0</v>
      </c>
      <c r="AD155" s="46">
        <v>2.2</v>
      </c>
      <c r="AE155" s="46">
        <v>2.0</v>
      </c>
      <c r="AF155" s="46">
        <v>-4.0</v>
      </c>
      <c r="AG155" s="46">
        <v>-0.3</v>
      </c>
      <c r="AH155" s="46">
        <v>2.0</v>
      </c>
      <c r="AI155" s="46">
        <v>2.0</v>
      </c>
      <c r="AJ155" s="46">
        <v>7440.0</v>
      </c>
      <c r="AK155" s="46">
        <v>0.0</v>
      </c>
      <c r="AL155" s="46">
        <v>5300.0</v>
      </c>
      <c r="AM155" s="46">
        <v>5600.0</v>
      </c>
      <c r="AN155" s="46">
        <v>500.0</v>
      </c>
      <c r="AO155" s="46">
        <v>4000.0</v>
      </c>
      <c r="AP155" s="46">
        <v>5600.0</v>
      </c>
      <c r="AQ155" s="46">
        <v>2.0</v>
      </c>
      <c r="AR155" s="58" t="s">
        <v>3236</v>
      </c>
      <c r="AS155" s="58" t="s">
        <v>3237</v>
      </c>
      <c r="AT155" s="58" t="s">
        <v>3238</v>
      </c>
      <c r="AU155" s="58" t="s">
        <v>2297</v>
      </c>
      <c r="AV155" s="58" t="s">
        <v>3239</v>
      </c>
      <c r="AW155" s="58" t="s">
        <v>3240</v>
      </c>
      <c r="AX155" s="58" t="s">
        <v>3241</v>
      </c>
      <c r="AY155" s="58" t="s">
        <v>3242</v>
      </c>
      <c r="AZ155" s="58" t="s">
        <v>3243</v>
      </c>
      <c r="BA155" s="58" t="s">
        <v>3244</v>
      </c>
      <c r="BB155" s="58" t="s">
        <v>3245</v>
      </c>
      <c r="BC155" s="58" t="s">
        <v>3246</v>
      </c>
      <c r="BD155" s="58" t="s">
        <v>3247</v>
      </c>
      <c r="BE155" s="58" t="s">
        <v>1143</v>
      </c>
      <c r="BF155" s="58" t="s">
        <v>1052</v>
      </c>
      <c r="BG155" s="58" t="s">
        <v>1029</v>
      </c>
      <c r="BH155" s="58" t="s">
        <v>1030</v>
      </c>
      <c r="BI155" s="58" t="s">
        <v>1031</v>
      </c>
      <c r="BJ155" s="58" t="s">
        <v>1032</v>
      </c>
      <c r="BK155" s="58" t="s">
        <v>1033</v>
      </c>
      <c r="BL155" s="58" t="s">
        <v>1034</v>
      </c>
      <c r="BM155" s="58" t="s">
        <v>1035</v>
      </c>
      <c r="BN155" s="58" t="s">
        <v>1036</v>
      </c>
      <c r="BO155" s="58" t="s">
        <v>1037</v>
      </c>
      <c r="BP155" s="46">
        <v>0.0</v>
      </c>
      <c r="BQ155" s="46">
        <v>4.0</v>
      </c>
      <c r="BR155" s="46">
        <v>2.65</v>
      </c>
      <c r="BS155" s="46">
        <v>1.908</v>
      </c>
      <c r="BT155" s="46">
        <v>1.33</v>
      </c>
      <c r="BU155" s="46">
        <v>1.0</v>
      </c>
      <c r="BV155" s="46">
        <v>0.0</v>
      </c>
      <c r="BW155" s="46">
        <v>0.0</v>
      </c>
      <c r="BX155" s="46">
        <v>0.0</v>
      </c>
      <c r="BY155" s="46">
        <v>0.0</v>
      </c>
      <c r="BZ155" s="46">
        <v>3.1</v>
      </c>
      <c r="CA155" s="46">
        <v>2.72</v>
      </c>
      <c r="CB155" s="46">
        <v>2.0</v>
      </c>
      <c r="CC155" s="46">
        <v>0.0</v>
      </c>
      <c r="CD155" s="46">
        <v>0.0</v>
      </c>
      <c r="CE155" s="46">
        <v>7000.0</v>
      </c>
      <c r="CF155" s="46">
        <v>5300.0</v>
      </c>
      <c r="CG155" s="46">
        <v>1.0</v>
      </c>
      <c r="CH155" s="46">
        <v>0.0</v>
      </c>
      <c r="CI155" s="46">
        <v>0.0</v>
      </c>
      <c r="CJ155" s="2"/>
      <c r="CK155" s="2"/>
    </row>
    <row r="156">
      <c r="A156" s="44">
        <v>155.0</v>
      </c>
      <c r="B156" s="44">
        <v>244.0</v>
      </c>
      <c r="C156" s="44" t="s">
        <v>513</v>
      </c>
      <c r="D156" s="44" t="s">
        <v>514</v>
      </c>
      <c r="E156" s="44" t="s">
        <v>515</v>
      </c>
      <c r="F156" s="44">
        <v>1030.0</v>
      </c>
      <c r="G156" s="44">
        <v>3.83</v>
      </c>
      <c r="H156" s="44">
        <v>1.675</v>
      </c>
      <c r="I156" s="44">
        <v>1.525</v>
      </c>
      <c r="J156" s="44">
        <v>2.45</v>
      </c>
      <c r="K156" s="44">
        <v>1.44</v>
      </c>
      <c r="L156" s="44">
        <v>1.43</v>
      </c>
      <c r="M156" s="44">
        <v>0.15</v>
      </c>
      <c r="N156" s="44">
        <v>0.359</v>
      </c>
      <c r="O156" s="44">
        <v>1.0</v>
      </c>
      <c r="P156" s="44">
        <v>0.48</v>
      </c>
      <c r="Q156" s="44">
        <v>0.95</v>
      </c>
      <c r="R156" s="44">
        <v>0.0</v>
      </c>
      <c r="S156" s="44">
        <v>1.195</v>
      </c>
      <c r="T156" s="44">
        <v>0.185</v>
      </c>
      <c r="U156" s="44">
        <v>0.55</v>
      </c>
      <c r="V156" s="44">
        <v>15.0</v>
      </c>
      <c r="W156" s="44">
        <v>0.185</v>
      </c>
      <c r="X156" s="44">
        <v>0.55</v>
      </c>
      <c r="Y156" s="44">
        <v>15.0</v>
      </c>
      <c r="Z156" s="44">
        <v>0.0</v>
      </c>
      <c r="AA156" s="44">
        <v>0.0</v>
      </c>
      <c r="AB156" s="44">
        <v>2.05</v>
      </c>
      <c r="AC156" s="44">
        <v>12.45</v>
      </c>
      <c r="AD156" s="44">
        <v>1.4</v>
      </c>
      <c r="AE156" s="44">
        <v>2.0</v>
      </c>
      <c r="AF156" s="44">
        <v>-2.0</v>
      </c>
      <c r="AG156" s="44">
        <v>-1.0</v>
      </c>
      <c r="AH156" s="44">
        <v>1.4</v>
      </c>
      <c r="AI156" s="44">
        <v>1.0</v>
      </c>
      <c r="AJ156" s="44">
        <v>1496.0</v>
      </c>
      <c r="AK156" s="44">
        <v>0.0</v>
      </c>
      <c r="AL156" s="44">
        <v>6300.0</v>
      </c>
      <c r="AM156" s="44">
        <v>6400.0</v>
      </c>
      <c r="AN156" s="44">
        <v>600.0</v>
      </c>
      <c r="AO156" s="44">
        <v>4800.0</v>
      </c>
      <c r="AP156" s="44">
        <v>5800.0</v>
      </c>
      <c r="AQ156" s="44">
        <v>0.0</v>
      </c>
      <c r="AR156" s="57" t="s">
        <v>3248</v>
      </c>
      <c r="AS156" s="57" t="s">
        <v>3249</v>
      </c>
      <c r="AT156" s="57" t="s">
        <v>3250</v>
      </c>
      <c r="AU156" s="57" t="s">
        <v>3251</v>
      </c>
      <c r="AV156" s="57" t="s">
        <v>2511</v>
      </c>
      <c r="AW156" s="57" t="s">
        <v>2512</v>
      </c>
      <c r="AX156" s="57" t="s">
        <v>1181</v>
      </c>
      <c r="AY156" s="57" t="s">
        <v>3252</v>
      </c>
      <c r="AZ156" s="57" t="s">
        <v>3253</v>
      </c>
      <c r="BA156" s="57" t="s">
        <v>3254</v>
      </c>
      <c r="BB156" s="57" t="s">
        <v>3255</v>
      </c>
      <c r="BC156" s="57" t="s">
        <v>3256</v>
      </c>
      <c r="BD156" s="57" t="s">
        <v>3257</v>
      </c>
      <c r="BE156" s="57" t="s">
        <v>3258</v>
      </c>
      <c r="BF156" s="57" t="s">
        <v>1052</v>
      </c>
      <c r="BG156" s="57" t="s">
        <v>1029</v>
      </c>
      <c r="BH156" s="57" t="s">
        <v>1030</v>
      </c>
      <c r="BI156" s="57" t="s">
        <v>1031</v>
      </c>
      <c r="BJ156" s="57" t="s">
        <v>1032</v>
      </c>
      <c r="BK156" s="57" t="s">
        <v>1033</v>
      </c>
      <c r="BL156" s="57" t="s">
        <v>1034</v>
      </c>
      <c r="BM156" s="57" t="s">
        <v>1035</v>
      </c>
      <c r="BN156" s="57" t="s">
        <v>1036</v>
      </c>
      <c r="BO156" s="57" t="s">
        <v>1037</v>
      </c>
      <c r="BP156" s="44">
        <v>3.0</v>
      </c>
      <c r="BQ156" s="44">
        <v>7.0</v>
      </c>
      <c r="BR156" s="44">
        <v>2.152</v>
      </c>
      <c r="BS156" s="44">
        <v>1.456</v>
      </c>
      <c r="BT156" s="44">
        <v>1.119</v>
      </c>
      <c r="BU156" s="44">
        <v>0.884</v>
      </c>
      <c r="BV156" s="44">
        <v>0.719</v>
      </c>
      <c r="BW156" s="44">
        <v>0.601</v>
      </c>
      <c r="BX156" s="44">
        <v>0.524</v>
      </c>
      <c r="BY156" s="44">
        <v>0.0</v>
      </c>
      <c r="BZ156" s="44">
        <v>4.226</v>
      </c>
      <c r="CA156" s="44">
        <v>5.777</v>
      </c>
      <c r="CB156" s="44">
        <v>0.0</v>
      </c>
      <c r="CC156" s="44">
        <v>0.0</v>
      </c>
      <c r="CD156" s="44">
        <v>0.0</v>
      </c>
      <c r="CE156" s="44">
        <v>8000.0</v>
      </c>
      <c r="CF156" s="44">
        <v>6300.0</v>
      </c>
      <c r="CG156" s="44">
        <v>0.0</v>
      </c>
      <c r="CH156" s="44">
        <v>1.0</v>
      </c>
      <c r="CI156" s="44">
        <v>0.0</v>
      </c>
      <c r="CJ156" s="2"/>
      <c r="CK156" s="2"/>
    </row>
    <row r="157">
      <c r="A157" s="46">
        <v>156.0</v>
      </c>
      <c r="B157" s="46">
        <v>245.0</v>
      </c>
      <c r="C157" s="46" t="s">
        <v>516</v>
      </c>
      <c r="D157" s="46" t="s">
        <v>517</v>
      </c>
      <c r="E157" s="46" t="s">
        <v>518</v>
      </c>
      <c r="F157" s="46">
        <v>1390.0</v>
      </c>
      <c r="G157" s="46">
        <v>4.2</v>
      </c>
      <c r="H157" s="46">
        <v>1.765</v>
      </c>
      <c r="I157" s="46">
        <v>1.43</v>
      </c>
      <c r="J157" s="46">
        <v>2.545</v>
      </c>
      <c r="K157" s="46">
        <v>1.52</v>
      </c>
      <c r="L157" s="46">
        <v>1.505</v>
      </c>
      <c r="M157" s="46">
        <v>0.12</v>
      </c>
      <c r="N157" s="46">
        <v>0.38</v>
      </c>
      <c r="O157" s="46">
        <v>1.0</v>
      </c>
      <c r="P157" s="46">
        <v>0.48</v>
      </c>
      <c r="Q157" s="46">
        <v>1.1</v>
      </c>
      <c r="R157" s="46">
        <v>0.0</v>
      </c>
      <c r="S157" s="46">
        <v>1.196</v>
      </c>
      <c r="T157" s="46">
        <v>0.225</v>
      </c>
      <c r="U157" s="46">
        <v>0.45</v>
      </c>
      <c r="V157" s="46">
        <v>17.0</v>
      </c>
      <c r="W157" s="46">
        <v>0.225</v>
      </c>
      <c r="X157" s="46">
        <v>0.45</v>
      </c>
      <c r="Y157" s="46">
        <v>17.0</v>
      </c>
      <c r="Z157" s="46">
        <v>0.0</v>
      </c>
      <c r="AA157" s="46">
        <v>0.0</v>
      </c>
      <c r="AB157" s="46">
        <v>3.5</v>
      </c>
      <c r="AC157" s="46">
        <v>6.0</v>
      </c>
      <c r="AD157" s="46">
        <v>1.5</v>
      </c>
      <c r="AE157" s="46">
        <v>2.0</v>
      </c>
      <c r="AF157" s="46">
        <v>-2.0</v>
      </c>
      <c r="AG157" s="46">
        <v>-1.0</v>
      </c>
      <c r="AH157" s="46">
        <v>1.5</v>
      </c>
      <c r="AI157" s="46">
        <v>2.0</v>
      </c>
      <c r="AJ157" s="46">
        <v>3179.0</v>
      </c>
      <c r="AK157" s="46">
        <v>0.0</v>
      </c>
      <c r="AL157" s="46">
        <v>7000.0</v>
      </c>
      <c r="AM157" s="46">
        <v>7200.0</v>
      </c>
      <c r="AN157" s="46">
        <v>800.0</v>
      </c>
      <c r="AO157" s="46">
        <v>4800.0</v>
      </c>
      <c r="AP157" s="46">
        <v>6200.0</v>
      </c>
      <c r="AQ157" s="46">
        <v>0.0</v>
      </c>
      <c r="AR157" s="58" t="s">
        <v>3259</v>
      </c>
      <c r="AS157" s="58" t="s">
        <v>3260</v>
      </c>
      <c r="AT157" s="58" t="s">
        <v>3261</v>
      </c>
      <c r="AU157" s="58" t="s">
        <v>3262</v>
      </c>
      <c r="AV157" s="58" t="s">
        <v>3263</v>
      </c>
      <c r="AW157" s="58" t="s">
        <v>3264</v>
      </c>
      <c r="AX157" s="58" t="s">
        <v>3265</v>
      </c>
      <c r="AY157" s="58" t="s">
        <v>3266</v>
      </c>
      <c r="AZ157" s="58" t="s">
        <v>1963</v>
      </c>
      <c r="BA157" s="58" t="s">
        <v>3267</v>
      </c>
      <c r="BB157" s="58" t="s">
        <v>3268</v>
      </c>
      <c r="BC157" s="58" t="s">
        <v>3269</v>
      </c>
      <c r="BD157" s="58" t="s">
        <v>1966</v>
      </c>
      <c r="BE157" s="58" t="s">
        <v>3270</v>
      </c>
      <c r="BF157" s="58" t="s">
        <v>3271</v>
      </c>
      <c r="BG157" s="58" t="s">
        <v>1029</v>
      </c>
      <c r="BH157" s="58" t="s">
        <v>1030</v>
      </c>
      <c r="BI157" s="58" t="s">
        <v>1031</v>
      </c>
      <c r="BJ157" s="58" t="s">
        <v>1032</v>
      </c>
      <c r="BK157" s="58" t="s">
        <v>1033</v>
      </c>
      <c r="BL157" s="58" t="s">
        <v>1034</v>
      </c>
      <c r="BM157" s="58" t="s">
        <v>1035</v>
      </c>
      <c r="BN157" s="58" t="s">
        <v>1036</v>
      </c>
      <c r="BO157" s="58" t="s">
        <v>1037</v>
      </c>
      <c r="BP157" s="46">
        <v>0.0</v>
      </c>
      <c r="BQ157" s="46">
        <v>6.0</v>
      </c>
      <c r="BR157" s="46">
        <v>3.5</v>
      </c>
      <c r="BS157" s="46">
        <v>2.235</v>
      </c>
      <c r="BT157" s="46">
        <v>1.52</v>
      </c>
      <c r="BU157" s="46">
        <v>1.161</v>
      </c>
      <c r="BV157" s="46">
        <v>0.971</v>
      </c>
      <c r="BW157" s="46">
        <v>0.818</v>
      </c>
      <c r="BX157" s="46">
        <v>0.0</v>
      </c>
      <c r="BY157" s="46">
        <v>0.0</v>
      </c>
      <c r="BZ157" s="46">
        <v>3.545</v>
      </c>
      <c r="CA157" s="46">
        <v>3.733</v>
      </c>
      <c r="CB157" s="46">
        <v>2.0</v>
      </c>
      <c r="CC157" s="46">
        <v>0.0</v>
      </c>
      <c r="CD157" s="46">
        <v>0.0</v>
      </c>
      <c r="CE157" s="46">
        <v>8000.0</v>
      </c>
      <c r="CF157" s="46">
        <v>7000.0</v>
      </c>
      <c r="CG157" s="46">
        <v>0.0</v>
      </c>
      <c r="CH157" s="46">
        <v>1.0</v>
      </c>
      <c r="CI157" s="46">
        <v>0.0</v>
      </c>
      <c r="CJ157" s="2"/>
      <c r="CK157" s="2"/>
    </row>
    <row r="158">
      <c r="A158" s="44">
        <v>157.0</v>
      </c>
      <c r="B158" s="44">
        <v>254.0</v>
      </c>
      <c r="C158" s="44" t="s">
        <v>519</v>
      </c>
      <c r="D158" s="44" t="s">
        <v>520</v>
      </c>
      <c r="E158" s="44" t="s">
        <v>521</v>
      </c>
      <c r="F158" s="44">
        <v>871.0</v>
      </c>
      <c r="G158" s="44">
        <v>3.891</v>
      </c>
      <c r="H158" s="44">
        <v>1.522</v>
      </c>
      <c r="I158" s="44">
        <v>1.254</v>
      </c>
      <c r="J158" s="44">
        <v>2.311</v>
      </c>
      <c r="K158" s="44">
        <v>1.245</v>
      </c>
      <c r="L158" s="44">
        <v>1.251</v>
      </c>
      <c r="M158" s="44">
        <v>0.127</v>
      </c>
      <c r="N158" s="44">
        <v>0.476</v>
      </c>
      <c r="O158" s="44">
        <v>0.0</v>
      </c>
      <c r="P158" s="44">
        <v>0.47</v>
      </c>
      <c r="Q158" s="44">
        <v>0.9</v>
      </c>
      <c r="R158" s="44">
        <v>0.0</v>
      </c>
      <c r="S158" s="44">
        <v>1.048</v>
      </c>
      <c r="T158" s="44">
        <v>0.145</v>
      </c>
      <c r="U158" s="44">
        <v>0.75</v>
      </c>
      <c r="V158" s="44">
        <v>14.0</v>
      </c>
      <c r="W158" s="44">
        <v>0.145</v>
      </c>
      <c r="X158" s="44">
        <v>0.75</v>
      </c>
      <c r="Y158" s="44">
        <v>14.0</v>
      </c>
      <c r="Z158" s="44">
        <v>0.0</v>
      </c>
      <c r="AA158" s="44">
        <v>1.0</v>
      </c>
      <c r="AB158" s="44">
        <v>7.0</v>
      </c>
      <c r="AC158" s="44">
        <v>8.0</v>
      </c>
      <c r="AD158" s="44">
        <v>1.4</v>
      </c>
      <c r="AE158" s="44">
        <v>0.5</v>
      </c>
      <c r="AF158" s="44">
        <v>-2.0</v>
      </c>
      <c r="AG158" s="44">
        <v>0.0</v>
      </c>
      <c r="AH158" s="44">
        <v>1.4</v>
      </c>
      <c r="AI158" s="44">
        <v>0.5</v>
      </c>
      <c r="AJ158" s="44">
        <v>1798.0</v>
      </c>
      <c r="AK158" s="44">
        <v>0.0</v>
      </c>
      <c r="AL158" s="44">
        <v>6000.0</v>
      </c>
      <c r="AM158" s="44">
        <v>6100.0</v>
      </c>
      <c r="AN158" s="44">
        <v>700.0</v>
      </c>
      <c r="AO158" s="44">
        <v>3000.0</v>
      </c>
      <c r="AP158" s="44">
        <v>5400.0</v>
      </c>
      <c r="AQ158" s="44">
        <v>0.0</v>
      </c>
      <c r="AR158" s="57" t="s">
        <v>1941</v>
      </c>
      <c r="AS158" s="57" t="s">
        <v>3272</v>
      </c>
      <c r="AT158" s="57" t="s">
        <v>3273</v>
      </c>
      <c r="AU158" s="57" t="s">
        <v>3274</v>
      </c>
      <c r="AV158" s="57" t="s">
        <v>3275</v>
      </c>
      <c r="AW158" s="57" t="s">
        <v>3276</v>
      </c>
      <c r="AX158" s="57" t="s">
        <v>1020</v>
      </c>
      <c r="AY158" s="57" t="s">
        <v>3277</v>
      </c>
      <c r="AZ158" s="57" t="s">
        <v>3278</v>
      </c>
      <c r="BA158" s="57" t="s">
        <v>3279</v>
      </c>
      <c r="BB158" s="57" t="s">
        <v>3280</v>
      </c>
      <c r="BC158" s="57" t="s">
        <v>3281</v>
      </c>
      <c r="BD158" s="57" t="s">
        <v>3282</v>
      </c>
      <c r="BE158" s="57" t="s">
        <v>3283</v>
      </c>
      <c r="BF158" s="57" t="s">
        <v>1052</v>
      </c>
      <c r="BG158" s="57" t="s">
        <v>1029</v>
      </c>
      <c r="BH158" s="57" t="s">
        <v>1030</v>
      </c>
      <c r="BI158" s="57" t="s">
        <v>1031</v>
      </c>
      <c r="BJ158" s="57" t="s">
        <v>1032</v>
      </c>
      <c r="BK158" s="57" t="s">
        <v>1033</v>
      </c>
      <c r="BL158" s="57" t="s">
        <v>1034</v>
      </c>
      <c r="BM158" s="57" t="s">
        <v>1035</v>
      </c>
      <c r="BN158" s="57" t="s">
        <v>1036</v>
      </c>
      <c r="BO158" s="57" t="s">
        <v>1037</v>
      </c>
      <c r="BP158" s="44">
        <v>0.0</v>
      </c>
      <c r="BQ158" s="44">
        <v>4.0</v>
      </c>
      <c r="BR158" s="44">
        <v>3.64</v>
      </c>
      <c r="BS158" s="44">
        <v>2.26</v>
      </c>
      <c r="BT158" s="44">
        <v>1.372</v>
      </c>
      <c r="BU158" s="44">
        <v>1.0</v>
      </c>
      <c r="BV158" s="44">
        <v>0.0</v>
      </c>
      <c r="BW158" s="44">
        <v>0.0</v>
      </c>
      <c r="BX158" s="44">
        <v>0.0</v>
      </c>
      <c r="BY158" s="44">
        <v>0.0</v>
      </c>
      <c r="BZ158" s="44">
        <v>4.76</v>
      </c>
      <c r="CA158" s="44">
        <v>3.909</v>
      </c>
      <c r="CB158" s="44">
        <v>0.0</v>
      </c>
      <c r="CC158" s="44">
        <v>0.0</v>
      </c>
      <c r="CD158" s="44">
        <v>0.0</v>
      </c>
      <c r="CE158" s="44">
        <v>7000.0</v>
      </c>
      <c r="CF158" s="44">
        <v>6000.0</v>
      </c>
      <c r="CG158" s="44">
        <v>0.0</v>
      </c>
      <c r="CH158" s="44">
        <v>0.0</v>
      </c>
      <c r="CI158" s="44">
        <v>0.0</v>
      </c>
      <c r="CJ158" s="2"/>
      <c r="CK158" s="2"/>
    </row>
    <row r="159">
      <c r="A159" s="46">
        <v>158.0</v>
      </c>
      <c r="B159" s="46">
        <v>255.0</v>
      </c>
      <c r="C159" s="46" t="s">
        <v>522</v>
      </c>
      <c r="D159" s="46" t="s">
        <v>523</v>
      </c>
      <c r="E159" s="46" t="s">
        <v>524</v>
      </c>
      <c r="F159" s="46">
        <v>1255.0</v>
      </c>
      <c r="G159" s="46">
        <v>4.455</v>
      </c>
      <c r="H159" s="46">
        <v>1.67</v>
      </c>
      <c r="I159" s="46">
        <v>1.225</v>
      </c>
      <c r="J159" s="46">
        <v>2.44</v>
      </c>
      <c r="K159" s="46">
        <v>1.27</v>
      </c>
      <c r="L159" s="46">
        <v>1.27</v>
      </c>
      <c r="M159" s="46">
        <v>0.08</v>
      </c>
      <c r="N159" s="46">
        <v>0.52</v>
      </c>
      <c r="O159" s="46">
        <v>0.0</v>
      </c>
      <c r="P159" s="46">
        <v>0.5</v>
      </c>
      <c r="Q159" s="46">
        <v>0.9</v>
      </c>
      <c r="R159" s="46">
        <v>0.0</v>
      </c>
      <c r="S159" s="46">
        <v>1.011</v>
      </c>
      <c r="T159" s="46">
        <v>0.165</v>
      </c>
      <c r="U159" s="46">
        <v>0.75</v>
      </c>
      <c r="V159" s="46">
        <v>15.0</v>
      </c>
      <c r="W159" s="46">
        <v>0.165</v>
      </c>
      <c r="X159" s="46">
        <v>0.75</v>
      </c>
      <c r="Y159" s="46">
        <v>15.0</v>
      </c>
      <c r="Z159" s="46">
        <v>0.0</v>
      </c>
      <c r="AA159" s="46">
        <v>0.3</v>
      </c>
      <c r="AB159" s="46">
        <v>6.0</v>
      </c>
      <c r="AC159" s="46">
        <v>12.0</v>
      </c>
      <c r="AD159" s="46">
        <v>2.2</v>
      </c>
      <c r="AE159" s="46">
        <v>1.5</v>
      </c>
      <c r="AF159" s="46">
        <v>-4.0</v>
      </c>
      <c r="AG159" s="46">
        <v>-0.3</v>
      </c>
      <c r="AH159" s="46">
        <v>2.2</v>
      </c>
      <c r="AI159" s="46">
        <v>1.0</v>
      </c>
      <c r="AJ159" s="46">
        <v>4235.0</v>
      </c>
      <c r="AK159" s="46">
        <v>0.0</v>
      </c>
      <c r="AL159" s="46">
        <v>5000.0</v>
      </c>
      <c r="AM159" s="46">
        <v>5500.0</v>
      </c>
      <c r="AN159" s="46">
        <v>700.0</v>
      </c>
      <c r="AO159" s="46">
        <v>4000.0</v>
      </c>
      <c r="AP159" s="46">
        <v>5400.0</v>
      </c>
      <c r="AQ159" s="46">
        <v>0.0</v>
      </c>
      <c r="AR159" s="58" t="s">
        <v>3284</v>
      </c>
      <c r="AS159" s="58" t="s">
        <v>3285</v>
      </c>
      <c r="AT159" s="58" t="s">
        <v>3286</v>
      </c>
      <c r="AU159" s="58" t="s">
        <v>3287</v>
      </c>
      <c r="AV159" s="58" t="s">
        <v>3288</v>
      </c>
      <c r="AW159" s="58" t="s">
        <v>2748</v>
      </c>
      <c r="AX159" s="58" t="s">
        <v>3030</v>
      </c>
      <c r="AY159" s="58" t="s">
        <v>3289</v>
      </c>
      <c r="AZ159" s="58" t="s">
        <v>3290</v>
      </c>
      <c r="BA159" s="58" t="s">
        <v>3291</v>
      </c>
      <c r="BB159" s="58" t="s">
        <v>3292</v>
      </c>
      <c r="BC159" s="58" t="s">
        <v>3293</v>
      </c>
      <c r="BD159" s="58" t="s">
        <v>3294</v>
      </c>
      <c r="BE159" s="58" t="s">
        <v>1143</v>
      </c>
      <c r="BF159" s="58" t="s">
        <v>1052</v>
      </c>
      <c r="BG159" s="58" t="s">
        <v>1029</v>
      </c>
      <c r="BH159" s="58" t="s">
        <v>1030</v>
      </c>
      <c r="BI159" s="58" t="s">
        <v>1031</v>
      </c>
      <c r="BJ159" s="58" t="s">
        <v>1032</v>
      </c>
      <c r="BK159" s="58" t="s">
        <v>1033</v>
      </c>
      <c r="BL159" s="58" t="s">
        <v>1034</v>
      </c>
      <c r="BM159" s="58" t="s">
        <v>1035</v>
      </c>
      <c r="BN159" s="58" t="s">
        <v>1036</v>
      </c>
      <c r="BO159" s="58" t="s">
        <v>1037</v>
      </c>
      <c r="BP159" s="46">
        <v>0.0</v>
      </c>
      <c r="BQ159" s="46">
        <v>4.0</v>
      </c>
      <c r="BR159" s="46">
        <v>2.68</v>
      </c>
      <c r="BS159" s="46">
        <v>1.74</v>
      </c>
      <c r="BT159" s="46">
        <v>1.27</v>
      </c>
      <c r="BU159" s="46">
        <v>1.0</v>
      </c>
      <c r="BV159" s="46">
        <v>0.0</v>
      </c>
      <c r="BW159" s="46">
        <v>0.0</v>
      </c>
      <c r="BX159" s="46">
        <v>0.0</v>
      </c>
      <c r="BY159" s="46">
        <v>0.0</v>
      </c>
      <c r="BZ159" s="46">
        <v>3.08</v>
      </c>
      <c r="CA159" s="46">
        <v>3.07</v>
      </c>
      <c r="CB159" s="46">
        <v>3.0</v>
      </c>
      <c r="CC159" s="46">
        <v>0.0</v>
      </c>
      <c r="CD159" s="46">
        <v>0.0</v>
      </c>
      <c r="CE159" s="46">
        <v>6000.0</v>
      </c>
      <c r="CF159" s="46">
        <v>5000.0</v>
      </c>
      <c r="CG159" s="46">
        <v>0.0</v>
      </c>
      <c r="CH159" s="46">
        <v>0.0</v>
      </c>
      <c r="CI159" s="46">
        <v>0.0</v>
      </c>
      <c r="CJ159" s="2"/>
      <c r="CK159" s="2"/>
    </row>
    <row r="160">
      <c r="A160" s="44">
        <v>159.0</v>
      </c>
      <c r="B160" s="44">
        <v>256.0</v>
      </c>
      <c r="C160" s="44" t="s">
        <v>525</v>
      </c>
      <c r="D160" s="44" t="s">
        <v>526</v>
      </c>
      <c r="E160" s="44" t="s">
        <v>527</v>
      </c>
      <c r="F160" s="44">
        <v>1550.0</v>
      </c>
      <c r="G160" s="44">
        <v>4.06</v>
      </c>
      <c r="H160" s="44">
        <v>1.765</v>
      </c>
      <c r="I160" s="44">
        <v>1.34</v>
      </c>
      <c r="J160" s="44">
        <v>2.43</v>
      </c>
      <c r="K160" s="44">
        <v>1.53</v>
      </c>
      <c r="L160" s="44">
        <v>1.5</v>
      </c>
      <c r="M160" s="44">
        <v>0.08</v>
      </c>
      <c r="N160" s="44">
        <v>0.394</v>
      </c>
      <c r="O160" s="44">
        <v>4.0</v>
      </c>
      <c r="P160" s="44">
        <v>0.49</v>
      </c>
      <c r="Q160" s="44">
        <v>1.1</v>
      </c>
      <c r="R160" s="44">
        <v>0.0</v>
      </c>
      <c r="S160" s="44">
        <v>1.123</v>
      </c>
      <c r="T160" s="44">
        <v>0.225</v>
      </c>
      <c r="U160" s="44">
        <v>0.4</v>
      </c>
      <c r="V160" s="44">
        <v>18.0</v>
      </c>
      <c r="W160" s="44">
        <v>0.225</v>
      </c>
      <c r="X160" s="44">
        <v>0.4</v>
      </c>
      <c r="Y160" s="44">
        <v>18.0</v>
      </c>
      <c r="Z160" s="44">
        <v>0.0</v>
      </c>
      <c r="AA160" s="44">
        <v>-0.15</v>
      </c>
      <c r="AB160" s="44">
        <v>3.0</v>
      </c>
      <c r="AC160" s="44">
        <v>14.0</v>
      </c>
      <c r="AD160" s="44">
        <v>2.3</v>
      </c>
      <c r="AE160" s="44">
        <v>2.0</v>
      </c>
      <c r="AF160" s="44">
        <v>0.0</v>
      </c>
      <c r="AG160" s="44">
        <v>-0.3</v>
      </c>
      <c r="AH160" s="44">
        <v>2.3</v>
      </c>
      <c r="AI160" s="44">
        <v>2.0</v>
      </c>
      <c r="AJ160" s="44">
        <v>3188.0</v>
      </c>
      <c r="AK160" s="44">
        <v>0.0</v>
      </c>
      <c r="AL160" s="44">
        <v>6600.0</v>
      </c>
      <c r="AM160" s="44">
        <v>6800.0</v>
      </c>
      <c r="AN160" s="44">
        <v>800.0</v>
      </c>
      <c r="AO160" s="44">
        <v>2800.0</v>
      </c>
      <c r="AP160" s="44">
        <v>6300.0</v>
      </c>
      <c r="AQ160" s="44">
        <v>0.0</v>
      </c>
      <c r="AR160" s="57" t="s">
        <v>3295</v>
      </c>
      <c r="AS160" s="57" t="s">
        <v>3296</v>
      </c>
      <c r="AT160" s="57" t="s">
        <v>3297</v>
      </c>
      <c r="AU160" s="57" t="s">
        <v>3298</v>
      </c>
      <c r="AV160" s="57" t="s">
        <v>3299</v>
      </c>
      <c r="AW160" s="57" t="s">
        <v>3300</v>
      </c>
      <c r="AX160" s="57" t="s">
        <v>3301</v>
      </c>
      <c r="AY160" s="57" t="s">
        <v>3302</v>
      </c>
      <c r="AZ160" s="57" t="s">
        <v>3303</v>
      </c>
      <c r="BA160" s="57" t="s">
        <v>3304</v>
      </c>
      <c r="BB160" s="57" t="s">
        <v>3305</v>
      </c>
      <c r="BC160" s="57" t="s">
        <v>3306</v>
      </c>
      <c r="BD160" s="57" t="s">
        <v>3307</v>
      </c>
      <c r="BE160" s="57" t="s">
        <v>3308</v>
      </c>
      <c r="BF160" s="57" t="s">
        <v>1052</v>
      </c>
      <c r="BG160" s="57" t="s">
        <v>1029</v>
      </c>
      <c r="BH160" s="57" t="s">
        <v>1030</v>
      </c>
      <c r="BI160" s="57" t="s">
        <v>1031</v>
      </c>
      <c r="BJ160" s="57" t="s">
        <v>1032</v>
      </c>
      <c r="BK160" s="57" t="s">
        <v>1033</v>
      </c>
      <c r="BL160" s="57" t="s">
        <v>1034</v>
      </c>
      <c r="BM160" s="57" t="s">
        <v>1035</v>
      </c>
      <c r="BN160" s="57" t="s">
        <v>1036</v>
      </c>
      <c r="BO160" s="57" t="s">
        <v>1037</v>
      </c>
      <c r="BP160" s="44">
        <v>0.0</v>
      </c>
      <c r="BQ160" s="44">
        <v>6.0</v>
      </c>
      <c r="BR160" s="44">
        <v>3.461</v>
      </c>
      <c r="BS160" s="44">
        <v>2.045</v>
      </c>
      <c r="BT160" s="44">
        <v>1.451</v>
      </c>
      <c r="BU160" s="44">
        <v>1.078</v>
      </c>
      <c r="BV160" s="44">
        <v>0.875</v>
      </c>
      <c r="BW160" s="44">
        <v>0.712</v>
      </c>
      <c r="BX160" s="44">
        <v>0.0</v>
      </c>
      <c r="BY160" s="44">
        <v>0.0</v>
      </c>
      <c r="BZ160" s="44">
        <v>2.98</v>
      </c>
      <c r="CA160" s="44">
        <v>4.059</v>
      </c>
      <c r="CB160" s="44">
        <v>0.0</v>
      </c>
      <c r="CC160" s="44">
        <v>2.0</v>
      </c>
      <c r="CD160" s="44">
        <v>1.0</v>
      </c>
      <c r="CE160" s="44">
        <v>7500.0</v>
      </c>
      <c r="CF160" s="44">
        <v>6600.0</v>
      </c>
      <c r="CG160" s="44">
        <v>0.0</v>
      </c>
      <c r="CH160" s="44">
        <v>1.0</v>
      </c>
      <c r="CI160" s="44">
        <v>0.0</v>
      </c>
      <c r="CJ160" s="2"/>
      <c r="CK160" s="2"/>
    </row>
    <row r="161">
      <c r="A161" s="46">
        <v>160.0</v>
      </c>
      <c r="B161" s="46">
        <v>258.0</v>
      </c>
      <c r="C161" s="46" t="s">
        <v>528</v>
      </c>
      <c r="D161" s="46" t="s">
        <v>529</v>
      </c>
      <c r="E161" s="46" t="s">
        <v>530</v>
      </c>
      <c r="F161" s="46">
        <v>1310.0</v>
      </c>
      <c r="G161" s="46">
        <v>4.52</v>
      </c>
      <c r="H161" s="46">
        <v>1.79</v>
      </c>
      <c r="I161" s="46">
        <v>1.3</v>
      </c>
      <c r="J161" s="46">
        <v>2.4</v>
      </c>
      <c r="K161" s="46">
        <v>1.385</v>
      </c>
      <c r="L161" s="46">
        <v>1.435</v>
      </c>
      <c r="M161" s="46">
        <v>0.13</v>
      </c>
      <c r="N161" s="46">
        <v>0.52</v>
      </c>
      <c r="O161" s="46">
        <v>0.0</v>
      </c>
      <c r="P161" s="46">
        <v>0.45</v>
      </c>
      <c r="Q161" s="46">
        <v>0.95</v>
      </c>
      <c r="R161" s="46">
        <v>0.0</v>
      </c>
      <c r="S161" s="46">
        <v>1.081</v>
      </c>
      <c r="T161" s="46">
        <v>0.165</v>
      </c>
      <c r="U161" s="46">
        <v>0.7</v>
      </c>
      <c r="V161" s="46">
        <v>15.0</v>
      </c>
      <c r="W161" s="46">
        <v>0.165</v>
      </c>
      <c r="X161" s="46">
        <v>0.7</v>
      </c>
      <c r="Y161" s="46">
        <v>15.0</v>
      </c>
      <c r="Z161" s="46">
        <v>0.0</v>
      </c>
      <c r="AA161" s="46">
        <v>0.3</v>
      </c>
      <c r="AB161" s="46">
        <v>4.3</v>
      </c>
      <c r="AC161" s="46">
        <v>2.25</v>
      </c>
      <c r="AD161" s="46">
        <v>1.5</v>
      </c>
      <c r="AE161" s="46">
        <v>1.0</v>
      </c>
      <c r="AF161" s="46">
        <v>-4.0</v>
      </c>
      <c r="AG161" s="46">
        <v>-0.3</v>
      </c>
      <c r="AH161" s="46">
        <v>1.5</v>
      </c>
      <c r="AI161" s="46">
        <v>0.5</v>
      </c>
      <c r="AJ161" s="46">
        <v>2996.0</v>
      </c>
      <c r="AK161" s="46">
        <v>0.0</v>
      </c>
      <c r="AL161" s="46">
        <v>6000.0</v>
      </c>
      <c r="AM161" s="46">
        <v>6400.0</v>
      </c>
      <c r="AN161" s="46">
        <v>700.0</v>
      </c>
      <c r="AO161" s="46">
        <v>4600.0</v>
      </c>
      <c r="AP161" s="46">
        <v>5800.0</v>
      </c>
      <c r="AQ161" s="46">
        <v>0.0</v>
      </c>
      <c r="AR161" s="58" t="s">
        <v>3309</v>
      </c>
      <c r="AS161" s="58" t="s">
        <v>3310</v>
      </c>
      <c r="AT161" s="58" t="s">
        <v>3311</v>
      </c>
      <c r="AU161" s="58" t="s">
        <v>3312</v>
      </c>
      <c r="AV161" s="58" t="s">
        <v>3313</v>
      </c>
      <c r="AW161" s="58" t="s">
        <v>3314</v>
      </c>
      <c r="AX161" s="58" t="s">
        <v>1889</v>
      </c>
      <c r="AY161" s="58" t="s">
        <v>3315</v>
      </c>
      <c r="AZ161" s="58" t="s">
        <v>3316</v>
      </c>
      <c r="BA161" s="58" t="s">
        <v>3317</v>
      </c>
      <c r="BB161" s="58" t="s">
        <v>3318</v>
      </c>
      <c r="BC161" s="58" t="s">
        <v>3319</v>
      </c>
      <c r="BD161" s="58" t="s">
        <v>3294</v>
      </c>
      <c r="BE161" s="58" t="s">
        <v>3320</v>
      </c>
      <c r="BF161" s="58" t="s">
        <v>1052</v>
      </c>
      <c r="BG161" s="58" t="s">
        <v>1029</v>
      </c>
      <c r="BH161" s="58" t="s">
        <v>1030</v>
      </c>
      <c r="BI161" s="58" t="s">
        <v>1031</v>
      </c>
      <c r="BJ161" s="58" t="s">
        <v>1032</v>
      </c>
      <c r="BK161" s="58" t="s">
        <v>1033</v>
      </c>
      <c r="BL161" s="58" t="s">
        <v>1034</v>
      </c>
      <c r="BM161" s="58" t="s">
        <v>1035</v>
      </c>
      <c r="BN161" s="58" t="s">
        <v>1036</v>
      </c>
      <c r="BO161" s="58" t="s">
        <v>1037</v>
      </c>
      <c r="BP161" s="46">
        <v>0.0</v>
      </c>
      <c r="BQ161" s="46">
        <v>4.0</v>
      </c>
      <c r="BR161" s="46">
        <v>3.34</v>
      </c>
      <c r="BS161" s="46">
        <v>1.97</v>
      </c>
      <c r="BT161" s="46">
        <v>1.385</v>
      </c>
      <c r="BU161" s="46">
        <v>1.0</v>
      </c>
      <c r="BV161" s="46">
        <v>0.0</v>
      </c>
      <c r="BW161" s="46">
        <v>0.0</v>
      </c>
      <c r="BX161" s="46">
        <v>0.0</v>
      </c>
      <c r="BY161" s="46">
        <v>0.0</v>
      </c>
      <c r="BZ161" s="46">
        <v>2.73</v>
      </c>
      <c r="CA161" s="46">
        <v>3.64</v>
      </c>
      <c r="CB161" s="46">
        <v>0.0</v>
      </c>
      <c r="CC161" s="46">
        <v>0.0</v>
      </c>
      <c r="CD161" s="46">
        <v>0.0</v>
      </c>
      <c r="CE161" s="46">
        <v>7000.0</v>
      </c>
      <c r="CF161" s="46">
        <v>6000.0</v>
      </c>
      <c r="CG161" s="46">
        <v>0.0</v>
      </c>
      <c r="CH161" s="46">
        <v>0.0</v>
      </c>
      <c r="CI161" s="46">
        <v>0.0</v>
      </c>
      <c r="CJ161" s="2"/>
      <c r="CK161" s="2"/>
    </row>
    <row r="162">
      <c r="A162" s="44">
        <v>161.0</v>
      </c>
      <c r="B162" s="44">
        <v>261.0</v>
      </c>
      <c r="C162" s="44" t="s">
        <v>531</v>
      </c>
      <c r="D162" s="44" t="s">
        <v>532</v>
      </c>
      <c r="E162" s="44" t="s">
        <v>533</v>
      </c>
      <c r="F162" s="44">
        <v>1270.0</v>
      </c>
      <c r="G162" s="44">
        <v>4.365</v>
      </c>
      <c r="H162" s="44">
        <v>1.77</v>
      </c>
      <c r="I162" s="44">
        <v>1.39</v>
      </c>
      <c r="J162" s="44">
        <v>2.52</v>
      </c>
      <c r="K162" s="44">
        <v>1.48</v>
      </c>
      <c r="L162" s="44">
        <v>1.5</v>
      </c>
      <c r="M162" s="44">
        <v>0.14</v>
      </c>
      <c r="N162" s="44">
        <v>0.409</v>
      </c>
      <c r="O162" s="44">
        <v>4.0</v>
      </c>
      <c r="P162" s="44">
        <v>0.49</v>
      </c>
      <c r="Q162" s="44">
        <v>1.05</v>
      </c>
      <c r="R162" s="44">
        <v>100.0</v>
      </c>
      <c r="S162" s="44">
        <v>1.116</v>
      </c>
      <c r="T162" s="44">
        <v>0.235</v>
      </c>
      <c r="U162" s="44">
        <v>0.4</v>
      </c>
      <c r="V162" s="44">
        <v>17.0</v>
      </c>
      <c r="W162" s="44">
        <v>0.235</v>
      </c>
      <c r="X162" s="44">
        <v>0.4</v>
      </c>
      <c r="Y162" s="44">
        <v>17.0</v>
      </c>
      <c r="Z162" s="44">
        <v>0.0</v>
      </c>
      <c r="AA162" s="44">
        <v>-0.15</v>
      </c>
      <c r="AB162" s="44">
        <v>3.4</v>
      </c>
      <c r="AC162" s="44">
        <v>14.0</v>
      </c>
      <c r="AD162" s="44">
        <v>1.6</v>
      </c>
      <c r="AE162" s="44">
        <v>3.0</v>
      </c>
      <c r="AF162" s="44">
        <v>0.0</v>
      </c>
      <c r="AG162" s="44">
        <v>-0.3</v>
      </c>
      <c r="AH162" s="44">
        <v>1.6</v>
      </c>
      <c r="AI162" s="44">
        <v>2.0</v>
      </c>
      <c r="AJ162" s="44">
        <v>2212.0</v>
      </c>
      <c r="AK162" s="44">
        <v>1.0</v>
      </c>
      <c r="AL162" s="44">
        <v>8000.0</v>
      </c>
      <c r="AM162" s="44">
        <v>8200.0</v>
      </c>
      <c r="AN162" s="44">
        <v>800.0</v>
      </c>
      <c r="AO162" s="44">
        <v>3200.0</v>
      </c>
      <c r="AP162" s="44">
        <v>6000.0</v>
      </c>
      <c r="AQ162" s="44">
        <v>0.0</v>
      </c>
      <c r="AR162" s="57" t="s">
        <v>1632</v>
      </c>
      <c r="AS162" s="57" t="s">
        <v>3321</v>
      </c>
      <c r="AT162" s="57" t="s">
        <v>2308</v>
      </c>
      <c r="AU162" s="57" t="s">
        <v>3322</v>
      </c>
      <c r="AV162" s="57" t="s">
        <v>3323</v>
      </c>
      <c r="AW162" s="57" t="s">
        <v>2453</v>
      </c>
      <c r="AX162" s="57" t="s">
        <v>3324</v>
      </c>
      <c r="AY162" s="57" t="s">
        <v>3325</v>
      </c>
      <c r="AZ162" s="57" t="s">
        <v>3326</v>
      </c>
      <c r="BA162" s="57" t="s">
        <v>3327</v>
      </c>
      <c r="BB162" s="57" t="s">
        <v>3328</v>
      </c>
      <c r="BC162" s="57" t="s">
        <v>3329</v>
      </c>
      <c r="BD162" s="57" t="s">
        <v>3330</v>
      </c>
      <c r="BE162" s="57" t="s">
        <v>2825</v>
      </c>
      <c r="BF162" s="57" t="s">
        <v>3331</v>
      </c>
      <c r="BG162" s="57" t="s">
        <v>3332</v>
      </c>
      <c r="BH162" s="57" t="s">
        <v>3333</v>
      </c>
      <c r="BI162" s="57" t="s">
        <v>1031</v>
      </c>
      <c r="BJ162" s="57" t="s">
        <v>1032</v>
      </c>
      <c r="BK162" s="57" t="s">
        <v>1033</v>
      </c>
      <c r="BL162" s="57" t="s">
        <v>1034</v>
      </c>
      <c r="BM162" s="57" t="s">
        <v>1035</v>
      </c>
      <c r="BN162" s="57" t="s">
        <v>1036</v>
      </c>
      <c r="BO162" s="57" t="s">
        <v>1037</v>
      </c>
      <c r="BP162" s="44">
        <v>0.0</v>
      </c>
      <c r="BQ162" s="44">
        <v>5.0</v>
      </c>
      <c r="BR162" s="44">
        <v>3.083</v>
      </c>
      <c r="BS162" s="44">
        <v>2.062</v>
      </c>
      <c r="BT162" s="44">
        <v>1.545</v>
      </c>
      <c r="BU162" s="44">
        <v>1.151</v>
      </c>
      <c r="BV162" s="44">
        <v>0.825</v>
      </c>
      <c r="BW162" s="44">
        <v>0.0</v>
      </c>
      <c r="BX162" s="44">
        <v>0.0</v>
      </c>
      <c r="BY162" s="44">
        <v>0.0</v>
      </c>
      <c r="BZ162" s="44">
        <v>3.416</v>
      </c>
      <c r="CA162" s="44">
        <v>4.444</v>
      </c>
      <c r="CB162" s="44">
        <v>0.0</v>
      </c>
      <c r="CC162" s="44">
        <v>3.0</v>
      </c>
      <c r="CD162" s="44">
        <v>5.0</v>
      </c>
      <c r="CE162" s="44">
        <v>9000.0</v>
      </c>
      <c r="CF162" s="44">
        <v>8000.0</v>
      </c>
      <c r="CG162" s="44">
        <v>0.0</v>
      </c>
      <c r="CH162" s="44">
        <v>0.0</v>
      </c>
      <c r="CI162" s="44">
        <v>0.0</v>
      </c>
      <c r="CJ162" s="2"/>
      <c r="CK162" s="2"/>
    </row>
    <row r="163">
      <c r="A163" s="46">
        <v>162.0</v>
      </c>
      <c r="B163" s="46">
        <v>263.0</v>
      </c>
      <c r="C163" s="46" t="s">
        <v>534</v>
      </c>
      <c r="D163" s="46" t="s">
        <v>535</v>
      </c>
      <c r="E163" s="46" t="s">
        <v>536</v>
      </c>
      <c r="F163" s="46">
        <v>970.0</v>
      </c>
      <c r="G163" s="46">
        <v>4.075</v>
      </c>
      <c r="H163" s="46">
        <v>1.595</v>
      </c>
      <c r="I163" s="46">
        <v>1.355</v>
      </c>
      <c r="J163" s="46">
        <v>2.31</v>
      </c>
      <c r="K163" s="46">
        <v>1.31</v>
      </c>
      <c r="L163" s="46">
        <v>1.3</v>
      </c>
      <c r="M163" s="46">
        <v>0.1</v>
      </c>
      <c r="N163" s="46">
        <v>0.418</v>
      </c>
      <c r="O163" s="46">
        <v>0.0</v>
      </c>
      <c r="P163" s="46">
        <v>0.47</v>
      </c>
      <c r="Q163" s="46">
        <v>0.9</v>
      </c>
      <c r="R163" s="46">
        <v>0.0</v>
      </c>
      <c r="S163" s="46">
        <v>1.072</v>
      </c>
      <c r="T163" s="46">
        <v>0.175</v>
      </c>
      <c r="U163" s="46">
        <v>0.7</v>
      </c>
      <c r="V163" s="46">
        <v>13.0</v>
      </c>
      <c r="W163" s="46">
        <v>0.175</v>
      </c>
      <c r="X163" s="46">
        <v>0.7</v>
      </c>
      <c r="Y163" s="46">
        <v>13.0</v>
      </c>
      <c r="Z163" s="46">
        <v>0.0</v>
      </c>
      <c r="AA163" s="46">
        <v>1.0</v>
      </c>
      <c r="AB163" s="46">
        <v>1.3</v>
      </c>
      <c r="AC163" s="46">
        <v>8.3</v>
      </c>
      <c r="AD163" s="46">
        <v>1.8</v>
      </c>
      <c r="AE163" s="46">
        <v>1.5</v>
      </c>
      <c r="AF163" s="46">
        <v>-4.0</v>
      </c>
      <c r="AG163" s="46">
        <v>-0.3</v>
      </c>
      <c r="AH163" s="46">
        <v>1.8</v>
      </c>
      <c r="AI163" s="46">
        <v>1.0</v>
      </c>
      <c r="AJ163" s="46">
        <v>1146.0</v>
      </c>
      <c r="AK163" s="46">
        <v>2.0</v>
      </c>
      <c r="AL163" s="46">
        <v>7000.0</v>
      </c>
      <c r="AM163" s="46">
        <v>7400.0</v>
      </c>
      <c r="AN163" s="46">
        <v>600.0</v>
      </c>
      <c r="AO163" s="46">
        <v>4000.0</v>
      </c>
      <c r="AP163" s="46">
        <v>6500.0</v>
      </c>
      <c r="AQ163" s="46">
        <v>0.0</v>
      </c>
      <c r="AR163" s="58" t="s">
        <v>3334</v>
      </c>
      <c r="AS163" s="58" t="s">
        <v>1015</v>
      </c>
      <c r="AT163" s="58" t="s">
        <v>3335</v>
      </c>
      <c r="AU163" s="58" t="s">
        <v>3336</v>
      </c>
      <c r="AV163" s="58" t="s">
        <v>3337</v>
      </c>
      <c r="AW163" s="58" t="s">
        <v>1106</v>
      </c>
      <c r="AX163" s="58" t="s">
        <v>3338</v>
      </c>
      <c r="AY163" s="58" t="s">
        <v>3339</v>
      </c>
      <c r="AZ163" s="58" t="s">
        <v>3340</v>
      </c>
      <c r="BA163" s="58" t="s">
        <v>3341</v>
      </c>
      <c r="BB163" s="58" t="s">
        <v>3342</v>
      </c>
      <c r="BC163" s="58" t="s">
        <v>3343</v>
      </c>
      <c r="BD163" s="58" t="s">
        <v>3344</v>
      </c>
      <c r="BE163" s="58" t="s">
        <v>3345</v>
      </c>
      <c r="BF163" s="58" t="s">
        <v>2888</v>
      </c>
      <c r="BG163" s="58" t="s">
        <v>3346</v>
      </c>
      <c r="BH163" s="58" t="s">
        <v>1030</v>
      </c>
      <c r="BI163" s="58" t="s">
        <v>1031</v>
      </c>
      <c r="BJ163" s="58" t="s">
        <v>1032</v>
      </c>
      <c r="BK163" s="58" t="s">
        <v>1033</v>
      </c>
      <c r="BL163" s="58" t="s">
        <v>1034</v>
      </c>
      <c r="BM163" s="58" t="s">
        <v>1035</v>
      </c>
      <c r="BN163" s="58" t="s">
        <v>1036</v>
      </c>
      <c r="BO163" s="58" t="s">
        <v>1037</v>
      </c>
      <c r="BP163" s="46">
        <v>0.0</v>
      </c>
      <c r="BQ163" s="46">
        <v>5.0</v>
      </c>
      <c r="BR163" s="46">
        <v>3.683</v>
      </c>
      <c r="BS163" s="46">
        <v>2.263</v>
      </c>
      <c r="BT163" s="46">
        <v>1.397</v>
      </c>
      <c r="BU163" s="46">
        <v>1.0</v>
      </c>
      <c r="BV163" s="46">
        <v>0.862</v>
      </c>
      <c r="BW163" s="46">
        <v>0.0</v>
      </c>
      <c r="BX163" s="46">
        <v>0.0</v>
      </c>
      <c r="BY163" s="46">
        <v>0.0</v>
      </c>
      <c r="BZ163" s="46">
        <v>3.692</v>
      </c>
      <c r="CA163" s="46">
        <v>3.727</v>
      </c>
      <c r="CB163" s="46">
        <v>0.0</v>
      </c>
      <c r="CC163" s="46">
        <v>0.0</v>
      </c>
      <c r="CD163" s="46">
        <v>0.0</v>
      </c>
      <c r="CE163" s="46">
        <v>8000.0</v>
      </c>
      <c r="CF163" s="46">
        <v>7000.0</v>
      </c>
      <c r="CG163" s="46">
        <v>0.0</v>
      </c>
      <c r="CH163" s="46">
        <v>0.0</v>
      </c>
      <c r="CI163" s="46">
        <v>0.0</v>
      </c>
      <c r="CJ163" s="2"/>
      <c r="CK163" s="2"/>
    </row>
    <row r="164">
      <c r="A164" s="44">
        <v>163.0</v>
      </c>
      <c r="B164" s="44">
        <v>264.0</v>
      </c>
      <c r="C164" s="44" t="s">
        <v>537</v>
      </c>
      <c r="D164" s="44" t="s">
        <v>538</v>
      </c>
      <c r="E164" s="44" t="s">
        <v>539</v>
      </c>
      <c r="F164" s="44">
        <v>1035.0</v>
      </c>
      <c r="G164" s="44">
        <v>4.32</v>
      </c>
      <c r="H164" s="44">
        <v>1.67</v>
      </c>
      <c r="I164" s="44">
        <v>1.265</v>
      </c>
      <c r="J164" s="44">
        <v>2.42</v>
      </c>
      <c r="K164" s="44">
        <v>1.42</v>
      </c>
      <c r="L164" s="44">
        <v>1.4</v>
      </c>
      <c r="M164" s="44">
        <v>0.1</v>
      </c>
      <c r="N164" s="44">
        <v>0.456</v>
      </c>
      <c r="O164" s="44">
        <v>0.0</v>
      </c>
      <c r="P164" s="44">
        <v>0.43</v>
      </c>
      <c r="Q164" s="44">
        <v>1.0</v>
      </c>
      <c r="R164" s="44">
        <v>0.0</v>
      </c>
      <c r="S164" s="44">
        <v>1.055</v>
      </c>
      <c r="T164" s="44">
        <v>0.205</v>
      </c>
      <c r="U164" s="44">
        <v>0.6</v>
      </c>
      <c r="V164" s="44">
        <v>14.0</v>
      </c>
      <c r="W164" s="44">
        <v>0.205</v>
      </c>
      <c r="X164" s="44">
        <v>0.6</v>
      </c>
      <c r="Y164" s="44">
        <v>14.0</v>
      </c>
      <c r="Z164" s="44">
        <v>0.0</v>
      </c>
      <c r="AA164" s="44">
        <v>0.5</v>
      </c>
      <c r="AB164" s="44">
        <v>4.0</v>
      </c>
      <c r="AC164" s="44">
        <v>11.05</v>
      </c>
      <c r="AD164" s="44">
        <v>1.8</v>
      </c>
      <c r="AE164" s="44">
        <v>2.0</v>
      </c>
      <c r="AF164" s="44">
        <v>-2.0</v>
      </c>
      <c r="AG164" s="44">
        <v>0.0</v>
      </c>
      <c r="AH164" s="44">
        <v>1.6</v>
      </c>
      <c r="AI164" s="44">
        <v>0.5</v>
      </c>
      <c r="AJ164" s="44">
        <v>1146.0</v>
      </c>
      <c r="AK164" s="44">
        <v>3.0</v>
      </c>
      <c r="AL164" s="44">
        <v>7000.0</v>
      </c>
      <c r="AM164" s="44">
        <v>7300.0</v>
      </c>
      <c r="AN164" s="44">
        <v>600.0</v>
      </c>
      <c r="AO164" s="44">
        <v>4000.0</v>
      </c>
      <c r="AP164" s="44">
        <v>6500.0</v>
      </c>
      <c r="AQ164" s="44">
        <v>0.0</v>
      </c>
      <c r="AR164" s="57" t="s">
        <v>2391</v>
      </c>
      <c r="AS164" s="57" t="s">
        <v>3347</v>
      </c>
      <c r="AT164" s="57" t="s">
        <v>3348</v>
      </c>
      <c r="AU164" s="57" t="s">
        <v>3312</v>
      </c>
      <c r="AV164" s="57" t="s">
        <v>3349</v>
      </c>
      <c r="AW164" s="57" t="s">
        <v>3350</v>
      </c>
      <c r="AX164" s="57" t="s">
        <v>3351</v>
      </c>
      <c r="AY164" s="57" t="s">
        <v>1350</v>
      </c>
      <c r="AZ164" s="57" t="s">
        <v>3352</v>
      </c>
      <c r="BA164" s="57" t="s">
        <v>3353</v>
      </c>
      <c r="BB164" s="57" t="s">
        <v>3354</v>
      </c>
      <c r="BC164" s="57" t="s">
        <v>2290</v>
      </c>
      <c r="BD164" s="57" t="s">
        <v>3355</v>
      </c>
      <c r="BE164" s="57" t="s">
        <v>3356</v>
      </c>
      <c r="BF164" s="57" t="s">
        <v>1052</v>
      </c>
      <c r="BG164" s="57" t="s">
        <v>1029</v>
      </c>
      <c r="BH164" s="57" t="s">
        <v>1030</v>
      </c>
      <c r="BI164" s="57" t="s">
        <v>1031</v>
      </c>
      <c r="BJ164" s="57" t="s">
        <v>1032</v>
      </c>
      <c r="BK164" s="57" t="s">
        <v>1033</v>
      </c>
      <c r="BL164" s="57" t="s">
        <v>1034</v>
      </c>
      <c r="BM164" s="57" t="s">
        <v>1035</v>
      </c>
      <c r="BN164" s="57" t="s">
        <v>1036</v>
      </c>
      <c r="BO164" s="57" t="s">
        <v>1037</v>
      </c>
      <c r="BP164" s="44">
        <v>0.0</v>
      </c>
      <c r="BQ164" s="44">
        <v>5.0</v>
      </c>
      <c r="BR164" s="44">
        <v>3.622</v>
      </c>
      <c r="BS164" s="44">
        <v>2.186</v>
      </c>
      <c r="BT164" s="44">
        <v>1.419</v>
      </c>
      <c r="BU164" s="44">
        <v>1.0</v>
      </c>
      <c r="BV164" s="44">
        <v>0.791</v>
      </c>
      <c r="BW164" s="44">
        <v>0.0</v>
      </c>
      <c r="BX164" s="44">
        <v>0.0</v>
      </c>
      <c r="BY164" s="44">
        <v>0.0</v>
      </c>
      <c r="BZ164" s="44">
        <v>3.493</v>
      </c>
      <c r="CA164" s="44">
        <v>3.909</v>
      </c>
      <c r="CB164" s="44">
        <v>0.0</v>
      </c>
      <c r="CC164" s="44">
        <v>0.0</v>
      </c>
      <c r="CD164" s="44">
        <v>0.0</v>
      </c>
      <c r="CE164" s="44">
        <v>8000.0</v>
      </c>
      <c r="CF164" s="44">
        <v>7000.0</v>
      </c>
      <c r="CG164" s="44">
        <v>1.0</v>
      </c>
      <c r="CH164" s="44">
        <v>0.0</v>
      </c>
      <c r="CI164" s="44">
        <v>0.0</v>
      </c>
      <c r="CJ164" s="2"/>
      <c r="CK164" s="2"/>
    </row>
    <row r="165">
      <c r="A165" s="46">
        <v>164.0</v>
      </c>
      <c r="B165" s="46">
        <v>265.0</v>
      </c>
      <c r="C165" s="46" t="s">
        <v>540</v>
      </c>
      <c r="D165" s="46" t="s">
        <v>541</v>
      </c>
      <c r="E165" s="46" t="s">
        <v>542</v>
      </c>
      <c r="F165" s="46">
        <v>1080.0</v>
      </c>
      <c r="G165" s="46">
        <v>3.925</v>
      </c>
      <c r="H165" s="46">
        <v>1.68</v>
      </c>
      <c r="I165" s="46">
        <v>1.53</v>
      </c>
      <c r="J165" s="46">
        <v>2.49</v>
      </c>
      <c r="K165" s="46">
        <v>1.475</v>
      </c>
      <c r="L165" s="46">
        <v>1.45</v>
      </c>
      <c r="M165" s="46">
        <v>0.155</v>
      </c>
      <c r="N165" s="46">
        <v>0.398</v>
      </c>
      <c r="O165" s="46">
        <v>1.0</v>
      </c>
      <c r="P165" s="46">
        <v>0.5</v>
      </c>
      <c r="Q165" s="46">
        <v>1.0</v>
      </c>
      <c r="R165" s="46">
        <v>0.0</v>
      </c>
      <c r="S165" s="46">
        <v>1.196</v>
      </c>
      <c r="T165" s="46">
        <v>0.185</v>
      </c>
      <c r="U165" s="46">
        <v>0.55</v>
      </c>
      <c r="V165" s="46">
        <v>15.0</v>
      </c>
      <c r="W165" s="46">
        <v>0.185</v>
      </c>
      <c r="X165" s="46">
        <v>0.55</v>
      </c>
      <c r="Y165" s="46">
        <v>15.0</v>
      </c>
      <c r="Z165" s="46">
        <v>-3.0</v>
      </c>
      <c r="AA165" s="46">
        <v>0.4</v>
      </c>
      <c r="AB165" s="46">
        <v>3.4</v>
      </c>
      <c r="AC165" s="46">
        <v>13.1</v>
      </c>
      <c r="AD165" s="46">
        <v>1.4</v>
      </c>
      <c r="AE165" s="46">
        <v>1.0</v>
      </c>
      <c r="AF165" s="46">
        <v>-5.0</v>
      </c>
      <c r="AG165" s="46">
        <v>-1.0</v>
      </c>
      <c r="AH165" s="46">
        <v>1.4</v>
      </c>
      <c r="AI165" s="46">
        <v>1.0</v>
      </c>
      <c r="AJ165" s="46">
        <v>1498.0</v>
      </c>
      <c r="AK165" s="46">
        <v>0.0</v>
      </c>
      <c r="AL165" s="46">
        <v>6500.0</v>
      </c>
      <c r="AM165" s="46">
        <v>6500.0</v>
      </c>
      <c r="AN165" s="46">
        <v>700.0</v>
      </c>
      <c r="AO165" s="46">
        <v>4000.0</v>
      </c>
      <c r="AP165" s="46">
        <v>6000.0</v>
      </c>
      <c r="AQ165" s="46">
        <v>0.0</v>
      </c>
      <c r="AR165" s="58" t="s">
        <v>3357</v>
      </c>
      <c r="AS165" s="58" t="s">
        <v>3358</v>
      </c>
      <c r="AT165" s="58" t="s">
        <v>3359</v>
      </c>
      <c r="AU165" s="58" t="s">
        <v>3360</v>
      </c>
      <c r="AV165" s="58" t="s">
        <v>3361</v>
      </c>
      <c r="AW165" s="58" t="s">
        <v>3362</v>
      </c>
      <c r="AX165" s="58" t="s">
        <v>3363</v>
      </c>
      <c r="AY165" s="58" t="s">
        <v>3364</v>
      </c>
      <c r="AZ165" s="58" t="s">
        <v>3365</v>
      </c>
      <c r="BA165" s="58" t="s">
        <v>3366</v>
      </c>
      <c r="BB165" s="58" t="s">
        <v>3367</v>
      </c>
      <c r="BC165" s="58" t="s">
        <v>3368</v>
      </c>
      <c r="BD165" s="58" t="s">
        <v>3369</v>
      </c>
      <c r="BE165" s="58" t="s">
        <v>3370</v>
      </c>
      <c r="BF165" s="58" t="s">
        <v>1052</v>
      </c>
      <c r="BG165" s="58" t="s">
        <v>1029</v>
      </c>
      <c r="BH165" s="58" t="s">
        <v>1030</v>
      </c>
      <c r="BI165" s="58" t="s">
        <v>1031</v>
      </c>
      <c r="BJ165" s="58" t="s">
        <v>1032</v>
      </c>
      <c r="BK165" s="58" t="s">
        <v>1033</v>
      </c>
      <c r="BL165" s="58" t="s">
        <v>1034</v>
      </c>
      <c r="BM165" s="58" t="s">
        <v>1035</v>
      </c>
      <c r="BN165" s="58" t="s">
        <v>1036</v>
      </c>
      <c r="BO165" s="58" t="s">
        <v>1037</v>
      </c>
      <c r="BP165" s="46">
        <v>0.0</v>
      </c>
      <c r="BQ165" s="46">
        <v>5.0</v>
      </c>
      <c r="BR165" s="46">
        <v>3.416</v>
      </c>
      <c r="BS165" s="46">
        <v>1.842</v>
      </c>
      <c r="BT165" s="46">
        <v>1.29</v>
      </c>
      <c r="BU165" s="46">
        <v>0.972</v>
      </c>
      <c r="BV165" s="46">
        <v>0.775</v>
      </c>
      <c r="BW165" s="46">
        <v>0.0</v>
      </c>
      <c r="BX165" s="46">
        <v>0.0</v>
      </c>
      <c r="BY165" s="46">
        <v>0.0</v>
      </c>
      <c r="BZ165" s="46">
        <v>3.214</v>
      </c>
      <c r="CA165" s="46">
        <v>4.105</v>
      </c>
      <c r="CB165" s="46">
        <v>0.0</v>
      </c>
      <c r="CC165" s="46">
        <v>0.0</v>
      </c>
      <c r="CD165" s="46">
        <v>0.0</v>
      </c>
      <c r="CE165" s="46">
        <v>8000.0</v>
      </c>
      <c r="CF165" s="46">
        <v>6500.0</v>
      </c>
      <c r="CG165" s="46">
        <v>0.0</v>
      </c>
      <c r="CH165" s="46">
        <v>1.0</v>
      </c>
      <c r="CI165" s="46">
        <v>0.0</v>
      </c>
      <c r="CJ165" s="2"/>
      <c r="CK165" s="2"/>
    </row>
    <row r="166">
      <c r="A166" s="44">
        <v>165.0</v>
      </c>
      <c r="B166" s="44">
        <v>266.0</v>
      </c>
      <c r="C166" s="44" t="s">
        <v>543</v>
      </c>
      <c r="D166" s="44" t="s">
        <v>544</v>
      </c>
      <c r="E166" s="44" t="s">
        <v>545</v>
      </c>
      <c r="F166" s="44">
        <v>940.0</v>
      </c>
      <c r="G166" s="44">
        <v>3.79</v>
      </c>
      <c r="H166" s="44">
        <v>1.81</v>
      </c>
      <c r="I166" s="44">
        <v>1.17</v>
      </c>
      <c r="J166" s="44">
        <v>2.375</v>
      </c>
      <c r="K166" s="44">
        <v>1.52</v>
      </c>
      <c r="L166" s="44">
        <v>1.53</v>
      </c>
      <c r="M166" s="44">
        <v>0.1</v>
      </c>
      <c r="N166" s="44">
        <v>0.596</v>
      </c>
      <c r="O166" s="44">
        <v>2.0</v>
      </c>
      <c r="P166" s="44">
        <v>0.43</v>
      </c>
      <c r="Q166" s="44">
        <v>1.15</v>
      </c>
      <c r="R166" s="44">
        <v>0.0</v>
      </c>
      <c r="S166" s="44">
        <v>0.948</v>
      </c>
      <c r="T166" s="44">
        <v>0.205</v>
      </c>
      <c r="U166" s="44">
        <v>0.4</v>
      </c>
      <c r="V166" s="44">
        <v>17.0</v>
      </c>
      <c r="W166" s="44">
        <v>0.245</v>
      </c>
      <c r="X166" s="44">
        <v>0.4</v>
      </c>
      <c r="Y166" s="44">
        <v>17.0</v>
      </c>
      <c r="Z166" s="44">
        <v>2.0</v>
      </c>
      <c r="AA166" s="44">
        <v>-0.5</v>
      </c>
      <c r="AB166" s="44">
        <v>6.0</v>
      </c>
      <c r="AC166" s="44">
        <v>8.3</v>
      </c>
      <c r="AD166" s="44">
        <v>2.0</v>
      </c>
      <c r="AE166" s="44">
        <v>4.0</v>
      </c>
      <c r="AF166" s="44">
        <v>-6.0</v>
      </c>
      <c r="AG166" s="44">
        <v>-1.0</v>
      </c>
      <c r="AH166" s="44">
        <v>2.0</v>
      </c>
      <c r="AI166" s="44">
        <v>1.0</v>
      </c>
      <c r="AJ166" s="44">
        <v>1998.0</v>
      </c>
      <c r="AK166" s="44">
        <v>0.0</v>
      </c>
      <c r="AL166" s="44">
        <v>7600.0</v>
      </c>
      <c r="AM166" s="44">
        <v>8000.0</v>
      </c>
      <c r="AN166" s="44">
        <v>1000.0</v>
      </c>
      <c r="AO166" s="44">
        <v>5200.0</v>
      </c>
      <c r="AP166" s="44">
        <v>7200.0</v>
      </c>
      <c r="AQ166" s="44">
        <v>0.0</v>
      </c>
      <c r="AR166" s="57" t="s">
        <v>3371</v>
      </c>
      <c r="AS166" s="57" t="s">
        <v>3372</v>
      </c>
      <c r="AT166" s="57" t="s">
        <v>1162</v>
      </c>
      <c r="AU166" s="57" t="s">
        <v>3373</v>
      </c>
      <c r="AV166" s="57" t="s">
        <v>3099</v>
      </c>
      <c r="AW166" s="57" t="s">
        <v>3374</v>
      </c>
      <c r="AX166" s="57" t="s">
        <v>3375</v>
      </c>
      <c r="AY166" s="57" t="s">
        <v>3376</v>
      </c>
      <c r="AZ166" s="57" t="s">
        <v>3377</v>
      </c>
      <c r="BA166" s="57" t="s">
        <v>3378</v>
      </c>
      <c r="BB166" s="57" t="s">
        <v>3379</v>
      </c>
      <c r="BC166" s="57" t="s">
        <v>3380</v>
      </c>
      <c r="BD166" s="57" t="s">
        <v>3381</v>
      </c>
      <c r="BE166" s="57" t="s">
        <v>3382</v>
      </c>
      <c r="BF166" s="57" t="s">
        <v>3383</v>
      </c>
      <c r="BG166" s="57" t="s">
        <v>3384</v>
      </c>
      <c r="BH166" s="57" t="s">
        <v>3385</v>
      </c>
      <c r="BI166" s="57" t="s">
        <v>1031</v>
      </c>
      <c r="BJ166" s="57" t="s">
        <v>1032</v>
      </c>
      <c r="BK166" s="57" t="s">
        <v>1033</v>
      </c>
      <c r="BL166" s="57" t="s">
        <v>1034</v>
      </c>
      <c r="BM166" s="57" t="s">
        <v>1035</v>
      </c>
      <c r="BN166" s="57" t="s">
        <v>1036</v>
      </c>
      <c r="BO166" s="57" t="s">
        <v>1037</v>
      </c>
      <c r="BP166" s="44">
        <v>0.0</v>
      </c>
      <c r="BQ166" s="44">
        <v>6.0</v>
      </c>
      <c r="BR166" s="44">
        <v>3.153</v>
      </c>
      <c r="BS166" s="44">
        <v>1.944</v>
      </c>
      <c r="BT166" s="44">
        <v>1.392</v>
      </c>
      <c r="BU166" s="44">
        <v>1.055</v>
      </c>
      <c r="BV166" s="44">
        <v>0.809</v>
      </c>
      <c r="BW166" s="44">
        <v>0.673</v>
      </c>
      <c r="BX166" s="44">
        <v>0.0</v>
      </c>
      <c r="BY166" s="44">
        <v>0.0</v>
      </c>
      <c r="BZ166" s="44">
        <v>3.002</v>
      </c>
      <c r="CA166" s="44">
        <v>4.75</v>
      </c>
      <c r="CB166" s="44">
        <v>2.0</v>
      </c>
      <c r="CC166" s="44">
        <v>0.0</v>
      </c>
      <c r="CD166" s="44">
        <v>0.0</v>
      </c>
      <c r="CE166" s="44">
        <v>9000.0</v>
      </c>
      <c r="CF166" s="44">
        <v>7600.0</v>
      </c>
      <c r="CG166" s="44">
        <v>0.0</v>
      </c>
      <c r="CH166" s="44">
        <v>0.0</v>
      </c>
      <c r="CI166" s="44">
        <v>0.0</v>
      </c>
      <c r="CJ166" s="2"/>
      <c r="CK166" s="2"/>
    </row>
    <row r="167">
      <c r="A167" s="46">
        <v>166.0</v>
      </c>
      <c r="B167" s="46">
        <v>270.0</v>
      </c>
      <c r="C167" s="46" t="s">
        <v>546</v>
      </c>
      <c r="D167" s="46" t="s">
        <v>547</v>
      </c>
      <c r="E167" s="46" t="s">
        <v>548</v>
      </c>
      <c r="F167" s="46">
        <v>1000.0</v>
      </c>
      <c r="G167" s="46">
        <v>4.72</v>
      </c>
      <c r="H167" s="46">
        <v>2.0</v>
      </c>
      <c r="I167" s="46">
        <v>1.09</v>
      </c>
      <c r="J167" s="46">
        <v>2.72</v>
      </c>
      <c r="K167" s="46">
        <v>1.71</v>
      </c>
      <c r="L167" s="46">
        <v>1.64</v>
      </c>
      <c r="M167" s="46">
        <v>0.04</v>
      </c>
      <c r="N167" s="46">
        <v>0.55</v>
      </c>
      <c r="O167" s="46">
        <v>2.0</v>
      </c>
      <c r="P167" s="46">
        <v>0.4</v>
      </c>
      <c r="Q167" s="46">
        <v>1.6</v>
      </c>
      <c r="R167" s="46">
        <v>500.0</v>
      </c>
      <c r="S167" s="46">
        <v>0.864</v>
      </c>
      <c r="T167" s="46">
        <v>0.285</v>
      </c>
      <c r="U167" s="46">
        <v>0.35</v>
      </c>
      <c r="V167" s="46">
        <v>18.0</v>
      </c>
      <c r="W167" s="46">
        <v>0.335</v>
      </c>
      <c r="X167" s="46">
        <v>0.35</v>
      </c>
      <c r="Y167" s="46">
        <v>18.0</v>
      </c>
      <c r="Z167" s="46">
        <v>2.0</v>
      </c>
      <c r="AA167" s="46">
        <v>-1.0</v>
      </c>
      <c r="AB167" s="46">
        <v>3.0</v>
      </c>
      <c r="AC167" s="46">
        <v>6.0</v>
      </c>
      <c r="AD167" s="46">
        <v>2.6</v>
      </c>
      <c r="AE167" s="46">
        <v>6.0</v>
      </c>
      <c r="AF167" s="46">
        <v>-6.0</v>
      </c>
      <c r="AG167" s="46">
        <v>-0.3</v>
      </c>
      <c r="AH167" s="46">
        <v>2.6</v>
      </c>
      <c r="AI167" s="46">
        <v>1.0</v>
      </c>
      <c r="AJ167" s="46">
        <v>3495.0</v>
      </c>
      <c r="AK167" s="46">
        <v>1.0</v>
      </c>
      <c r="AL167" s="46">
        <v>8000.0</v>
      </c>
      <c r="AM167" s="46">
        <v>8000.0</v>
      </c>
      <c r="AN167" s="46">
        <v>1200.0</v>
      </c>
      <c r="AO167" s="46">
        <v>4400.0</v>
      </c>
      <c r="AP167" s="46">
        <v>6800.0</v>
      </c>
      <c r="AQ167" s="46">
        <v>1.0</v>
      </c>
      <c r="AR167" s="58" t="s">
        <v>3386</v>
      </c>
      <c r="AS167" s="58" t="s">
        <v>3387</v>
      </c>
      <c r="AT167" s="58" t="s">
        <v>3388</v>
      </c>
      <c r="AU167" s="58" t="s">
        <v>3389</v>
      </c>
      <c r="AV167" s="58" t="s">
        <v>3390</v>
      </c>
      <c r="AW167" s="58" t="s">
        <v>3391</v>
      </c>
      <c r="AX167" s="58" t="s">
        <v>3392</v>
      </c>
      <c r="AY167" s="58" t="s">
        <v>3393</v>
      </c>
      <c r="AZ167" s="58" t="s">
        <v>3394</v>
      </c>
      <c r="BA167" s="58" t="s">
        <v>3395</v>
      </c>
      <c r="BB167" s="58" t="s">
        <v>3396</v>
      </c>
      <c r="BC167" s="58" t="s">
        <v>3397</v>
      </c>
      <c r="BD167" s="58" t="s">
        <v>3398</v>
      </c>
      <c r="BE167" s="58" t="s">
        <v>3399</v>
      </c>
      <c r="BF167" s="58" t="s">
        <v>3400</v>
      </c>
      <c r="BG167" s="58" t="s">
        <v>3401</v>
      </c>
      <c r="BH167" s="58" t="s">
        <v>1030</v>
      </c>
      <c r="BI167" s="58" t="s">
        <v>1031</v>
      </c>
      <c r="BJ167" s="58" t="s">
        <v>1032</v>
      </c>
      <c r="BK167" s="58" t="s">
        <v>1033</v>
      </c>
      <c r="BL167" s="58" t="s">
        <v>1034</v>
      </c>
      <c r="BM167" s="58" t="s">
        <v>1035</v>
      </c>
      <c r="BN167" s="58" t="s">
        <v>1036</v>
      </c>
      <c r="BO167" s="58" t="s">
        <v>1037</v>
      </c>
      <c r="BP167" s="46">
        <v>0.0</v>
      </c>
      <c r="BQ167" s="46">
        <v>6.0</v>
      </c>
      <c r="BR167" s="46">
        <v>3.432</v>
      </c>
      <c r="BS167" s="46">
        <v>2.288</v>
      </c>
      <c r="BT167" s="46">
        <v>1.743</v>
      </c>
      <c r="BU167" s="46">
        <v>1.357</v>
      </c>
      <c r="BV167" s="46">
        <v>1.072</v>
      </c>
      <c r="BW167" s="46">
        <v>0.856</v>
      </c>
      <c r="BX167" s="46">
        <v>0.0</v>
      </c>
      <c r="BY167" s="46">
        <v>0.0</v>
      </c>
      <c r="BZ167" s="46">
        <v>3.6</v>
      </c>
      <c r="CA167" s="46">
        <v>3.04</v>
      </c>
      <c r="CB167" s="46">
        <v>4.0</v>
      </c>
      <c r="CC167" s="46">
        <v>0.0</v>
      </c>
      <c r="CD167" s="46">
        <v>0.0</v>
      </c>
      <c r="CE167" s="46">
        <v>0.0</v>
      </c>
      <c r="CF167" s="46">
        <v>8000.0</v>
      </c>
      <c r="CG167" s="46">
        <v>0.0</v>
      </c>
      <c r="CH167" s="46">
        <v>1.0</v>
      </c>
      <c r="CI167" s="46">
        <v>0.0</v>
      </c>
      <c r="CJ167" s="2"/>
      <c r="CK167" s="2"/>
    </row>
    <row r="168">
      <c r="A168" s="44">
        <v>167.0</v>
      </c>
      <c r="B168" s="44">
        <v>277.0</v>
      </c>
      <c r="C168" s="44" t="s">
        <v>549</v>
      </c>
      <c r="D168" s="44" t="s">
        <v>550</v>
      </c>
      <c r="E168" s="44" t="s">
        <v>551</v>
      </c>
      <c r="F168" s="44">
        <v>1460.0</v>
      </c>
      <c r="G168" s="44">
        <v>4.165</v>
      </c>
      <c r="H168" s="44">
        <v>1.735</v>
      </c>
      <c r="I168" s="44">
        <v>1.435</v>
      </c>
      <c r="J168" s="44">
        <v>2.52</v>
      </c>
      <c r="K168" s="44">
        <v>1.515</v>
      </c>
      <c r="L168" s="44">
        <v>1.48</v>
      </c>
      <c r="M168" s="44">
        <v>0.11</v>
      </c>
      <c r="N168" s="44">
        <v>0.377</v>
      </c>
      <c r="O168" s="44">
        <v>4.0</v>
      </c>
      <c r="P168" s="44">
        <v>0.5</v>
      </c>
      <c r="Q168" s="44">
        <v>1.1</v>
      </c>
      <c r="R168" s="44">
        <v>0.0</v>
      </c>
      <c r="S168" s="44">
        <v>1.17</v>
      </c>
      <c r="T168" s="44">
        <v>0.225</v>
      </c>
      <c r="U168" s="44">
        <v>0.4</v>
      </c>
      <c r="V168" s="44">
        <v>18.0</v>
      </c>
      <c r="W168" s="44">
        <v>0.225</v>
      </c>
      <c r="X168" s="44">
        <v>0.4</v>
      </c>
      <c r="Y168" s="44">
        <v>18.0</v>
      </c>
      <c r="Z168" s="44">
        <v>0.0</v>
      </c>
      <c r="AA168" s="44">
        <v>-0.3</v>
      </c>
      <c r="AB168" s="44">
        <v>4.0</v>
      </c>
      <c r="AC168" s="44">
        <v>10.0</v>
      </c>
      <c r="AD168" s="44">
        <v>1.5</v>
      </c>
      <c r="AE168" s="44">
        <v>3.0</v>
      </c>
      <c r="AF168" s="44">
        <v>-3.0</v>
      </c>
      <c r="AG168" s="44">
        <v>-1.0</v>
      </c>
      <c r="AH168" s="44">
        <v>1.5</v>
      </c>
      <c r="AI168" s="44">
        <v>2.0</v>
      </c>
      <c r="AJ168" s="44">
        <v>3188.0</v>
      </c>
      <c r="AK168" s="44">
        <v>0.0</v>
      </c>
      <c r="AL168" s="44">
        <v>6500.0</v>
      </c>
      <c r="AM168" s="44">
        <v>6700.0</v>
      </c>
      <c r="AN168" s="44">
        <v>800.0</v>
      </c>
      <c r="AO168" s="44">
        <v>2800.0</v>
      </c>
      <c r="AP168" s="44">
        <v>6250.0</v>
      </c>
      <c r="AQ168" s="44">
        <v>0.0</v>
      </c>
      <c r="AR168" s="57" t="s">
        <v>3402</v>
      </c>
      <c r="AS168" s="57" t="s">
        <v>3403</v>
      </c>
      <c r="AT168" s="57" t="s">
        <v>3404</v>
      </c>
      <c r="AU168" s="57" t="s">
        <v>3405</v>
      </c>
      <c r="AV168" s="57" t="s">
        <v>3406</v>
      </c>
      <c r="AW168" s="57" t="s">
        <v>3407</v>
      </c>
      <c r="AX168" s="57" t="s">
        <v>3408</v>
      </c>
      <c r="AY168" s="57" t="s">
        <v>3409</v>
      </c>
      <c r="AZ168" s="57" t="s">
        <v>3410</v>
      </c>
      <c r="BA168" s="57" t="s">
        <v>3182</v>
      </c>
      <c r="BB168" s="57" t="s">
        <v>3411</v>
      </c>
      <c r="BC168" s="57" t="s">
        <v>3412</v>
      </c>
      <c r="BD168" s="57" t="s">
        <v>3413</v>
      </c>
      <c r="BE168" s="57" t="s">
        <v>3414</v>
      </c>
      <c r="BF168" s="57" t="s">
        <v>3415</v>
      </c>
      <c r="BG168" s="57" t="s">
        <v>3416</v>
      </c>
      <c r="BH168" s="57" t="s">
        <v>1030</v>
      </c>
      <c r="BI168" s="57" t="s">
        <v>1031</v>
      </c>
      <c r="BJ168" s="57" t="s">
        <v>1032</v>
      </c>
      <c r="BK168" s="57" t="s">
        <v>1033</v>
      </c>
      <c r="BL168" s="57" t="s">
        <v>1034</v>
      </c>
      <c r="BM168" s="57" t="s">
        <v>1035</v>
      </c>
      <c r="BN168" s="57" t="s">
        <v>1036</v>
      </c>
      <c r="BO168" s="57" t="s">
        <v>1037</v>
      </c>
      <c r="BP168" s="44">
        <v>0.0</v>
      </c>
      <c r="BQ168" s="44">
        <v>6.0</v>
      </c>
      <c r="BR168" s="44">
        <v>3.357</v>
      </c>
      <c r="BS168" s="44">
        <v>2.086</v>
      </c>
      <c r="BT168" s="44">
        <v>1.468</v>
      </c>
      <c r="BU168" s="44">
        <v>1.088</v>
      </c>
      <c r="BV168" s="44">
        <v>0.86</v>
      </c>
      <c r="BW168" s="44">
        <v>0.72</v>
      </c>
      <c r="BX168" s="44">
        <v>0.0</v>
      </c>
      <c r="BY168" s="44">
        <v>0.0</v>
      </c>
      <c r="BZ168" s="44">
        <v>3.989</v>
      </c>
      <c r="CA168" s="44">
        <v>4.24</v>
      </c>
      <c r="CB168" s="44">
        <v>0.0</v>
      </c>
      <c r="CC168" s="44">
        <v>2.0</v>
      </c>
      <c r="CD168" s="44">
        <v>1.0</v>
      </c>
      <c r="CE168" s="44">
        <v>7500.0</v>
      </c>
      <c r="CF168" s="44">
        <v>6500.0</v>
      </c>
      <c r="CG168" s="44">
        <v>0.0</v>
      </c>
      <c r="CH168" s="44">
        <v>1.0</v>
      </c>
      <c r="CI168" s="44">
        <v>0.0</v>
      </c>
      <c r="CJ168" s="2"/>
      <c r="CK168" s="2"/>
    </row>
    <row r="169">
      <c r="A169" s="46">
        <v>168.0</v>
      </c>
      <c r="B169" s="46">
        <v>279.0</v>
      </c>
      <c r="C169" s="46" t="s">
        <v>552</v>
      </c>
      <c r="D169" s="46" t="s">
        <v>553</v>
      </c>
      <c r="E169" s="46" t="s">
        <v>554</v>
      </c>
      <c r="F169" s="46">
        <v>1000.0</v>
      </c>
      <c r="G169" s="46">
        <v>3.66</v>
      </c>
      <c r="H169" s="46">
        <v>1.66</v>
      </c>
      <c r="I169" s="46">
        <v>1.485</v>
      </c>
      <c r="J169" s="46">
        <v>2.37</v>
      </c>
      <c r="K169" s="46">
        <v>1.425</v>
      </c>
      <c r="L169" s="46">
        <v>1.425</v>
      </c>
      <c r="M169" s="46">
        <v>0.12</v>
      </c>
      <c r="N169" s="46">
        <v>0.38</v>
      </c>
      <c r="O169" s="46">
        <v>1.0</v>
      </c>
      <c r="P169" s="46">
        <v>0.49</v>
      </c>
      <c r="Q169" s="46">
        <v>1.05</v>
      </c>
      <c r="R169" s="46">
        <v>0.0</v>
      </c>
      <c r="S169" s="46">
        <v>1.14</v>
      </c>
      <c r="T169" s="46">
        <v>0.195</v>
      </c>
      <c r="U169" s="46">
        <v>0.45</v>
      </c>
      <c r="V169" s="46">
        <v>16.0</v>
      </c>
      <c r="W169" s="46">
        <v>0.195</v>
      </c>
      <c r="X169" s="46">
        <v>0.45</v>
      </c>
      <c r="Y169" s="46">
        <v>16.0</v>
      </c>
      <c r="Z169" s="46">
        <v>0.0</v>
      </c>
      <c r="AA169" s="46">
        <v>0.0</v>
      </c>
      <c r="AB169" s="46">
        <v>2.0</v>
      </c>
      <c r="AC169" s="46">
        <v>10.0</v>
      </c>
      <c r="AD169" s="46">
        <v>1.6</v>
      </c>
      <c r="AE169" s="46">
        <v>1.5</v>
      </c>
      <c r="AF169" s="46">
        <v>-2.0</v>
      </c>
      <c r="AG169" s="46">
        <v>-0.3</v>
      </c>
      <c r="AH169" s="46">
        <v>1.6</v>
      </c>
      <c r="AI169" s="46">
        <v>1.0</v>
      </c>
      <c r="AJ169" s="46">
        <v>1496.0</v>
      </c>
      <c r="AK169" s="46">
        <v>1.0</v>
      </c>
      <c r="AL169" s="46">
        <v>6400.0</v>
      </c>
      <c r="AM169" s="46">
        <v>6600.0</v>
      </c>
      <c r="AN169" s="46">
        <v>800.0</v>
      </c>
      <c r="AO169" s="46">
        <v>4800.0</v>
      </c>
      <c r="AP169" s="46">
        <v>6400.0</v>
      </c>
      <c r="AQ169" s="46">
        <v>0.0</v>
      </c>
      <c r="AR169" s="58" t="s">
        <v>3417</v>
      </c>
      <c r="AS169" s="58" t="s">
        <v>3418</v>
      </c>
      <c r="AT169" s="58" t="s">
        <v>3419</v>
      </c>
      <c r="AU169" s="58" t="s">
        <v>3420</v>
      </c>
      <c r="AV169" s="58" t="s">
        <v>3421</v>
      </c>
      <c r="AW169" s="58" t="s">
        <v>3422</v>
      </c>
      <c r="AX169" s="58" t="s">
        <v>3423</v>
      </c>
      <c r="AY169" s="58" t="s">
        <v>3424</v>
      </c>
      <c r="AZ169" s="58" t="s">
        <v>3425</v>
      </c>
      <c r="BA169" s="58" t="s">
        <v>3426</v>
      </c>
      <c r="BB169" s="58" t="s">
        <v>3427</v>
      </c>
      <c r="BC169" s="58" t="s">
        <v>3428</v>
      </c>
      <c r="BD169" s="58" t="s">
        <v>3429</v>
      </c>
      <c r="BE169" s="58" t="s">
        <v>3430</v>
      </c>
      <c r="BF169" s="58" t="s">
        <v>3431</v>
      </c>
      <c r="BG169" s="58" t="s">
        <v>1029</v>
      </c>
      <c r="BH169" s="58" t="s">
        <v>1030</v>
      </c>
      <c r="BI169" s="58" t="s">
        <v>1031</v>
      </c>
      <c r="BJ169" s="58" t="s">
        <v>1032</v>
      </c>
      <c r="BK169" s="58" t="s">
        <v>1033</v>
      </c>
      <c r="BL169" s="58" t="s">
        <v>1034</v>
      </c>
      <c r="BM169" s="58" t="s">
        <v>1035</v>
      </c>
      <c r="BN169" s="58" t="s">
        <v>1036</v>
      </c>
      <c r="BO169" s="58" t="s">
        <v>1037</v>
      </c>
      <c r="BP169" s="46">
        <v>0.0</v>
      </c>
      <c r="BQ169" s="46">
        <v>5.0</v>
      </c>
      <c r="BR169" s="46">
        <v>3.166</v>
      </c>
      <c r="BS169" s="46">
        <v>1.904</v>
      </c>
      <c r="BT169" s="46">
        <v>1.392</v>
      </c>
      <c r="BU169" s="46">
        <v>1.031</v>
      </c>
      <c r="BV169" s="46">
        <v>0.815</v>
      </c>
      <c r="BW169" s="46">
        <v>0.0</v>
      </c>
      <c r="BX169" s="46">
        <v>0.0</v>
      </c>
      <c r="BY169" s="46">
        <v>0.0</v>
      </c>
      <c r="BZ169" s="46">
        <v>3.25</v>
      </c>
      <c r="CA169" s="46">
        <v>4.312</v>
      </c>
      <c r="CB169" s="46">
        <v>2.0</v>
      </c>
      <c r="CC169" s="46">
        <v>0.0</v>
      </c>
      <c r="CD169" s="46">
        <v>0.0</v>
      </c>
      <c r="CE169" s="46">
        <v>8000.0</v>
      </c>
      <c r="CF169" s="46">
        <v>6400.0</v>
      </c>
      <c r="CG169" s="46">
        <v>0.0</v>
      </c>
      <c r="CH169" s="46">
        <v>0.0</v>
      </c>
      <c r="CI169" s="46">
        <v>0.0</v>
      </c>
      <c r="CJ169" s="2"/>
      <c r="CK169" s="2"/>
    </row>
    <row r="170">
      <c r="A170" s="44">
        <v>169.0</v>
      </c>
      <c r="B170" s="44">
        <v>280.0</v>
      </c>
      <c r="C170" s="44" t="s">
        <v>555</v>
      </c>
      <c r="D170" s="44" t="s">
        <v>556</v>
      </c>
      <c r="E170" s="44" t="s">
        <v>557</v>
      </c>
      <c r="F170" s="44">
        <v>1530.0</v>
      </c>
      <c r="G170" s="44">
        <v>4.64</v>
      </c>
      <c r="H170" s="44">
        <v>1.815</v>
      </c>
      <c r="I170" s="44">
        <v>1.395</v>
      </c>
      <c r="J170" s="44">
        <v>2.85</v>
      </c>
      <c r="K170" s="44">
        <v>1.535</v>
      </c>
      <c r="L170" s="44">
        <v>1.545</v>
      </c>
      <c r="M170" s="44">
        <v>0.125</v>
      </c>
      <c r="N170" s="44">
        <v>0.458</v>
      </c>
      <c r="O170" s="44">
        <v>0.0</v>
      </c>
      <c r="P170" s="44">
        <v>0.5</v>
      </c>
      <c r="Q170" s="44">
        <v>1.1</v>
      </c>
      <c r="R170" s="44">
        <v>0.0</v>
      </c>
      <c r="S170" s="44">
        <v>1.14</v>
      </c>
      <c r="T170" s="44">
        <v>0.225</v>
      </c>
      <c r="U170" s="44">
        <v>0.45</v>
      </c>
      <c r="V170" s="44">
        <v>18.0</v>
      </c>
      <c r="W170" s="44">
        <v>0.245</v>
      </c>
      <c r="X170" s="44">
        <v>0.45</v>
      </c>
      <c r="Y170" s="44">
        <v>18.0</v>
      </c>
      <c r="Z170" s="44">
        <v>0.0</v>
      </c>
      <c r="AA170" s="44">
        <v>-0.3</v>
      </c>
      <c r="AB170" s="44">
        <v>8.0</v>
      </c>
      <c r="AC170" s="44">
        <v>5.0</v>
      </c>
      <c r="AD170" s="44">
        <v>1.6</v>
      </c>
      <c r="AE170" s="44">
        <v>3.0</v>
      </c>
      <c r="AF170" s="44">
        <v>-2.0</v>
      </c>
      <c r="AG170" s="44">
        <v>-1.25</v>
      </c>
      <c r="AH170" s="44">
        <v>1.6</v>
      </c>
      <c r="AI170" s="44">
        <v>1.0</v>
      </c>
      <c r="AJ170" s="44">
        <v>3498.0</v>
      </c>
      <c r="AK170" s="44">
        <v>0.0</v>
      </c>
      <c r="AL170" s="44">
        <v>6600.0</v>
      </c>
      <c r="AM170" s="44">
        <v>6700.0</v>
      </c>
      <c r="AN170" s="44">
        <v>600.0</v>
      </c>
      <c r="AO170" s="44">
        <v>4800.0</v>
      </c>
      <c r="AP170" s="44">
        <v>6200.0</v>
      </c>
      <c r="AQ170" s="44">
        <v>0.0</v>
      </c>
      <c r="AR170" s="57" t="s">
        <v>3432</v>
      </c>
      <c r="AS170" s="57" t="s">
        <v>3433</v>
      </c>
      <c r="AT170" s="57" t="s">
        <v>3434</v>
      </c>
      <c r="AU170" s="57" t="s">
        <v>3435</v>
      </c>
      <c r="AV170" s="57" t="s">
        <v>3436</v>
      </c>
      <c r="AW170" s="57" t="s">
        <v>3437</v>
      </c>
      <c r="AX170" s="57" t="s">
        <v>3438</v>
      </c>
      <c r="AY170" s="57" t="s">
        <v>1809</v>
      </c>
      <c r="AZ170" s="57" t="s">
        <v>3439</v>
      </c>
      <c r="BA170" s="57" t="s">
        <v>3440</v>
      </c>
      <c r="BB170" s="57" t="s">
        <v>3441</v>
      </c>
      <c r="BC170" s="57" t="s">
        <v>3442</v>
      </c>
      <c r="BD170" s="57" t="s">
        <v>3443</v>
      </c>
      <c r="BE170" s="57" t="s">
        <v>3444</v>
      </c>
      <c r="BF170" s="57" t="s">
        <v>1052</v>
      </c>
      <c r="BG170" s="57" t="s">
        <v>1029</v>
      </c>
      <c r="BH170" s="57" t="s">
        <v>1030</v>
      </c>
      <c r="BI170" s="57" t="s">
        <v>1031</v>
      </c>
      <c r="BJ170" s="57" t="s">
        <v>1032</v>
      </c>
      <c r="BK170" s="57" t="s">
        <v>1033</v>
      </c>
      <c r="BL170" s="57" t="s">
        <v>1034</v>
      </c>
      <c r="BM170" s="57" t="s">
        <v>1035</v>
      </c>
      <c r="BN170" s="57" t="s">
        <v>1036</v>
      </c>
      <c r="BO170" s="57" t="s">
        <v>1037</v>
      </c>
      <c r="BP170" s="44">
        <v>0.0</v>
      </c>
      <c r="BQ170" s="44">
        <v>6.0</v>
      </c>
      <c r="BR170" s="44">
        <v>3.794</v>
      </c>
      <c r="BS170" s="44">
        <v>2.324</v>
      </c>
      <c r="BT170" s="44">
        <v>1.624</v>
      </c>
      <c r="BU170" s="44">
        <v>1.271</v>
      </c>
      <c r="BV170" s="44">
        <v>1.0</v>
      </c>
      <c r="BW170" s="44">
        <v>0.794</v>
      </c>
      <c r="BX170" s="44">
        <v>0.0</v>
      </c>
      <c r="BY170" s="44">
        <v>0.0</v>
      </c>
      <c r="BZ170" s="44">
        <v>3.446</v>
      </c>
      <c r="CA170" s="44">
        <v>3.538</v>
      </c>
      <c r="CB170" s="44">
        <v>1.0</v>
      </c>
      <c r="CC170" s="44">
        <v>0.0</v>
      </c>
      <c r="CD170" s="44">
        <v>0.0</v>
      </c>
      <c r="CE170" s="44">
        <v>8000.0</v>
      </c>
      <c r="CF170" s="44">
        <v>6600.0</v>
      </c>
      <c r="CG170" s="44">
        <v>0.0</v>
      </c>
      <c r="CH170" s="44">
        <v>1.0</v>
      </c>
      <c r="CI170" s="44">
        <v>0.0</v>
      </c>
      <c r="CJ170" s="2"/>
      <c r="CK170" s="2"/>
    </row>
    <row r="171">
      <c r="A171" s="46">
        <v>170.0</v>
      </c>
      <c r="B171" s="46">
        <v>281.0</v>
      </c>
      <c r="C171" s="46" t="s">
        <v>558</v>
      </c>
      <c r="D171" s="46" t="s">
        <v>559</v>
      </c>
      <c r="E171" s="46" t="s">
        <v>560</v>
      </c>
      <c r="F171" s="46">
        <v>980.0</v>
      </c>
      <c r="G171" s="46">
        <v>4.19</v>
      </c>
      <c r="H171" s="46">
        <v>1.72</v>
      </c>
      <c r="I171" s="46">
        <v>1.36</v>
      </c>
      <c r="J171" s="46">
        <v>2.49</v>
      </c>
      <c r="K171" s="46">
        <v>1.46</v>
      </c>
      <c r="L171" s="46">
        <v>1.456</v>
      </c>
      <c r="M171" s="46">
        <v>0.11</v>
      </c>
      <c r="N171" s="46">
        <v>0.49</v>
      </c>
      <c r="O171" s="46">
        <v>0.0</v>
      </c>
      <c r="P171" s="46">
        <v>0.5</v>
      </c>
      <c r="Q171" s="46">
        <v>0.9</v>
      </c>
      <c r="R171" s="46">
        <v>0.0</v>
      </c>
      <c r="S171" s="46">
        <v>1.135</v>
      </c>
      <c r="T171" s="46">
        <v>0.195</v>
      </c>
      <c r="U171" s="46">
        <v>0.5</v>
      </c>
      <c r="V171" s="46">
        <v>15.0</v>
      </c>
      <c r="W171" s="46">
        <v>0.195</v>
      </c>
      <c r="X171" s="46">
        <v>0.5</v>
      </c>
      <c r="Y171" s="46">
        <v>15.0</v>
      </c>
      <c r="Z171" s="46">
        <v>1.0</v>
      </c>
      <c r="AA171" s="46">
        <v>-0.2</v>
      </c>
      <c r="AB171" s="46">
        <v>6.0</v>
      </c>
      <c r="AC171" s="46">
        <v>12.0</v>
      </c>
      <c r="AD171" s="46">
        <v>1.8</v>
      </c>
      <c r="AE171" s="46">
        <v>1.5</v>
      </c>
      <c r="AF171" s="46">
        <v>-2.0</v>
      </c>
      <c r="AG171" s="46">
        <v>-0.3</v>
      </c>
      <c r="AH171" s="46">
        <v>1.8</v>
      </c>
      <c r="AI171" s="46">
        <v>1.0</v>
      </c>
      <c r="AJ171" s="46">
        <v>1995.0</v>
      </c>
      <c r="AK171" s="46">
        <v>0.0</v>
      </c>
      <c r="AL171" s="46">
        <v>6500.0</v>
      </c>
      <c r="AM171" s="46">
        <v>6700.0</v>
      </c>
      <c r="AN171" s="46">
        <v>800.0</v>
      </c>
      <c r="AO171" s="46">
        <v>3800.0</v>
      </c>
      <c r="AP171" s="46">
        <v>6400.0</v>
      </c>
      <c r="AQ171" s="46">
        <v>0.0</v>
      </c>
      <c r="AR171" s="58" t="s">
        <v>3445</v>
      </c>
      <c r="AS171" s="58" t="s">
        <v>3446</v>
      </c>
      <c r="AT171" s="58" t="s">
        <v>3447</v>
      </c>
      <c r="AU171" s="58" t="s">
        <v>3448</v>
      </c>
      <c r="AV171" s="58" t="s">
        <v>3449</v>
      </c>
      <c r="AW171" s="58" t="s">
        <v>3450</v>
      </c>
      <c r="AX171" s="58" t="s">
        <v>3451</v>
      </c>
      <c r="AY171" s="58" t="s">
        <v>3452</v>
      </c>
      <c r="AZ171" s="58" t="s">
        <v>3453</v>
      </c>
      <c r="BA171" s="58" t="s">
        <v>3104</v>
      </c>
      <c r="BB171" s="58" t="s">
        <v>3454</v>
      </c>
      <c r="BC171" s="58" t="s">
        <v>3455</v>
      </c>
      <c r="BD171" s="58" t="s">
        <v>2791</v>
      </c>
      <c r="BE171" s="58" t="s">
        <v>2152</v>
      </c>
      <c r="BF171" s="58" t="s">
        <v>1052</v>
      </c>
      <c r="BG171" s="58" t="s">
        <v>1029</v>
      </c>
      <c r="BH171" s="58" t="s">
        <v>1030</v>
      </c>
      <c r="BI171" s="58" t="s">
        <v>1031</v>
      </c>
      <c r="BJ171" s="58" t="s">
        <v>1032</v>
      </c>
      <c r="BK171" s="58" t="s">
        <v>1033</v>
      </c>
      <c r="BL171" s="58" t="s">
        <v>1034</v>
      </c>
      <c r="BM171" s="58" t="s">
        <v>1035</v>
      </c>
      <c r="BN171" s="58" t="s">
        <v>1036</v>
      </c>
      <c r="BO171" s="58" t="s">
        <v>1037</v>
      </c>
      <c r="BP171" s="46">
        <v>0.0</v>
      </c>
      <c r="BQ171" s="46">
        <v>5.0</v>
      </c>
      <c r="BR171" s="46">
        <v>3.612</v>
      </c>
      <c r="BS171" s="46">
        <v>2.045</v>
      </c>
      <c r="BT171" s="46">
        <v>1.357</v>
      </c>
      <c r="BU171" s="46">
        <v>1.0</v>
      </c>
      <c r="BV171" s="46">
        <v>0.87</v>
      </c>
      <c r="BW171" s="46">
        <v>0.0</v>
      </c>
      <c r="BX171" s="46">
        <v>0.0</v>
      </c>
      <c r="BY171" s="46">
        <v>0.0</v>
      </c>
      <c r="BZ171" s="46">
        <v>3.244</v>
      </c>
      <c r="CA171" s="46">
        <v>3.9</v>
      </c>
      <c r="CB171" s="46">
        <v>0.0</v>
      </c>
      <c r="CC171" s="46">
        <v>0.0</v>
      </c>
      <c r="CD171" s="46">
        <v>0.0</v>
      </c>
      <c r="CE171" s="46">
        <v>8000.0</v>
      </c>
      <c r="CF171" s="46">
        <v>6500.0</v>
      </c>
      <c r="CG171" s="46">
        <v>0.0</v>
      </c>
      <c r="CH171" s="46">
        <v>0.0</v>
      </c>
      <c r="CI171" s="46">
        <v>0.0</v>
      </c>
      <c r="CJ171" s="2"/>
      <c r="CK171" s="2"/>
    </row>
    <row r="172">
      <c r="A172" s="44">
        <v>171.0</v>
      </c>
      <c r="B172" s="44">
        <v>283.0</v>
      </c>
      <c r="C172" s="44" t="s">
        <v>561</v>
      </c>
      <c r="D172" s="44" t="s">
        <v>562</v>
      </c>
      <c r="E172" s="44" t="s">
        <v>563</v>
      </c>
      <c r="F172" s="44">
        <v>1300.0</v>
      </c>
      <c r="G172" s="44">
        <v>4.09</v>
      </c>
      <c r="H172" s="44">
        <v>1.73</v>
      </c>
      <c r="I172" s="44">
        <v>1.5</v>
      </c>
      <c r="J172" s="44">
        <v>2.515</v>
      </c>
      <c r="K172" s="44">
        <v>1.51</v>
      </c>
      <c r="L172" s="44">
        <v>1.485</v>
      </c>
      <c r="M172" s="44">
        <v>0.135</v>
      </c>
      <c r="N172" s="44">
        <v>0.346</v>
      </c>
      <c r="O172" s="44">
        <v>1.0</v>
      </c>
      <c r="P172" s="44">
        <v>0.5</v>
      </c>
      <c r="Q172" s="44">
        <v>1.0</v>
      </c>
      <c r="R172" s="44">
        <v>0.0</v>
      </c>
      <c r="S172" s="44">
        <v>1.19</v>
      </c>
      <c r="T172" s="44">
        <v>0.205</v>
      </c>
      <c r="U172" s="44">
        <v>0.55</v>
      </c>
      <c r="V172" s="44">
        <v>16.0</v>
      </c>
      <c r="W172" s="44">
        <v>0.205</v>
      </c>
      <c r="X172" s="44">
        <v>0.55</v>
      </c>
      <c r="Y172" s="44">
        <v>16.0</v>
      </c>
      <c r="Z172" s="44">
        <v>0.0</v>
      </c>
      <c r="AA172" s="44">
        <v>-0.3</v>
      </c>
      <c r="AB172" s="44">
        <v>4.0</v>
      </c>
      <c r="AC172" s="44">
        <v>10.0</v>
      </c>
      <c r="AD172" s="44">
        <v>1.4</v>
      </c>
      <c r="AE172" s="44">
        <v>2.0</v>
      </c>
      <c r="AF172" s="44">
        <v>-3.0</v>
      </c>
      <c r="AG172" s="44">
        <v>-0.3</v>
      </c>
      <c r="AH172" s="44">
        <v>1.4</v>
      </c>
      <c r="AI172" s="44">
        <v>1.0</v>
      </c>
      <c r="AJ172" s="44">
        <v>1984.0</v>
      </c>
      <c r="AK172" s="44">
        <v>0.0</v>
      </c>
      <c r="AL172" s="44">
        <v>6500.0</v>
      </c>
      <c r="AM172" s="44">
        <v>6500.0</v>
      </c>
      <c r="AN172" s="44">
        <v>700.0</v>
      </c>
      <c r="AO172" s="44">
        <v>3200.0</v>
      </c>
      <c r="AP172" s="44">
        <v>5400.0</v>
      </c>
      <c r="AQ172" s="44">
        <v>0.0</v>
      </c>
      <c r="AR172" s="57" t="s">
        <v>1843</v>
      </c>
      <c r="AS172" s="57" t="s">
        <v>3456</v>
      </c>
      <c r="AT172" s="57" t="s">
        <v>3457</v>
      </c>
      <c r="AU172" s="57" t="s">
        <v>3458</v>
      </c>
      <c r="AV172" s="57" t="s">
        <v>2220</v>
      </c>
      <c r="AW172" s="57" t="s">
        <v>3459</v>
      </c>
      <c r="AX172" s="57" t="s">
        <v>3460</v>
      </c>
      <c r="AY172" s="57" t="s">
        <v>3211</v>
      </c>
      <c r="AZ172" s="57" t="s">
        <v>3461</v>
      </c>
      <c r="BA172" s="57" t="s">
        <v>3462</v>
      </c>
      <c r="BB172" s="57" t="s">
        <v>3463</v>
      </c>
      <c r="BC172" s="57" t="s">
        <v>3464</v>
      </c>
      <c r="BD172" s="57" t="s">
        <v>3465</v>
      </c>
      <c r="BE172" s="57" t="s">
        <v>3108</v>
      </c>
      <c r="BF172" s="57" t="s">
        <v>1052</v>
      </c>
      <c r="BG172" s="57" t="s">
        <v>1029</v>
      </c>
      <c r="BH172" s="57" t="s">
        <v>1030</v>
      </c>
      <c r="BI172" s="57" t="s">
        <v>1031</v>
      </c>
      <c r="BJ172" s="57" t="s">
        <v>1032</v>
      </c>
      <c r="BK172" s="57" t="s">
        <v>1033</v>
      </c>
      <c r="BL172" s="57" t="s">
        <v>1034</v>
      </c>
      <c r="BM172" s="57" t="s">
        <v>1035</v>
      </c>
      <c r="BN172" s="57" t="s">
        <v>1036</v>
      </c>
      <c r="BO172" s="57" t="s">
        <v>1037</v>
      </c>
      <c r="BP172" s="44">
        <v>1.0</v>
      </c>
      <c r="BQ172" s="44">
        <v>4.0</v>
      </c>
      <c r="BR172" s="44">
        <v>2.714</v>
      </c>
      <c r="BS172" s="44">
        <v>1.44</v>
      </c>
      <c r="BT172" s="44">
        <v>1.0</v>
      </c>
      <c r="BU172" s="44">
        <v>0.742</v>
      </c>
      <c r="BV172" s="44">
        <v>0.0</v>
      </c>
      <c r="BW172" s="44">
        <v>0.0</v>
      </c>
      <c r="BX172" s="44">
        <v>0.0</v>
      </c>
      <c r="BY172" s="44">
        <v>0.0</v>
      </c>
      <c r="BZ172" s="44">
        <v>2.883</v>
      </c>
      <c r="CA172" s="44">
        <v>4.432</v>
      </c>
      <c r="CB172" s="44">
        <v>0.0</v>
      </c>
      <c r="CC172" s="44">
        <v>0.0</v>
      </c>
      <c r="CD172" s="44">
        <v>0.0</v>
      </c>
      <c r="CE172" s="44">
        <v>7500.0</v>
      </c>
      <c r="CF172" s="44">
        <v>6500.0</v>
      </c>
      <c r="CG172" s="44">
        <v>0.0</v>
      </c>
      <c r="CH172" s="44">
        <v>0.0</v>
      </c>
      <c r="CI172" s="44">
        <v>0.0</v>
      </c>
      <c r="CJ172" s="2"/>
      <c r="CK172" s="2"/>
    </row>
    <row r="173">
      <c r="A173" s="46">
        <v>172.0</v>
      </c>
      <c r="B173" s="46">
        <v>285.0</v>
      </c>
      <c r="C173" s="46" t="s">
        <v>564</v>
      </c>
      <c r="D173" s="46" t="s">
        <v>565</v>
      </c>
      <c r="E173" s="46" t="s">
        <v>566</v>
      </c>
      <c r="F173" s="46">
        <v>1240.0</v>
      </c>
      <c r="G173" s="46">
        <v>4.445</v>
      </c>
      <c r="H173" s="46">
        <v>1.695</v>
      </c>
      <c r="I173" s="46">
        <v>1.285</v>
      </c>
      <c r="J173" s="46">
        <v>2.525</v>
      </c>
      <c r="K173" s="46">
        <v>1.47</v>
      </c>
      <c r="L173" s="46">
        <v>1.46</v>
      </c>
      <c r="M173" s="46">
        <v>0.1</v>
      </c>
      <c r="N173" s="46">
        <v>0.444</v>
      </c>
      <c r="O173" s="46">
        <v>0.0</v>
      </c>
      <c r="P173" s="46">
        <v>0.5</v>
      </c>
      <c r="Q173" s="46">
        <v>1.15</v>
      </c>
      <c r="R173" s="46">
        <v>0.0</v>
      </c>
      <c r="S173" s="46">
        <v>1.056</v>
      </c>
      <c r="T173" s="46">
        <v>0.205</v>
      </c>
      <c r="U173" s="46">
        <v>0.55</v>
      </c>
      <c r="V173" s="46">
        <v>16.0</v>
      </c>
      <c r="W173" s="46">
        <v>0.205</v>
      </c>
      <c r="X173" s="46">
        <v>0.55</v>
      </c>
      <c r="Y173" s="46">
        <v>16.0</v>
      </c>
      <c r="Z173" s="46">
        <v>0.0</v>
      </c>
      <c r="AA173" s="46">
        <v>-1.0</v>
      </c>
      <c r="AB173" s="46">
        <v>6.5</v>
      </c>
      <c r="AC173" s="46">
        <v>14.0</v>
      </c>
      <c r="AD173" s="46">
        <v>1.9</v>
      </c>
      <c r="AE173" s="46">
        <v>3.0</v>
      </c>
      <c r="AF173" s="46">
        <v>-2.0</v>
      </c>
      <c r="AG173" s="46">
        <v>-1.25</v>
      </c>
      <c r="AH173" s="46">
        <v>1.9</v>
      </c>
      <c r="AI173" s="46">
        <v>2.0</v>
      </c>
      <c r="AJ173" s="46">
        <v>1998.0</v>
      </c>
      <c r="AK173" s="46">
        <v>1.0</v>
      </c>
      <c r="AL173" s="46">
        <v>7300.0</v>
      </c>
      <c r="AM173" s="46">
        <v>7400.0</v>
      </c>
      <c r="AN173" s="46">
        <v>800.0</v>
      </c>
      <c r="AO173" s="46">
        <v>4800.0</v>
      </c>
      <c r="AP173" s="46">
        <v>6400.0</v>
      </c>
      <c r="AQ173" s="46">
        <v>0.0</v>
      </c>
      <c r="AR173" s="58" t="s">
        <v>2479</v>
      </c>
      <c r="AS173" s="58" t="s">
        <v>2480</v>
      </c>
      <c r="AT173" s="58" t="s">
        <v>2481</v>
      </c>
      <c r="AU173" s="58" t="s">
        <v>2482</v>
      </c>
      <c r="AV173" s="58" t="s">
        <v>3466</v>
      </c>
      <c r="AW173" s="58" t="s">
        <v>3467</v>
      </c>
      <c r="AX173" s="58" t="s">
        <v>3468</v>
      </c>
      <c r="AY173" s="58" t="s">
        <v>3469</v>
      </c>
      <c r="AZ173" s="58" t="s">
        <v>3470</v>
      </c>
      <c r="BA173" s="58" t="s">
        <v>3471</v>
      </c>
      <c r="BB173" s="58" t="s">
        <v>3472</v>
      </c>
      <c r="BC173" s="58" t="s">
        <v>3473</v>
      </c>
      <c r="BD173" s="58" t="s">
        <v>3474</v>
      </c>
      <c r="BE173" s="58" t="s">
        <v>3475</v>
      </c>
      <c r="BF173" s="58" t="s">
        <v>3476</v>
      </c>
      <c r="BG173" s="58" t="s">
        <v>3477</v>
      </c>
      <c r="BH173" s="58" t="s">
        <v>1030</v>
      </c>
      <c r="BI173" s="58" t="s">
        <v>1031</v>
      </c>
      <c r="BJ173" s="58" t="s">
        <v>1032</v>
      </c>
      <c r="BK173" s="58" t="s">
        <v>1033</v>
      </c>
      <c r="BL173" s="58" t="s">
        <v>1034</v>
      </c>
      <c r="BM173" s="58" t="s">
        <v>1035</v>
      </c>
      <c r="BN173" s="58" t="s">
        <v>1036</v>
      </c>
      <c r="BO173" s="58" t="s">
        <v>1037</v>
      </c>
      <c r="BP173" s="46">
        <v>0.0</v>
      </c>
      <c r="BQ173" s="46">
        <v>6.0</v>
      </c>
      <c r="BR173" s="46">
        <v>3.626</v>
      </c>
      <c r="BS173" s="46">
        <v>2.2</v>
      </c>
      <c r="BT173" s="46">
        <v>1.541</v>
      </c>
      <c r="BU173" s="46">
        <v>1.213</v>
      </c>
      <c r="BV173" s="46">
        <v>1.0</v>
      </c>
      <c r="BW173" s="46">
        <v>0.767</v>
      </c>
      <c r="BX173" s="46">
        <v>0.0</v>
      </c>
      <c r="BY173" s="46">
        <v>0.0</v>
      </c>
      <c r="BZ173" s="46">
        <v>3.437</v>
      </c>
      <c r="CA173" s="46">
        <v>3.692</v>
      </c>
      <c r="CB173" s="46">
        <v>2.0</v>
      </c>
      <c r="CC173" s="46">
        <v>0.0</v>
      </c>
      <c r="CD173" s="46">
        <v>0.0</v>
      </c>
      <c r="CE173" s="46">
        <v>9000.0</v>
      </c>
      <c r="CF173" s="46">
        <v>7300.0</v>
      </c>
      <c r="CG173" s="46">
        <v>0.0</v>
      </c>
      <c r="CH173" s="46">
        <v>1.0</v>
      </c>
      <c r="CI173" s="46">
        <v>0.0</v>
      </c>
      <c r="CJ173" s="2"/>
      <c r="CK173" s="2"/>
    </row>
    <row r="174">
      <c r="A174" s="44">
        <v>173.0</v>
      </c>
      <c r="B174" s="44">
        <v>286.0</v>
      </c>
      <c r="C174" s="44" t="s">
        <v>567</v>
      </c>
      <c r="D174" s="44" t="s">
        <v>568</v>
      </c>
      <c r="E174" s="44" t="s">
        <v>569</v>
      </c>
      <c r="F174" s="44">
        <v>1400.0</v>
      </c>
      <c r="G174" s="44">
        <v>4.455</v>
      </c>
      <c r="H174" s="44">
        <v>1.77</v>
      </c>
      <c r="I174" s="44">
        <v>1.45</v>
      </c>
      <c r="J174" s="44">
        <v>2.625</v>
      </c>
      <c r="K174" s="44">
        <v>1.515</v>
      </c>
      <c r="L174" s="44">
        <v>1.515</v>
      </c>
      <c r="M174" s="44">
        <v>0.14</v>
      </c>
      <c r="N174" s="44">
        <v>0.386</v>
      </c>
      <c r="O174" s="44">
        <v>4.0</v>
      </c>
      <c r="P174" s="44">
        <v>0.5</v>
      </c>
      <c r="Q174" s="44">
        <v>1.1</v>
      </c>
      <c r="R174" s="44">
        <v>150.0</v>
      </c>
      <c r="S174" s="44">
        <v>1.18</v>
      </c>
      <c r="T174" s="44">
        <v>0.235</v>
      </c>
      <c r="U174" s="44">
        <v>0.45</v>
      </c>
      <c r="V174" s="44">
        <v>17.0</v>
      </c>
      <c r="W174" s="44">
        <v>0.235</v>
      </c>
      <c r="X174" s="44">
        <v>0.45</v>
      </c>
      <c r="Y174" s="44">
        <v>17.0</v>
      </c>
      <c r="Z174" s="44">
        <v>0.0</v>
      </c>
      <c r="AA174" s="44">
        <v>-1.0</v>
      </c>
      <c r="AB174" s="44">
        <v>3.55</v>
      </c>
      <c r="AC174" s="44">
        <v>13.45</v>
      </c>
      <c r="AD174" s="44">
        <v>1.6</v>
      </c>
      <c r="AE174" s="44">
        <v>2.0</v>
      </c>
      <c r="AF174" s="44">
        <v>-3.0</v>
      </c>
      <c r="AG174" s="44">
        <v>-1.0</v>
      </c>
      <c r="AH174" s="44">
        <v>1.6</v>
      </c>
      <c r="AI174" s="44">
        <v>2.0</v>
      </c>
      <c r="AJ174" s="44">
        <v>1997.0</v>
      </c>
      <c r="AK174" s="44">
        <v>1.0</v>
      </c>
      <c r="AL174" s="44">
        <v>7000.0</v>
      </c>
      <c r="AM174" s="44">
        <v>7200.0</v>
      </c>
      <c r="AN174" s="44">
        <v>700.0</v>
      </c>
      <c r="AO174" s="44">
        <v>3500.0</v>
      </c>
      <c r="AP174" s="44">
        <v>6500.0</v>
      </c>
      <c r="AQ174" s="44">
        <v>0.0</v>
      </c>
      <c r="AR174" s="57" t="s">
        <v>3478</v>
      </c>
      <c r="AS174" s="57" t="s">
        <v>2480</v>
      </c>
      <c r="AT174" s="57" t="s">
        <v>3479</v>
      </c>
      <c r="AU174" s="57" t="s">
        <v>3480</v>
      </c>
      <c r="AV174" s="57" t="s">
        <v>3481</v>
      </c>
      <c r="AW174" s="57" t="s">
        <v>3482</v>
      </c>
      <c r="AX174" s="57" t="s">
        <v>3483</v>
      </c>
      <c r="AY174" s="57" t="s">
        <v>3484</v>
      </c>
      <c r="AZ174" s="57" t="s">
        <v>3485</v>
      </c>
      <c r="BA174" s="57" t="s">
        <v>3486</v>
      </c>
      <c r="BB174" s="57" t="s">
        <v>3487</v>
      </c>
      <c r="BC174" s="57" t="s">
        <v>3488</v>
      </c>
      <c r="BD174" s="57" t="s">
        <v>3489</v>
      </c>
      <c r="BE174" s="57" t="s">
        <v>3490</v>
      </c>
      <c r="BF174" s="57" t="s">
        <v>3491</v>
      </c>
      <c r="BG174" s="57" t="s">
        <v>3492</v>
      </c>
      <c r="BH174" s="57" t="s">
        <v>3493</v>
      </c>
      <c r="BI174" s="57" t="s">
        <v>1031</v>
      </c>
      <c r="BJ174" s="57" t="s">
        <v>1032</v>
      </c>
      <c r="BK174" s="57" t="s">
        <v>1033</v>
      </c>
      <c r="BL174" s="57" t="s">
        <v>1034</v>
      </c>
      <c r="BM174" s="57" t="s">
        <v>1035</v>
      </c>
      <c r="BN174" s="57" t="s">
        <v>1036</v>
      </c>
      <c r="BO174" s="57" t="s">
        <v>1037</v>
      </c>
      <c r="BP174" s="44">
        <v>0.0</v>
      </c>
      <c r="BQ174" s="44">
        <v>5.0</v>
      </c>
      <c r="BR174" s="44">
        <v>2.928</v>
      </c>
      <c r="BS174" s="44">
        <v>1.95</v>
      </c>
      <c r="BT174" s="44">
        <v>1.407</v>
      </c>
      <c r="BU174" s="44">
        <v>1.031</v>
      </c>
      <c r="BV174" s="44">
        <v>0.72</v>
      </c>
      <c r="BW174" s="44">
        <v>0.0</v>
      </c>
      <c r="BX174" s="44">
        <v>0.0</v>
      </c>
      <c r="BY174" s="44">
        <v>0.0</v>
      </c>
      <c r="BZ174" s="44">
        <v>3.416</v>
      </c>
      <c r="CA174" s="44">
        <v>4.529</v>
      </c>
      <c r="CB174" s="44">
        <v>2.0</v>
      </c>
      <c r="CC174" s="44">
        <v>3.0</v>
      </c>
      <c r="CD174" s="44">
        <v>5.0</v>
      </c>
      <c r="CE174" s="44">
        <v>9000.0</v>
      </c>
      <c r="CF174" s="44">
        <v>7000.0</v>
      </c>
      <c r="CG174" s="44">
        <v>0.0</v>
      </c>
      <c r="CH174" s="44">
        <v>0.0</v>
      </c>
      <c r="CI174" s="44">
        <v>0.0</v>
      </c>
      <c r="CJ174" s="2"/>
      <c r="CK174" s="2"/>
    </row>
    <row r="175">
      <c r="A175" s="46">
        <v>174.0</v>
      </c>
      <c r="B175" s="46">
        <v>290.0</v>
      </c>
      <c r="C175" s="46" t="s">
        <v>570</v>
      </c>
      <c r="D175" s="46" t="s">
        <v>571</v>
      </c>
      <c r="E175" s="46" t="s">
        <v>572</v>
      </c>
      <c r="F175" s="46">
        <v>1620.0</v>
      </c>
      <c r="G175" s="46">
        <v>4.4</v>
      </c>
      <c r="H175" s="46">
        <v>1.94</v>
      </c>
      <c r="I175" s="46">
        <v>1.125</v>
      </c>
      <c r="J175" s="46">
        <v>2.55</v>
      </c>
      <c r="K175" s="46">
        <v>1.55</v>
      </c>
      <c r="L175" s="46">
        <v>1.618</v>
      </c>
      <c r="M175" s="46">
        <v>0.08</v>
      </c>
      <c r="N175" s="46">
        <v>0.61</v>
      </c>
      <c r="O175" s="46">
        <v>4.0</v>
      </c>
      <c r="P175" s="46">
        <v>0.48</v>
      </c>
      <c r="Q175" s="46">
        <v>1.1</v>
      </c>
      <c r="R175" s="46">
        <v>100.0</v>
      </c>
      <c r="S175" s="46">
        <v>0.934</v>
      </c>
      <c r="T175" s="46">
        <v>0.245</v>
      </c>
      <c r="U175" s="46">
        <v>0.4</v>
      </c>
      <c r="V175" s="46">
        <v>18.0</v>
      </c>
      <c r="W175" s="46">
        <v>0.325</v>
      </c>
      <c r="X175" s="46">
        <v>0.3</v>
      </c>
      <c r="Y175" s="46">
        <v>18.0</v>
      </c>
      <c r="Z175" s="46">
        <v>-1.0</v>
      </c>
      <c r="AA175" s="46">
        <v>-0.3</v>
      </c>
      <c r="AB175" s="46">
        <v>8.0</v>
      </c>
      <c r="AC175" s="46">
        <v>8.0</v>
      </c>
      <c r="AD175" s="46">
        <v>2.2</v>
      </c>
      <c r="AE175" s="46">
        <v>1.5</v>
      </c>
      <c r="AF175" s="46">
        <v>0.0</v>
      </c>
      <c r="AG175" s="46">
        <v>-0.3</v>
      </c>
      <c r="AH175" s="46">
        <v>2.2</v>
      </c>
      <c r="AI175" s="46">
        <v>2.0</v>
      </c>
      <c r="AJ175" s="46">
        <v>3500.0</v>
      </c>
      <c r="AK175" s="46">
        <v>1.0</v>
      </c>
      <c r="AL175" s="46">
        <v>8600.0</v>
      </c>
      <c r="AM175" s="46">
        <v>8600.0</v>
      </c>
      <c r="AN175" s="46">
        <v>700.0</v>
      </c>
      <c r="AO175" s="46">
        <v>3750.0</v>
      </c>
      <c r="AP175" s="46">
        <v>8000.0</v>
      </c>
      <c r="AQ175" s="46">
        <v>0.0</v>
      </c>
      <c r="AR175" s="58" t="s">
        <v>3494</v>
      </c>
      <c r="AS175" s="58" t="s">
        <v>3495</v>
      </c>
      <c r="AT175" s="58" t="s">
        <v>3496</v>
      </c>
      <c r="AU175" s="58" t="s">
        <v>3497</v>
      </c>
      <c r="AV175" s="58" t="s">
        <v>3498</v>
      </c>
      <c r="AW175" s="58" t="s">
        <v>3499</v>
      </c>
      <c r="AX175" s="58" t="s">
        <v>3500</v>
      </c>
      <c r="AY175" s="58" t="s">
        <v>3501</v>
      </c>
      <c r="AZ175" s="58" t="s">
        <v>3502</v>
      </c>
      <c r="BA175" s="58" t="s">
        <v>3503</v>
      </c>
      <c r="BB175" s="58" t="s">
        <v>3504</v>
      </c>
      <c r="BC175" s="58" t="s">
        <v>3505</v>
      </c>
      <c r="BD175" s="58" t="s">
        <v>3506</v>
      </c>
      <c r="BE175" s="58" t="s">
        <v>3507</v>
      </c>
      <c r="BF175" s="58" t="s">
        <v>3508</v>
      </c>
      <c r="BG175" s="58" t="s">
        <v>3509</v>
      </c>
      <c r="BH175" s="58" t="s">
        <v>3510</v>
      </c>
      <c r="BI175" s="58" t="s">
        <v>3511</v>
      </c>
      <c r="BJ175" s="58" t="s">
        <v>3512</v>
      </c>
      <c r="BK175" s="58" t="s">
        <v>1033</v>
      </c>
      <c r="BL175" s="58" t="s">
        <v>1034</v>
      </c>
      <c r="BM175" s="58" t="s">
        <v>1035</v>
      </c>
      <c r="BN175" s="58" t="s">
        <v>1036</v>
      </c>
      <c r="BO175" s="58" t="s">
        <v>1037</v>
      </c>
      <c r="BP175" s="46">
        <v>0.0</v>
      </c>
      <c r="BQ175" s="46">
        <v>6.0</v>
      </c>
      <c r="BR175" s="46">
        <v>3.757</v>
      </c>
      <c r="BS175" s="46">
        <v>2.521</v>
      </c>
      <c r="BT175" s="46">
        <v>1.834</v>
      </c>
      <c r="BU175" s="46">
        <v>1.424</v>
      </c>
      <c r="BV175" s="46">
        <v>1.148</v>
      </c>
      <c r="BW175" s="46">
        <v>0.949</v>
      </c>
      <c r="BX175" s="46">
        <v>0.0</v>
      </c>
      <c r="BY175" s="46">
        <v>0.0</v>
      </c>
      <c r="BZ175" s="46">
        <v>4.1</v>
      </c>
      <c r="CA175" s="46">
        <v>3.18</v>
      </c>
      <c r="CB175" s="46">
        <v>0.0</v>
      </c>
      <c r="CC175" s="46">
        <v>2.0</v>
      </c>
      <c r="CD175" s="46">
        <v>1.0</v>
      </c>
      <c r="CE175" s="46">
        <v>10000.0</v>
      </c>
      <c r="CF175" s="46">
        <v>8600.0</v>
      </c>
      <c r="CG175" s="46">
        <v>0.0</v>
      </c>
      <c r="CH175" s="46">
        <v>0.0</v>
      </c>
      <c r="CI175" s="46">
        <v>0.0</v>
      </c>
      <c r="CJ175" s="2"/>
      <c r="CK175" s="2"/>
    </row>
    <row r="176">
      <c r="A176" s="44">
        <v>175.0</v>
      </c>
      <c r="B176" s="44">
        <v>291.0</v>
      </c>
      <c r="C176" s="44" t="s">
        <v>573</v>
      </c>
      <c r="D176" s="44" t="s">
        <v>574</v>
      </c>
      <c r="E176" s="44" t="s">
        <v>575</v>
      </c>
      <c r="F176" s="44">
        <v>900.0</v>
      </c>
      <c r="G176" s="44">
        <v>4.65</v>
      </c>
      <c r="H176" s="44">
        <v>2.0</v>
      </c>
      <c r="I176" s="44">
        <v>1.092</v>
      </c>
      <c r="J176" s="44">
        <v>2.736</v>
      </c>
      <c r="K176" s="44">
        <v>1.676</v>
      </c>
      <c r="L176" s="44">
        <v>1.634</v>
      </c>
      <c r="M176" s="44">
        <v>0.04</v>
      </c>
      <c r="N176" s="44">
        <v>0.55</v>
      </c>
      <c r="O176" s="44">
        <v>2.0</v>
      </c>
      <c r="P176" s="44">
        <v>0.4</v>
      </c>
      <c r="Q176" s="44">
        <v>1.6</v>
      </c>
      <c r="R176" s="44">
        <v>500.0</v>
      </c>
      <c r="S176" s="44">
        <v>0.734</v>
      </c>
      <c r="T176" s="44">
        <v>0.33</v>
      </c>
      <c r="U176" s="44">
        <v>0.292</v>
      </c>
      <c r="V176" s="44">
        <v>18.0</v>
      </c>
      <c r="W176" s="44">
        <v>0.37</v>
      </c>
      <c r="X176" s="44">
        <v>0.342</v>
      </c>
      <c r="Y176" s="44">
        <v>18.0</v>
      </c>
      <c r="Z176" s="44">
        <v>3.0</v>
      </c>
      <c r="AA176" s="44">
        <v>-0.3</v>
      </c>
      <c r="AB176" s="44">
        <v>3.0</v>
      </c>
      <c r="AC176" s="44">
        <v>6.0</v>
      </c>
      <c r="AD176" s="44">
        <v>3.0</v>
      </c>
      <c r="AE176" s="44">
        <v>5.0</v>
      </c>
      <c r="AF176" s="44">
        <v>-6.0</v>
      </c>
      <c r="AG176" s="44">
        <v>-1.3</v>
      </c>
      <c r="AH176" s="44">
        <v>3.0</v>
      </c>
      <c r="AI176" s="44">
        <v>3.0</v>
      </c>
      <c r="AJ176" s="44">
        <v>3596.0</v>
      </c>
      <c r="AK176" s="44">
        <v>1.0</v>
      </c>
      <c r="AL176" s="44">
        <v>8000.0</v>
      </c>
      <c r="AM176" s="44">
        <v>8000.0</v>
      </c>
      <c r="AN176" s="44">
        <v>900.0</v>
      </c>
      <c r="AO176" s="44">
        <v>5500.0</v>
      </c>
      <c r="AP176" s="44">
        <v>6500.0</v>
      </c>
      <c r="AQ176" s="44">
        <v>1.0</v>
      </c>
      <c r="AR176" s="57" t="s">
        <v>1955</v>
      </c>
      <c r="AS176" s="57" t="s">
        <v>1304</v>
      </c>
      <c r="AT176" s="57" t="s">
        <v>3513</v>
      </c>
      <c r="AU176" s="57" t="s">
        <v>3514</v>
      </c>
      <c r="AV176" s="57" t="s">
        <v>2298</v>
      </c>
      <c r="AW176" s="57" t="s">
        <v>3515</v>
      </c>
      <c r="AX176" s="57" t="s">
        <v>3516</v>
      </c>
      <c r="AY176" s="57" t="s">
        <v>3517</v>
      </c>
      <c r="AZ176" s="57" t="s">
        <v>3518</v>
      </c>
      <c r="BA176" s="57" t="s">
        <v>3519</v>
      </c>
      <c r="BB176" s="57" t="s">
        <v>3520</v>
      </c>
      <c r="BC176" s="57" t="s">
        <v>3521</v>
      </c>
      <c r="BD176" s="57" t="s">
        <v>3522</v>
      </c>
      <c r="BE176" s="57" t="s">
        <v>3523</v>
      </c>
      <c r="BF176" s="57" t="s">
        <v>3524</v>
      </c>
      <c r="BG176" s="57" t="s">
        <v>3525</v>
      </c>
      <c r="BH176" s="57" t="s">
        <v>3526</v>
      </c>
      <c r="BI176" s="57" t="s">
        <v>1031</v>
      </c>
      <c r="BJ176" s="57" t="s">
        <v>1032</v>
      </c>
      <c r="BK176" s="57" t="s">
        <v>1033</v>
      </c>
      <c r="BL176" s="57" t="s">
        <v>1034</v>
      </c>
      <c r="BM176" s="57" t="s">
        <v>1035</v>
      </c>
      <c r="BN176" s="57" t="s">
        <v>1036</v>
      </c>
      <c r="BO176" s="57" t="s">
        <v>1037</v>
      </c>
      <c r="BP176" s="44">
        <v>0.0</v>
      </c>
      <c r="BQ176" s="44">
        <v>6.0</v>
      </c>
      <c r="BR176" s="44">
        <v>3.354</v>
      </c>
      <c r="BS176" s="44">
        <v>2.245</v>
      </c>
      <c r="BT176" s="44">
        <v>1.764</v>
      </c>
      <c r="BU176" s="44">
        <v>1.382</v>
      </c>
      <c r="BV176" s="44">
        <v>1.081</v>
      </c>
      <c r="BW176" s="44">
        <v>0.828</v>
      </c>
      <c r="BX176" s="44">
        <v>0.0</v>
      </c>
      <c r="BY176" s="44">
        <v>0.0</v>
      </c>
      <c r="BZ176" s="44">
        <v>3.4</v>
      </c>
      <c r="CA176" s="44">
        <v>3.4</v>
      </c>
      <c r="CB176" s="44">
        <v>4.0</v>
      </c>
      <c r="CC176" s="44">
        <v>0.0</v>
      </c>
      <c r="CD176" s="44">
        <v>0.0</v>
      </c>
      <c r="CE176" s="44">
        <v>0.0</v>
      </c>
      <c r="CF176" s="44">
        <v>8000.0</v>
      </c>
      <c r="CG176" s="44">
        <v>0.0</v>
      </c>
      <c r="CH176" s="44">
        <v>1.0</v>
      </c>
      <c r="CI176" s="44">
        <v>0.0</v>
      </c>
      <c r="CJ176" s="2"/>
      <c r="CK176" s="2"/>
    </row>
    <row r="177">
      <c r="A177" s="46">
        <v>176.0</v>
      </c>
      <c r="B177" s="46">
        <v>292.0</v>
      </c>
      <c r="C177" s="46" t="s">
        <v>576</v>
      </c>
      <c r="D177" s="46" t="s">
        <v>577</v>
      </c>
      <c r="E177" s="46" t="s">
        <v>578</v>
      </c>
      <c r="F177" s="46">
        <v>1780.0</v>
      </c>
      <c r="G177" s="46">
        <v>5.051</v>
      </c>
      <c r="H177" s="46">
        <v>1.894</v>
      </c>
      <c r="I177" s="46">
        <v>1.444</v>
      </c>
      <c r="J177" s="46">
        <v>2.944</v>
      </c>
      <c r="K177" s="46">
        <v>1.629</v>
      </c>
      <c r="L177" s="46">
        <v>1.615</v>
      </c>
      <c r="M177" s="46">
        <v>0.125</v>
      </c>
      <c r="N177" s="46">
        <v>0.5</v>
      </c>
      <c r="O177" s="46">
        <v>4.0</v>
      </c>
      <c r="P177" s="46">
        <v>0.52</v>
      </c>
      <c r="Q177" s="46">
        <v>1.05</v>
      </c>
      <c r="R177" s="46">
        <v>0.0</v>
      </c>
      <c r="S177" s="46">
        <v>1.154</v>
      </c>
      <c r="T177" s="46">
        <v>0.255</v>
      </c>
      <c r="U177" s="46">
        <v>0.4</v>
      </c>
      <c r="V177" s="46">
        <v>19.0</v>
      </c>
      <c r="W177" s="46">
        <v>0.255</v>
      </c>
      <c r="X177" s="46">
        <v>0.4</v>
      </c>
      <c r="Y177" s="46">
        <v>19.0</v>
      </c>
      <c r="Z177" s="46">
        <v>0.0</v>
      </c>
      <c r="AA177" s="46">
        <v>0.0</v>
      </c>
      <c r="AB177" s="46">
        <v>3.0</v>
      </c>
      <c r="AC177" s="46">
        <v>14.0</v>
      </c>
      <c r="AD177" s="46">
        <v>1.5</v>
      </c>
      <c r="AE177" s="46">
        <v>2.0</v>
      </c>
      <c r="AF177" s="46">
        <v>0.0</v>
      </c>
      <c r="AG177" s="46">
        <v>-0.3</v>
      </c>
      <c r="AH177" s="46">
        <v>1.5</v>
      </c>
      <c r="AI177" s="46">
        <v>2.0</v>
      </c>
      <c r="AJ177" s="46">
        <v>4172.0</v>
      </c>
      <c r="AK177" s="46">
        <v>0.0</v>
      </c>
      <c r="AL177" s="46">
        <v>6800.0</v>
      </c>
      <c r="AM177" s="46">
        <v>6800.0</v>
      </c>
      <c r="AN177" s="46">
        <v>700.0</v>
      </c>
      <c r="AO177" s="46">
        <v>3500.0</v>
      </c>
      <c r="AP177" s="46">
        <v>6500.0</v>
      </c>
      <c r="AQ177" s="46">
        <v>0.0</v>
      </c>
      <c r="AR177" s="58" t="s">
        <v>3527</v>
      </c>
      <c r="AS177" s="58" t="s">
        <v>3528</v>
      </c>
      <c r="AT177" s="58" t="s">
        <v>3529</v>
      </c>
      <c r="AU177" s="58" t="s">
        <v>3530</v>
      </c>
      <c r="AV177" s="58" t="s">
        <v>3531</v>
      </c>
      <c r="AW177" s="58" t="s">
        <v>3532</v>
      </c>
      <c r="AX177" s="58" t="s">
        <v>3533</v>
      </c>
      <c r="AY177" s="58" t="s">
        <v>3534</v>
      </c>
      <c r="AZ177" s="58" t="s">
        <v>3535</v>
      </c>
      <c r="BA177" s="58" t="s">
        <v>3536</v>
      </c>
      <c r="BB177" s="58" t="s">
        <v>3537</v>
      </c>
      <c r="BC177" s="58" t="s">
        <v>3538</v>
      </c>
      <c r="BD177" s="58" t="s">
        <v>3539</v>
      </c>
      <c r="BE177" s="58" t="s">
        <v>1748</v>
      </c>
      <c r="BF177" s="58" t="s">
        <v>1052</v>
      </c>
      <c r="BG177" s="58" t="s">
        <v>1029</v>
      </c>
      <c r="BH177" s="58" t="s">
        <v>1030</v>
      </c>
      <c r="BI177" s="58" t="s">
        <v>1031</v>
      </c>
      <c r="BJ177" s="58" t="s">
        <v>1032</v>
      </c>
      <c r="BK177" s="58" t="s">
        <v>1033</v>
      </c>
      <c r="BL177" s="58" t="s">
        <v>1034</v>
      </c>
      <c r="BM177" s="58" t="s">
        <v>1035</v>
      </c>
      <c r="BN177" s="58" t="s">
        <v>1036</v>
      </c>
      <c r="BO177" s="58" t="s">
        <v>1037</v>
      </c>
      <c r="BP177" s="46">
        <v>1.0</v>
      </c>
      <c r="BQ177" s="46">
        <v>6.0</v>
      </c>
      <c r="BR177" s="46">
        <v>4.17</v>
      </c>
      <c r="BS177" s="46">
        <v>2.339</v>
      </c>
      <c r="BT177" s="46">
        <v>1.521</v>
      </c>
      <c r="BU177" s="46">
        <v>1.142</v>
      </c>
      <c r="BV177" s="46">
        <v>0.867</v>
      </c>
      <c r="BW177" s="46">
        <v>0.691</v>
      </c>
      <c r="BX177" s="46">
        <v>0.0</v>
      </c>
      <c r="BY177" s="46">
        <v>0.0</v>
      </c>
      <c r="BZ177" s="46">
        <v>3.39</v>
      </c>
      <c r="CA177" s="46">
        <v>3.317</v>
      </c>
      <c r="CB177" s="46">
        <v>2.0</v>
      </c>
      <c r="CC177" s="46">
        <v>2.0</v>
      </c>
      <c r="CD177" s="46">
        <v>2.0</v>
      </c>
      <c r="CE177" s="46">
        <v>8000.0</v>
      </c>
      <c r="CF177" s="46">
        <v>6800.0</v>
      </c>
      <c r="CG177" s="46">
        <v>0.0</v>
      </c>
      <c r="CH177" s="46">
        <v>1.0</v>
      </c>
      <c r="CI177" s="46">
        <v>0.0</v>
      </c>
      <c r="CJ177" s="2"/>
      <c r="CK177" s="2"/>
    </row>
    <row r="178">
      <c r="A178" s="44">
        <v>177.0</v>
      </c>
      <c r="B178" s="44">
        <v>293.0</v>
      </c>
      <c r="C178" s="44" t="s">
        <v>579</v>
      </c>
      <c r="D178" s="44" t="s">
        <v>580</v>
      </c>
      <c r="E178" s="44" t="s">
        <v>581</v>
      </c>
      <c r="F178" s="44">
        <v>1910.0</v>
      </c>
      <c r="G178" s="44">
        <v>4.865</v>
      </c>
      <c r="H178" s="44">
        <v>1.85</v>
      </c>
      <c r="I178" s="44">
        <v>1.44</v>
      </c>
      <c r="J178" s="44">
        <v>2.76</v>
      </c>
      <c r="K178" s="44">
        <v>1.575</v>
      </c>
      <c r="L178" s="44">
        <v>1.585</v>
      </c>
      <c r="M178" s="44">
        <v>0.08</v>
      </c>
      <c r="N178" s="44">
        <v>0.43</v>
      </c>
      <c r="O178" s="44">
        <v>4.0</v>
      </c>
      <c r="P178" s="44">
        <v>0.5</v>
      </c>
      <c r="Q178" s="44">
        <v>1.05</v>
      </c>
      <c r="R178" s="44">
        <v>0.0</v>
      </c>
      <c r="S178" s="44">
        <v>1.143</v>
      </c>
      <c r="T178" s="44">
        <v>0.255</v>
      </c>
      <c r="U178" s="44">
        <v>0.35</v>
      </c>
      <c r="V178" s="44">
        <v>19.0</v>
      </c>
      <c r="W178" s="44">
        <v>0.255</v>
      </c>
      <c r="X178" s="44">
        <v>0.35</v>
      </c>
      <c r="Y178" s="44">
        <v>19.0</v>
      </c>
      <c r="Z178" s="44">
        <v>0.0</v>
      </c>
      <c r="AA178" s="44">
        <v>-0.3</v>
      </c>
      <c r="AB178" s="44">
        <v>4.0</v>
      </c>
      <c r="AC178" s="44">
        <v>12.0</v>
      </c>
      <c r="AD178" s="44">
        <v>2.0</v>
      </c>
      <c r="AE178" s="44">
        <v>2.0</v>
      </c>
      <c r="AF178" s="44">
        <v>0.0</v>
      </c>
      <c r="AG178" s="44">
        <v>-0.3</v>
      </c>
      <c r="AH178" s="44">
        <v>2.0</v>
      </c>
      <c r="AI178" s="44">
        <v>2.0</v>
      </c>
      <c r="AJ178" s="44">
        <v>4172.0</v>
      </c>
      <c r="AK178" s="44">
        <v>6.0</v>
      </c>
      <c r="AL178" s="44">
        <v>6500.0</v>
      </c>
      <c r="AM178" s="44">
        <v>6600.0</v>
      </c>
      <c r="AN178" s="44">
        <v>700.0</v>
      </c>
      <c r="AO178" s="44">
        <v>1950.0</v>
      </c>
      <c r="AP178" s="44">
        <v>5700.0</v>
      </c>
      <c r="AQ178" s="44">
        <v>0.0</v>
      </c>
      <c r="AR178" s="57" t="s">
        <v>3540</v>
      </c>
      <c r="AS178" s="57" t="s">
        <v>3541</v>
      </c>
      <c r="AT178" s="57" t="s">
        <v>3542</v>
      </c>
      <c r="AU178" s="57" t="s">
        <v>3543</v>
      </c>
      <c r="AV178" s="57" t="s">
        <v>3544</v>
      </c>
      <c r="AW178" s="57" t="s">
        <v>3545</v>
      </c>
      <c r="AX178" s="57" t="s">
        <v>3546</v>
      </c>
      <c r="AY178" s="57" t="s">
        <v>3547</v>
      </c>
      <c r="AZ178" s="57" t="s">
        <v>3548</v>
      </c>
      <c r="BA178" s="57" t="s">
        <v>3549</v>
      </c>
      <c r="BB178" s="57" t="s">
        <v>3550</v>
      </c>
      <c r="BC178" s="57" t="s">
        <v>3551</v>
      </c>
      <c r="BD178" s="57" t="s">
        <v>3552</v>
      </c>
      <c r="BE178" s="57" t="s">
        <v>3553</v>
      </c>
      <c r="BF178" s="57" t="s">
        <v>1052</v>
      </c>
      <c r="BG178" s="57" t="s">
        <v>1029</v>
      </c>
      <c r="BH178" s="57" t="s">
        <v>1030</v>
      </c>
      <c r="BI178" s="57" t="s">
        <v>1031</v>
      </c>
      <c r="BJ178" s="57" t="s">
        <v>1032</v>
      </c>
      <c r="BK178" s="57" t="s">
        <v>1033</v>
      </c>
      <c r="BL178" s="57" t="s">
        <v>1034</v>
      </c>
      <c r="BM178" s="57" t="s">
        <v>1035</v>
      </c>
      <c r="BN178" s="57" t="s">
        <v>1036</v>
      </c>
      <c r="BO178" s="57" t="s">
        <v>1037</v>
      </c>
      <c r="BP178" s="44">
        <v>1.0</v>
      </c>
      <c r="BQ178" s="44">
        <v>5.0</v>
      </c>
      <c r="BR178" s="44">
        <v>3.571</v>
      </c>
      <c r="BS178" s="44">
        <v>2.2</v>
      </c>
      <c r="BT178" s="44">
        <v>1.505</v>
      </c>
      <c r="BU178" s="44">
        <v>1.0</v>
      </c>
      <c r="BV178" s="44">
        <v>0.804</v>
      </c>
      <c r="BW178" s="44">
        <v>0.0</v>
      </c>
      <c r="BX178" s="44">
        <v>0.0</v>
      </c>
      <c r="BY178" s="44">
        <v>0.0</v>
      </c>
      <c r="BZ178" s="44">
        <v>4.095</v>
      </c>
      <c r="CA178" s="44">
        <v>3.197</v>
      </c>
      <c r="CB178" s="44">
        <v>0.0</v>
      </c>
      <c r="CC178" s="44">
        <v>0.0</v>
      </c>
      <c r="CD178" s="44">
        <v>2.0</v>
      </c>
      <c r="CE178" s="44">
        <v>8000.0</v>
      </c>
      <c r="CF178" s="44">
        <v>6500.0</v>
      </c>
      <c r="CG178" s="44">
        <v>0.0</v>
      </c>
      <c r="CH178" s="44">
        <v>1.0</v>
      </c>
      <c r="CI178" s="44">
        <v>0.0</v>
      </c>
      <c r="CJ178" s="2"/>
      <c r="CK178" s="2"/>
    </row>
    <row r="179">
      <c r="A179" s="46">
        <v>178.0</v>
      </c>
      <c r="B179" s="46">
        <v>295.0</v>
      </c>
      <c r="C179" s="46" t="s">
        <v>582</v>
      </c>
      <c r="D179" s="46" t="s">
        <v>583</v>
      </c>
      <c r="E179" s="46" t="s">
        <v>584</v>
      </c>
      <c r="F179" s="46">
        <v>1835.0</v>
      </c>
      <c r="G179" s="46">
        <v>4.665</v>
      </c>
      <c r="H179" s="46">
        <v>1.923</v>
      </c>
      <c r="I179" s="46">
        <v>1.318</v>
      </c>
      <c r="J179" s="46">
        <v>2.69</v>
      </c>
      <c r="K179" s="46">
        <v>1.572</v>
      </c>
      <c r="L179" s="46">
        <v>1.584</v>
      </c>
      <c r="M179" s="46">
        <v>0.12</v>
      </c>
      <c r="N179" s="46">
        <v>0.471</v>
      </c>
      <c r="O179" s="46">
        <v>0.0</v>
      </c>
      <c r="P179" s="46">
        <v>0.5</v>
      </c>
      <c r="Q179" s="46">
        <v>1.15</v>
      </c>
      <c r="R179" s="46">
        <v>0.0</v>
      </c>
      <c r="S179" s="46">
        <v>1.133</v>
      </c>
      <c r="T179" s="46">
        <v>0.255</v>
      </c>
      <c r="U179" s="46">
        <v>0.4</v>
      </c>
      <c r="V179" s="46">
        <v>19.0</v>
      </c>
      <c r="W179" s="46">
        <v>0.285</v>
      </c>
      <c r="X179" s="46">
        <v>0.4</v>
      </c>
      <c r="Y179" s="46">
        <v>19.0</v>
      </c>
      <c r="Z179" s="46">
        <v>0.0</v>
      </c>
      <c r="AA179" s="46">
        <v>-0.3</v>
      </c>
      <c r="AB179" s="46">
        <v>6.0</v>
      </c>
      <c r="AC179" s="46">
        <v>12.0</v>
      </c>
      <c r="AD179" s="46">
        <v>1.5</v>
      </c>
      <c r="AE179" s="46">
        <v>5.0</v>
      </c>
      <c r="AF179" s="46">
        <v>-6.0</v>
      </c>
      <c r="AG179" s="46">
        <v>-1.0</v>
      </c>
      <c r="AH179" s="46">
        <v>1.5</v>
      </c>
      <c r="AI179" s="46">
        <v>1.0</v>
      </c>
      <c r="AJ179" s="46">
        <v>5935.0</v>
      </c>
      <c r="AK179" s="46">
        <v>0.0</v>
      </c>
      <c r="AL179" s="46">
        <v>7000.0</v>
      </c>
      <c r="AM179" s="46">
        <v>7100.0</v>
      </c>
      <c r="AN179" s="46">
        <v>600.0</v>
      </c>
      <c r="AO179" s="46">
        <v>5500.0</v>
      </c>
      <c r="AP179" s="46">
        <v>6800.0</v>
      </c>
      <c r="AQ179" s="46">
        <v>0.0</v>
      </c>
      <c r="AR179" s="58" t="s">
        <v>3554</v>
      </c>
      <c r="AS179" s="58" t="s">
        <v>3555</v>
      </c>
      <c r="AT179" s="58" t="s">
        <v>3556</v>
      </c>
      <c r="AU179" s="58" t="s">
        <v>3557</v>
      </c>
      <c r="AV179" s="58" t="s">
        <v>3558</v>
      </c>
      <c r="AW179" s="58" t="s">
        <v>3559</v>
      </c>
      <c r="AX179" s="58" t="s">
        <v>3560</v>
      </c>
      <c r="AY179" s="58" t="s">
        <v>3561</v>
      </c>
      <c r="AZ179" s="58" t="s">
        <v>3562</v>
      </c>
      <c r="BA179" s="58" t="s">
        <v>3563</v>
      </c>
      <c r="BB179" s="58" t="s">
        <v>3564</v>
      </c>
      <c r="BC179" s="58" t="s">
        <v>3565</v>
      </c>
      <c r="BD179" s="58" t="s">
        <v>3566</v>
      </c>
      <c r="BE179" s="58" t="s">
        <v>3567</v>
      </c>
      <c r="BF179" s="58" t="s">
        <v>3568</v>
      </c>
      <c r="BG179" s="58" t="s">
        <v>3569</v>
      </c>
      <c r="BH179" s="58" t="s">
        <v>1030</v>
      </c>
      <c r="BI179" s="58" t="s">
        <v>1031</v>
      </c>
      <c r="BJ179" s="58" t="s">
        <v>1032</v>
      </c>
      <c r="BK179" s="58" t="s">
        <v>1033</v>
      </c>
      <c r="BL179" s="58" t="s">
        <v>1034</v>
      </c>
      <c r="BM179" s="58" t="s">
        <v>1035</v>
      </c>
      <c r="BN179" s="58" t="s">
        <v>1036</v>
      </c>
      <c r="BO179" s="58" t="s">
        <v>1037</v>
      </c>
      <c r="BP179" s="46">
        <v>0.0</v>
      </c>
      <c r="BQ179" s="46">
        <v>6.0</v>
      </c>
      <c r="BR179" s="46">
        <v>2.66</v>
      </c>
      <c r="BS179" s="46">
        <v>1.78</v>
      </c>
      <c r="BT179" s="46">
        <v>1.3</v>
      </c>
      <c r="BU179" s="46">
        <v>1.0</v>
      </c>
      <c r="BV179" s="46">
        <v>0.85</v>
      </c>
      <c r="BW179" s="46">
        <v>0.7</v>
      </c>
      <c r="BX179" s="46">
        <v>0.0</v>
      </c>
      <c r="BY179" s="46">
        <v>0.0</v>
      </c>
      <c r="BZ179" s="46">
        <v>3.1</v>
      </c>
      <c r="CA179" s="46">
        <v>3.69</v>
      </c>
      <c r="CB179" s="46">
        <v>3.0</v>
      </c>
      <c r="CC179" s="46">
        <v>0.0</v>
      </c>
      <c r="CD179" s="46">
        <v>0.0</v>
      </c>
      <c r="CE179" s="46">
        <v>7500.0</v>
      </c>
      <c r="CF179" s="46">
        <v>7000.0</v>
      </c>
      <c r="CG179" s="46">
        <v>0.0</v>
      </c>
      <c r="CH179" s="46">
        <v>1.0</v>
      </c>
      <c r="CI179" s="46">
        <v>0.0</v>
      </c>
      <c r="CJ179" s="2"/>
      <c r="CK179" s="2"/>
    </row>
    <row r="180">
      <c r="A180" s="44">
        <v>179.0</v>
      </c>
      <c r="B180" s="44">
        <v>296.0</v>
      </c>
      <c r="C180" s="44" t="s">
        <v>585</v>
      </c>
      <c r="D180" s="44" t="s">
        <v>586</v>
      </c>
      <c r="E180" s="44" t="s">
        <v>587</v>
      </c>
      <c r="F180" s="44">
        <v>1250.0</v>
      </c>
      <c r="G180" s="44">
        <v>4.47</v>
      </c>
      <c r="H180" s="44">
        <v>1.85</v>
      </c>
      <c r="I180" s="44">
        <v>1.25</v>
      </c>
      <c r="J180" s="44">
        <v>2.7</v>
      </c>
      <c r="K180" s="44">
        <v>1.55</v>
      </c>
      <c r="L180" s="44">
        <v>1.55</v>
      </c>
      <c r="M180" s="44">
        <v>0.05</v>
      </c>
      <c r="N180" s="44">
        <v>0.52</v>
      </c>
      <c r="O180" s="44">
        <v>0.0</v>
      </c>
      <c r="P180" s="44">
        <v>0.43</v>
      </c>
      <c r="Q180" s="44">
        <v>1.6</v>
      </c>
      <c r="R180" s="44">
        <v>500.0</v>
      </c>
      <c r="S180" s="44">
        <v>1.002</v>
      </c>
      <c r="T180" s="44">
        <v>0.24</v>
      </c>
      <c r="U180" s="44">
        <v>0.4</v>
      </c>
      <c r="V180" s="44">
        <v>18.0</v>
      </c>
      <c r="W180" s="44">
        <v>0.28</v>
      </c>
      <c r="X180" s="44">
        <v>0.35</v>
      </c>
      <c r="Y180" s="44">
        <v>18.0</v>
      </c>
      <c r="Z180" s="44">
        <v>1.0</v>
      </c>
      <c r="AA180" s="44">
        <v>-1.3</v>
      </c>
      <c r="AB180" s="44">
        <v>3.3</v>
      </c>
      <c r="AC180" s="44">
        <v>10.0</v>
      </c>
      <c r="AD180" s="44">
        <v>2.8</v>
      </c>
      <c r="AE180" s="44">
        <v>5.0</v>
      </c>
      <c r="AF180" s="44">
        <v>-3.0</v>
      </c>
      <c r="AG180" s="44">
        <v>-1.0</v>
      </c>
      <c r="AH180" s="44">
        <v>2.8</v>
      </c>
      <c r="AI180" s="44">
        <v>4.0</v>
      </c>
      <c r="AJ180" s="44">
        <v>3998.0</v>
      </c>
      <c r="AK180" s="44">
        <v>0.0</v>
      </c>
      <c r="AL180" s="44">
        <v>7500.0</v>
      </c>
      <c r="AM180" s="44">
        <v>7500.0</v>
      </c>
      <c r="AN180" s="44">
        <v>900.0</v>
      </c>
      <c r="AO180" s="44">
        <v>5600.0</v>
      </c>
      <c r="AP180" s="44">
        <v>6900.0</v>
      </c>
      <c r="AQ180" s="44">
        <v>1.0</v>
      </c>
      <c r="AR180" s="57" t="s">
        <v>3570</v>
      </c>
      <c r="AS180" s="57" t="s">
        <v>3571</v>
      </c>
      <c r="AT180" s="57" t="s">
        <v>3572</v>
      </c>
      <c r="AU180" s="57" t="s">
        <v>3573</v>
      </c>
      <c r="AV180" s="57" t="s">
        <v>3574</v>
      </c>
      <c r="AW180" s="57" t="s">
        <v>3575</v>
      </c>
      <c r="AX180" s="57" t="s">
        <v>3576</v>
      </c>
      <c r="AY180" s="57" t="s">
        <v>3577</v>
      </c>
      <c r="AZ180" s="57" t="s">
        <v>3578</v>
      </c>
      <c r="BA180" s="57" t="s">
        <v>3579</v>
      </c>
      <c r="BB180" s="57" t="s">
        <v>3580</v>
      </c>
      <c r="BC180" s="57" t="s">
        <v>3581</v>
      </c>
      <c r="BD180" s="57" t="s">
        <v>3582</v>
      </c>
      <c r="BE180" s="57" t="s">
        <v>3583</v>
      </c>
      <c r="BF180" s="57" t="s">
        <v>3584</v>
      </c>
      <c r="BG180" s="57" t="s">
        <v>3585</v>
      </c>
      <c r="BH180" s="57" t="s">
        <v>1030</v>
      </c>
      <c r="BI180" s="57" t="s">
        <v>1031</v>
      </c>
      <c r="BJ180" s="57" t="s">
        <v>1032</v>
      </c>
      <c r="BK180" s="57" t="s">
        <v>1033</v>
      </c>
      <c r="BL180" s="57" t="s">
        <v>1034</v>
      </c>
      <c r="BM180" s="57" t="s">
        <v>1035</v>
      </c>
      <c r="BN180" s="57" t="s">
        <v>1036</v>
      </c>
      <c r="BO180" s="57" t="s">
        <v>1037</v>
      </c>
      <c r="BP180" s="44">
        <v>0.0</v>
      </c>
      <c r="BQ180" s="44">
        <v>6.0</v>
      </c>
      <c r="BR180" s="44">
        <v>3.295</v>
      </c>
      <c r="BS180" s="44">
        <v>2.518</v>
      </c>
      <c r="BT180" s="44">
        <v>1.933</v>
      </c>
      <c r="BU180" s="44">
        <v>1.507</v>
      </c>
      <c r="BV180" s="44">
        <v>1.182</v>
      </c>
      <c r="BW180" s="44">
        <v>0.936</v>
      </c>
      <c r="BX180" s="44">
        <v>0.0</v>
      </c>
      <c r="BY180" s="44">
        <v>0.0</v>
      </c>
      <c r="BZ180" s="44">
        <v>3.76</v>
      </c>
      <c r="CA180" s="44">
        <v>3.289</v>
      </c>
      <c r="CB180" s="44">
        <v>4.0</v>
      </c>
      <c r="CC180" s="44">
        <v>0.0</v>
      </c>
      <c r="CD180" s="44">
        <v>0.0</v>
      </c>
      <c r="CE180" s="44">
        <v>0.0</v>
      </c>
      <c r="CF180" s="44">
        <v>7500.0</v>
      </c>
      <c r="CG180" s="44">
        <v>0.0</v>
      </c>
      <c r="CH180" s="44">
        <v>1.0</v>
      </c>
      <c r="CI180" s="44">
        <v>0.0</v>
      </c>
      <c r="CJ180" s="2"/>
      <c r="CK180" s="2"/>
    </row>
    <row r="181">
      <c r="A181" s="46">
        <v>180.0</v>
      </c>
      <c r="B181" s="46">
        <v>297.0</v>
      </c>
      <c r="C181" s="46" t="s">
        <v>588</v>
      </c>
      <c r="D181" s="46" t="s">
        <v>589</v>
      </c>
      <c r="E181" s="46" t="s">
        <v>590</v>
      </c>
      <c r="F181" s="46">
        <v>1090.0</v>
      </c>
      <c r="G181" s="46">
        <v>3.85</v>
      </c>
      <c r="H181" s="46">
        <v>1.67</v>
      </c>
      <c r="I181" s="46">
        <v>1.54</v>
      </c>
      <c r="J181" s="46">
        <v>2.46</v>
      </c>
      <c r="K181" s="46">
        <v>1.44</v>
      </c>
      <c r="L181" s="46">
        <v>1.44</v>
      </c>
      <c r="M181" s="46">
        <v>0.14</v>
      </c>
      <c r="N181" s="46">
        <v>0.367</v>
      </c>
      <c r="O181" s="46">
        <v>1.0</v>
      </c>
      <c r="P181" s="46">
        <v>0.52</v>
      </c>
      <c r="Q181" s="46">
        <v>1.0</v>
      </c>
      <c r="R181" s="46">
        <v>0.0</v>
      </c>
      <c r="S181" s="46">
        <v>1.223</v>
      </c>
      <c r="T181" s="46">
        <v>0.185</v>
      </c>
      <c r="U181" s="46">
        <v>0.6</v>
      </c>
      <c r="V181" s="46">
        <v>15.0</v>
      </c>
      <c r="W181" s="46">
        <v>0.185</v>
      </c>
      <c r="X181" s="46">
        <v>0.6</v>
      </c>
      <c r="Y181" s="46">
        <v>15.0</v>
      </c>
      <c r="Z181" s="46">
        <v>0.0</v>
      </c>
      <c r="AA181" s="46">
        <v>-0.3</v>
      </c>
      <c r="AB181" s="46">
        <v>2.0</v>
      </c>
      <c r="AC181" s="46">
        <v>10.0</v>
      </c>
      <c r="AD181" s="46">
        <v>1.6</v>
      </c>
      <c r="AE181" s="46">
        <v>1.5</v>
      </c>
      <c r="AF181" s="46">
        <v>-2.0</v>
      </c>
      <c r="AG181" s="46">
        <v>-0.3</v>
      </c>
      <c r="AH181" s="46">
        <v>1.6</v>
      </c>
      <c r="AI181" s="46">
        <v>1.0</v>
      </c>
      <c r="AJ181" s="46">
        <v>1587.0</v>
      </c>
      <c r="AK181" s="46">
        <v>0.0</v>
      </c>
      <c r="AL181" s="46">
        <v>7000.0</v>
      </c>
      <c r="AM181" s="46">
        <v>7000.0</v>
      </c>
      <c r="AN181" s="46">
        <v>700.0</v>
      </c>
      <c r="AO181" s="46">
        <v>4000.0</v>
      </c>
      <c r="AP181" s="46">
        <v>5800.0</v>
      </c>
      <c r="AQ181" s="46">
        <v>0.0</v>
      </c>
      <c r="AR181" s="58" t="s">
        <v>3586</v>
      </c>
      <c r="AS181" s="58" t="s">
        <v>3587</v>
      </c>
      <c r="AT181" s="58" t="s">
        <v>3588</v>
      </c>
      <c r="AU181" s="58" t="s">
        <v>3589</v>
      </c>
      <c r="AV181" s="58" t="s">
        <v>3590</v>
      </c>
      <c r="AW181" s="58" t="s">
        <v>3591</v>
      </c>
      <c r="AX181" s="58" t="s">
        <v>3592</v>
      </c>
      <c r="AY181" s="58" t="s">
        <v>3593</v>
      </c>
      <c r="AZ181" s="58" t="s">
        <v>3594</v>
      </c>
      <c r="BA181" s="58" t="s">
        <v>3595</v>
      </c>
      <c r="BB181" s="58" t="s">
        <v>3596</v>
      </c>
      <c r="BC181" s="58" t="s">
        <v>3597</v>
      </c>
      <c r="BD181" s="58" t="s">
        <v>3598</v>
      </c>
      <c r="BE181" s="58" t="s">
        <v>3599</v>
      </c>
      <c r="BF181" s="58" t="s">
        <v>1052</v>
      </c>
      <c r="BG181" s="58" t="s">
        <v>1029</v>
      </c>
      <c r="BH181" s="58" t="s">
        <v>1030</v>
      </c>
      <c r="BI181" s="58" t="s">
        <v>1031</v>
      </c>
      <c r="BJ181" s="58" t="s">
        <v>1032</v>
      </c>
      <c r="BK181" s="58" t="s">
        <v>1033</v>
      </c>
      <c r="BL181" s="58" t="s">
        <v>1034</v>
      </c>
      <c r="BM181" s="58" t="s">
        <v>1035</v>
      </c>
      <c r="BN181" s="58" t="s">
        <v>1036</v>
      </c>
      <c r="BO181" s="58" t="s">
        <v>1037</v>
      </c>
      <c r="BP181" s="46">
        <v>0.0</v>
      </c>
      <c r="BQ181" s="46">
        <v>5.0</v>
      </c>
      <c r="BR181" s="46">
        <v>3.416</v>
      </c>
      <c r="BS181" s="46">
        <v>1.95</v>
      </c>
      <c r="BT181" s="46">
        <v>1.366</v>
      </c>
      <c r="BU181" s="46">
        <v>1.054</v>
      </c>
      <c r="BV181" s="46">
        <v>0.853</v>
      </c>
      <c r="BW181" s="46">
        <v>0.0</v>
      </c>
      <c r="BX181" s="46">
        <v>0.0</v>
      </c>
      <c r="BY181" s="46">
        <v>0.0</v>
      </c>
      <c r="BZ181" s="46">
        <v>3.583</v>
      </c>
      <c r="CA181" s="46">
        <v>3.764</v>
      </c>
      <c r="CB181" s="46">
        <v>0.0</v>
      </c>
      <c r="CC181" s="46">
        <v>0.0</v>
      </c>
      <c r="CD181" s="46">
        <v>0.0</v>
      </c>
      <c r="CE181" s="46">
        <v>7500.0</v>
      </c>
      <c r="CF181" s="46">
        <v>7000.0</v>
      </c>
      <c r="CG181" s="46">
        <v>0.0</v>
      </c>
      <c r="CH181" s="46">
        <v>0.0</v>
      </c>
      <c r="CI181" s="46">
        <v>0.0</v>
      </c>
      <c r="CJ181" s="2"/>
      <c r="CK181" s="2"/>
    </row>
    <row r="182">
      <c r="A182" s="44">
        <v>181.0</v>
      </c>
      <c r="B182" s="44">
        <v>298.0</v>
      </c>
      <c r="C182" s="44" t="s">
        <v>591</v>
      </c>
      <c r="D182" s="44" t="s">
        <v>592</v>
      </c>
      <c r="E182" s="44" t="s">
        <v>593</v>
      </c>
      <c r="F182" s="44">
        <v>1230.0</v>
      </c>
      <c r="G182" s="44">
        <v>4.167</v>
      </c>
      <c r="H182" s="44">
        <v>1.77</v>
      </c>
      <c r="I182" s="44">
        <v>1.2</v>
      </c>
      <c r="J182" s="44">
        <v>2.555</v>
      </c>
      <c r="K182" s="44">
        <v>1.568</v>
      </c>
      <c r="L182" s="44">
        <v>1.568</v>
      </c>
      <c r="M182" s="44">
        <v>0.1</v>
      </c>
      <c r="N182" s="44">
        <v>0.5</v>
      </c>
      <c r="O182" s="44">
        <v>4.0</v>
      </c>
      <c r="P182" s="44">
        <v>0.47</v>
      </c>
      <c r="Q182" s="44">
        <v>1.2</v>
      </c>
      <c r="R182" s="44">
        <v>300.0</v>
      </c>
      <c r="S182" s="44">
        <v>1.045</v>
      </c>
      <c r="T182" s="44">
        <v>0.225</v>
      </c>
      <c r="U182" s="44">
        <v>0.42</v>
      </c>
      <c r="V182" s="44">
        <v>18.0</v>
      </c>
      <c r="W182" s="44">
        <v>0.225</v>
      </c>
      <c r="X182" s="44">
        <v>0.42</v>
      </c>
      <c r="Y182" s="44">
        <v>18.0</v>
      </c>
      <c r="Z182" s="44">
        <v>0.0</v>
      </c>
      <c r="AA182" s="44">
        <v>-1.0</v>
      </c>
      <c r="AB182" s="44">
        <v>3.0</v>
      </c>
      <c r="AC182" s="44">
        <v>10.0</v>
      </c>
      <c r="AD182" s="44">
        <v>2.0</v>
      </c>
      <c r="AE182" s="44">
        <v>2.0</v>
      </c>
      <c r="AF182" s="44">
        <v>0.0</v>
      </c>
      <c r="AG182" s="44">
        <v>-0.3</v>
      </c>
      <c r="AH182" s="44">
        <v>2.0</v>
      </c>
      <c r="AI182" s="44">
        <v>2.0</v>
      </c>
      <c r="AJ182" s="44">
        <v>1998.0</v>
      </c>
      <c r="AK182" s="44">
        <v>1.0</v>
      </c>
      <c r="AL182" s="44">
        <v>7000.0</v>
      </c>
      <c r="AM182" s="44">
        <v>7000.0</v>
      </c>
      <c r="AN182" s="44">
        <v>800.0</v>
      </c>
      <c r="AO182" s="44">
        <v>4000.0</v>
      </c>
      <c r="AP182" s="44">
        <v>5500.0</v>
      </c>
      <c r="AQ182" s="44">
        <v>1.0</v>
      </c>
      <c r="AR182" s="57" t="s">
        <v>2361</v>
      </c>
      <c r="AS182" s="57" t="s">
        <v>3600</v>
      </c>
      <c r="AT182" s="57" t="s">
        <v>3601</v>
      </c>
      <c r="AU182" s="57" t="s">
        <v>3602</v>
      </c>
      <c r="AV182" s="57" t="s">
        <v>3603</v>
      </c>
      <c r="AW182" s="57" t="s">
        <v>3604</v>
      </c>
      <c r="AX182" s="57" t="s">
        <v>3605</v>
      </c>
      <c r="AY182" s="57" t="s">
        <v>2091</v>
      </c>
      <c r="AZ182" s="57" t="s">
        <v>3019</v>
      </c>
      <c r="BA182" s="57" t="s">
        <v>3606</v>
      </c>
      <c r="BB182" s="57" t="s">
        <v>3607</v>
      </c>
      <c r="BC182" s="57" t="s">
        <v>3608</v>
      </c>
      <c r="BD182" s="57" t="s">
        <v>3609</v>
      </c>
      <c r="BE182" s="57" t="s">
        <v>3610</v>
      </c>
      <c r="BF182" s="57" t="s">
        <v>3611</v>
      </c>
      <c r="BG182" s="57" t="s">
        <v>1029</v>
      </c>
      <c r="BH182" s="57" t="s">
        <v>1030</v>
      </c>
      <c r="BI182" s="57" t="s">
        <v>1031</v>
      </c>
      <c r="BJ182" s="57" t="s">
        <v>1032</v>
      </c>
      <c r="BK182" s="57" t="s">
        <v>1033</v>
      </c>
      <c r="BL182" s="57" t="s">
        <v>1034</v>
      </c>
      <c r="BM182" s="57" t="s">
        <v>1035</v>
      </c>
      <c r="BN182" s="57" t="s">
        <v>1036</v>
      </c>
      <c r="BO182" s="57" t="s">
        <v>1037</v>
      </c>
      <c r="BP182" s="44">
        <v>0.0</v>
      </c>
      <c r="BQ182" s="44">
        <v>6.0</v>
      </c>
      <c r="BR182" s="44">
        <v>3.296</v>
      </c>
      <c r="BS182" s="44">
        <v>2.196</v>
      </c>
      <c r="BT182" s="44">
        <v>1.68</v>
      </c>
      <c r="BU182" s="44">
        <v>1.31</v>
      </c>
      <c r="BV182" s="44">
        <v>1.037</v>
      </c>
      <c r="BW182" s="44">
        <v>0.828</v>
      </c>
      <c r="BX182" s="44">
        <v>0.0</v>
      </c>
      <c r="BY182" s="44">
        <v>0.0</v>
      </c>
      <c r="BZ182" s="44">
        <v>3.2</v>
      </c>
      <c r="CA182" s="44">
        <v>3.95</v>
      </c>
      <c r="CB182" s="44">
        <v>3.0</v>
      </c>
      <c r="CC182" s="44">
        <v>4.0</v>
      </c>
      <c r="CD182" s="44">
        <v>5.0</v>
      </c>
      <c r="CE182" s="44">
        <v>0.0</v>
      </c>
      <c r="CF182" s="44">
        <v>7000.0</v>
      </c>
      <c r="CG182" s="44">
        <v>0.0</v>
      </c>
      <c r="CH182" s="44">
        <v>1.0</v>
      </c>
      <c r="CI182" s="44">
        <v>0.0</v>
      </c>
      <c r="CJ182" s="2"/>
      <c r="CK182" s="2"/>
    </row>
    <row r="183">
      <c r="A183" s="46">
        <v>182.0</v>
      </c>
      <c r="B183" s="46">
        <v>299.0</v>
      </c>
      <c r="C183" s="46" t="s">
        <v>594</v>
      </c>
      <c r="D183" s="46" t="s">
        <v>595</v>
      </c>
      <c r="E183" s="46" t="s">
        <v>596</v>
      </c>
      <c r="F183" s="46">
        <v>1900.0</v>
      </c>
      <c r="G183" s="46">
        <v>4.8</v>
      </c>
      <c r="H183" s="46">
        <v>1.805</v>
      </c>
      <c r="I183" s="46">
        <v>1.935</v>
      </c>
      <c r="J183" s="46">
        <v>2.9</v>
      </c>
      <c r="K183" s="46">
        <v>1.57</v>
      </c>
      <c r="L183" s="46">
        <v>1.55</v>
      </c>
      <c r="M183" s="46">
        <v>0.13</v>
      </c>
      <c r="N183" s="46">
        <v>0.447</v>
      </c>
      <c r="O183" s="46">
        <v>1.0</v>
      </c>
      <c r="P183" s="46">
        <v>0.6</v>
      </c>
      <c r="Q183" s="46">
        <v>1.0</v>
      </c>
      <c r="R183" s="46">
        <v>0.0</v>
      </c>
      <c r="S183" s="46">
        <v>1.521</v>
      </c>
      <c r="T183" s="46">
        <v>0.205</v>
      </c>
      <c r="U183" s="46">
        <v>0.65</v>
      </c>
      <c r="V183" s="46">
        <v>16.0</v>
      </c>
      <c r="W183" s="46">
        <v>0.205</v>
      </c>
      <c r="X183" s="46">
        <v>0.65</v>
      </c>
      <c r="Y183" s="46">
        <v>16.0</v>
      </c>
      <c r="Z183" s="46">
        <v>0.0</v>
      </c>
      <c r="AA183" s="46">
        <v>-0.4</v>
      </c>
      <c r="AB183" s="46">
        <v>2.25</v>
      </c>
      <c r="AC183" s="46">
        <v>10.5</v>
      </c>
      <c r="AD183" s="46">
        <v>1.8</v>
      </c>
      <c r="AE183" s="46">
        <v>2.0</v>
      </c>
      <c r="AF183" s="46">
        <v>0.0</v>
      </c>
      <c r="AG183" s="46">
        <v>-1.3</v>
      </c>
      <c r="AH183" s="46">
        <v>1.8</v>
      </c>
      <c r="AI183" s="46">
        <v>2.0</v>
      </c>
      <c r="AJ183" s="46">
        <v>2994.0</v>
      </c>
      <c r="AK183" s="46">
        <v>0.0</v>
      </c>
      <c r="AL183" s="46">
        <v>6300.0</v>
      </c>
      <c r="AM183" s="46">
        <v>6400.0</v>
      </c>
      <c r="AN183" s="46">
        <v>700.0</v>
      </c>
      <c r="AO183" s="46">
        <v>4400.0</v>
      </c>
      <c r="AP183" s="46">
        <v>5800.0</v>
      </c>
      <c r="AQ183" s="46">
        <v>0.0</v>
      </c>
      <c r="AR183" s="58" t="s">
        <v>2361</v>
      </c>
      <c r="AS183" s="58" t="s">
        <v>3612</v>
      </c>
      <c r="AT183" s="58" t="s">
        <v>3613</v>
      </c>
      <c r="AU183" s="58" t="s">
        <v>3614</v>
      </c>
      <c r="AV183" s="58" t="s">
        <v>3615</v>
      </c>
      <c r="AW183" s="58" t="s">
        <v>3616</v>
      </c>
      <c r="AX183" s="58" t="s">
        <v>3617</v>
      </c>
      <c r="AY183" s="58" t="s">
        <v>3618</v>
      </c>
      <c r="AZ183" s="58" t="s">
        <v>3619</v>
      </c>
      <c r="BA183" s="58" t="s">
        <v>3620</v>
      </c>
      <c r="BB183" s="58" t="s">
        <v>3621</v>
      </c>
      <c r="BC183" s="58" t="s">
        <v>3622</v>
      </c>
      <c r="BD183" s="58" t="s">
        <v>3623</v>
      </c>
      <c r="BE183" s="58" t="s">
        <v>3624</v>
      </c>
      <c r="BF183" s="58" t="s">
        <v>1052</v>
      </c>
      <c r="BG183" s="58" t="s">
        <v>1029</v>
      </c>
      <c r="BH183" s="58" t="s">
        <v>1030</v>
      </c>
      <c r="BI183" s="58" t="s">
        <v>1031</v>
      </c>
      <c r="BJ183" s="58" t="s">
        <v>1032</v>
      </c>
      <c r="BK183" s="58" t="s">
        <v>1033</v>
      </c>
      <c r="BL183" s="58" t="s">
        <v>1034</v>
      </c>
      <c r="BM183" s="58" t="s">
        <v>1035</v>
      </c>
      <c r="BN183" s="58" t="s">
        <v>1036</v>
      </c>
      <c r="BO183" s="58" t="s">
        <v>1037</v>
      </c>
      <c r="BP183" s="46">
        <v>1.0</v>
      </c>
      <c r="BQ183" s="46">
        <v>4.0</v>
      </c>
      <c r="BR183" s="46">
        <v>3.938</v>
      </c>
      <c r="BS183" s="46">
        <v>2.194</v>
      </c>
      <c r="BT183" s="46">
        <v>1.411</v>
      </c>
      <c r="BU183" s="46">
        <v>1.019</v>
      </c>
      <c r="BV183" s="46">
        <v>0.0</v>
      </c>
      <c r="BW183" s="46">
        <v>0.0</v>
      </c>
      <c r="BX183" s="46">
        <v>0.0</v>
      </c>
      <c r="BY183" s="46">
        <v>0.0</v>
      </c>
      <c r="BZ183" s="46">
        <v>3.141</v>
      </c>
      <c r="CA183" s="46">
        <v>3.08</v>
      </c>
      <c r="CB183" s="46">
        <v>0.0</v>
      </c>
      <c r="CC183" s="46">
        <v>0.0</v>
      </c>
      <c r="CD183" s="46">
        <v>0.0</v>
      </c>
      <c r="CE183" s="46">
        <v>8000.0</v>
      </c>
      <c r="CF183" s="46">
        <v>6300.0</v>
      </c>
      <c r="CG183" s="46">
        <v>0.0</v>
      </c>
      <c r="CH183" s="46">
        <v>0.0</v>
      </c>
      <c r="CI183" s="46">
        <v>0.0</v>
      </c>
      <c r="CJ183" s="2"/>
      <c r="CK183" s="2"/>
    </row>
    <row r="184">
      <c r="A184" s="44">
        <v>183.0</v>
      </c>
      <c r="B184" s="44">
        <v>300.0</v>
      </c>
      <c r="C184" s="44" t="s">
        <v>597</v>
      </c>
      <c r="D184" s="44" t="s">
        <v>598</v>
      </c>
      <c r="E184" s="44" t="s">
        <v>599</v>
      </c>
      <c r="F184" s="44">
        <v>1712.0</v>
      </c>
      <c r="G184" s="44">
        <v>4.733</v>
      </c>
      <c r="H184" s="44">
        <v>1.829</v>
      </c>
      <c r="I184" s="44">
        <v>1.323</v>
      </c>
      <c r="J184" s="44">
        <v>2.724</v>
      </c>
      <c r="K184" s="44">
        <v>1.537</v>
      </c>
      <c r="L184" s="44">
        <v>1.529</v>
      </c>
      <c r="M184" s="44">
        <v>0.1</v>
      </c>
      <c r="N184" s="44">
        <v>0.47</v>
      </c>
      <c r="O184" s="44">
        <v>0.0</v>
      </c>
      <c r="P184" s="44">
        <v>0.5</v>
      </c>
      <c r="Q184" s="44">
        <v>1.05</v>
      </c>
      <c r="R184" s="44">
        <v>0.0</v>
      </c>
      <c r="S184" s="44">
        <v>1.111</v>
      </c>
      <c r="T184" s="44">
        <v>0.235</v>
      </c>
      <c r="U184" s="44">
        <v>0.5</v>
      </c>
      <c r="V184" s="44">
        <v>17.0</v>
      </c>
      <c r="W184" s="44">
        <v>0.235</v>
      </c>
      <c r="X184" s="44">
        <v>0.5</v>
      </c>
      <c r="Y184" s="44">
        <v>17.0</v>
      </c>
      <c r="Z184" s="44">
        <v>0.0</v>
      </c>
      <c r="AA184" s="44">
        <v>-0.2</v>
      </c>
      <c r="AB184" s="44">
        <v>5.0</v>
      </c>
      <c r="AC184" s="44">
        <v>12.0</v>
      </c>
      <c r="AD184" s="44">
        <v>2.0</v>
      </c>
      <c r="AE184" s="44">
        <v>2.0</v>
      </c>
      <c r="AF184" s="44">
        <v>-6.0</v>
      </c>
      <c r="AG184" s="44">
        <v>-0.3</v>
      </c>
      <c r="AH184" s="44">
        <v>2.0</v>
      </c>
      <c r="AI184" s="44">
        <v>1.0</v>
      </c>
      <c r="AJ184" s="44">
        <v>3924.0</v>
      </c>
      <c r="AK184" s="44">
        <v>0.0</v>
      </c>
      <c r="AL184" s="44">
        <v>6500.0</v>
      </c>
      <c r="AM184" s="44">
        <v>7000.0</v>
      </c>
      <c r="AN184" s="44">
        <v>700.0</v>
      </c>
      <c r="AO184" s="44">
        <v>4000.0</v>
      </c>
      <c r="AP184" s="44">
        <v>6000.0</v>
      </c>
      <c r="AQ184" s="44">
        <v>0.0</v>
      </c>
      <c r="AR184" s="57" t="s">
        <v>3625</v>
      </c>
      <c r="AS184" s="57" t="s">
        <v>3626</v>
      </c>
      <c r="AT184" s="57" t="s">
        <v>3627</v>
      </c>
      <c r="AU184" s="57" t="s">
        <v>3628</v>
      </c>
      <c r="AV184" s="57" t="s">
        <v>3629</v>
      </c>
      <c r="AW184" s="57" t="s">
        <v>3630</v>
      </c>
      <c r="AX184" s="57" t="s">
        <v>3631</v>
      </c>
      <c r="AY184" s="57" t="s">
        <v>3632</v>
      </c>
      <c r="AZ184" s="57" t="s">
        <v>3633</v>
      </c>
      <c r="BA184" s="57" t="s">
        <v>3634</v>
      </c>
      <c r="BB184" s="57" t="s">
        <v>3635</v>
      </c>
      <c r="BC184" s="57" t="s">
        <v>3636</v>
      </c>
      <c r="BD184" s="57" t="s">
        <v>3637</v>
      </c>
      <c r="BE184" s="57" t="s">
        <v>3638</v>
      </c>
      <c r="BF184" s="57" t="s">
        <v>1052</v>
      </c>
      <c r="BG184" s="57" t="s">
        <v>1029</v>
      </c>
      <c r="BH184" s="57" t="s">
        <v>1030</v>
      </c>
      <c r="BI184" s="57" t="s">
        <v>1031</v>
      </c>
      <c r="BJ184" s="57" t="s">
        <v>1032</v>
      </c>
      <c r="BK184" s="57" t="s">
        <v>1033</v>
      </c>
      <c r="BL184" s="57" t="s">
        <v>1034</v>
      </c>
      <c r="BM184" s="57" t="s">
        <v>1035</v>
      </c>
      <c r="BN184" s="57" t="s">
        <v>1036</v>
      </c>
      <c r="BO184" s="57" t="s">
        <v>1037</v>
      </c>
      <c r="BP184" s="44">
        <v>1.0</v>
      </c>
      <c r="BQ184" s="44">
        <v>5.0</v>
      </c>
      <c r="BR184" s="44">
        <v>3.22</v>
      </c>
      <c r="BS184" s="44">
        <v>2.29</v>
      </c>
      <c r="BT184" s="44">
        <v>1.54</v>
      </c>
      <c r="BU184" s="44">
        <v>1.0</v>
      </c>
      <c r="BV184" s="44">
        <v>0.71</v>
      </c>
      <c r="BW184" s="44">
        <v>0.0</v>
      </c>
      <c r="BX184" s="44">
        <v>0.0</v>
      </c>
      <c r="BY184" s="44">
        <v>0.0</v>
      </c>
      <c r="BZ184" s="44">
        <v>3.07</v>
      </c>
      <c r="CA184" s="44">
        <v>3.58</v>
      </c>
      <c r="CB184" s="44">
        <v>0.0</v>
      </c>
      <c r="CC184" s="44">
        <v>0.0</v>
      </c>
      <c r="CD184" s="44">
        <v>0.0</v>
      </c>
      <c r="CE184" s="44">
        <v>7000.0</v>
      </c>
      <c r="CF184" s="44">
        <v>6500.0</v>
      </c>
      <c r="CG184" s="44">
        <v>0.0</v>
      </c>
      <c r="CH184" s="44">
        <v>0.0</v>
      </c>
      <c r="CI184" s="44">
        <v>0.0</v>
      </c>
      <c r="CJ184" s="2"/>
      <c r="CK184" s="2"/>
    </row>
    <row r="185">
      <c r="A185" s="46">
        <v>184.0</v>
      </c>
      <c r="B185" s="46">
        <v>301.0</v>
      </c>
      <c r="C185" s="46" t="s">
        <v>600</v>
      </c>
      <c r="D185" s="46" t="s">
        <v>601</v>
      </c>
      <c r="E185" s="46" t="s">
        <v>602</v>
      </c>
      <c r="F185" s="46">
        <v>1572.0</v>
      </c>
      <c r="G185" s="46">
        <v>4.653</v>
      </c>
      <c r="H185" s="46">
        <v>1.856</v>
      </c>
      <c r="I185" s="46">
        <v>1.329</v>
      </c>
      <c r="J185" s="46">
        <v>2.573</v>
      </c>
      <c r="K185" s="46">
        <v>1.529</v>
      </c>
      <c r="L185" s="46">
        <v>1.539</v>
      </c>
      <c r="M185" s="46">
        <v>0.13</v>
      </c>
      <c r="N185" s="46">
        <v>0.433</v>
      </c>
      <c r="O185" s="46">
        <v>0.0</v>
      </c>
      <c r="P185" s="46">
        <v>0.5</v>
      </c>
      <c r="Q185" s="46">
        <v>1.1</v>
      </c>
      <c r="R185" s="46">
        <v>0.0</v>
      </c>
      <c r="S185" s="46">
        <v>1.133</v>
      </c>
      <c r="T185" s="46">
        <v>0.245</v>
      </c>
      <c r="U185" s="46">
        <v>0.45</v>
      </c>
      <c r="V185" s="46">
        <v>17.0</v>
      </c>
      <c r="W185" s="46">
        <v>0.245</v>
      </c>
      <c r="X185" s="46">
        <v>0.45</v>
      </c>
      <c r="Y185" s="46">
        <v>17.0</v>
      </c>
      <c r="Z185" s="46">
        <v>0.0</v>
      </c>
      <c r="AA185" s="46">
        <v>-0.2</v>
      </c>
      <c r="AB185" s="46">
        <v>6.0</v>
      </c>
      <c r="AC185" s="46">
        <v>12.0</v>
      </c>
      <c r="AD185" s="46">
        <v>1.5</v>
      </c>
      <c r="AE185" s="46">
        <v>3.0</v>
      </c>
      <c r="AF185" s="46">
        <v>-5.0</v>
      </c>
      <c r="AG185" s="46">
        <v>-1.0</v>
      </c>
      <c r="AH185" s="46">
        <v>1.5</v>
      </c>
      <c r="AI185" s="46">
        <v>2.0</v>
      </c>
      <c r="AJ185" s="46">
        <v>4601.0</v>
      </c>
      <c r="AK185" s="46">
        <v>0.0</v>
      </c>
      <c r="AL185" s="46">
        <v>6800.0</v>
      </c>
      <c r="AM185" s="46">
        <v>7050.0</v>
      </c>
      <c r="AN185" s="46">
        <v>800.0</v>
      </c>
      <c r="AO185" s="46">
        <v>4200.0</v>
      </c>
      <c r="AP185" s="46">
        <v>5800.0</v>
      </c>
      <c r="AQ185" s="46">
        <v>0.0</v>
      </c>
      <c r="AR185" s="58" t="s">
        <v>3639</v>
      </c>
      <c r="AS185" s="58" t="s">
        <v>3640</v>
      </c>
      <c r="AT185" s="58" t="s">
        <v>3641</v>
      </c>
      <c r="AU185" s="58" t="s">
        <v>3642</v>
      </c>
      <c r="AV185" s="58" t="s">
        <v>3643</v>
      </c>
      <c r="AW185" s="58" t="s">
        <v>3644</v>
      </c>
      <c r="AX185" s="58" t="s">
        <v>3645</v>
      </c>
      <c r="AY185" s="58" t="s">
        <v>2104</v>
      </c>
      <c r="AZ185" s="58" t="s">
        <v>3646</v>
      </c>
      <c r="BA185" s="58" t="s">
        <v>3647</v>
      </c>
      <c r="BB185" s="58" t="s">
        <v>3648</v>
      </c>
      <c r="BC185" s="58" t="s">
        <v>3649</v>
      </c>
      <c r="BD185" s="58" t="s">
        <v>3650</v>
      </c>
      <c r="BE185" s="58" t="s">
        <v>3651</v>
      </c>
      <c r="BF185" s="58" t="s">
        <v>3652</v>
      </c>
      <c r="BG185" s="58" t="s">
        <v>1029</v>
      </c>
      <c r="BH185" s="58" t="s">
        <v>1030</v>
      </c>
      <c r="BI185" s="58" t="s">
        <v>1031</v>
      </c>
      <c r="BJ185" s="58" t="s">
        <v>1032</v>
      </c>
      <c r="BK185" s="58" t="s">
        <v>1033</v>
      </c>
      <c r="BL185" s="58" t="s">
        <v>1034</v>
      </c>
      <c r="BM185" s="58" t="s">
        <v>1035</v>
      </c>
      <c r="BN185" s="58" t="s">
        <v>1036</v>
      </c>
      <c r="BO185" s="58" t="s">
        <v>1037</v>
      </c>
      <c r="BP185" s="46">
        <v>0.0</v>
      </c>
      <c r="BQ185" s="46">
        <v>5.0</v>
      </c>
      <c r="BR185" s="46">
        <v>3.38</v>
      </c>
      <c r="BS185" s="46">
        <v>2.0</v>
      </c>
      <c r="BT185" s="46">
        <v>1.32</v>
      </c>
      <c r="BU185" s="46">
        <v>1.0</v>
      </c>
      <c r="BV185" s="46">
        <v>0.62</v>
      </c>
      <c r="BW185" s="46">
        <v>0.0</v>
      </c>
      <c r="BX185" s="46">
        <v>0.0</v>
      </c>
      <c r="BY185" s="46">
        <v>0.0</v>
      </c>
      <c r="BZ185" s="46">
        <v>3.38</v>
      </c>
      <c r="CA185" s="46">
        <v>3.55</v>
      </c>
      <c r="CB185" s="46">
        <v>1.0</v>
      </c>
      <c r="CC185" s="46">
        <v>0.0</v>
      </c>
      <c r="CD185" s="46">
        <v>0.0</v>
      </c>
      <c r="CE185" s="46">
        <v>8000.0</v>
      </c>
      <c r="CF185" s="46">
        <v>6800.0</v>
      </c>
      <c r="CG185" s="46">
        <v>0.0</v>
      </c>
      <c r="CH185" s="46">
        <v>0.0</v>
      </c>
      <c r="CI185" s="46">
        <v>0.0</v>
      </c>
      <c r="CJ185" s="2"/>
      <c r="CK185" s="2"/>
    </row>
    <row r="186">
      <c r="A186" s="44">
        <v>185.0</v>
      </c>
      <c r="B186" s="44">
        <v>302.0</v>
      </c>
      <c r="C186" s="44" t="s">
        <v>603</v>
      </c>
      <c r="D186" s="44" t="s">
        <v>604</v>
      </c>
      <c r="E186" s="44" t="s">
        <v>605</v>
      </c>
      <c r="F186" s="44">
        <v>2390.0</v>
      </c>
      <c r="G186" s="44">
        <v>4.755</v>
      </c>
      <c r="H186" s="44">
        <v>1.93</v>
      </c>
      <c r="I186" s="44">
        <v>1.71</v>
      </c>
      <c r="J186" s="44">
        <v>2.855</v>
      </c>
      <c r="K186" s="44">
        <v>1.65</v>
      </c>
      <c r="L186" s="44">
        <v>1.655</v>
      </c>
      <c r="M186" s="44">
        <v>0.19</v>
      </c>
      <c r="N186" s="44">
        <v>0.466</v>
      </c>
      <c r="O186" s="44">
        <v>4.0</v>
      </c>
      <c r="P186" s="44">
        <v>0.6</v>
      </c>
      <c r="Q186" s="44">
        <v>1.0</v>
      </c>
      <c r="R186" s="44">
        <v>0.0</v>
      </c>
      <c r="S186" s="44">
        <v>1.383</v>
      </c>
      <c r="T186" s="44">
        <v>0.255</v>
      </c>
      <c r="U186" s="44">
        <v>0.55</v>
      </c>
      <c r="V186" s="44">
        <v>18.0</v>
      </c>
      <c r="W186" s="44">
        <v>0.255</v>
      </c>
      <c r="X186" s="44">
        <v>0.55</v>
      </c>
      <c r="Y186" s="44">
        <v>18.0</v>
      </c>
      <c r="Z186" s="44">
        <v>0.0</v>
      </c>
      <c r="AA186" s="44">
        <v>-0.15</v>
      </c>
      <c r="AB186" s="44">
        <v>6.0</v>
      </c>
      <c r="AC186" s="44">
        <v>12.0</v>
      </c>
      <c r="AD186" s="44">
        <v>1.4</v>
      </c>
      <c r="AE186" s="44">
        <v>2.0</v>
      </c>
      <c r="AF186" s="44">
        <v>0.0</v>
      </c>
      <c r="AG186" s="44">
        <v>-0.3</v>
      </c>
      <c r="AH186" s="44">
        <v>1.4</v>
      </c>
      <c r="AI186" s="44">
        <v>2.0</v>
      </c>
      <c r="AJ186" s="44">
        <v>4172.0</v>
      </c>
      <c r="AK186" s="44">
        <v>0.0</v>
      </c>
      <c r="AL186" s="44">
        <v>6500.0</v>
      </c>
      <c r="AM186" s="44">
        <v>6500.0</v>
      </c>
      <c r="AN186" s="44">
        <v>700.0</v>
      </c>
      <c r="AO186" s="44">
        <v>3000.0</v>
      </c>
      <c r="AP186" s="44">
        <v>6200.0</v>
      </c>
      <c r="AQ186" s="44">
        <v>0.0</v>
      </c>
      <c r="AR186" s="57" t="s">
        <v>3236</v>
      </c>
      <c r="AS186" s="57" t="s">
        <v>3653</v>
      </c>
      <c r="AT186" s="57" t="s">
        <v>3654</v>
      </c>
      <c r="AU186" s="57" t="s">
        <v>3655</v>
      </c>
      <c r="AV186" s="57" t="s">
        <v>3656</v>
      </c>
      <c r="AW186" s="57" t="s">
        <v>3657</v>
      </c>
      <c r="AX186" s="57" t="s">
        <v>3658</v>
      </c>
      <c r="AY186" s="57" t="s">
        <v>3659</v>
      </c>
      <c r="AZ186" s="57" t="s">
        <v>3660</v>
      </c>
      <c r="BA186" s="57" t="s">
        <v>3661</v>
      </c>
      <c r="BB186" s="57" t="s">
        <v>3662</v>
      </c>
      <c r="BC186" s="57" t="s">
        <v>3663</v>
      </c>
      <c r="BD186" s="57" t="s">
        <v>3664</v>
      </c>
      <c r="BE186" s="57" t="s">
        <v>2345</v>
      </c>
      <c r="BF186" s="57" t="s">
        <v>1052</v>
      </c>
      <c r="BG186" s="57" t="s">
        <v>1029</v>
      </c>
      <c r="BH186" s="57" t="s">
        <v>1030</v>
      </c>
      <c r="BI186" s="57" t="s">
        <v>1031</v>
      </c>
      <c r="BJ186" s="57" t="s">
        <v>1032</v>
      </c>
      <c r="BK186" s="57" t="s">
        <v>1033</v>
      </c>
      <c r="BL186" s="57" t="s">
        <v>1034</v>
      </c>
      <c r="BM186" s="57" t="s">
        <v>1035</v>
      </c>
      <c r="BN186" s="57" t="s">
        <v>1036</v>
      </c>
      <c r="BO186" s="57" t="s">
        <v>1037</v>
      </c>
      <c r="BP186" s="44">
        <v>1.0</v>
      </c>
      <c r="BQ186" s="44">
        <v>6.0</v>
      </c>
      <c r="BR186" s="44">
        <v>4.148</v>
      </c>
      <c r="BS186" s="44">
        <v>2.37</v>
      </c>
      <c r="BT186" s="44">
        <v>1.555</v>
      </c>
      <c r="BU186" s="44">
        <v>1.154</v>
      </c>
      <c r="BV186" s="44">
        <v>0.859</v>
      </c>
      <c r="BW186" s="44">
        <v>0.685</v>
      </c>
      <c r="BX186" s="44">
        <v>0.0</v>
      </c>
      <c r="BY186" s="44">
        <v>0.0</v>
      </c>
      <c r="BZ186" s="44">
        <v>3.393</v>
      </c>
      <c r="CA186" s="44">
        <v>4.555</v>
      </c>
      <c r="CB186" s="44">
        <v>0.0</v>
      </c>
      <c r="CC186" s="44">
        <v>1.0</v>
      </c>
      <c r="CD186" s="44">
        <v>1.0</v>
      </c>
      <c r="CE186" s="44">
        <v>8000.0</v>
      </c>
      <c r="CF186" s="44">
        <v>6500.0</v>
      </c>
      <c r="CG186" s="44">
        <v>0.0</v>
      </c>
      <c r="CH186" s="44">
        <v>1.0</v>
      </c>
      <c r="CI186" s="44">
        <v>30.0</v>
      </c>
      <c r="CJ186" s="2"/>
      <c r="CK186" s="2"/>
    </row>
    <row r="187">
      <c r="A187" s="46">
        <v>186.0</v>
      </c>
      <c r="B187" s="46">
        <v>304.0</v>
      </c>
      <c r="C187" s="46" t="s">
        <v>606</v>
      </c>
      <c r="D187" s="46" t="s">
        <v>607</v>
      </c>
      <c r="E187" s="46" t="s">
        <v>607</v>
      </c>
      <c r="F187" s="46">
        <v>1080.0</v>
      </c>
      <c r="G187" s="46">
        <v>4.69</v>
      </c>
      <c r="H187" s="46">
        <v>1.845</v>
      </c>
      <c r="I187" s="46">
        <v>1.255</v>
      </c>
      <c r="J187" s="46">
        <v>2.695</v>
      </c>
      <c r="K187" s="46">
        <v>1.597</v>
      </c>
      <c r="L187" s="46">
        <v>1.554</v>
      </c>
      <c r="M187" s="46">
        <v>0.05</v>
      </c>
      <c r="N187" s="46">
        <v>0.52</v>
      </c>
      <c r="O187" s="46">
        <v>0.0</v>
      </c>
      <c r="P187" s="46">
        <v>0.45</v>
      </c>
      <c r="Q187" s="46">
        <v>1.6</v>
      </c>
      <c r="R187" s="46">
        <v>500.0</v>
      </c>
      <c r="S187" s="46">
        <v>0.973</v>
      </c>
      <c r="T187" s="46">
        <v>0.24</v>
      </c>
      <c r="U187" s="46">
        <v>0.4</v>
      </c>
      <c r="V187" s="46">
        <v>18.0</v>
      </c>
      <c r="W187" s="46">
        <v>0.28</v>
      </c>
      <c r="X187" s="46">
        <v>0.35</v>
      </c>
      <c r="Y187" s="46">
        <v>18.0</v>
      </c>
      <c r="Z187" s="46">
        <v>0.0</v>
      </c>
      <c r="AA187" s="46">
        <v>-4.0</v>
      </c>
      <c r="AB187" s="46">
        <v>3.0</v>
      </c>
      <c r="AC187" s="46">
        <v>10.0</v>
      </c>
      <c r="AD187" s="46">
        <v>2.6</v>
      </c>
      <c r="AE187" s="46">
        <v>6.0</v>
      </c>
      <c r="AF187" s="46">
        <v>-3.0</v>
      </c>
      <c r="AG187" s="46">
        <v>-2.0</v>
      </c>
      <c r="AH187" s="46">
        <v>2.6</v>
      </c>
      <c r="AI187" s="46">
        <v>4.0</v>
      </c>
      <c r="AJ187" s="46">
        <v>3999.0</v>
      </c>
      <c r="AK187" s="46">
        <v>0.0</v>
      </c>
      <c r="AL187" s="46">
        <v>7500.0</v>
      </c>
      <c r="AM187" s="46">
        <v>7500.0</v>
      </c>
      <c r="AN187" s="46">
        <v>900.0</v>
      </c>
      <c r="AO187" s="46">
        <v>5500.0</v>
      </c>
      <c r="AP187" s="46">
        <v>7500.0</v>
      </c>
      <c r="AQ187" s="46">
        <v>1.0</v>
      </c>
      <c r="AR187" s="58" t="s">
        <v>3665</v>
      </c>
      <c r="AS187" s="58" t="s">
        <v>3666</v>
      </c>
      <c r="AT187" s="58" t="s">
        <v>3667</v>
      </c>
      <c r="AU187" s="58" t="s">
        <v>3668</v>
      </c>
      <c r="AV187" s="58" t="s">
        <v>3669</v>
      </c>
      <c r="AW187" s="58" t="s">
        <v>2411</v>
      </c>
      <c r="AX187" s="58" t="s">
        <v>3670</v>
      </c>
      <c r="AY187" s="58" t="s">
        <v>1396</v>
      </c>
      <c r="AZ187" s="58" t="s">
        <v>3671</v>
      </c>
      <c r="BA187" s="58" t="s">
        <v>3672</v>
      </c>
      <c r="BB187" s="58" t="s">
        <v>3673</v>
      </c>
      <c r="BC187" s="58" t="s">
        <v>3674</v>
      </c>
      <c r="BD187" s="58" t="s">
        <v>3675</v>
      </c>
      <c r="BE187" s="58" t="s">
        <v>3676</v>
      </c>
      <c r="BF187" s="58" t="s">
        <v>3677</v>
      </c>
      <c r="BG187" s="58" t="s">
        <v>2775</v>
      </c>
      <c r="BH187" s="58" t="s">
        <v>3678</v>
      </c>
      <c r="BI187" s="58" t="s">
        <v>1031</v>
      </c>
      <c r="BJ187" s="58" t="s">
        <v>1032</v>
      </c>
      <c r="BK187" s="58" t="s">
        <v>1033</v>
      </c>
      <c r="BL187" s="58" t="s">
        <v>1034</v>
      </c>
      <c r="BM187" s="58" t="s">
        <v>1035</v>
      </c>
      <c r="BN187" s="58" t="s">
        <v>1036</v>
      </c>
      <c r="BO187" s="58" t="s">
        <v>1037</v>
      </c>
      <c r="BP187" s="46">
        <v>0.0</v>
      </c>
      <c r="BQ187" s="46">
        <v>6.0</v>
      </c>
      <c r="BR187" s="46">
        <v>3.295</v>
      </c>
      <c r="BS187" s="46">
        <v>2.518</v>
      </c>
      <c r="BT187" s="46">
        <v>1.933</v>
      </c>
      <c r="BU187" s="46">
        <v>1.507</v>
      </c>
      <c r="BV187" s="46">
        <v>1.182</v>
      </c>
      <c r="BW187" s="46">
        <v>0.936</v>
      </c>
      <c r="BX187" s="46">
        <v>0.0</v>
      </c>
      <c r="BY187" s="46">
        <v>0.0</v>
      </c>
      <c r="BZ187" s="46">
        <v>3.76</v>
      </c>
      <c r="CA187" s="46">
        <v>3.289</v>
      </c>
      <c r="CB187" s="46">
        <v>4.0</v>
      </c>
      <c r="CC187" s="46">
        <v>0.0</v>
      </c>
      <c r="CD187" s="46">
        <v>0.0</v>
      </c>
      <c r="CE187" s="46">
        <v>0.0</v>
      </c>
      <c r="CF187" s="46">
        <v>7500.0</v>
      </c>
      <c r="CG187" s="46">
        <v>0.0</v>
      </c>
      <c r="CH187" s="46">
        <v>1.0</v>
      </c>
      <c r="CI187" s="46">
        <v>0.0</v>
      </c>
      <c r="CJ187" s="2"/>
      <c r="CK187" s="2"/>
    </row>
    <row r="188">
      <c r="A188" s="44">
        <v>187.0</v>
      </c>
      <c r="B188" s="44">
        <v>305.0</v>
      </c>
      <c r="C188" s="44" t="s">
        <v>608</v>
      </c>
      <c r="D188" s="44" t="s">
        <v>609</v>
      </c>
      <c r="E188" s="44" t="s">
        <v>610</v>
      </c>
      <c r="F188" s="44">
        <v>1030.0</v>
      </c>
      <c r="G188" s="44">
        <v>3.87</v>
      </c>
      <c r="H188" s="44">
        <v>1.68</v>
      </c>
      <c r="I188" s="44">
        <v>1.55</v>
      </c>
      <c r="J188" s="44">
        <v>2.5</v>
      </c>
      <c r="K188" s="44">
        <v>1.46</v>
      </c>
      <c r="L188" s="44">
        <v>1.445</v>
      </c>
      <c r="M188" s="44">
        <v>0.12</v>
      </c>
      <c r="N188" s="44">
        <v>0.359</v>
      </c>
      <c r="O188" s="44">
        <v>1.0</v>
      </c>
      <c r="P188" s="44">
        <v>0.5</v>
      </c>
      <c r="Q188" s="44">
        <v>0.95</v>
      </c>
      <c r="R188" s="44">
        <v>0.0</v>
      </c>
      <c r="S188" s="44">
        <v>1.204</v>
      </c>
      <c r="T188" s="44">
        <v>0.185</v>
      </c>
      <c r="U188" s="44">
        <v>0.55</v>
      </c>
      <c r="V188" s="44">
        <v>15.0</v>
      </c>
      <c r="W188" s="44">
        <v>0.185</v>
      </c>
      <c r="X188" s="44">
        <v>0.55</v>
      </c>
      <c r="Y188" s="44">
        <v>15.0</v>
      </c>
      <c r="Z188" s="44">
        <v>0.0</v>
      </c>
      <c r="AA188" s="44">
        <v>-0.3</v>
      </c>
      <c r="AB188" s="44">
        <v>2.35</v>
      </c>
      <c r="AC188" s="44">
        <v>13.2</v>
      </c>
      <c r="AD188" s="44">
        <v>1.6</v>
      </c>
      <c r="AE188" s="44">
        <v>2.0</v>
      </c>
      <c r="AF188" s="44">
        <v>-3.0</v>
      </c>
      <c r="AG188" s="44">
        <v>-1.0</v>
      </c>
      <c r="AH188" s="44">
        <v>1.6</v>
      </c>
      <c r="AI188" s="44">
        <v>1.0</v>
      </c>
      <c r="AJ188" s="44">
        <v>1468.0</v>
      </c>
      <c r="AK188" s="44">
        <v>0.0</v>
      </c>
      <c r="AL188" s="44">
        <v>6200.0</v>
      </c>
      <c r="AM188" s="44">
        <v>6200.0</v>
      </c>
      <c r="AN188" s="44">
        <v>700.0</v>
      </c>
      <c r="AO188" s="44">
        <v>4250.0</v>
      </c>
      <c r="AP188" s="44">
        <v>6000.0</v>
      </c>
      <c r="AQ188" s="44">
        <v>0.0</v>
      </c>
      <c r="AR188" s="57" t="s">
        <v>3679</v>
      </c>
      <c r="AS188" s="57" t="s">
        <v>3680</v>
      </c>
      <c r="AT188" s="57" t="s">
        <v>1790</v>
      </c>
      <c r="AU188" s="57" t="s">
        <v>3681</v>
      </c>
      <c r="AV188" s="57" t="s">
        <v>3682</v>
      </c>
      <c r="AW188" s="57" t="s">
        <v>3683</v>
      </c>
      <c r="AX188" s="57" t="s">
        <v>3684</v>
      </c>
      <c r="AY188" s="57" t="s">
        <v>3685</v>
      </c>
      <c r="AZ188" s="57" t="s">
        <v>3152</v>
      </c>
      <c r="BA188" s="57" t="s">
        <v>3153</v>
      </c>
      <c r="BB188" s="57" t="s">
        <v>3686</v>
      </c>
      <c r="BC188" s="57" t="s">
        <v>3687</v>
      </c>
      <c r="BD188" s="57" t="s">
        <v>3688</v>
      </c>
      <c r="BE188" s="57" t="s">
        <v>3689</v>
      </c>
      <c r="BF188" s="57" t="s">
        <v>1052</v>
      </c>
      <c r="BG188" s="57" t="s">
        <v>1029</v>
      </c>
      <c r="BH188" s="57" t="s">
        <v>1030</v>
      </c>
      <c r="BI188" s="57" t="s">
        <v>1031</v>
      </c>
      <c r="BJ188" s="57" t="s">
        <v>1032</v>
      </c>
      <c r="BK188" s="57" t="s">
        <v>1033</v>
      </c>
      <c r="BL188" s="57" t="s">
        <v>1034</v>
      </c>
      <c r="BM188" s="57" t="s">
        <v>1035</v>
      </c>
      <c r="BN188" s="57" t="s">
        <v>1036</v>
      </c>
      <c r="BO188" s="57" t="s">
        <v>1037</v>
      </c>
      <c r="BP188" s="44">
        <v>2.0</v>
      </c>
      <c r="BQ188" s="44">
        <v>2.0</v>
      </c>
      <c r="BR188" s="44">
        <v>2.319</v>
      </c>
      <c r="BS188" s="44">
        <v>0.445</v>
      </c>
      <c r="BT188" s="44">
        <v>0.0</v>
      </c>
      <c r="BU188" s="44">
        <v>0.0</v>
      </c>
      <c r="BV188" s="44">
        <v>0.0</v>
      </c>
      <c r="BW188" s="44">
        <v>0.0</v>
      </c>
      <c r="BX188" s="44">
        <v>0.0</v>
      </c>
      <c r="BY188" s="44">
        <v>0.0</v>
      </c>
      <c r="BZ188" s="44">
        <v>2.588</v>
      </c>
      <c r="CA188" s="44">
        <v>5.219</v>
      </c>
      <c r="CB188" s="44">
        <v>0.0</v>
      </c>
      <c r="CC188" s="44">
        <v>0.0</v>
      </c>
      <c r="CD188" s="44">
        <v>0.0</v>
      </c>
      <c r="CE188" s="44">
        <v>8000.0</v>
      </c>
      <c r="CF188" s="44">
        <v>6200.0</v>
      </c>
      <c r="CG188" s="44">
        <v>0.0</v>
      </c>
      <c r="CH188" s="44">
        <v>0.0</v>
      </c>
      <c r="CI188" s="44">
        <v>0.0</v>
      </c>
      <c r="CJ188" s="2"/>
      <c r="CK188" s="2"/>
    </row>
    <row r="189">
      <c r="A189" s="46">
        <v>188.0</v>
      </c>
      <c r="B189" s="46">
        <v>306.0</v>
      </c>
      <c r="C189" s="46" t="s">
        <v>611</v>
      </c>
      <c r="D189" s="46" t="s">
        <v>612</v>
      </c>
      <c r="E189" s="46" t="s">
        <v>613</v>
      </c>
      <c r="F189" s="46">
        <v>1360.0</v>
      </c>
      <c r="G189" s="46">
        <v>4.35</v>
      </c>
      <c r="H189" s="46">
        <v>1.77</v>
      </c>
      <c r="I189" s="46">
        <v>1.405</v>
      </c>
      <c r="J189" s="46">
        <v>2.51</v>
      </c>
      <c r="K189" s="46">
        <v>1.51</v>
      </c>
      <c r="L189" s="46">
        <v>1.505</v>
      </c>
      <c r="M189" s="46">
        <v>0.11</v>
      </c>
      <c r="N189" s="46">
        <v>0.397</v>
      </c>
      <c r="O189" s="46">
        <v>4.0</v>
      </c>
      <c r="P189" s="46">
        <v>0.5</v>
      </c>
      <c r="Q189" s="46">
        <v>1.1</v>
      </c>
      <c r="R189" s="46">
        <v>100.0</v>
      </c>
      <c r="S189" s="46">
        <v>1.145</v>
      </c>
      <c r="T189" s="46">
        <v>0.225</v>
      </c>
      <c r="U189" s="46">
        <v>0.45</v>
      </c>
      <c r="V189" s="46">
        <v>17.0</v>
      </c>
      <c r="W189" s="46">
        <v>0.225</v>
      </c>
      <c r="X189" s="46">
        <v>0.45</v>
      </c>
      <c r="Y189" s="46">
        <v>17.0</v>
      </c>
      <c r="Z189" s="46">
        <v>0.0</v>
      </c>
      <c r="AA189" s="46">
        <v>-1.0</v>
      </c>
      <c r="AB189" s="46">
        <v>3.5</v>
      </c>
      <c r="AC189" s="46">
        <v>14.2</v>
      </c>
      <c r="AD189" s="46">
        <v>1.8</v>
      </c>
      <c r="AE189" s="46">
        <v>2.0</v>
      </c>
      <c r="AF189" s="46">
        <v>-3.0</v>
      </c>
      <c r="AG189" s="46">
        <v>-1.0</v>
      </c>
      <c r="AH189" s="46">
        <v>1.8</v>
      </c>
      <c r="AI189" s="46">
        <v>2.0</v>
      </c>
      <c r="AJ189" s="46">
        <v>1997.0</v>
      </c>
      <c r="AK189" s="46">
        <v>1.0</v>
      </c>
      <c r="AL189" s="46">
        <v>7000.0</v>
      </c>
      <c r="AM189" s="46">
        <v>7200.0</v>
      </c>
      <c r="AN189" s="46">
        <v>800.0</v>
      </c>
      <c r="AO189" s="46">
        <v>2750.0</v>
      </c>
      <c r="AP189" s="46">
        <v>6500.0</v>
      </c>
      <c r="AQ189" s="46">
        <v>0.0</v>
      </c>
      <c r="AR189" s="58" t="s">
        <v>3690</v>
      </c>
      <c r="AS189" s="58" t="s">
        <v>3691</v>
      </c>
      <c r="AT189" s="58" t="s">
        <v>3692</v>
      </c>
      <c r="AU189" s="58" t="s">
        <v>3693</v>
      </c>
      <c r="AV189" s="58" t="s">
        <v>3694</v>
      </c>
      <c r="AW189" s="58" t="s">
        <v>3695</v>
      </c>
      <c r="AX189" s="58" t="s">
        <v>3696</v>
      </c>
      <c r="AY189" s="58" t="s">
        <v>3697</v>
      </c>
      <c r="AZ189" s="58" t="s">
        <v>3698</v>
      </c>
      <c r="BA189" s="58" t="s">
        <v>3699</v>
      </c>
      <c r="BB189" s="58" t="s">
        <v>3700</v>
      </c>
      <c r="BC189" s="58" t="s">
        <v>3701</v>
      </c>
      <c r="BD189" s="58" t="s">
        <v>2491</v>
      </c>
      <c r="BE189" s="58" t="s">
        <v>3702</v>
      </c>
      <c r="BF189" s="58" t="s">
        <v>3703</v>
      </c>
      <c r="BG189" s="58" t="s">
        <v>1029</v>
      </c>
      <c r="BH189" s="58" t="s">
        <v>1030</v>
      </c>
      <c r="BI189" s="58" t="s">
        <v>1031</v>
      </c>
      <c r="BJ189" s="58" t="s">
        <v>1032</v>
      </c>
      <c r="BK189" s="58" t="s">
        <v>1033</v>
      </c>
      <c r="BL189" s="58" t="s">
        <v>1034</v>
      </c>
      <c r="BM189" s="58" t="s">
        <v>1035</v>
      </c>
      <c r="BN189" s="58" t="s">
        <v>1036</v>
      </c>
      <c r="BO189" s="58" t="s">
        <v>1037</v>
      </c>
      <c r="BP189" s="46">
        <v>0.0</v>
      </c>
      <c r="BQ189" s="46">
        <v>5.0</v>
      </c>
      <c r="BR189" s="46">
        <v>2.785</v>
      </c>
      <c r="BS189" s="46">
        <v>1.95</v>
      </c>
      <c r="BT189" s="46">
        <v>1.407</v>
      </c>
      <c r="BU189" s="46">
        <v>1.031</v>
      </c>
      <c r="BV189" s="46">
        <v>0.761</v>
      </c>
      <c r="BW189" s="46">
        <v>0.0</v>
      </c>
      <c r="BX189" s="46">
        <v>0.0</v>
      </c>
      <c r="BY189" s="46">
        <v>0.0</v>
      </c>
      <c r="BZ189" s="46">
        <v>3.416</v>
      </c>
      <c r="CA189" s="46">
        <v>4.529</v>
      </c>
      <c r="CB189" s="46">
        <v>2.0</v>
      </c>
      <c r="CC189" s="46">
        <v>3.0</v>
      </c>
      <c r="CD189" s="46">
        <v>5.0</v>
      </c>
      <c r="CE189" s="46">
        <v>9000.0</v>
      </c>
      <c r="CF189" s="46">
        <v>7000.0</v>
      </c>
      <c r="CG189" s="46">
        <v>0.0</v>
      </c>
      <c r="CH189" s="46">
        <v>0.0</v>
      </c>
      <c r="CI189" s="46">
        <v>0.0</v>
      </c>
      <c r="CJ189" s="2"/>
      <c r="CK189" s="2"/>
    </row>
    <row r="190">
      <c r="A190" s="44">
        <v>189.0</v>
      </c>
      <c r="B190" s="44">
        <v>307.0</v>
      </c>
      <c r="C190" s="44" t="s">
        <v>614</v>
      </c>
      <c r="D190" s="44" t="s">
        <v>615</v>
      </c>
      <c r="E190" s="44" t="s">
        <v>616</v>
      </c>
      <c r="F190" s="44">
        <v>1150.0</v>
      </c>
      <c r="G190" s="44">
        <v>4.151</v>
      </c>
      <c r="H190" s="44">
        <v>1.692</v>
      </c>
      <c r="I190" s="44">
        <v>1.31</v>
      </c>
      <c r="J190" s="44">
        <v>2.272</v>
      </c>
      <c r="K190" s="44">
        <v>1.395</v>
      </c>
      <c r="L190" s="44">
        <v>1.456</v>
      </c>
      <c r="M190" s="44">
        <v>0.11</v>
      </c>
      <c r="N190" s="44">
        <v>0.62</v>
      </c>
      <c r="O190" s="44">
        <v>3.0</v>
      </c>
      <c r="P190" s="44">
        <v>0.45</v>
      </c>
      <c r="Q190" s="44">
        <v>1.15</v>
      </c>
      <c r="R190" s="44">
        <v>200.0</v>
      </c>
      <c r="S190" s="44">
        <v>1.056</v>
      </c>
      <c r="T190" s="44">
        <v>0.215</v>
      </c>
      <c r="U190" s="44">
        <v>0.45</v>
      </c>
      <c r="V190" s="44">
        <v>17.0</v>
      </c>
      <c r="W190" s="44">
        <v>0.255</v>
      </c>
      <c r="X190" s="44">
        <v>0.4</v>
      </c>
      <c r="Y190" s="44">
        <v>17.0</v>
      </c>
      <c r="Z190" s="44">
        <v>0.0</v>
      </c>
      <c r="AA190" s="44">
        <v>-0.3</v>
      </c>
      <c r="AB190" s="44">
        <v>4.5</v>
      </c>
      <c r="AC190" s="44">
        <v>8.0</v>
      </c>
      <c r="AD190" s="44">
        <v>2.0</v>
      </c>
      <c r="AE190" s="44">
        <v>3.0</v>
      </c>
      <c r="AF190" s="44">
        <v>-4.0</v>
      </c>
      <c r="AG190" s="44">
        <v>-1.0</v>
      </c>
      <c r="AH190" s="44">
        <v>2.0</v>
      </c>
      <c r="AI190" s="44">
        <v>2.0</v>
      </c>
      <c r="AJ190" s="44">
        <v>3366.0</v>
      </c>
      <c r="AK190" s="44">
        <v>1.0</v>
      </c>
      <c r="AL190" s="44">
        <v>6800.0</v>
      </c>
      <c r="AM190" s="44">
        <v>7000.0</v>
      </c>
      <c r="AN190" s="44">
        <v>800.0</v>
      </c>
      <c r="AO190" s="44">
        <v>5100.0</v>
      </c>
      <c r="AP190" s="44">
        <v>5950.0</v>
      </c>
      <c r="AQ190" s="44">
        <v>0.0</v>
      </c>
      <c r="AR190" s="57" t="s">
        <v>3704</v>
      </c>
      <c r="AS190" s="57" t="s">
        <v>3600</v>
      </c>
      <c r="AT190" s="57" t="s">
        <v>3705</v>
      </c>
      <c r="AU190" s="57" t="s">
        <v>3628</v>
      </c>
      <c r="AV190" s="57" t="s">
        <v>3706</v>
      </c>
      <c r="AW190" s="57" t="s">
        <v>3707</v>
      </c>
      <c r="AX190" s="57" t="s">
        <v>2832</v>
      </c>
      <c r="AY190" s="57" t="s">
        <v>3708</v>
      </c>
      <c r="AZ190" s="57" t="s">
        <v>3709</v>
      </c>
      <c r="BA190" s="57" t="s">
        <v>3710</v>
      </c>
      <c r="BB190" s="57" t="s">
        <v>3711</v>
      </c>
      <c r="BC190" s="57" t="s">
        <v>3712</v>
      </c>
      <c r="BD190" s="57" t="s">
        <v>3713</v>
      </c>
      <c r="BE190" s="57" t="s">
        <v>3714</v>
      </c>
      <c r="BF190" s="57" t="s">
        <v>3715</v>
      </c>
      <c r="BG190" s="57" t="s">
        <v>1029</v>
      </c>
      <c r="BH190" s="57" t="s">
        <v>1030</v>
      </c>
      <c r="BI190" s="57" t="s">
        <v>1031</v>
      </c>
      <c r="BJ190" s="57" t="s">
        <v>1032</v>
      </c>
      <c r="BK190" s="57" t="s">
        <v>1033</v>
      </c>
      <c r="BL190" s="57" t="s">
        <v>1034</v>
      </c>
      <c r="BM190" s="57" t="s">
        <v>1035</v>
      </c>
      <c r="BN190" s="57" t="s">
        <v>1036</v>
      </c>
      <c r="BO190" s="57" t="s">
        <v>1037</v>
      </c>
      <c r="BP190" s="44">
        <v>0.0</v>
      </c>
      <c r="BQ190" s="44">
        <v>5.0</v>
      </c>
      <c r="BR190" s="44">
        <v>2.786</v>
      </c>
      <c r="BS190" s="44">
        <v>1.6</v>
      </c>
      <c r="BT190" s="44">
        <v>1.076</v>
      </c>
      <c r="BU190" s="44">
        <v>0.793</v>
      </c>
      <c r="BV190" s="44">
        <v>0.606</v>
      </c>
      <c r="BW190" s="44">
        <v>0.0</v>
      </c>
      <c r="BX190" s="44">
        <v>0.0</v>
      </c>
      <c r="BY190" s="44">
        <v>0.0</v>
      </c>
      <c r="BZ190" s="44">
        <v>2.437</v>
      </c>
      <c r="CA190" s="44">
        <v>4.0</v>
      </c>
      <c r="CB190" s="44">
        <v>3.0</v>
      </c>
      <c r="CC190" s="44">
        <v>0.0</v>
      </c>
      <c r="CD190" s="44">
        <v>0.0</v>
      </c>
      <c r="CE190" s="44">
        <v>8000.0</v>
      </c>
      <c r="CF190" s="44">
        <v>6800.0</v>
      </c>
      <c r="CG190" s="44">
        <v>0.0</v>
      </c>
      <c r="CH190" s="44">
        <v>0.0</v>
      </c>
      <c r="CI190" s="44">
        <v>0.0</v>
      </c>
      <c r="CJ190" s="2"/>
      <c r="CK190" s="2"/>
    </row>
    <row r="191">
      <c r="A191" s="46">
        <v>190.0</v>
      </c>
      <c r="B191" s="46">
        <v>308.0</v>
      </c>
      <c r="C191" s="46" t="s">
        <v>617</v>
      </c>
      <c r="D191" s="46" t="s">
        <v>618</v>
      </c>
      <c r="E191" s="46" t="s">
        <v>619</v>
      </c>
      <c r="F191" s="46">
        <v>1330.0</v>
      </c>
      <c r="G191" s="46">
        <v>4.43</v>
      </c>
      <c r="H191" s="46">
        <v>1.765</v>
      </c>
      <c r="I191" s="46">
        <v>1.27</v>
      </c>
      <c r="J191" s="46">
        <v>2.35</v>
      </c>
      <c r="K191" s="46">
        <v>1.475</v>
      </c>
      <c r="L191" s="46">
        <v>1.495</v>
      </c>
      <c r="M191" s="46">
        <v>0.05</v>
      </c>
      <c r="N191" s="46">
        <v>0.65</v>
      </c>
      <c r="O191" s="46">
        <v>3.0</v>
      </c>
      <c r="P191" s="46">
        <v>0.45</v>
      </c>
      <c r="Q191" s="46">
        <v>1.15</v>
      </c>
      <c r="R191" s="46">
        <v>200.0</v>
      </c>
      <c r="S191" s="46">
        <v>1.025</v>
      </c>
      <c r="T191" s="46">
        <v>0.225</v>
      </c>
      <c r="U191" s="46">
        <v>0.4</v>
      </c>
      <c r="V191" s="46">
        <v>18.0</v>
      </c>
      <c r="W191" s="46">
        <v>0.285</v>
      </c>
      <c r="X191" s="46">
        <v>0.3</v>
      </c>
      <c r="Y191" s="46">
        <v>18.0</v>
      </c>
      <c r="Z191" s="46">
        <v>2.0</v>
      </c>
      <c r="AA191" s="46">
        <v>-0.3</v>
      </c>
      <c r="AB191" s="46">
        <v>6.0</v>
      </c>
      <c r="AC191" s="46">
        <v>12.0</v>
      </c>
      <c r="AD191" s="46">
        <v>2.6</v>
      </c>
      <c r="AE191" s="46">
        <v>3.0</v>
      </c>
      <c r="AF191" s="46">
        <v>-8.0</v>
      </c>
      <c r="AG191" s="46">
        <v>-1.0</v>
      </c>
      <c r="AH191" s="46">
        <v>2.6</v>
      </c>
      <c r="AI191" s="46">
        <v>2.0</v>
      </c>
      <c r="AJ191" s="46">
        <v>3600.0</v>
      </c>
      <c r="AK191" s="46">
        <v>0.0</v>
      </c>
      <c r="AL191" s="46">
        <v>8000.0</v>
      </c>
      <c r="AM191" s="46">
        <v>8000.0</v>
      </c>
      <c r="AN191" s="46">
        <v>700.0</v>
      </c>
      <c r="AO191" s="46">
        <v>5200.0</v>
      </c>
      <c r="AP191" s="46">
        <v>7700.0</v>
      </c>
      <c r="AQ191" s="46">
        <v>0.0</v>
      </c>
      <c r="AR191" s="58" t="s">
        <v>3259</v>
      </c>
      <c r="AS191" s="58" t="s">
        <v>3716</v>
      </c>
      <c r="AT191" s="58" t="s">
        <v>3717</v>
      </c>
      <c r="AU191" s="58" t="s">
        <v>3718</v>
      </c>
      <c r="AV191" s="58" t="s">
        <v>3719</v>
      </c>
      <c r="AW191" s="58" t="s">
        <v>3720</v>
      </c>
      <c r="AX191" s="58" t="s">
        <v>3721</v>
      </c>
      <c r="AY191" s="58" t="s">
        <v>3722</v>
      </c>
      <c r="AZ191" s="58" t="s">
        <v>3723</v>
      </c>
      <c r="BA191" s="58" t="s">
        <v>3724</v>
      </c>
      <c r="BB191" s="58" t="s">
        <v>3725</v>
      </c>
      <c r="BC191" s="58" t="s">
        <v>3726</v>
      </c>
      <c r="BD191" s="58" t="s">
        <v>3727</v>
      </c>
      <c r="BE191" s="58" t="s">
        <v>3728</v>
      </c>
      <c r="BF191" s="58" t="s">
        <v>3729</v>
      </c>
      <c r="BG191" s="58" t="s">
        <v>3730</v>
      </c>
      <c r="BH191" s="58" t="s">
        <v>3731</v>
      </c>
      <c r="BI191" s="58" t="s">
        <v>3732</v>
      </c>
      <c r="BJ191" s="58" t="s">
        <v>1032</v>
      </c>
      <c r="BK191" s="58" t="s">
        <v>1033</v>
      </c>
      <c r="BL191" s="58" t="s">
        <v>1034</v>
      </c>
      <c r="BM191" s="58" t="s">
        <v>1035</v>
      </c>
      <c r="BN191" s="58" t="s">
        <v>1036</v>
      </c>
      <c r="BO191" s="58" t="s">
        <v>1037</v>
      </c>
      <c r="BP191" s="46">
        <v>0.0</v>
      </c>
      <c r="BQ191" s="46">
        <v>6.0</v>
      </c>
      <c r="BR191" s="46">
        <v>3.82</v>
      </c>
      <c r="BS191" s="46">
        <v>2.15</v>
      </c>
      <c r="BT191" s="46">
        <v>1.56</v>
      </c>
      <c r="BU191" s="46">
        <v>1.21</v>
      </c>
      <c r="BV191" s="46">
        <v>0.97</v>
      </c>
      <c r="BW191" s="46">
        <v>0.82</v>
      </c>
      <c r="BX191" s="46">
        <v>0.0</v>
      </c>
      <c r="BY191" s="46">
        <v>0.0</v>
      </c>
      <c r="BZ191" s="46">
        <v>2.86</v>
      </c>
      <c r="CA191" s="46">
        <v>3.44</v>
      </c>
      <c r="CB191" s="46">
        <v>3.0</v>
      </c>
      <c r="CC191" s="46">
        <v>0.0</v>
      </c>
      <c r="CD191" s="46">
        <v>0.0</v>
      </c>
      <c r="CE191" s="46">
        <v>8500.0</v>
      </c>
      <c r="CF191" s="46">
        <v>7800.0</v>
      </c>
      <c r="CG191" s="46">
        <v>0.0</v>
      </c>
      <c r="CH191" s="46">
        <v>0.0</v>
      </c>
      <c r="CI191" s="46">
        <v>0.0</v>
      </c>
      <c r="CJ191" s="2"/>
      <c r="CK191" s="2"/>
    </row>
    <row r="192">
      <c r="A192" s="44">
        <v>191.0</v>
      </c>
      <c r="B192" s="44">
        <v>309.0</v>
      </c>
      <c r="C192" s="44" t="s">
        <v>620</v>
      </c>
      <c r="D192" s="44" t="s">
        <v>621</v>
      </c>
      <c r="E192" s="44" t="s">
        <v>622</v>
      </c>
      <c r="F192" s="44">
        <v>1491.0</v>
      </c>
      <c r="G192" s="44">
        <v>4.245</v>
      </c>
      <c r="H192" s="44">
        <v>1.795</v>
      </c>
      <c r="I192" s="44">
        <v>1.29</v>
      </c>
      <c r="J192" s="44">
        <v>2.27</v>
      </c>
      <c r="K192" s="44">
        <v>1.41</v>
      </c>
      <c r="L192" s="44">
        <v>1.505</v>
      </c>
      <c r="M192" s="44">
        <v>0.09</v>
      </c>
      <c r="N192" s="44">
        <v>0.6</v>
      </c>
      <c r="O192" s="44">
        <v>4.0</v>
      </c>
      <c r="P192" s="44">
        <v>0.45</v>
      </c>
      <c r="Q192" s="44">
        <v>1.15</v>
      </c>
      <c r="R192" s="44">
        <v>150.0</v>
      </c>
      <c r="S192" s="44">
        <v>1.067</v>
      </c>
      <c r="T192" s="44">
        <v>0.225</v>
      </c>
      <c r="U192" s="44">
        <v>0.4</v>
      </c>
      <c r="V192" s="44">
        <v>18.0</v>
      </c>
      <c r="W192" s="44">
        <v>0.285</v>
      </c>
      <c r="X192" s="44">
        <v>0.3</v>
      </c>
      <c r="Y192" s="44">
        <v>18.0</v>
      </c>
      <c r="Z192" s="44">
        <v>0.0</v>
      </c>
      <c r="AA192" s="44">
        <v>-0.3</v>
      </c>
      <c r="AB192" s="44">
        <v>4.5</v>
      </c>
      <c r="AC192" s="44">
        <v>8.0</v>
      </c>
      <c r="AD192" s="44">
        <v>1.8</v>
      </c>
      <c r="AE192" s="44">
        <v>2.0</v>
      </c>
      <c r="AF192" s="44">
        <v>0.0</v>
      </c>
      <c r="AG192" s="44">
        <v>0.0</v>
      </c>
      <c r="AH192" s="44">
        <v>1.8</v>
      </c>
      <c r="AI192" s="44">
        <v>2.0</v>
      </c>
      <c r="AJ192" s="44">
        <v>3600.0</v>
      </c>
      <c r="AK192" s="44">
        <v>1.0</v>
      </c>
      <c r="AL192" s="44">
        <v>6500.0</v>
      </c>
      <c r="AM192" s="44">
        <v>7000.0</v>
      </c>
      <c r="AN192" s="44">
        <v>900.0</v>
      </c>
      <c r="AO192" s="44">
        <v>4800.0</v>
      </c>
      <c r="AP192" s="44">
        <v>5500.0</v>
      </c>
      <c r="AQ192" s="44">
        <v>0.0</v>
      </c>
      <c r="AR192" s="57" t="s">
        <v>3733</v>
      </c>
      <c r="AS192" s="57" t="s">
        <v>3734</v>
      </c>
      <c r="AT192" s="57" t="s">
        <v>3735</v>
      </c>
      <c r="AU192" s="57" t="s">
        <v>3736</v>
      </c>
      <c r="AV192" s="57" t="s">
        <v>3737</v>
      </c>
      <c r="AW192" s="57" t="s">
        <v>3738</v>
      </c>
      <c r="AX192" s="57" t="s">
        <v>3739</v>
      </c>
      <c r="AY192" s="57" t="s">
        <v>3740</v>
      </c>
      <c r="AZ192" s="57" t="s">
        <v>3741</v>
      </c>
      <c r="BA192" s="57" t="s">
        <v>3742</v>
      </c>
      <c r="BB192" s="57" t="s">
        <v>3743</v>
      </c>
      <c r="BC192" s="57" t="s">
        <v>3744</v>
      </c>
      <c r="BD192" s="57" t="s">
        <v>3745</v>
      </c>
      <c r="BE192" s="57" t="s">
        <v>3746</v>
      </c>
      <c r="BF192" s="57" t="s">
        <v>3747</v>
      </c>
      <c r="BG192" s="57" t="s">
        <v>1029</v>
      </c>
      <c r="BH192" s="57" t="s">
        <v>1030</v>
      </c>
      <c r="BI192" s="57" t="s">
        <v>1031</v>
      </c>
      <c r="BJ192" s="57" t="s">
        <v>1032</v>
      </c>
      <c r="BK192" s="57" t="s">
        <v>1033</v>
      </c>
      <c r="BL192" s="57" t="s">
        <v>1034</v>
      </c>
      <c r="BM192" s="57" t="s">
        <v>1035</v>
      </c>
      <c r="BN192" s="57" t="s">
        <v>1036</v>
      </c>
      <c r="BO192" s="57" t="s">
        <v>1037</v>
      </c>
      <c r="BP192" s="44">
        <v>0.0</v>
      </c>
      <c r="BQ192" s="44">
        <v>6.0</v>
      </c>
      <c r="BR192" s="44">
        <v>3.82</v>
      </c>
      <c r="BS192" s="44">
        <v>2.15</v>
      </c>
      <c r="BT192" s="44">
        <v>1.56</v>
      </c>
      <c r="BU192" s="44">
        <v>1.21</v>
      </c>
      <c r="BV192" s="44">
        <v>0.97</v>
      </c>
      <c r="BW192" s="44">
        <v>0.75</v>
      </c>
      <c r="BX192" s="44">
        <v>0.0</v>
      </c>
      <c r="BY192" s="44">
        <v>0.0</v>
      </c>
      <c r="BZ192" s="44">
        <v>2.86</v>
      </c>
      <c r="CA192" s="44">
        <v>3.44</v>
      </c>
      <c r="CB192" s="44">
        <v>0.0</v>
      </c>
      <c r="CC192" s="44">
        <v>3.0</v>
      </c>
      <c r="CD192" s="44">
        <v>1.0</v>
      </c>
      <c r="CE192" s="44">
        <v>7500.0</v>
      </c>
      <c r="CF192" s="44">
        <v>6500.0</v>
      </c>
      <c r="CG192" s="44">
        <v>0.0</v>
      </c>
      <c r="CH192" s="44">
        <v>1.0</v>
      </c>
      <c r="CI192" s="44">
        <v>0.0</v>
      </c>
      <c r="CJ192" s="2"/>
      <c r="CK192" s="2"/>
    </row>
    <row r="193">
      <c r="A193" s="46">
        <v>192.0</v>
      </c>
      <c r="B193" s="46">
        <v>310.0</v>
      </c>
      <c r="C193" s="46" t="s">
        <v>623</v>
      </c>
      <c r="D193" s="46" t="s">
        <v>624</v>
      </c>
      <c r="E193" s="46" t="s">
        <v>625</v>
      </c>
      <c r="F193" s="46">
        <v>1790.0</v>
      </c>
      <c r="G193" s="46">
        <v>4.66</v>
      </c>
      <c r="H193" s="46">
        <v>1.835</v>
      </c>
      <c r="I193" s="46">
        <v>1.63</v>
      </c>
      <c r="J193" s="46">
        <v>2.7</v>
      </c>
      <c r="K193" s="46">
        <v>1.54</v>
      </c>
      <c r="L193" s="46">
        <v>1.55</v>
      </c>
      <c r="M193" s="46">
        <v>0.13</v>
      </c>
      <c r="N193" s="46">
        <v>0.346</v>
      </c>
      <c r="O193" s="46">
        <v>1.0</v>
      </c>
      <c r="P193" s="46">
        <v>0.55</v>
      </c>
      <c r="Q193" s="46">
        <v>1.0</v>
      </c>
      <c r="R193" s="46">
        <v>0.0</v>
      </c>
      <c r="S193" s="46">
        <v>1.359</v>
      </c>
      <c r="T193" s="46">
        <v>0.235</v>
      </c>
      <c r="U193" s="46">
        <v>0.5</v>
      </c>
      <c r="V193" s="46">
        <v>17.0</v>
      </c>
      <c r="W193" s="46">
        <v>0.235</v>
      </c>
      <c r="X193" s="46">
        <v>0.5</v>
      </c>
      <c r="Y193" s="46">
        <v>17.0</v>
      </c>
      <c r="Z193" s="46">
        <v>0.0</v>
      </c>
      <c r="AA193" s="46">
        <v>-0.3</v>
      </c>
      <c r="AB193" s="46">
        <v>3.0</v>
      </c>
      <c r="AC193" s="46">
        <v>8.0</v>
      </c>
      <c r="AD193" s="46">
        <v>1.5</v>
      </c>
      <c r="AE193" s="46">
        <v>2.0</v>
      </c>
      <c r="AF193" s="46">
        <v>-2.0</v>
      </c>
      <c r="AG193" s="46">
        <v>-1.0</v>
      </c>
      <c r="AH193" s="46">
        <v>1.5</v>
      </c>
      <c r="AI193" s="46">
        <v>1.0</v>
      </c>
      <c r="AJ193" s="46">
        <v>2946.0</v>
      </c>
      <c r="AK193" s="46">
        <v>0.0</v>
      </c>
      <c r="AL193" s="46">
        <v>6500.0</v>
      </c>
      <c r="AM193" s="46">
        <v>6500.0</v>
      </c>
      <c r="AN193" s="46">
        <v>700.0</v>
      </c>
      <c r="AO193" s="46">
        <v>3750.0</v>
      </c>
      <c r="AP193" s="46">
        <v>6000.0</v>
      </c>
      <c r="AQ193" s="46">
        <v>0.0</v>
      </c>
      <c r="AR193" s="58" t="s">
        <v>3748</v>
      </c>
      <c r="AS193" s="58" t="s">
        <v>3749</v>
      </c>
      <c r="AT193" s="58" t="s">
        <v>3750</v>
      </c>
      <c r="AU193" s="58" t="s">
        <v>3751</v>
      </c>
      <c r="AV193" s="58" t="s">
        <v>3752</v>
      </c>
      <c r="AW193" s="58" t="s">
        <v>3753</v>
      </c>
      <c r="AX193" s="58" t="s">
        <v>3754</v>
      </c>
      <c r="AY193" s="58" t="s">
        <v>3755</v>
      </c>
      <c r="AZ193" s="58" t="s">
        <v>3756</v>
      </c>
      <c r="BA193" s="58" t="s">
        <v>3757</v>
      </c>
      <c r="BB193" s="58" t="s">
        <v>3758</v>
      </c>
      <c r="BC193" s="58" t="s">
        <v>3759</v>
      </c>
      <c r="BD193" s="58" t="s">
        <v>3760</v>
      </c>
      <c r="BE193" s="58" t="s">
        <v>1442</v>
      </c>
      <c r="BF193" s="58" t="s">
        <v>1052</v>
      </c>
      <c r="BG193" s="58" t="s">
        <v>1029</v>
      </c>
      <c r="BH193" s="58" t="s">
        <v>1030</v>
      </c>
      <c r="BI193" s="58" t="s">
        <v>1031</v>
      </c>
      <c r="BJ193" s="58" t="s">
        <v>1032</v>
      </c>
      <c r="BK193" s="58" t="s">
        <v>1033</v>
      </c>
      <c r="BL193" s="58" t="s">
        <v>1034</v>
      </c>
      <c r="BM193" s="58" t="s">
        <v>1035</v>
      </c>
      <c r="BN193" s="58" t="s">
        <v>1036</v>
      </c>
      <c r="BO193" s="58" t="s">
        <v>1037</v>
      </c>
      <c r="BP193" s="46">
        <v>1.0</v>
      </c>
      <c r="BQ193" s="46">
        <v>5.0</v>
      </c>
      <c r="BR193" s="46">
        <v>4.685</v>
      </c>
      <c r="BS193" s="46">
        <v>2.941</v>
      </c>
      <c r="BT193" s="46">
        <v>1.922</v>
      </c>
      <c r="BU193" s="46">
        <v>1.301</v>
      </c>
      <c r="BV193" s="46">
        <v>1.0</v>
      </c>
      <c r="BW193" s="46">
        <v>0.0</v>
      </c>
      <c r="BX193" s="46">
        <v>0.0</v>
      </c>
      <c r="BY193" s="46">
        <v>0.0</v>
      </c>
      <c r="BZ193" s="46">
        <v>3.177</v>
      </c>
      <c r="CA193" s="46">
        <v>2.699</v>
      </c>
      <c r="CB193" s="46">
        <v>0.0</v>
      </c>
      <c r="CC193" s="46">
        <v>0.0</v>
      </c>
      <c r="CD193" s="46">
        <v>0.0</v>
      </c>
      <c r="CE193" s="46">
        <v>6500.0</v>
      </c>
      <c r="CF193" s="46">
        <v>6000.0</v>
      </c>
      <c r="CG193" s="46">
        <v>0.0</v>
      </c>
      <c r="CH193" s="46">
        <v>1.0</v>
      </c>
      <c r="CI193" s="46">
        <v>0.0</v>
      </c>
      <c r="CJ193" s="2"/>
      <c r="CK193" s="2"/>
    </row>
    <row r="194">
      <c r="A194" s="44">
        <v>193.0</v>
      </c>
      <c r="B194" s="44">
        <v>311.0</v>
      </c>
      <c r="C194" s="44" t="s">
        <v>626</v>
      </c>
      <c r="D194" s="44" t="s">
        <v>627</v>
      </c>
      <c r="E194" s="44" t="s">
        <v>628</v>
      </c>
      <c r="F194" s="44">
        <v>1250.0</v>
      </c>
      <c r="G194" s="44">
        <v>4.52</v>
      </c>
      <c r="H194" s="44">
        <v>1.73</v>
      </c>
      <c r="I194" s="44">
        <v>1.295</v>
      </c>
      <c r="J194" s="44">
        <v>2.525</v>
      </c>
      <c r="K194" s="44">
        <v>1.48</v>
      </c>
      <c r="L194" s="44">
        <v>1.47</v>
      </c>
      <c r="M194" s="44">
        <v>0.11</v>
      </c>
      <c r="N194" s="44">
        <v>0.432</v>
      </c>
      <c r="O194" s="44">
        <v>0.0</v>
      </c>
      <c r="P194" s="44">
        <v>0.5</v>
      </c>
      <c r="Q194" s="44">
        <v>1.1</v>
      </c>
      <c r="R194" s="44">
        <v>0.0</v>
      </c>
      <c r="S194" s="44">
        <v>1.047</v>
      </c>
      <c r="T194" s="44">
        <v>0.205</v>
      </c>
      <c r="U194" s="44">
        <v>0.55</v>
      </c>
      <c r="V194" s="44">
        <v>16.0</v>
      </c>
      <c r="W194" s="44">
        <v>0.205</v>
      </c>
      <c r="X194" s="44">
        <v>0.55</v>
      </c>
      <c r="Y194" s="44">
        <v>16.0</v>
      </c>
      <c r="Z194" s="44">
        <v>0.0</v>
      </c>
      <c r="AA194" s="44">
        <v>-0.5</v>
      </c>
      <c r="AB194" s="44">
        <v>6.4</v>
      </c>
      <c r="AC194" s="44">
        <v>13.45</v>
      </c>
      <c r="AD194" s="44">
        <v>1.7</v>
      </c>
      <c r="AE194" s="44">
        <v>3.0</v>
      </c>
      <c r="AF194" s="44">
        <v>-2.0</v>
      </c>
      <c r="AG194" s="44">
        <v>-1.05</v>
      </c>
      <c r="AH194" s="44">
        <v>1.7</v>
      </c>
      <c r="AI194" s="44">
        <v>2.0</v>
      </c>
      <c r="AJ194" s="44">
        <v>1998.0</v>
      </c>
      <c r="AK194" s="44">
        <v>1.0</v>
      </c>
      <c r="AL194" s="44">
        <v>7000.0</v>
      </c>
      <c r="AM194" s="44">
        <v>7200.0</v>
      </c>
      <c r="AN194" s="44">
        <v>700.0</v>
      </c>
      <c r="AO194" s="44">
        <v>4800.0</v>
      </c>
      <c r="AP194" s="44">
        <v>6000.0</v>
      </c>
      <c r="AQ194" s="44">
        <v>0.0</v>
      </c>
      <c r="AR194" s="57" t="s">
        <v>3761</v>
      </c>
      <c r="AS194" s="57" t="s">
        <v>2915</v>
      </c>
      <c r="AT194" s="57" t="s">
        <v>3762</v>
      </c>
      <c r="AU194" s="57" t="s">
        <v>3614</v>
      </c>
      <c r="AV194" s="57" t="s">
        <v>3763</v>
      </c>
      <c r="AW194" s="57" t="s">
        <v>1821</v>
      </c>
      <c r="AX194" s="57" t="s">
        <v>3764</v>
      </c>
      <c r="AY194" s="57" t="s">
        <v>3765</v>
      </c>
      <c r="AZ194" s="57" t="s">
        <v>3766</v>
      </c>
      <c r="BA194" s="57" t="s">
        <v>3767</v>
      </c>
      <c r="BB194" s="57" t="s">
        <v>3768</v>
      </c>
      <c r="BC194" s="57" t="s">
        <v>3769</v>
      </c>
      <c r="BD194" s="57" t="s">
        <v>3770</v>
      </c>
      <c r="BE194" s="57" t="s">
        <v>2811</v>
      </c>
      <c r="BF194" s="57" t="s">
        <v>3771</v>
      </c>
      <c r="BG194" s="57" t="s">
        <v>3772</v>
      </c>
      <c r="BH194" s="57" t="s">
        <v>1030</v>
      </c>
      <c r="BI194" s="57" t="s">
        <v>1031</v>
      </c>
      <c r="BJ194" s="57" t="s">
        <v>1032</v>
      </c>
      <c r="BK194" s="57" t="s">
        <v>1033</v>
      </c>
      <c r="BL194" s="57" t="s">
        <v>1034</v>
      </c>
      <c r="BM194" s="57" t="s">
        <v>1035</v>
      </c>
      <c r="BN194" s="57" t="s">
        <v>1036</v>
      </c>
      <c r="BO194" s="57" t="s">
        <v>1037</v>
      </c>
      <c r="BP194" s="44">
        <v>0.0</v>
      </c>
      <c r="BQ194" s="44">
        <v>5.0</v>
      </c>
      <c r="BR194" s="44">
        <v>3.321</v>
      </c>
      <c r="BS194" s="44">
        <v>1.902</v>
      </c>
      <c r="BT194" s="44">
        <v>1.308</v>
      </c>
      <c r="BU194" s="44">
        <v>1.0</v>
      </c>
      <c r="BV194" s="44">
        <v>0.759</v>
      </c>
      <c r="BW194" s="44">
        <v>0.0</v>
      </c>
      <c r="BX194" s="44">
        <v>0.0</v>
      </c>
      <c r="BY194" s="44">
        <v>0.0</v>
      </c>
      <c r="BZ194" s="44">
        <v>3.382</v>
      </c>
      <c r="CA194" s="44">
        <v>4.083</v>
      </c>
      <c r="CB194" s="44">
        <v>1.0</v>
      </c>
      <c r="CC194" s="44">
        <v>0.0</v>
      </c>
      <c r="CD194" s="44">
        <v>0.0</v>
      </c>
      <c r="CE194" s="44">
        <v>8000.0</v>
      </c>
      <c r="CF194" s="44">
        <v>7000.0</v>
      </c>
      <c r="CG194" s="44">
        <v>0.0</v>
      </c>
      <c r="CH194" s="44">
        <v>0.0</v>
      </c>
      <c r="CI194" s="44">
        <v>0.0</v>
      </c>
      <c r="CJ194" s="2"/>
      <c r="CK194" s="2"/>
    </row>
    <row r="195">
      <c r="A195" s="46">
        <v>194.0</v>
      </c>
      <c r="B195" s="46">
        <v>315.0</v>
      </c>
      <c r="C195" s="46" t="s">
        <v>629</v>
      </c>
      <c r="D195" s="46" t="s">
        <v>630</v>
      </c>
      <c r="E195" s="46" t="s">
        <v>631</v>
      </c>
      <c r="F195" s="46">
        <v>1260.0</v>
      </c>
      <c r="G195" s="46">
        <v>4.35</v>
      </c>
      <c r="H195" s="46">
        <v>1.69</v>
      </c>
      <c r="I195" s="46">
        <v>1.405</v>
      </c>
      <c r="J195" s="46">
        <v>2.52</v>
      </c>
      <c r="K195" s="46">
        <v>1.47</v>
      </c>
      <c r="L195" s="46">
        <v>1.46</v>
      </c>
      <c r="M195" s="46">
        <v>0.145</v>
      </c>
      <c r="N195" s="46">
        <v>0.389</v>
      </c>
      <c r="O195" s="46">
        <v>4.0</v>
      </c>
      <c r="P195" s="46">
        <v>0.49</v>
      </c>
      <c r="Q195" s="46">
        <v>1.1</v>
      </c>
      <c r="R195" s="46">
        <v>100.0</v>
      </c>
      <c r="S195" s="46">
        <v>1.138</v>
      </c>
      <c r="T195" s="46">
        <v>0.205</v>
      </c>
      <c r="U195" s="46">
        <v>0.5</v>
      </c>
      <c r="V195" s="46">
        <v>16.0</v>
      </c>
      <c r="W195" s="46">
        <v>0.205</v>
      </c>
      <c r="X195" s="46">
        <v>0.5</v>
      </c>
      <c r="Y195" s="46">
        <v>16.0</v>
      </c>
      <c r="Z195" s="46">
        <v>0.0</v>
      </c>
      <c r="AA195" s="46">
        <v>-0.25</v>
      </c>
      <c r="AB195" s="46">
        <v>3.05</v>
      </c>
      <c r="AC195" s="46">
        <v>14.4</v>
      </c>
      <c r="AD195" s="46">
        <v>1.5</v>
      </c>
      <c r="AE195" s="46">
        <v>2.0</v>
      </c>
      <c r="AF195" s="46">
        <v>-2.0</v>
      </c>
      <c r="AG195" s="46">
        <v>-1.1</v>
      </c>
      <c r="AH195" s="46">
        <v>1.5</v>
      </c>
      <c r="AI195" s="46">
        <v>1.0</v>
      </c>
      <c r="AJ195" s="46">
        <v>1994.0</v>
      </c>
      <c r="AK195" s="46">
        <v>1.0</v>
      </c>
      <c r="AL195" s="46">
        <v>8000.0</v>
      </c>
      <c r="AM195" s="46">
        <v>8000.0</v>
      </c>
      <c r="AN195" s="46">
        <v>700.0</v>
      </c>
      <c r="AO195" s="46">
        <v>4000.0</v>
      </c>
      <c r="AP195" s="46">
        <v>6500.0</v>
      </c>
      <c r="AQ195" s="46">
        <v>0.0</v>
      </c>
      <c r="AR195" s="58" t="s">
        <v>3773</v>
      </c>
      <c r="AS195" s="58" t="s">
        <v>3774</v>
      </c>
      <c r="AT195" s="58" t="s">
        <v>3097</v>
      </c>
      <c r="AU195" s="58" t="s">
        <v>3775</v>
      </c>
      <c r="AV195" s="58" t="s">
        <v>3776</v>
      </c>
      <c r="AW195" s="58" t="s">
        <v>3777</v>
      </c>
      <c r="AX195" s="58" t="s">
        <v>3778</v>
      </c>
      <c r="AY195" s="58" t="s">
        <v>3779</v>
      </c>
      <c r="AZ195" s="58" t="s">
        <v>3780</v>
      </c>
      <c r="BA195" s="58" t="s">
        <v>3781</v>
      </c>
      <c r="BB195" s="58" t="s">
        <v>3782</v>
      </c>
      <c r="BC195" s="58" t="s">
        <v>3783</v>
      </c>
      <c r="BD195" s="58" t="s">
        <v>3784</v>
      </c>
      <c r="BE195" s="58" t="s">
        <v>3785</v>
      </c>
      <c r="BF195" s="58" t="s">
        <v>3786</v>
      </c>
      <c r="BG195" s="58" t="s">
        <v>3787</v>
      </c>
      <c r="BH195" s="58" t="s">
        <v>1030</v>
      </c>
      <c r="BI195" s="58" t="s">
        <v>1031</v>
      </c>
      <c r="BJ195" s="58" t="s">
        <v>1032</v>
      </c>
      <c r="BK195" s="58" t="s">
        <v>1033</v>
      </c>
      <c r="BL195" s="58" t="s">
        <v>1034</v>
      </c>
      <c r="BM195" s="58" t="s">
        <v>1035</v>
      </c>
      <c r="BN195" s="58" t="s">
        <v>1036</v>
      </c>
      <c r="BO195" s="58" t="s">
        <v>1037</v>
      </c>
      <c r="BP195" s="46">
        <v>0.0</v>
      </c>
      <c r="BQ195" s="46">
        <v>5.0</v>
      </c>
      <c r="BR195" s="46">
        <v>3.083</v>
      </c>
      <c r="BS195" s="46">
        <v>2.062</v>
      </c>
      <c r="BT195" s="46">
        <v>1.545</v>
      </c>
      <c r="BU195" s="46">
        <v>1.151</v>
      </c>
      <c r="BV195" s="46">
        <v>0.825</v>
      </c>
      <c r="BW195" s="46">
        <v>0.0</v>
      </c>
      <c r="BX195" s="46">
        <v>0.0</v>
      </c>
      <c r="BY195" s="46">
        <v>0.0</v>
      </c>
      <c r="BZ195" s="46">
        <v>3.333</v>
      </c>
      <c r="CA195" s="46">
        <v>4.444</v>
      </c>
      <c r="CB195" s="46">
        <v>0.0</v>
      </c>
      <c r="CC195" s="46">
        <v>3.0</v>
      </c>
      <c r="CD195" s="46">
        <v>1.0</v>
      </c>
      <c r="CE195" s="46">
        <v>9000.0</v>
      </c>
      <c r="CF195" s="46">
        <v>8000.0</v>
      </c>
      <c r="CG195" s="46">
        <v>0.0</v>
      </c>
      <c r="CH195" s="46">
        <v>0.0</v>
      </c>
      <c r="CI195" s="46">
        <v>0.0</v>
      </c>
      <c r="CJ195" s="2"/>
      <c r="CK195" s="2"/>
    </row>
    <row r="196">
      <c r="A196" s="44">
        <v>195.0</v>
      </c>
      <c r="B196" s="44">
        <v>316.0</v>
      </c>
      <c r="C196" s="44" t="s">
        <v>632</v>
      </c>
      <c r="D196" s="44" t="s">
        <v>633</v>
      </c>
      <c r="E196" s="44" t="s">
        <v>634</v>
      </c>
      <c r="F196" s="44">
        <v>1070.0</v>
      </c>
      <c r="G196" s="44">
        <v>3.95</v>
      </c>
      <c r="H196" s="44">
        <v>1.665</v>
      </c>
      <c r="I196" s="44">
        <v>1.25</v>
      </c>
      <c r="J196" s="44">
        <v>2.32</v>
      </c>
      <c r="K196" s="44">
        <v>1.44</v>
      </c>
      <c r="L196" s="44">
        <v>1.44</v>
      </c>
      <c r="M196" s="44">
        <v>0.12</v>
      </c>
      <c r="N196" s="44">
        <v>0.589</v>
      </c>
      <c r="O196" s="44">
        <v>2.0</v>
      </c>
      <c r="P196" s="44">
        <v>0.46</v>
      </c>
      <c r="Q196" s="44">
        <v>1.0</v>
      </c>
      <c r="R196" s="44">
        <v>0.0</v>
      </c>
      <c r="S196" s="44">
        <v>1.034</v>
      </c>
      <c r="T196" s="44">
        <v>0.185</v>
      </c>
      <c r="U196" s="44">
        <v>0.6</v>
      </c>
      <c r="V196" s="44">
        <v>14.0</v>
      </c>
      <c r="W196" s="44">
        <v>0.185</v>
      </c>
      <c r="X196" s="44">
        <v>0.6</v>
      </c>
      <c r="Y196" s="44">
        <v>14.0</v>
      </c>
      <c r="Z196" s="44">
        <v>1.0</v>
      </c>
      <c r="AA196" s="44">
        <v>0.15</v>
      </c>
      <c r="AB196" s="44">
        <v>5.1</v>
      </c>
      <c r="AC196" s="44">
        <v>12.0</v>
      </c>
      <c r="AD196" s="44">
        <v>1.6</v>
      </c>
      <c r="AE196" s="44">
        <v>1.0</v>
      </c>
      <c r="AF196" s="44">
        <v>-5.0</v>
      </c>
      <c r="AG196" s="44">
        <v>-1.0</v>
      </c>
      <c r="AH196" s="44">
        <v>1.6</v>
      </c>
      <c r="AI196" s="44">
        <v>1.0</v>
      </c>
      <c r="AJ196" s="44">
        <v>1587.0</v>
      </c>
      <c r="AK196" s="44">
        <v>4.0</v>
      </c>
      <c r="AL196" s="44">
        <v>7500.0</v>
      </c>
      <c r="AM196" s="44">
        <v>7700.0</v>
      </c>
      <c r="AN196" s="44">
        <v>800.0</v>
      </c>
      <c r="AO196" s="44">
        <v>4400.0</v>
      </c>
      <c r="AP196" s="44">
        <v>6400.0</v>
      </c>
      <c r="AQ196" s="44">
        <v>0.0</v>
      </c>
      <c r="AR196" s="57" t="s">
        <v>3788</v>
      </c>
      <c r="AS196" s="57" t="s">
        <v>3789</v>
      </c>
      <c r="AT196" s="57" t="s">
        <v>3790</v>
      </c>
      <c r="AU196" s="57" t="s">
        <v>3791</v>
      </c>
      <c r="AV196" s="57" t="s">
        <v>3792</v>
      </c>
      <c r="AW196" s="57" t="s">
        <v>3793</v>
      </c>
      <c r="AX196" s="57" t="s">
        <v>3794</v>
      </c>
      <c r="AY196" s="57" t="s">
        <v>3795</v>
      </c>
      <c r="AZ196" s="57" t="s">
        <v>3796</v>
      </c>
      <c r="BA196" s="57" t="s">
        <v>3797</v>
      </c>
      <c r="BB196" s="57" t="s">
        <v>3798</v>
      </c>
      <c r="BC196" s="57" t="s">
        <v>3799</v>
      </c>
      <c r="BD196" s="57" t="s">
        <v>3800</v>
      </c>
      <c r="BE196" s="57" t="s">
        <v>3801</v>
      </c>
      <c r="BF196" s="57" t="s">
        <v>3802</v>
      </c>
      <c r="BG196" s="57" t="s">
        <v>3803</v>
      </c>
      <c r="BH196" s="57" t="s">
        <v>3804</v>
      </c>
      <c r="BI196" s="57" t="s">
        <v>3805</v>
      </c>
      <c r="BJ196" s="57" t="s">
        <v>1032</v>
      </c>
      <c r="BK196" s="57" t="s">
        <v>1033</v>
      </c>
      <c r="BL196" s="57" t="s">
        <v>1034</v>
      </c>
      <c r="BM196" s="57" t="s">
        <v>1035</v>
      </c>
      <c r="BN196" s="57" t="s">
        <v>1036</v>
      </c>
      <c r="BO196" s="57" t="s">
        <v>1037</v>
      </c>
      <c r="BP196" s="44">
        <v>0.0</v>
      </c>
      <c r="BQ196" s="44">
        <v>5.0</v>
      </c>
      <c r="BR196" s="44">
        <v>3.23</v>
      </c>
      <c r="BS196" s="44">
        <v>1.913</v>
      </c>
      <c r="BT196" s="44">
        <v>1.258</v>
      </c>
      <c r="BU196" s="44">
        <v>0.918</v>
      </c>
      <c r="BV196" s="44">
        <v>0.731</v>
      </c>
      <c r="BW196" s="44">
        <v>0.0</v>
      </c>
      <c r="BX196" s="44">
        <v>0.0</v>
      </c>
      <c r="BY196" s="44">
        <v>0.0</v>
      </c>
      <c r="BZ196" s="44">
        <v>3.583</v>
      </c>
      <c r="CA196" s="44">
        <v>4.285</v>
      </c>
      <c r="CB196" s="44">
        <v>0.0</v>
      </c>
      <c r="CC196" s="44">
        <v>0.0</v>
      </c>
      <c r="CD196" s="44">
        <v>0.0</v>
      </c>
      <c r="CE196" s="44">
        <v>9000.0</v>
      </c>
      <c r="CF196" s="44">
        <v>7500.0</v>
      </c>
      <c r="CG196" s="44">
        <v>1.0</v>
      </c>
      <c r="CH196" s="44">
        <v>0.0</v>
      </c>
      <c r="CI196" s="44">
        <v>0.0</v>
      </c>
      <c r="CJ196" s="2"/>
      <c r="CK196" s="2"/>
    </row>
    <row r="197">
      <c r="A197" s="46">
        <v>196.0</v>
      </c>
      <c r="B197" s="46">
        <v>319.0</v>
      </c>
      <c r="C197" s="46" t="s">
        <v>635</v>
      </c>
      <c r="D197" s="46" t="s">
        <v>636</v>
      </c>
      <c r="E197" s="46" t="s">
        <v>637</v>
      </c>
      <c r="F197" s="46">
        <v>745.0</v>
      </c>
      <c r="G197" s="46">
        <v>4.08</v>
      </c>
      <c r="H197" s="46">
        <v>1.58</v>
      </c>
      <c r="I197" s="46">
        <v>1.315</v>
      </c>
      <c r="J197" s="46">
        <v>2.35</v>
      </c>
      <c r="K197" s="46">
        <v>1.31</v>
      </c>
      <c r="L197" s="46">
        <v>1.27</v>
      </c>
      <c r="M197" s="46">
        <v>0.11</v>
      </c>
      <c r="N197" s="46">
        <v>0.48</v>
      </c>
      <c r="O197" s="46">
        <v>0.0</v>
      </c>
      <c r="P197" s="46">
        <v>0.48</v>
      </c>
      <c r="Q197" s="46">
        <v>0.95</v>
      </c>
      <c r="R197" s="46">
        <v>0.0</v>
      </c>
      <c r="S197" s="46">
        <v>1.078</v>
      </c>
      <c r="T197" s="46">
        <v>0.165</v>
      </c>
      <c r="U197" s="46">
        <v>0.71</v>
      </c>
      <c r="V197" s="46">
        <v>14.0</v>
      </c>
      <c r="W197" s="46">
        <v>0.165</v>
      </c>
      <c r="X197" s="46">
        <v>0.71</v>
      </c>
      <c r="Y197" s="46">
        <v>14.0</v>
      </c>
      <c r="Z197" s="46">
        <v>0.0</v>
      </c>
      <c r="AA197" s="46">
        <v>1.0</v>
      </c>
      <c r="AB197" s="46">
        <v>7.0</v>
      </c>
      <c r="AC197" s="46">
        <v>8.0</v>
      </c>
      <c r="AD197" s="46">
        <v>1.4</v>
      </c>
      <c r="AE197" s="46">
        <v>3.0</v>
      </c>
      <c r="AF197" s="46">
        <v>-2.0</v>
      </c>
      <c r="AG197" s="46">
        <v>1.0</v>
      </c>
      <c r="AH197" s="46">
        <v>1.4</v>
      </c>
      <c r="AI197" s="46">
        <v>2.0</v>
      </c>
      <c r="AJ197" s="46">
        <v>1570.0</v>
      </c>
      <c r="AK197" s="46">
        <v>0.0</v>
      </c>
      <c r="AL197" s="46">
        <v>6500.0</v>
      </c>
      <c r="AM197" s="46">
        <v>6500.0</v>
      </c>
      <c r="AN197" s="46">
        <v>900.0</v>
      </c>
      <c r="AO197" s="46">
        <v>3000.0</v>
      </c>
      <c r="AP197" s="46">
        <v>6000.0</v>
      </c>
      <c r="AQ197" s="46">
        <v>0.0</v>
      </c>
      <c r="AR197" s="58" t="s">
        <v>2798</v>
      </c>
      <c r="AS197" s="58" t="s">
        <v>3806</v>
      </c>
      <c r="AT197" s="58" t="s">
        <v>3207</v>
      </c>
      <c r="AU197" s="58" t="s">
        <v>3807</v>
      </c>
      <c r="AV197" s="58" t="s">
        <v>3808</v>
      </c>
      <c r="AW197" s="58" t="s">
        <v>3002</v>
      </c>
      <c r="AX197" s="58" t="s">
        <v>3809</v>
      </c>
      <c r="AY197" s="58" t="s">
        <v>3810</v>
      </c>
      <c r="AZ197" s="58" t="s">
        <v>3811</v>
      </c>
      <c r="BA197" s="58" t="s">
        <v>2554</v>
      </c>
      <c r="BB197" s="58" t="s">
        <v>3812</v>
      </c>
      <c r="BC197" s="58" t="s">
        <v>3813</v>
      </c>
      <c r="BD197" s="58" t="s">
        <v>3814</v>
      </c>
      <c r="BE197" s="58" t="s">
        <v>1855</v>
      </c>
      <c r="BF197" s="58" t="s">
        <v>1052</v>
      </c>
      <c r="BG197" s="58" t="s">
        <v>1029</v>
      </c>
      <c r="BH197" s="58" t="s">
        <v>1030</v>
      </c>
      <c r="BI197" s="58" t="s">
        <v>1031</v>
      </c>
      <c r="BJ197" s="58" t="s">
        <v>1032</v>
      </c>
      <c r="BK197" s="58" t="s">
        <v>1033</v>
      </c>
      <c r="BL197" s="58" t="s">
        <v>1034</v>
      </c>
      <c r="BM197" s="58" t="s">
        <v>1035</v>
      </c>
      <c r="BN197" s="58" t="s">
        <v>1036</v>
      </c>
      <c r="BO197" s="58" t="s">
        <v>1037</v>
      </c>
      <c r="BP197" s="46">
        <v>0.0</v>
      </c>
      <c r="BQ197" s="46">
        <v>5.0</v>
      </c>
      <c r="BR197" s="46">
        <v>2.54</v>
      </c>
      <c r="BS197" s="46">
        <v>1.7</v>
      </c>
      <c r="BT197" s="46">
        <v>1.26</v>
      </c>
      <c r="BU197" s="46">
        <v>1.0</v>
      </c>
      <c r="BV197" s="46">
        <v>0.79</v>
      </c>
      <c r="BW197" s="46">
        <v>0.0</v>
      </c>
      <c r="BX197" s="46">
        <v>0.0</v>
      </c>
      <c r="BY197" s="46">
        <v>0.0</v>
      </c>
      <c r="BZ197" s="46">
        <v>3.01</v>
      </c>
      <c r="CA197" s="46">
        <v>4.555</v>
      </c>
      <c r="CB197" s="46">
        <v>0.0</v>
      </c>
      <c r="CC197" s="46">
        <v>0.0</v>
      </c>
      <c r="CD197" s="46">
        <v>0.0</v>
      </c>
      <c r="CE197" s="46">
        <v>8000.0</v>
      </c>
      <c r="CF197" s="46">
        <v>6500.0</v>
      </c>
      <c r="CG197" s="46">
        <v>0.0</v>
      </c>
      <c r="CH197" s="46">
        <v>0.0</v>
      </c>
      <c r="CI197" s="46">
        <v>0.0</v>
      </c>
      <c r="CJ197" s="2"/>
      <c r="CK197" s="2"/>
    </row>
    <row r="198">
      <c r="A198" s="44">
        <v>197.0</v>
      </c>
      <c r="B198" s="44">
        <v>320.0</v>
      </c>
      <c r="C198" s="44" t="s">
        <v>638</v>
      </c>
      <c r="D198" s="44" t="s">
        <v>639</v>
      </c>
      <c r="E198" s="44" t="s">
        <v>640</v>
      </c>
      <c r="F198" s="44">
        <v>1430.0</v>
      </c>
      <c r="G198" s="44">
        <v>4.495</v>
      </c>
      <c r="H198" s="44">
        <v>1.765</v>
      </c>
      <c r="I198" s="44">
        <v>1.375</v>
      </c>
      <c r="J198" s="44">
        <v>2.595</v>
      </c>
      <c r="K198" s="44">
        <v>1.525</v>
      </c>
      <c r="L198" s="44">
        <v>1.515</v>
      </c>
      <c r="M198" s="44">
        <v>0.15</v>
      </c>
      <c r="N198" s="44">
        <v>0.4</v>
      </c>
      <c r="O198" s="44">
        <v>1.0</v>
      </c>
      <c r="P198" s="44">
        <v>0.52</v>
      </c>
      <c r="Q198" s="44">
        <v>1.1</v>
      </c>
      <c r="R198" s="44">
        <v>0.0</v>
      </c>
      <c r="S198" s="44">
        <v>1.136</v>
      </c>
      <c r="T198" s="44">
        <v>0.225</v>
      </c>
      <c r="U198" s="44">
        <v>0.4</v>
      </c>
      <c r="V198" s="44">
        <v>18.0</v>
      </c>
      <c r="W198" s="44">
        <v>0.225</v>
      </c>
      <c r="X198" s="44">
        <v>0.4</v>
      </c>
      <c r="Y198" s="44">
        <v>18.0</v>
      </c>
      <c r="Z198" s="44">
        <v>0.0</v>
      </c>
      <c r="AA198" s="44">
        <v>-0.3</v>
      </c>
      <c r="AB198" s="44">
        <v>2.0</v>
      </c>
      <c r="AC198" s="44">
        <v>10.0</v>
      </c>
      <c r="AD198" s="44">
        <v>1.5</v>
      </c>
      <c r="AE198" s="44">
        <v>2.0</v>
      </c>
      <c r="AF198" s="44">
        <v>-3.0</v>
      </c>
      <c r="AG198" s="44">
        <v>-1.0</v>
      </c>
      <c r="AH198" s="44">
        <v>1.5</v>
      </c>
      <c r="AI198" s="44">
        <v>1.0</v>
      </c>
      <c r="AJ198" s="44">
        <v>3179.0</v>
      </c>
      <c r="AK198" s="44">
        <v>0.0</v>
      </c>
      <c r="AL198" s="44">
        <v>7000.0</v>
      </c>
      <c r="AM198" s="44">
        <v>7100.0</v>
      </c>
      <c r="AN198" s="44">
        <v>700.0</v>
      </c>
      <c r="AO198" s="44">
        <v>4800.0</v>
      </c>
      <c r="AP198" s="44">
        <v>6200.0</v>
      </c>
      <c r="AQ198" s="44">
        <v>0.0</v>
      </c>
      <c r="AR198" s="57" t="s">
        <v>3815</v>
      </c>
      <c r="AS198" s="57" t="s">
        <v>3816</v>
      </c>
      <c r="AT198" s="57" t="s">
        <v>3817</v>
      </c>
      <c r="AU198" s="57" t="s">
        <v>1621</v>
      </c>
      <c r="AV198" s="57" t="s">
        <v>1622</v>
      </c>
      <c r="AW198" s="57" t="s">
        <v>3818</v>
      </c>
      <c r="AX198" s="57" t="s">
        <v>3819</v>
      </c>
      <c r="AY198" s="57" t="s">
        <v>1625</v>
      </c>
      <c r="AZ198" s="57" t="s">
        <v>3820</v>
      </c>
      <c r="BA198" s="57" t="s">
        <v>3821</v>
      </c>
      <c r="BB198" s="57" t="s">
        <v>3822</v>
      </c>
      <c r="BC198" s="57" t="s">
        <v>3823</v>
      </c>
      <c r="BD198" s="57" t="s">
        <v>3824</v>
      </c>
      <c r="BE198" s="57" t="s">
        <v>2811</v>
      </c>
      <c r="BF198" s="57" t="s">
        <v>3825</v>
      </c>
      <c r="BG198" s="57" t="s">
        <v>1029</v>
      </c>
      <c r="BH198" s="57" t="s">
        <v>1030</v>
      </c>
      <c r="BI198" s="57" t="s">
        <v>1031</v>
      </c>
      <c r="BJ198" s="57" t="s">
        <v>1032</v>
      </c>
      <c r="BK198" s="57" t="s">
        <v>1033</v>
      </c>
      <c r="BL198" s="57" t="s">
        <v>1034</v>
      </c>
      <c r="BM198" s="57" t="s">
        <v>1035</v>
      </c>
      <c r="BN198" s="57" t="s">
        <v>1036</v>
      </c>
      <c r="BO198" s="57" t="s">
        <v>1037</v>
      </c>
      <c r="BP198" s="44">
        <v>0.0</v>
      </c>
      <c r="BQ198" s="44">
        <v>6.0</v>
      </c>
      <c r="BR198" s="44">
        <v>3.5</v>
      </c>
      <c r="BS198" s="44">
        <v>2.235</v>
      </c>
      <c r="BT198" s="44">
        <v>1.52</v>
      </c>
      <c r="BU198" s="44">
        <v>1.161</v>
      </c>
      <c r="BV198" s="44">
        <v>0.971</v>
      </c>
      <c r="BW198" s="44">
        <v>0.818</v>
      </c>
      <c r="BX198" s="44">
        <v>0.0</v>
      </c>
      <c r="BY198" s="44">
        <v>0.0</v>
      </c>
      <c r="BZ198" s="44">
        <v>3.545</v>
      </c>
      <c r="CA198" s="44">
        <v>3.733</v>
      </c>
      <c r="CB198" s="44">
        <v>0.0</v>
      </c>
      <c r="CC198" s="44">
        <v>0.0</v>
      </c>
      <c r="CD198" s="44">
        <v>0.0</v>
      </c>
      <c r="CE198" s="44">
        <v>8000.0</v>
      </c>
      <c r="CF198" s="44">
        <v>7000.0</v>
      </c>
      <c r="CG198" s="44">
        <v>0.0</v>
      </c>
      <c r="CH198" s="44">
        <v>1.0</v>
      </c>
      <c r="CI198" s="44">
        <v>0.0</v>
      </c>
      <c r="CJ198" s="2"/>
      <c r="CK198" s="2"/>
    </row>
    <row r="199">
      <c r="A199" s="46">
        <v>198.0</v>
      </c>
      <c r="B199" s="46">
        <v>321.0</v>
      </c>
      <c r="C199" s="46" t="s">
        <v>641</v>
      </c>
      <c r="D199" s="46" t="s">
        <v>642</v>
      </c>
      <c r="E199" s="46" t="s">
        <v>643</v>
      </c>
      <c r="F199" s="46">
        <v>1430.0</v>
      </c>
      <c r="G199" s="46">
        <v>4.635</v>
      </c>
      <c r="H199" s="46">
        <v>1.73</v>
      </c>
      <c r="I199" s="46">
        <v>1.435</v>
      </c>
      <c r="J199" s="46">
        <v>2.67</v>
      </c>
      <c r="K199" s="46">
        <v>1.495</v>
      </c>
      <c r="L199" s="46">
        <v>1.49</v>
      </c>
      <c r="M199" s="46">
        <v>0.16</v>
      </c>
      <c r="N199" s="46">
        <v>0.45</v>
      </c>
      <c r="O199" s="46">
        <v>4.0</v>
      </c>
      <c r="P199" s="46">
        <v>0.49</v>
      </c>
      <c r="Q199" s="46">
        <v>1.1</v>
      </c>
      <c r="R199" s="46">
        <v>0.0</v>
      </c>
      <c r="S199" s="46">
        <v>1.158</v>
      </c>
      <c r="T199" s="46">
        <v>0.215</v>
      </c>
      <c r="U199" s="46">
        <v>0.45</v>
      </c>
      <c r="V199" s="46">
        <v>18.0</v>
      </c>
      <c r="W199" s="46">
        <v>0.215</v>
      </c>
      <c r="X199" s="46">
        <v>0.45</v>
      </c>
      <c r="Y199" s="46">
        <v>18.0</v>
      </c>
      <c r="Z199" s="46">
        <v>0.0</v>
      </c>
      <c r="AA199" s="46">
        <v>-0.15</v>
      </c>
      <c r="AB199" s="46">
        <v>2.55</v>
      </c>
      <c r="AC199" s="46">
        <v>14.3</v>
      </c>
      <c r="AD199" s="46">
        <v>1.5</v>
      </c>
      <c r="AE199" s="46">
        <v>2.0</v>
      </c>
      <c r="AF199" s="46">
        <v>0.0</v>
      </c>
      <c r="AG199" s="46">
        <v>-0.3</v>
      </c>
      <c r="AH199" s="46">
        <v>1.5</v>
      </c>
      <c r="AI199" s="46">
        <v>2.0</v>
      </c>
      <c r="AJ199" s="46">
        <v>1994.0</v>
      </c>
      <c r="AK199" s="46">
        <v>1.0</v>
      </c>
      <c r="AL199" s="46">
        <v>7000.0</v>
      </c>
      <c r="AM199" s="46">
        <v>7200.0</v>
      </c>
      <c r="AN199" s="46">
        <v>700.0</v>
      </c>
      <c r="AO199" s="46">
        <v>2400.0</v>
      </c>
      <c r="AP199" s="46">
        <v>6400.0</v>
      </c>
      <c r="AQ199" s="46">
        <v>0.0</v>
      </c>
      <c r="AR199" s="58" t="s">
        <v>3826</v>
      </c>
      <c r="AS199" s="58" t="s">
        <v>3827</v>
      </c>
      <c r="AT199" s="58" t="s">
        <v>3828</v>
      </c>
      <c r="AU199" s="58" t="s">
        <v>3829</v>
      </c>
      <c r="AV199" s="58" t="s">
        <v>3830</v>
      </c>
      <c r="AW199" s="58" t="s">
        <v>3831</v>
      </c>
      <c r="AX199" s="58" t="s">
        <v>3832</v>
      </c>
      <c r="AY199" s="58" t="s">
        <v>3833</v>
      </c>
      <c r="AZ199" s="58" t="s">
        <v>3834</v>
      </c>
      <c r="BA199" s="58" t="s">
        <v>3835</v>
      </c>
      <c r="BB199" s="58" t="s">
        <v>3836</v>
      </c>
      <c r="BC199" s="58" t="s">
        <v>3837</v>
      </c>
      <c r="BD199" s="58" t="s">
        <v>1661</v>
      </c>
      <c r="BE199" s="58" t="s">
        <v>3838</v>
      </c>
      <c r="BF199" s="58" t="s">
        <v>1052</v>
      </c>
      <c r="BG199" s="58" t="s">
        <v>1029</v>
      </c>
      <c r="BH199" s="58" t="s">
        <v>1030</v>
      </c>
      <c r="BI199" s="58" t="s">
        <v>1031</v>
      </c>
      <c r="BJ199" s="58" t="s">
        <v>1032</v>
      </c>
      <c r="BK199" s="58" t="s">
        <v>1033</v>
      </c>
      <c r="BL199" s="58" t="s">
        <v>1034</v>
      </c>
      <c r="BM199" s="58" t="s">
        <v>1035</v>
      </c>
      <c r="BN199" s="58" t="s">
        <v>1036</v>
      </c>
      <c r="BO199" s="58" t="s">
        <v>1037</v>
      </c>
      <c r="BP199" s="46">
        <v>0.0</v>
      </c>
      <c r="BQ199" s="46">
        <v>5.0</v>
      </c>
      <c r="BR199" s="46">
        <v>3.166</v>
      </c>
      <c r="BS199" s="46">
        <v>1.882</v>
      </c>
      <c r="BT199" s="46">
        <v>1.296</v>
      </c>
      <c r="BU199" s="46">
        <v>0.972</v>
      </c>
      <c r="BV199" s="46">
        <v>0.738</v>
      </c>
      <c r="BW199" s="46">
        <v>0.0</v>
      </c>
      <c r="BX199" s="46">
        <v>0.0</v>
      </c>
      <c r="BY199" s="46">
        <v>0.0</v>
      </c>
      <c r="BZ199" s="46">
        <v>3.333</v>
      </c>
      <c r="CA199" s="46">
        <v>4.444</v>
      </c>
      <c r="CB199" s="46">
        <v>0.0</v>
      </c>
      <c r="CC199" s="46">
        <v>1.0</v>
      </c>
      <c r="CD199" s="46">
        <v>1.0</v>
      </c>
      <c r="CE199" s="46">
        <v>8000.0</v>
      </c>
      <c r="CF199" s="46">
        <v>7000.0</v>
      </c>
      <c r="CG199" s="46">
        <v>0.0</v>
      </c>
      <c r="CH199" s="46">
        <v>1.0</v>
      </c>
      <c r="CI199" s="46">
        <v>0.0</v>
      </c>
      <c r="CJ199" s="2"/>
      <c r="CK199" s="2"/>
    </row>
    <row r="200">
      <c r="A200" s="44">
        <v>199.0</v>
      </c>
      <c r="B200" s="44">
        <v>323.0</v>
      </c>
      <c r="C200" s="44" t="s">
        <v>644</v>
      </c>
      <c r="D200" s="44" t="s">
        <v>645</v>
      </c>
      <c r="E200" s="44" t="s">
        <v>646</v>
      </c>
      <c r="F200" s="44">
        <v>1585.0</v>
      </c>
      <c r="G200" s="44">
        <v>4.643</v>
      </c>
      <c r="H200" s="44">
        <v>1.953</v>
      </c>
      <c r="I200" s="44">
        <v>1.125</v>
      </c>
      <c r="J200" s="44">
        <v>2.71</v>
      </c>
      <c r="K200" s="44">
        <v>1.6</v>
      </c>
      <c r="L200" s="44">
        <v>1.618</v>
      </c>
      <c r="M200" s="44">
        <v>0.08</v>
      </c>
      <c r="N200" s="44">
        <v>0.57</v>
      </c>
      <c r="O200" s="44">
        <v>2.0</v>
      </c>
      <c r="P200" s="44">
        <v>0.45</v>
      </c>
      <c r="Q200" s="44">
        <v>1.2</v>
      </c>
      <c r="R200" s="44">
        <v>200.0</v>
      </c>
      <c r="S200" s="44">
        <v>0.942</v>
      </c>
      <c r="T200" s="44">
        <v>0.235</v>
      </c>
      <c r="U200" s="44">
        <v>0.45</v>
      </c>
      <c r="V200" s="44">
        <v>18.0</v>
      </c>
      <c r="W200" s="44">
        <v>0.315</v>
      </c>
      <c r="X200" s="44">
        <v>0.4</v>
      </c>
      <c r="Y200" s="44">
        <v>19.0</v>
      </c>
      <c r="Z200" s="44">
        <v>2.0</v>
      </c>
      <c r="AA200" s="44">
        <v>-0.3</v>
      </c>
      <c r="AB200" s="44">
        <v>6.0</v>
      </c>
      <c r="AC200" s="44">
        <v>12.0</v>
      </c>
      <c r="AD200" s="44">
        <v>2.2</v>
      </c>
      <c r="AE200" s="44">
        <v>4.0</v>
      </c>
      <c r="AF200" s="44">
        <v>-6.0</v>
      </c>
      <c r="AG200" s="44">
        <v>-1.0</v>
      </c>
      <c r="AH200" s="44">
        <v>2.2</v>
      </c>
      <c r="AI200" s="44">
        <v>2.0</v>
      </c>
      <c r="AJ200" s="44">
        <v>5409.0</v>
      </c>
      <c r="AK200" s="44">
        <v>4.0</v>
      </c>
      <c r="AL200" s="44">
        <v>6500.0</v>
      </c>
      <c r="AM200" s="44">
        <v>6650.0</v>
      </c>
      <c r="AN200" s="44">
        <v>700.0</v>
      </c>
      <c r="AO200" s="44">
        <v>3750.0</v>
      </c>
      <c r="AP200" s="44">
        <v>6500.0</v>
      </c>
      <c r="AQ200" s="44">
        <v>0.0</v>
      </c>
      <c r="AR200" s="57" t="s">
        <v>3839</v>
      </c>
      <c r="AS200" s="57" t="s">
        <v>3840</v>
      </c>
      <c r="AT200" s="57" t="s">
        <v>3841</v>
      </c>
      <c r="AU200" s="57" t="s">
        <v>3842</v>
      </c>
      <c r="AV200" s="57" t="s">
        <v>3843</v>
      </c>
      <c r="AW200" s="57" t="s">
        <v>3844</v>
      </c>
      <c r="AX200" s="57" t="s">
        <v>3845</v>
      </c>
      <c r="AY200" s="57" t="s">
        <v>3846</v>
      </c>
      <c r="AZ200" s="57" t="s">
        <v>3847</v>
      </c>
      <c r="BA200" s="57" t="s">
        <v>3848</v>
      </c>
      <c r="BB200" s="57" t="s">
        <v>3849</v>
      </c>
      <c r="BC200" s="57" t="s">
        <v>3850</v>
      </c>
      <c r="BD200" s="57" t="s">
        <v>3851</v>
      </c>
      <c r="BE200" s="57" t="s">
        <v>3852</v>
      </c>
      <c r="BF200" s="57" t="s">
        <v>1052</v>
      </c>
      <c r="BG200" s="57" t="s">
        <v>1029</v>
      </c>
      <c r="BH200" s="57" t="s">
        <v>1030</v>
      </c>
      <c r="BI200" s="57" t="s">
        <v>1031</v>
      </c>
      <c r="BJ200" s="57" t="s">
        <v>1032</v>
      </c>
      <c r="BK200" s="57" t="s">
        <v>1033</v>
      </c>
      <c r="BL200" s="57" t="s">
        <v>1034</v>
      </c>
      <c r="BM200" s="57" t="s">
        <v>1035</v>
      </c>
      <c r="BN200" s="57" t="s">
        <v>1036</v>
      </c>
      <c r="BO200" s="57" t="s">
        <v>1037</v>
      </c>
      <c r="BP200" s="44">
        <v>0.0</v>
      </c>
      <c r="BQ200" s="44">
        <v>6.0</v>
      </c>
      <c r="BR200" s="44">
        <v>2.61</v>
      </c>
      <c r="BS200" s="44">
        <v>1.71</v>
      </c>
      <c r="BT200" s="44">
        <v>1.23</v>
      </c>
      <c r="BU200" s="44">
        <v>0.94</v>
      </c>
      <c r="BV200" s="44">
        <v>0.77</v>
      </c>
      <c r="BW200" s="44">
        <v>0.63</v>
      </c>
      <c r="BX200" s="44">
        <v>0.0</v>
      </c>
      <c r="BY200" s="44">
        <v>0.0</v>
      </c>
      <c r="BZ200" s="44">
        <v>3.135</v>
      </c>
      <c r="CA200" s="44">
        <v>3.36</v>
      </c>
      <c r="CB200" s="44">
        <v>3.0</v>
      </c>
      <c r="CC200" s="44">
        <v>0.0</v>
      </c>
      <c r="CD200" s="44">
        <v>0.0</v>
      </c>
      <c r="CE200" s="44">
        <v>8000.0</v>
      </c>
      <c r="CF200" s="44">
        <v>6500.0</v>
      </c>
      <c r="CG200" s="44">
        <v>0.0</v>
      </c>
      <c r="CH200" s="44">
        <v>1.0</v>
      </c>
      <c r="CI200" s="44">
        <v>0.0</v>
      </c>
      <c r="CJ200" s="2"/>
      <c r="CK200" s="2"/>
    </row>
    <row r="201">
      <c r="A201" s="46">
        <v>200.0</v>
      </c>
      <c r="B201" s="46">
        <v>327.0</v>
      </c>
      <c r="C201" s="46" t="s">
        <v>647</v>
      </c>
      <c r="D201" s="46" t="s">
        <v>648</v>
      </c>
      <c r="E201" s="46" t="s">
        <v>649</v>
      </c>
      <c r="F201" s="46">
        <v>583.0</v>
      </c>
      <c r="G201" s="46">
        <v>3.53</v>
      </c>
      <c r="H201" s="46">
        <v>1.42</v>
      </c>
      <c r="I201" s="46">
        <v>1.3</v>
      </c>
      <c r="J201" s="46">
        <v>2.0</v>
      </c>
      <c r="K201" s="46">
        <v>1.215</v>
      </c>
      <c r="L201" s="46">
        <v>1.25</v>
      </c>
      <c r="M201" s="46">
        <v>0.06</v>
      </c>
      <c r="N201" s="46">
        <v>0.65</v>
      </c>
      <c r="O201" s="46">
        <v>3.0</v>
      </c>
      <c r="P201" s="46">
        <v>0.35</v>
      </c>
      <c r="Q201" s="46">
        <v>0.95</v>
      </c>
      <c r="R201" s="46">
        <v>0.0</v>
      </c>
      <c r="S201" s="46">
        <v>1.073</v>
      </c>
      <c r="T201" s="46">
        <v>0.225</v>
      </c>
      <c r="U201" s="46">
        <v>0.5</v>
      </c>
      <c r="V201" s="46">
        <v>13.0</v>
      </c>
      <c r="W201" s="46">
        <v>0.225</v>
      </c>
      <c r="X201" s="46">
        <v>0.5</v>
      </c>
      <c r="Y201" s="46">
        <v>13.0</v>
      </c>
      <c r="Z201" s="46">
        <v>0.0</v>
      </c>
      <c r="AA201" s="46">
        <v>-0.3</v>
      </c>
      <c r="AB201" s="46">
        <v>8.0</v>
      </c>
      <c r="AC201" s="46">
        <v>14.0</v>
      </c>
      <c r="AD201" s="46">
        <v>2.2</v>
      </c>
      <c r="AE201" s="46">
        <v>2.0</v>
      </c>
      <c r="AF201" s="46">
        <v>-3.0</v>
      </c>
      <c r="AG201" s="46">
        <v>-1.0</v>
      </c>
      <c r="AH201" s="46">
        <v>2.2</v>
      </c>
      <c r="AI201" s="46">
        <v>1.0</v>
      </c>
      <c r="AJ201" s="46">
        <v>982.0</v>
      </c>
      <c r="AK201" s="46">
        <v>0.0</v>
      </c>
      <c r="AL201" s="46">
        <v>8600.0</v>
      </c>
      <c r="AM201" s="46">
        <v>8600.0</v>
      </c>
      <c r="AN201" s="46">
        <v>900.0</v>
      </c>
      <c r="AO201" s="46">
        <v>6800.0</v>
      </c>
      <c r="AP201" s="46">
        <v>8200.0</v>
      </c>
      <c r="AQ201" s="46">
        <v>0.0</v>
      </c>
      <c r="AR201" s="58" t="s">
        <v>3853</v>
      </c>
      <c r="AS201" s="58" t="s">
        <v>3854</v>
      </c>
      <c r="AT201" s="58" t="s">
        <v>3855</v>
      </c>
      <c r="AU201" s="58" t="s">
        <v>3856</v>
      </c>
      <c r="AV201" s="58" t="s">
        <v>3857</v>
      </c>
      <c r="AW201" s="58" t="s">
        <v>3858</v>
      </c>
      <c r="AX201" s="58" t="s">
        <v>3859</v>
      </c>
      <c r="AY201" s="58" t="s">
        <v>3860</v>
      </c>
      <c r="AZ201" s="58" t="s">
        <v>3861</v>
      </c>
      <c r="BA201" s="58" t="s">
        <v>3862</v>
      </c>
      <c r="BB201" s="58" t="s">
        <v>3863</v>
      </c>
      <c r="BC201" s="58" t="s">
        <v>3864</v>
      </c>
      <c r="BD201" s="58" t="s">
        <v>3865</v>
      </c>
      <c r="BE201" s="58" t="s">
        <v>2012</v>
      </c>
      <c r="BF201" s="58" t="s">
        <v>3866</v>
      </c>
      <c r="BG201" s="58" t="s">
        <v>1721</v>
      </c>
      <c r="BH201" s="58" t="s">
        <v>3867</v>
      </c>
      <c r="BI201" s="58" t="s">
        <v>3868</v>
      </c>
      <c r="BJ201" s="58" t="s">
        <v>1032</v>
      </c>
      <c r="BK201" s="58" t="s">
        <v>1033</v>
      </c>
      <c r="BL201" s="58" t="s">
        <v>1034</v>
      </c>
      <c r="BM201" s="58" t="s">
        <v>1035</v>
      </c>
      <c r="BN201" s="58" t="s">
        <v>1036</v>
      </c>
      <c r="BO201" s="58" t="s">
        <v>1037</v>
      </c>
      <c r="BP201" s="46">
        <v>0.0</v>
      </c>
      <c r="BQ201" s="46">
        <v>5.0</v>
      </c>
      <c r="BR201" s="46">
        <v>3.385</v>
      </c>
      <c r="BS201" s="46">
        <v>2.111</v>
      </c>
      <c r="BT201" s="46">
        <v>1.591</v>
      </c>
      <c r="BU201" s="46">
        <v>1.21</v>
      </c>
      <c r="BV201" s="46">
        <v>1.037</v>
      </c>
      <c r="BW201" s="46">
        <v>0.0</v>
      </c>
      <c r="BX201" s="46">
        <v>0.0</v>
      </c>
      <c r="BY201" s="46">
        <v>0.0</v>
      </c>
      <c r="BZ201" s="46">
        <v>3.1</v>
      </c>
      <c r="CA201" s="46">
        <v>4.1</v>
      </c>
      <c r="CB201" s="46">
        <v>3.0</v>
      </c>
      <c r="CC201" s="46">
        <v>0.0</v>
      </c>
      <c r="CD201" s="46">
        <v>0.0</v>
      </c>
      <c r="CE201" s="46">
        <v>8600.0</v>
      </c>
      <c r="CF201" s="46">
        <v>0.0</v>
      </c>
      <c r="CG201" s="46">
        <v>0.0</v>
      </c>
      <c r="CH201" s="46">
        <v>0.0</v>
      </c>
      <c r="CI201" s="46">
        <v>0.0</v>
      </c>
      <c r="CJ201" s="2"/>
      <c r="CK201" s="2"/>
    </row>
    <row r="202">
      <c r="A202" s="44">
        <v>201.0</v>
      </c>
      <c r="B202" s="44">
        <v>330.0</v>
      </c>
      <c r="C202" s="44" t="s">
        <v>650</v>
      </c>
      <c r="D202" s="44" t="s">
        <v>651</v>
      </c>
      <c r="E202" s="44" t="s">
        <v>652</v>
      </c>
      <c r="F202" s="44">
        <v>1825.0</v>
      </c>
      <c r="G202" s="44">
        <v>4.445</v>
      </c>
      <c r="H202" s="44">
        <v>1.978</v>
      </c>
      <c r="I202" s="44">
        <v>1.8</v>
      </c>
      <c r="J202" s="44">
        <v>2.725</v>
      </c>
      <c r="K202" s="44">
        <v>1.75</v>
      </c>
      <c r="L202" s="44">
        <v>1.736</v>
      </c>
      <c r="M202" s="44">
        <v>0.25</v>
      </c>
      <c r="N202" s="44">
        <v>0.5</v>
      </c>
      <c r="O202" s="44">
        <v>4.0</v>
      </c>
      <c r="P202" s="44">
        <v>0.6</v>
      </c>
      <c r="Q202" s="44">
        <v>1.15</v>
      </c>
      <c r="R202" s="44">
        <v>200.0</v>
      </c>
      <c r="S202" s="44">
        <v>1.404</v>
      </c>
      <c r="T202" s="44">
        <v>0.235</v>
      </c>
      <c r="U202" s="44">
        <v>0.85</v>
      </c>
      <c r="V202" s="44">
        <v>16.0</v>
      </c>
      <c r="W202" s="44">
        <v>0.235</v>
      </c>
      <c r="X202" s="44">
        <v>0.85</v>
      </c>
      <c r="Y202" s="44">
        <v>16.0</v>
      </c>
      <c r="Z202" s="44">
        <v>0.0</v>
      </c>
      <c r="AA202" s="44">
        <v>-0.3</v>
      </c>
      <c r="AB202" s="44">
        <v>4.0</v>
      </c>
      <c r="AC202" s="44">
        <v>12.0</v>
      </c>
      <c r="AD202" s="44">
        <v>1.2</v>
      </c>
      <c r="AE202" s="44">
        <v>4.0</v>
      </c>
      <c r="AF202" s="44">
        <v>0.0</v>
      </c>
      <c r="AG202" s="44">
        <v>-1.0</v>
      </c>
      <c r="AH202" s="44">
        <v>1.2</v>
      </c>
      <c r="AI202" s="44">
        <v>3.0</v>
      </c>
      <c r="AJ202" s="44">
        <v>3997.0</v>
      </c>
      <c r="AK202" s="44">
        <v>0.0</v>
      </c>
      <c r="AL202" s="44">
        <v>7100.0</v>
      </c>
      <c r="AM202" s="44">
        <v>7300.0</v>
      </c>
      <c r="AN202" s="44">
        <v>600.0</v>
      </c>
      <c r="AO202" s="44">
        <v>3500.0</v>
      </c>
      <c r="AP202" s="44">
        <v>5500.0</v>
      </c>
      <c r="AQ202" s="44">
        <v>0.0</v>
      </c>
      <c r="AR202" s="57" t="s">
        <v>3869</v>
      </c>
      <c r="AS202" s="57" t="s">
        <v>3870</v>
      </c>
      <c r="AT202" s="57" t="s">
        <v>3513</v>
      </c>
      <c r="AU202" s="57" t="s">
        <v>3871</v>
      </c>
      <c r="AV202" s="57" t="s">
        <v>3872</v>
      </c>
      <c r="AW202" s="57" t="s">
        <v>3873</v>
      </c>
      <c r="AX202" s="57" t="s">
        <v>3874</v>
      </c>
      <c r="AY202" s="57" t="s">
        <v>3875</v>
      </c>
      <c r="AZ202" s="57" t="s">
        <v>3876</v>
      </c>
      <c r="BA202" s="57" t="s">
        <v>3877</v>
      </c>
      <c r="BB202" s="57" t="s">
        <v>3878</v>
      </c>
      <c r="BC202" s="57" t="s">
        <v>3184</v>
      </c>
      <c r="BD202" s="57" t="s">
        <v>3879</v>
      </c>
      <c r="BE202" s="57" t="s">
        <v>3880</v>
      </c>
      <c r="BF202" s="57" t="s">
        <v>3881</v>
      </c>
      <c r="BG202" s="57" t="s">
        <v>1029</v>
      </c>
      <c r="BH202" s="57" t="s">
        <v>1030</v>
      </c>
      <c r="BI202" s="57" t="s">
        <v>1031</v>
      </c>
      <c r="BJ202" s="57" t="s">
        <v>1032</v>
      </c>
      <c r="BK202" s="57" t="s">
        <v>1033</v>
      </c>
      <c r="BL202" s="57" t="s">
        <v>1034</v>
      </c>
      <c r="BM202" s="57" t="s">
        <v>1035</v>
      </c>
      <c r="BN202" s="57" t="s">
        <v>1036</v>
      </c>
      <c r="BO202" s="57" t="s">
        <v>1037</v>
      </c>
      <c r="BP202" s="44">
        <v>0.0</v>
      </c>
      <c r="BQ202" s="44">
        <v>6.0</v>
      </c>
      <c r="BR202" s="44">
        <v>3.302</v>
      </c>
      <c r="BS202" s="44">
        <v>2.518</v>
      </c>
      <c r="BT202" s="44">
        <v>1.933</v>
      </c>
      <c r="BU202" s="44">
        <v>1.507</v>
      </c>
      <c r="BV202" s="44">
        <v>1.182</v>
      </c>
      <c r="BW202" s="44">
        <v>0.936</v>
      </c>
      <c r="BX202" s="44">
        <v>0.0</v>
      </c>
      <c r="BY202" s="44">
        <v>0.0</v>
      </c>
      <c r="BZ202" s="44">
        <v>3.1</v>
      </c>
      <c r="CA202" s="44">
        <v>4.733</v>
      </c>
      <c r="CB202" s="44">
        <v>3.0</v>
      </c>
      <c r="CC202" s="44">
        <v>3.0</v>
      </c>
      <c r="CD202" s="44">
        <v>2.0</v>
      </c>
      <c r="CE202" s="44">
        <v>0.0</v>
      </c>
      <c r="CF202" s="44">
        <v>7100.0</v>
      </c>
      <c r="CG202" s="44">
        <v>0.0</v>
      </c>
      <c r="CH202" s="44">
        <v>1.0</v>
      </c>
      <c r="CI202" s="44">
        <v>22.0</v>
      </c>
      <c r="CJ202" s="2"/>
      <c r="CK202" s="2"/>
    </row>
    <row r="203">
      <c r="A203" s="46">
        <v>202.0</v>
      </c>
      <c r="B203" s="46">
        <v>331.0</v>
      </c>
      <c r="C203" s="46" t="s">
        <v>653</v>
      </c>
      <c r="D203" s="46" t="s">
        <v>654</v>
      </c>
      <c r="E203" s="46" t="s">
        <v>655</v>
      </c>
      <c r="F203" s="46">
        <v>1800.0</v>
      </c>
      <c r="G203" s="46">
        <v>4.88</v>
      </c>
      <c r="H203" s="46">
        <v>1.84</v>
      </c>
      <c r="I203" s="46">
        <v>1.8</v>
      </c>
      <c r="J203" s="46">
        <v>2.95</v>
      </c>
      <c r="K203" s="46">
        <v>1.64</v>
      </c>
      <c r="L203" s="46">
        <v>1.64</v>
      </c>
      <c r="M203" s="46">
        <v>0.28</v>
      </c>
      <c r="N203" s="46">
        <v>0.5</v>
      </c>
      <c r="O203" s="46">
        <v>4.0</v>
      </c>
      <c r="P203" s="46">
        <v>0.6</v>
      </c>
      <c r="Q203" s="46">
        <v>1.15</v>
      </c>
      <c r="R203" s="46">
        <v>0.0</v>
      </c>
      <c r="S203" s="46">
        <v>1.432</v>
      </c>
      <c r="T203" s="46">
        <v>0.235</v>
      </c>
      <c r="U203" s="46">
        <v>0.85</v>
      </c>
      <c r="V203" s="46">
        <v>16.0</v>
      </c>
      <c r="W203" s="46">
        <v>0.235</v>
      </c>
      <c r="X203" s="46">
        <v>0.85</v>
      </c>
      <c r="Y203" s="46">
        <v>16.0</v>
      </c>
      <c r="Z203" s="46">
        <v>0.0</v>
      </c>
      <c r="AA203" s="46">
        <v>0.0</v>
      </c>
      <c r="AB203" s="46">
        <v>4.0</v>
      </c>
      <c r="AC203" s="46">
        <v>12.0</v>
      </c>
      <c r="AD203" s="46">
        <v>1.2</v>
      </c>
      <c r="AE203" s="46">
        <v>4.0</v>
      </c>
      <c r="AF203" s="46">
        <v>0.0</v>
      </c>
      <c r="AG203" s="46">
        <v>0.0</v>
      </c>
      <c r="AH203" s="46">
        <v>1.2</v>
      </c>
      <c r="AI203" s="46">
        <v>3.0</v>
      </c>
      <c r="AJ203" s="46">
        <v>3498.0</v>
      </c>
      <c r="AK203" s="46">
        <v>0.0</v>
      </c>
      <c r="AL203" s="46">
        <v>5500.0</v>
      </c>
      <c r="AM203" s="46">
        <v>5500.0</v>
      </c>
      <c r="AN203" s="46">
        <v>700.0</v>
      </c>
      <c r="AO203" s="46">
        <v>4000.0</v>
      </c>
      <c r="AP203" s="46">
        <v>5000.0</v>
      </c>
      <c r="AQ203" s="46">
        <v>0.0</v>
      </c>
      <c r="AR203" s="58" t="s">
        <v>3882</v>
      </c>
      <c r="AS203" s="58" t="s">
        <v>3883</v>
      </c>
      <c r="AT203" s="58" t="s">
        <v>2130</v>
      </c>
      <c r="AU203" s="58" t="s">
        <v>3884</v>
      </c>
      <c r="AV203" s="58" t="s">
        <v>3885</v>
      </c>
      <c r="AW203" s="58" t="s">
        <v>3886</v>
      </c>
      <c r="AX203" s="58" t="s">
        <v>3887</v>
      </c>
      <c r="AY203" s="58" t="s">
        <v>3888</v>
      </c>
      <c r="AZ203" s="58" t="s">
        <v>3889</v>
      </c>
      <c r="BA203" s="58" t="s">
        <v>3890</v>
      </c>
      <c r="BB203" s="58" t="s">
        <v>3891</v>
      </c>
      <c r="BC203" s="58" t="s">
        <v>3892</v>
      </c>
      <c r="BD203" s="58" t="s">
        <v>1342</v>
      </c>
      <c r="BE203" s="58" t="s">
        <v>1143</v>
      </c>
      <c r="BF203" s="58" t="s">
        <v>1052</v>
      </c>
      <c r="BG203" s="58" t="s">
        <v>1029</v>
      </c>
      <c r="BH203" s="58" t="s">
        <v>1030</v>
      </c>
      <c r="BI203" s="58" t="s">
        <v>1031</v>
      </c>
      <c r="BJ203" s="58" t="s">
        <v>1032</v>
      </c>
      <c r="BK203" s="58" t="s">
        <v>1033</v>
      </c>
      <c r="BL203" s="58" t="s">
        <v>1034</v>
      </c>
      <c r="BM203" s="58" t="s">
        <v>1035</v>
      </c>
      <c r="BN203" s="58" t="s">
        <v>1036</v>
      </c>
      <c r="BO203" s="58" t="s">
        <v>1037</v>
      </c>
      <c r="BP203" s="46">
        <v>0.0</v>
      </c>
      <c r="BQ203" s="46">
        <v>6.0</v>
      </c>
      <c r="BR203" s="46">
        <v>3.5</v>
      </c>
      <c r="BS203" s="46">
        <v>2.518</v>
      </c>
      <c r="BT203" s="46">
        <v>1.933</v>
      </c>
      <c r="BU203" s="46">
        <v>1.507</v>
      </c>
      <c r="BV203" s="46">
        <v>1.182</v>
      </c>
      <c r="BW203" s="46">
        <v>0.936</v>
      </c>
      <c r="BX203" s="46">
        <v>0.0</v>
      </c>
      <c r="BY203" s="46">
        <v>0.0</v>
      </c>
      <c r="BZ203" s="46">
        <v>3.1</v>
      </c>
      <c r="CA203" s="46">
        <v>3.6</v>
      </c>
      <c r="CB203" s="46">
        <v>3.0</v>
      </c>
      <c r="CC203" s="46">
        <v>3.0</v>
      </c>
      <c r="CD203" s="46">
        <v>2.0</v>
      </c>
      <c r="CE203" s="46">
        <v>0.0</v>
      </c>
      <c r="CF203" s="46">
        <v>5500.0</v>
      </c>
      <c r="CG203" s="46">
        <v>0.0</v>
      </c>
      <c r="CH203" s="46">
        <v>1.0</v>
      </c>
      <c r="CI203" s="46">
        <v>0.0</v>
      </c>
      <c r="CJ203" s="2"/>
      <c r="CK203" s="2"/>
    </row>
    <row r="204">
      <c r="A204" s="44">
        <v>203.0</v>
      </c>
      <c r="B204" s="44">
        <v>332.0</v>
      </c>
      <c r="C204" s="44" t="s">
        <v>656</v>
      </c>
      <c r="D204" s="44" t="s">
        <v>657</v>
      </c>
      <c r="E204" s="44" t="s">
        <v>658</v>
      </c>
      <c r="F204" s="44">
        <v>1768.0</v>
      </c>
      <c r="G204" s="44">
        <v>4.656</v>
      </c>
      <c r="H204" s="44">
        <v>1.908</v>
      </c>
      <c r="I204" s="44">
        <v>1.261</v>
      </c>
      <c r="J204" s="44">
        <v>2.7</v>
      </c>
      <c r="K204" s="44">
        <v>1.638</v>
      </c>
      <c r="L204" s="44">
        <v>1.569</v>
      </c>
      <c r="M204" s="44">
        <v>0.09</v>
      </c>
      <c r="N204" s="44">
        <v>0.51</v>
      </c>
      <c r="O204" s="44">
        <v>0.0</v>
      </c>
      <c r="P204" s="44">
        <v>0.52</v>
      </c>
      <c r="Q204" s="44">
        <v>1.2</v>
      </c>
      <c r="R204" s="44">
        <v>200.0</v>
      </c>
      <c r="S204" s="44">
        <v>1.042</v>
      </c>
      <c r="T204" s="44">
        <v>0.245</v>
      </c>
      <c r="U204" s="44">
        <v>0.4</v>
      </c>
      <c r="V204" s="44">
        <v>18.0</v>
      </c>
      <c r="W204" s="44">
        <v>0.295</v>
      </c>
      <c r="X204" s="44">
        <v>0.35</v>
      </c>
      <c r="Y204" s="44">
        <v>18.0</v>
      </c>
      <c r="Z204" s="44">
        <v>0.0</v>
      </c>
      <c r="AA204" s="44">
        <v>0.0</v>
      </c>
      <c r="AB204" s="44">
        <v>8.0</v>
      </c>
      <c r="AC204" s="44">
        <v>12.0</v>
      </c>
      <c r="AD204" s="44">
        <v>2.2</v>
      </c>
      <c r="AE204" s="44">
        <v>4.0</v>
      </c>
      <c r="AF204" s="44">
        <v>-4.0</v>
      </c>
      <c r="AG204" s="44">
        <v>-0.3</v>
      </c>
      <c r="AH204" s="44">
        <v>2.0</v>
      </c>
      <c r="AI204" s="44">
        <v>2.0</v>
      </c>
      <c r="AJ204" s="44">
        <v>5439.0</v>
      </c>
      <c r="AK204" s="44">
        <v>4.0</v>
      </c>
      <c r="AL204" s="44">
        <v>7000.0</v>
      </c>
      <c r="AM204" s="44">
        <v>7200.0</v>
      </c>
      <c r="AN204" s="44">
        <v>700.0</v>
      </c>
      <c r="AO204" s="44">
        <v>3250.0</v>
      </c>
      <c r="AP204" s="44">
        <v>6500.0</v>
      </c>
      <c r="AQ204" s="44">
        <v>0.0</v>
      </c>
      <c r="AR204" s="57" t="s">
        <v>3893</v>
      </c>
      <c r="AS204" s="57" t="s">
        <v>3894</v>
      </c>
      <c r="AT204" s="57" t="s">
        <v>3895</v>
      </c>
      <c r="AU204" s="57" t="s">
        <v>3896</v>
      </c>
      <c r="AV204" s="57" t="s">
        <v>3897</v>
      </c>
      <c r="AW204" s="57" t="s">
        <v>3898</v>
      </c>
      <c r="AX204" s="57" t="s">
        <v>2720</v>
      </c>
      <c r="AY204" s="57" t="s">
        <v>3899</v>
      </c>
      <c r="AZ204" s="57" t="s">
        <v>3900</v>
      </c>
      <c r="BA204" s="57" t="s">
        <v>3901</v>
      </c>
      <c r="BB204" s="57" t="s">
        <v>3902</v>
      </c>
      <c r="BC204" s="57" t="s">
        <v>3903</v>
      </c>
      <c r="BD204" s="57" t="s">
        <v>3904</v>
      </c>
      <c r="BE204" s="57" t="s">
        <v>3905</v>
      </c>
      <c r="BF204" s="57" t="s">
        <v>3906</v>
      </c>
      <c r="BG204" s="57" t="s">
        <v>1029</v>
      </c>
      <c r="BH204" s="57" t="s">
        <v>1030</v>
      </c>
      <c r="BI204" s="57" t="s">
        <v>1031</v>
      </c>
      <c r="BJ204" s="57" t="s">
        <v>1032</v>
      </c>
      <c r="BK204" s="57" t="s">
        <v>1033</v>
      </c>
      <c r="BL204" s="57" t="s">
        <v>1034</v>
      </c>
      <c r="BM204" s="57" t="s">
        <v>1035</v>
      </c>
      <c r="BN204" s="57" t="s">
        <v>1036</v>
      </c>
      <c r="BO204" s="57" t="s">
        <v>1037</v>
      </c>
      <c r="BP204" s="44">
        <v>1.0</v>
      </c>
      <c r="BQ204" s="44">
        <v>5.0</v>
      </c>
      <c r="BR204" s="44">
        <v>3.56</v>
      </c>
      <c r="BS204" s="44">
        <v>2.19</v>
      </c>
      <c r="BT204" s="44">
        <v>1.41</v>
      </c>
      <c r="BU204" s="44">
        <v>1.0</v>
      </c>
      <c r="BV204" s="44">
        <v>0.831</v>
      </c>
      <c r="BW204" s="44">
        <v>0.0</v>
      </c>
      <c r="BX204" s="44">
        <v>0.0</v>
      </c>
      <c r="BY204" s="44">
        <v>0.0</v>
      </c>
      <c r="BZ204" s="44">
        <v>3.17</v>
      </c>
      <c r="CA204" s="44">
        <v>3.06</v>
      </c>
      <c r="CB204" s="44">
        <v>2.0</v>
      </c>
      <c r="CC204" s="44">
        <v>0.0</v>
      </c>
      <c r="CD204" s="44">
        <v>0.0</v>
      </c>
      <c r="CE204" s="44">
        <v>8000.0</v>
      </c>
      <c r="CF204" s="44">
        <v>7000.0</v>
      </c>
      <c r="CG204" s="44">
        <v>0.0</v>
      </c>
      <c r="CH204" s="44">
        <v>1.0</v>
      </c>
      <c r="CI204" s="44">
        <v>0.0</v>
      </c>
      <c r="CJ204" s="2"/>
      <c r="CK204" s="2"/>
    </row>
    <row r="205">
      <c r="A205" s="46">
        <v>204.0</v>
      </c>
      <c r="B205" s="46">
        <v>333.0</v>
      </c>
      <c r="C205" s="46" t="s">
        <v>659</v>
      </c>
      <c r="D205" s="46" t="s">
        <v>660</v>
      </c>
      <c r="E205" s="46" t="s">
        <v>661</v>
      </c>
      <c r="F205" s="46">
        <v>1322.0</v>
      </c>
      <c r="G205" s="46">
        <v>4.204</v>
      </c>
      <c r="H205" s="46">
        <v>1.759</v>
      </c>
      <c r="I205" s="46">
        <v>1.483</v>
      </c>
      <c r="J205" s="46">
        <v>2.578</v>
      </c>
      <c r="K205" s="46">
        <v>1.539</v>
      </c>
      <c r="L205" s="46">
        <v>1.528</v>
      </c>
      <c r="M205" s="46">
        <v>0.125</v>
      </c>
      <c r="N205" s="46">
        <v>0.39</v>
      </c>
      <c r="O205" s="46">
        <v>1.0</v>
      </c>
      <c r="P205" s="46">
        <v>0.5</v>
      </c>
      <c r="Q205" s="46">
        <v>1.1</v>
      </c>
      <c r="R205" s="46">
        <v>0.0</v>
      </c>
      <c r="S205" s="46">
        <v>1.145</v>
      </c>
      <c r="T205" s="46">
        <v>0.225</v>
      </c>
      <c r="U205" s="46">
        <v>0.55</v>
      </c>
      <c r="V205" s="46">
        <v>17.0</v>
      </c>
      <c r="W205" s="46">
        <v>0.225</v>
      </c>
      <c r="X205" s="46">
        <v>0.55</v>
      </c>
      <c r="Y205" s="46">
        <v>17.0</v>
      </c>
      <c r="Z205" s="46">
        <v>0.0</v>
      </c>
      <c r="AA205" s="46">
        <v>-0.3</v>
      </c>
      <c r="AB205" s="46">
        <v>4.0</v>
      </c>
      <c r="AC205" s="46">
        <v>12.0</v>
      </c>
      <c r="AD205" s="46">
        <v>1.4</v>
      </c>
      <c r="AE205" s="46">
        <v>2.0</v>
      </c>
      <c r="AF205" s="46">
        <v>-3.0</v>
      </c>
      <c r="AG205" s="46">
        <v>-0.4</v>
      </c>
      <c r="AH205" s="46">
        <v>1.4</v>
      </c>
      <c r="AI205" s="46">
        <v>1.0</v>
      </c>
      <c r="AJ205" s="46">
        <v>1984.0</v>
      </c>
      <c r="AK205" s="46">
        <v>6.0</v>
      </c>
      <c r="AL205" s="46">
        <v>6865.0</v>
      </c>
      <c r="AM205" s="46">
        <v>7200.0</v>
      </c>
      <c r="AN205" s="46">
        <v>700.0</v>
      </c>
      <c r="AO205" s="46">
        <v>1800.0</v>
      </c>
      <c r="AP205" s="46">
        <v>5500.0</v>
      </c>
      <c r="AQ205" s="46">
        <v>0.0</v>
      </c>
      <c r="AR205" s="58" t="s">
        <v>2714</v>
      </c>
      <c r="AS205" s="58" t="s">
        <v>3907</v>
      </c>
      <c r="AT205" s="58" t="s">
        <v>3479</v>
      </c>
      <c r="AU205" s="58" t="s">
        <v>3908</v>
      </c>
      <c r="AV205" s="58" t="s">
        <v>3909</v>
      </c>
      <c r="AW205" s="58" t="s">
        <v>3910</v>
      </c>
      <c r="AX205" s="58" t="s">
        <v>3911</v>
      </c>
      <c r="AY205" s="58" t="s">
        <v>3912</v>
      </c>
      <c r="AZ205" s="58" t="s">
        <v>3913</v>
      </c>
      <c r="BA205" s="58" t="s">
        <v>3914</v>
      </c>
      <c r="BB205" s="58" t="s">
        <v>3915</v>
      </c>
      <c r="BC205" s="58" t="s">
        <v>3916</v>
      </c>
      <c r="BD205" s="58" t="s">
        <v>3917</v>
      </c>
      <c r="BE205" s="58" t="s">
        <v>3918</v>
      </c>
      <c r="BF205" s="58" t="s">
        <v>3919</v>
      </c>
      <c r="BG205" s="58" t="s">
        <v>1029</v>
      </c>
      <c r="BH205" s="58" t="s">
        <v>1030</v>
      </c>
      <c r="BI205" s="58" t="s">
        <v>1031</v>
      </c>
      <c r="BJ205" s="58" t="s">
        <v>1032</v>
      </c>
      <c r="BK205" s="58" t="s">
        <v>1033</v>
      </c>
      <c r="BL205" s="58" t="s">
        <v>1034</v>
      </c>
      <c r="BM205" s="58" t="s">
        <v>1035</v>
      </c>
      <c r="BN205" s="58" t="s">
        <v>1036</v>
      </c>
      <c r="BO205" s="58" t="s">
        <v>1037</v>
      </c>
      <c r="BP205" s="46">
        <v>0.0</v>
      </c>
      <c r="BQ205" s="46">
        <v>6.0</v>
      </c>
      <c r="BR205" s="46">
        <v>3.357</v>
      </c>
      <c r="BS205" s="46">
        <v>2.086</v>
      </c>
      <c r="BT205" s="46">
        <v>1.468</v>
      </c>
      <c r="BU205" s="46">
        <v>1.088</v>
      </c>
      <c r="BV205" s="46">
        <v>0.86</v>
      </c>
      <c r="BW205" s="46">
        <v>0.72</v>
      </c>
      <c r="BX205" s="46">
        <v>0.0</v>
      </c>
      <c r="BY205" s="46">
        <v>0.0</v>
      </c>
      <c r="BZ205" s="46">
        <v>3.989</v>
      </c>
      <c r="CA205" s="46">
        <v>4.24</v>
      </c>
      <c r="CB205" s="46">
        <v>2.0</v>
      </c>
      <c r="CC205" s="46">
        <v>0.0</v>
      </c>
      <c r="CD205" s="46">
        <v>0.0</v>
      </c>
      <c r="CE205" s="46">
        <v>8000.0</v>
      </c>
      <c r="CF205" s="46">
        <v>7000.0</v>
      </c>
      <c r="CG205" s="46">
        <v>0.0</v>
      </c>
      <c r="CH205" s="46">
        <v>0.0</v>
      </c>
      <c r="CI205" s="46">
        <v>0.0</v>
      </c>
      <c r="CJ205" s="2"/>
      <c r="CK205" s="2"/>
    </row>
    <row r="206">
      <c r="A206" s="44">
        <v>205.0</v>
      </c>
      <c r="B206" s="44">
        <v>334.0</v>
      </c>
      <c r="C206" s="44" t="s">
        <v>662</v>
      </c>
      <c r="D206" s="44" t="s">
        <v>663</v>
      </c>
      <c r="E206" s="44" t="s">
        <v>664</v>
      </c>
      <c r="F206" s="44">
        <v>1012.0</v>
      </c>
      <c r="G206" s="44">
        <v>4.367</v>
      </c>
      <c r="H206" s="44">
        <v>1.9</v>
      </c>
      <c r="I206" s="44">
        <v>1.09</v>
      </c>
      <c r="J206" s="44">
        <v>2.718</v>
      </c>
      <c r="K206" s="44">
        <v>1.558</v>
      </c>
      <c r="L206" s="44">
        <v>1.488</v>
      </c>
      <c r="M206" s="44">
        <v>0.06</v>
      </c>
      <c r="N206" s="44">
        <v>0.6</v>
      </c>
      <c r="O206" s="44">
        <v>2.0</v>
      </c>
      <c r="P206" s="44">
        <v>0.4</v>
      </c>
      <c r="Q206" s="44">
        <v>1.6</v>
      </c>
      <c r="R206" s="44">
        <v>500.0</v>
      </c>
      <c r="S206" s="44">
        <v>0.904</v>
      </c>
      <c r="T206" s="44">
        <v>0.27</v>
      </c>
      <c r="U206" s="44">
        <v>0.35</v>
      </c>
      <c r="V206" s="44">
        <v>18.0</v>
      </c>
      <c r="W206" s="44">
        <v>0.3</v>
      </c>
      <c r="X206" s="44">
        <v>0.4</v>
      </c>
      <c r="Y206" s="44">
        <v>18.0</v>
      </c>
      <c r="Z206" s="44">
        <v>1.0</v>
      </c>
      <c r="AA206" s="44">
        <v>-0.3</v>
      </c>
      <c r="AB206" s="44">
        <v>3.0</v>
      </c>
      <c r="AC206" s="44">
        <v>9.0</v>
      </c>
      <c r="AD206" s="44">
        <v>2.4</v>
      </c>
      <c r="AE206" s="44">
        <v>6.0</v>
      </c>
      <c r="AF206" s="44">
        <v>-4.0</v>
      </c>
      <c r="AG206" s="44">
        <v>-2.0</v>
      </c>
      <c r="AH206" s="44">
        <v>2.3</v>
      </c>
      <c r="AI206" s="44">
        <v>1.0</v>
      </c>
      <c r="AJ206" s="44">
        <v>6064.0</v>
      </c>
      <c r="AK206" s="44">
        <v>0.0</v>
      </c>
      <c r="AL206" s="44">
        <v>7500.0</v>
      </c>
      <c r="AM206" s="44">
        <v>7500.0</v>
      </c>
      <c r="AN206" s="44">
        <v>900.0</v>
      </c>
      <c r="AO206" s="44">
        <v>4500.0</v>
      </c>
      <c r="AP206" s="44">
        <v>7500.0</v>
      </c>
      <c r="AQ206" s="44">
        <v>1.0</v>
      </c>
      <c r="AR206" s="57" t="s">
        <v>3920</v>
      </c>
      <c r="AS206" s="57" t="s">
        <v>3921</v>
      </c>
      <c r="AT206" s="57" t="s">
        <v>3922</v>
      </c>
      <c r="AU206" s="57" t="s">
        <v>3923</v>
      </c>
      <c r="AV206" s="57" t="s">
        <v>3924</v>
      </c>
      <c r="AW206" s="57" t="s">
        <v>3925</v>
      </c>
      <c r="AX206" s="57" t="s">
        <v>3926</v>
      </c>
      <c r="AY206" s="57" t="s">
        <v>3927</v>
      </c>
      <c r="AZ206" s="57" t="s">
        <v>3928</v>
      </c>
      <c r="BA206" s="57" t="s">
        <v>3929</v>
      </c>
      <c r="BB206" s="57" t="s">
        <v>3930</v>
      </c>
      <c r="BC206" s="57" t="s">
        <v>3931</v>
      </c>
      <c r="BD206" s="57" t="s">
        <v>3932</v>
      </c>
      <c r="BE206" s="57" t="s">
        <v>3933</v>
      </c>
      <c r="BF206" s="57" t="s">
        <v>3934</v>
      </c>
      <c r="BG206" s="57" t="s">
        <v>1159</v>
      </c>
      <c r="BH206" s="57" t="s">
        <v>1030</v>
      </c>
      <c r="BI206" s="57" t="s">
        <v>1031</v>
      </c>
      <c r="BJ206" s="57" t="s">
        <v>1032</v>
      </c>
      <c r="BK206" s="57" t="s">
        <v>1033</v>
      </c>
      <c r="BL206" s="57" t="s">
        <v>1034</v>
      </c>
      <c r="BM206" s="57" t="s">
        <v>1035</v>
      </c>
      <c r="BN206" s="57" t="s">
        <v>1036</v>
      </c>
      <c r="BO206" s="57" t="s">
        <v>1037</v>
      </c>
      <c r="BP206" s="44">
        <v>0.0</v>
      </c>
      <c r="BQ206" s="44">
        <v>6.0</v>
      </c>
      <c r="BR206" s="44">
        <v>3.295</v>
      </c>
      <c r="BS206" s="44">
        <v>2.518</v>
      </c>
      <c r="BT206" s="44">
        <v>1.933</v>
      </c>
      <c r="BU206" s="44">
        <v>1.507</v>
      </c>
      <c r="BV206" s="44">
        <v>1.182</v>
      </c>
      <c r="BW206" s="44">
        <v>0.936</v>
      </c>
      <c r="BX206" s="44">
        <v>0.0</v>
      </c>
      <c r="BY206" s="44">
        <v>0.0</v>
      </c>
      <c r="BZ206" s="44">
        <v>3.4</v>
      </c>
      <c r="CA206" s="44">
        <v>2.9</v>
      </c>
      <c r="CB206" s="44">
        <v>4.0</v>
      </c>
      <c r="CC206" s="44">
        <v>0.0</v>
      </c>
      <c r="CD206" s="44">
        <v>0.0</v>
      </c>
      <c r="CE206" s="44">
        <v>0.0</v>
      </c>
      <c r="CF206" s="44">
        <v>7500.0</v>
      </c>
      <c r="CG206" s="44">
        <v>0.0</v>
      </c>
      <c r="CH206" s="44">
        <v>1.0</v>
      </c>
      <c r="CI206" s="44">
        <v>30.0</v>
      </c>
      <c r="CJ206" s="2"/>
      <c r="CK206" s="2"/>
    </row>
    <row r="207">
      <c r="A207" s="46">
        <v>206.0</v>
      </c>
      <c r="B207" s="46">
        <v>335.0</v>
      </c>
      <c r="C207" s="46" t="s">
        <v>665</v>
      </c>
      <c r="D207" s="46" t="s">
        <v>666</v>
      </c>
      <c r="E207" s="46" t="s">
        <v>667</v>
      </c>
      <c r="F207" s="46">
        <v>1350.0</v>
      </c>
      <c r="G207" s="46">
        <v>4.617</v>
      </c>
      <c r="H207" s="46">
        <v>1.784</v>
      </c>
      <c r="I207" s="46">
        <v>1.345</v>
      </c>
      <c r="J207" s="46">
        <v>2.731</v>
      </c>
      <c r="K207" s="46">
        <v>1.508</v>
      </c>
      <c r="L207" s="46">
        <v>1.504</v>
      </c>
      <c r="M207" s="46">
        <v>0.095</v>
      </c>
      <c r="N207" s="46">
        <v>0.5</v>
      </c>
      <c r="O207" s="46">
        <v>0.0</v>
      </c>
      <c r="P207" s="46">
        <v>0.52</v>
      </c>
      <c r="Q207" s="46">
        <v>1.2</v>
      </c>
      <c r="R207" s="46">
        <v>100.0</v>
      </c>
      <c r="S207" s="46">
        <v>1.108</v>
      </c>
      <c r="T207" s="46">
        <v>0.225</v>
      </c>
      <c r="U207" s="46">
        <v>0.4</v>
      </c>
      <c r="V207" s="46">
        <v>19.0</v>
      </c>
      <c r="W207" s="46">
        <v>0.255</v>
      </c>
      <c r="X207" s="46">
        <v>0.35</v>
      </c>
      <c r="Y207" s="46">
        <v>19.0</v>
      </c>
      <c r="Z207" s="46">
        <v>2.0</v>
      </c>
      <c r="AA207" s="46">
        <v>-0.3</v>
      </c>
      <c r="AB207" s="46">
        <v>6.0</v>
      </c>
      <c r="AC207" s="46">
        <v>12.0</v>
      </c>
      <c r="AD207" s="46">
        <v>1.8</v>
      </c>
      <c r="AE207" s="46">
        <v>4.0</v>
      </c>
      <c r="AF207" s="46">
        <v>-6.0</v>
      </c>
      <c r="AG207" s="46">
        <v>-1.0</v>
      </c>
      <c r="AH207" s="46">
        <v>1.8</v>
      </c>
      <c r="AI207" s="46">
        <v>2.0</v>
      </c>
      <c r="AJ207" s="46">
        <v>3997.0</v>
      </c>
      <c r="AK207" s="46">
        <v>0.0</v>
      </c>
      <c r="AL207" s="46">
        <v>8000.0</v>
      </c>
      <c r="AM207" s="46">
        <v>8100.0</v>
      </c>
      <c r="AN207" s="46">
        <v>800.0</v>
      </c>
      <c r="AO207" s="46">
        <v>4500.0</v>
      </c>
      <c r="AP207" s="46">
        <v>7000.0</v>
      </c>
      <c r="AQ207" s="46">
        <v>0.0</v>
      </c>
      <c r="AR207" s="58" t="s">
        <v>3935</v>
      </c>
      <c r="AS207" s="58" t="s">
        <v>3870</v>
      </c>
      <c r="AT207" s="58" t="s">
        <v>3404</v>
      </c>
      <c r="AU207" s="58" t="s">
        <v>3936</v>
      </c>
      <c r="AV207" s="58" t="s">
        <v>3937</v>
      </c>
      <c r="AW207" s="58" t="s">
        <v>3938</v>
      </c>
      <c r="AX207" s="58" t="s">
        <v>3939</v>
      </c>
      <c r="AY207" s="58" t="s">
        <v>3940</v>
      </c>
      <c r="AZ207" s="58" t="s">
        <v>3941</v>
      </c>
      <c r="BA207" s="58" t="s">
        <v>3942</v>
      </c>
      <c r="BB207" s="58" t="s">
        <v>3943</v>
      </c>
      <c r="BC207" s="58" t="s">
        <v>3944</v>
      </c>
      <c r="BD207" s="58" t="s">
        <v>3945</v>
      </c>
      <c r="BE207" s="58" t="s">
        <v>3946</v>
      </c>
      <c r="BF207" s="58" t="s">
        <v>3947</v>
      </c>
      <c r="BG207" s="58" t="s">
        <v>3948</v>
      </c>
      <c r="BH207" s="58" t="s">
        <v>3949</v>
      </c>
      <c r="BI207" s="58" t="s">
        <v>1031</v>
      </c>
      <c r="BJ207" s="58" t="s">
        <v>1032</v>
      </c>
      <c r="BK207" s="58" t="s">
        <v>1033</v>
      </c>
      <c r="BL207" s="58" t="s">
        <v>1034</v>
      </c>
      <c r="BM207" s="58" t="s">
        <v>1035</v>
      </c>
      <c r="BN207" s="58" t="s">
        <v>1036</v>
      </c>
      <c r="BO207" s="58" t="s">
        <v>1037</v>
      </c>
      <c r="BP207" s="46">
        <v>0.0</v>
      </c>
      <c r="BQ207" s="46">
        <v>6.0</v>
      </c>
      <c r="BR207" s="46">
        <v>4.23</v>
      </c>
      <c r="BS207" s="46">
        <v>2.53</v>
      </c>
      <c r="BT207" s="46">
        <v>1.67</v>
      </c>
      <c r="BU207" s="46">
        <v>1.23</v>
      </c>
      <c r="BV207" s="46">
        <v>1.0</v>
      </c>
      <c r="BW207" s="46">
        <v>0.83</v>
      </c>
      <c r="BX207" s="46">
        <v>0.0</v>
      </c>
      <c r="BY207" s="46">
        <v>0.0</v>
      </c>
      <c r="BZ207" s="46">
        <v>4.1</v>
      </c>
      <c r="CA207" s="46">
        <v>3.62</v>
      </c>
      <c r="CB207" s="46">
        <v>2.0</v>
      </c>
      <c r="CC207" s="46">
        <v>0.0</v>
      </c>
      <c r="CD207" s="46">
        <v>0.0</v>
      </c>
      <c r="CE207" s="46">
        <v>9000.0</v>
      </c>
      <c r="CF207" s="46">
        <v>8000.0</v>
      </c>
      <c r="CG207" s="46">
        <v>0.0</v>
      </c>
      <c r="CH207" s="46">
        <v>1.0</v>
      </c>
      <c r="CI207" s="46">
        <v>0.0</v>
      </c>
      <c r="CJ207" s="2"/>
      <c r="CK207" s="2"/>
    </row>
    <row r="208">
      <c r="A208" s="44">
        <v>207.0</v>
      </c>
      <c r="B208" s="44">
        <v>336.0</v>
      </c>
      <c r="C208" s="44" t="s">
        <v>668</v>
      </c>
      <c r="D208" s="44" t="s">
        <v>669</v>
      </c>
      <c r="E208" s="44" t="s">
        <v>670</v>
      </c>
      <c r="F208" s="44">
        <v>1062.0</v>
      </c>
      <c r="G208" s="44">
        <v>4.63</v>
      </c>
      <c r="H208" s="44">
        <v>1.73</v>
      </c>
      <c r="I208" s="44">
        <v>1.37</v>
      </c>
      <c r="J208" s="44">
        <v>2.625</v>
      </c>
      <c r="K208" s="44">
        <v>1.594</v>
      </c>
      <c r="L208" s="44">
        <v>1.504</v>
      </c>
      <c r="M208" s="44">
        <v>0.06</v>
      </c>
      <c r="N208" s="44">
        <v>0.5</v>
      </c>
      <c r="O208" s="44">
        <v>0.0</v>
      </c>
      <c r="P208" s="44">
        <v>0.49</v>
      </c>
      <c r="Q208" s="44">
        <v>1.1</v>
      </c>
      <c r="R208" s="44">
        <v>200.0</v>
      </c>
      <c r="S208" s="44">
        <v>1.112</v>
      </c>
      <c r="T208" s="44">
        <v>0.3</v>
      </c>
      <c r="U208" s="44">
        <v>0.35</v>
      </c>
      <c r="V208" s="44">
        <v>16.0</v>
      </c>
      <c r="W208" s="44">
        <v>0.35</v>
      </c>
      <c r="X208" s="44">
        <v>0.35</v>
      </c>
      <c r="Y208" s="44">
        <v>16.0</v>
      </c>
      <c r="Z208" s="44">
        <v>0.0</v>
      </c>
      <c r="AA208" s="44">
        <v>0.0</v>
      </c>
      <c r="AB208" s="44">
        <v>6.0</v>
      </c>
      <c r="AC208" s="44">
        <v>12.0</v>
      </c>
      <c r="AD208" s="44">
        <v>2.2</v>
      </c>
      <c r="AE208" s="44">
        <v>3.0</v>
      </c>
      <c r="AF208" s="44">
        <v>-5.0</v>
      </c>
      <c r="AG208" s="44">
        <v>-0.3</v>
      </c>
      <c r="AH208" s="44">
        <v>2.2</v>
      </c>
      <c r="AI208" s="44">
        <v>2.0</v>
      </c>
      <c r="AJ208" s="44">
        <v>3303.0</v>
      </c>
      <c r="AK208" s="44">
        <v>0.0</v>
      </c>
      <c r="AL208" s="44">
        <v>9000.0</v>
      </c>
      <c r="AM208" s="44">
        <v>9000.0</v>
      </c>
      <c r="AN208" s="44">
        <v>800.0</v>
      </c>
      <c r="AO208" s="44">
        <v>4000.0</v>
      </c>
      <c r="AP208" s="44">
        <v>5600.0</v>
      </c>
      <c r="AQ208" s="44">
        <v>0.0</v>
      </c>
      <c r="AR208" s="57" t="s">
        <v>3950</v>
      </c>
      <c r="AS208" s="57" t="s">
        <v>3951</v>
      </c>
      <c r="AT208" s="57" t="s">
        <v>3952</v>
      </c>
      <c r="AU208" s="57" t="s">
        <v>3953</v>
      </c>
      <c r="AV208" s="57" t="s">
        <v>3954</v>
      </c>
      <c r="AW208" s="57" t="s">
        <v>3955</v>
      </c>
      <c r="AX208" s="57" t="s">
        <v>3956</v>
      </c>
      <c r="AY208" s="57" t="s">
        <v>3957</v>
      </c>
      <c r="AZ208" s="57" t="s">
        <v>3958</v>
      </c>
      <c r="BA208" s="57" t="s">
        <v>3959</v>
      </c>
      <c r="BB208" s="57" t="s">
        <v>3960</v>
      </c>
      <c r="BC208" s="57" t="s">
        <v>3961</v>
      </c>
      <c r="BD208" s="57" t="s">
        <v>3962</v>
      </c>
      <c r="BE208" s="57" t="s">
        <v>3963</v>
      </c>
      <c r="BF208" s="57" t="s">
        <v>3964</v>
      </c>
      <c r="BG208" s="57" t="s">
        <v>3965</v>
      </c>
      <c r="BH208" s="57" t="s">
        <v>3966</v>
      </c>
      <c r="BI208" s="57" t="s">
        <v>3967</v>
      </c>
      <c r="BJ208" s="57" t="s">
        <v>3968</v>
      </c>
      <c r="BK208" s="57" t="s">
        <v>3969</v>
      </c>
      <c r="BL208" s="57" t="s">
        <v>1034</v>
      </c>
      <c r="BM208" s="57" t="s">
        <v>1035</v>
      </c>
      <c r="BN208" s="57" t="s">
        <v>1036</v>
      </c>
      <c r="BO208" s="57" t="s">
        <v>1037</v>
      </c>
      <c r="BP208" s="44">
        <v>0.0</v>
      </c>
      <c r="BQ208" s="44">
        <v>5.0</v>
      </c>
      <c r="BR208" s="44">
        <v>4.155</v>
      </c>
      <c r="BS208" s="44">
        <v>2.552</v>
      </c>
      <c r="BT208" s="44">
        <v>1.691</v>
      </c>
      <c r="BU208" s="44">
        <v>1.205</v>
      </c>
      <c r="BV208" s="44">
        <v>0.927</v>
      </c>
      <c r="BW208" s="44">
        <v>0.0</v>
      </c>
      <c r="BX208" s="44">
        <v>0.0</v>
      </c>
      <c r="BY208" s="44">
        <v>0.0</v>
      </c>
      <c r="BZ208" s="44">
        <v>4.3</v>
      </c>
      <c r="CA208" s="44">
        <v>4.3</v>
      </c>
      <c r="CB208" s="44">
        <v>3.0</v>
      </c>
      <c r="CC208" s="44">
        <v>0.0</v>
      </c>
      <c r="CD208" s="44">
        <v>0.0</v>
      </c>
      <c r="CE208" s="44">
        <v>10000.0</v>
      </c>
      <c r="CF208" s="44">
        <v>9000.0</v>
      </c>
      <c r="CG208" s="44">
        <v>0.0</v>
      </c>
      <c r="CH208" s="44">
        <v>0.0</v>
      </c>
      <c r="CI208" s="44">
        <v>0.0</v>
      </c>
      <c r="CJ208" s="2"/>
      <c r="CK208" s="2"/>
    </row>
    <row r="209">
      <c r="A209" s="46">
        <v>208.0</v>
      </c>
      <c r="B209" s="46">
        <v>337.0</v>
      </c>
      <c r="C209" s="46" t="s">
        <v>671</v>
      </c>
      <c r="D209" s="46" t="s">
        <v>672</v>
      </c>
      <c r="E209" s="46" t="s">
        <v>673</v>
      </c>
      <c r="F209" s="46">
        <v>1020.0</v>
      </c>
      <c r="G209" s="46">
        <v>4.36</v>
      </c>
      <c r="H209" s="46">
        <v>1.924</v>
      </c>
      <c r="I209" s="46">
        <v>1.11</v>
      </c>
      <c r="J209" s="46">
        <v>2.56</v>
      </c>
      <c r="K209" s="46">
        <v>1.594</v>
      </c>
      <c r="L209" s="46">
        <v>1.56</v>
      </c>
      <c r="M209" s="46">
        <v>0.04</v>
      </c>
      <c r="N209" s="46">
        <v>0.65</v>
      </c>
      <c r="O209" s="46">
        <v>2.0</v>
      </c>
      <c r="P209" s="46">
        <v>0.45</v>
      </c>
      <c r="Q209" s="46">
        <v>1.2</v>
      </c>
      <c r="R209" s="46">
        <v>300.0</v>
      </c>
      <c r="S209" s="46">
        <v>0.852</v>
      </c>
      <c r="T209" s="46">
        <v>0.305</v>
      </c>
      <c r="U209" s="46">
        <v>0.3</v>
      </c>
      <c r="V209" s="46">
        <v>16.0</v>
      </c>
      <c r="W209" s="46">
        <v>0.335</v>
      </c>
      <c r="X209" s="46">
        <v>0.35</v>
      </c>
      <c r="Y209" s="46">
        <v>16.0</v>
      </c>
      <c r="Z209" s="46">
        <v>0.0</v>
      </c>
      <c r="AA209" s="46">
        <v>-0.3</v>
      </c>
      <c r="AB209" s="46">
        <v>2.3</v>
      </c>
      <c r="AC209" s="46">
        <v>12.0</v>
      </c>
      <c r="AD209" s="46">
        <v>2.6</v>
      </c>
      <c r="AE209" s="46">
        <v>3.0</v>
      </c>
      <c r="AF209" s="46">
        <v>-5.0</v>
      </c>
      <c r="AG209" s="46">
        <v>-1.0</v>
      </c>
      <c r="AH209" s="46">
        <v>2.6</v>
      </c>
      <c r="AI209" s="46">
        <v>2.0</v>
      </c>
      <c r="AJ209" s="46">
        <v>3498.0</v>
      </c>
      <c r="AK209" s="46">
        <v>0.0</v>
      </c>
      <c r="AL209" s="46">
        <v>9000.0</v>
      </c>
      <c r="AM209" s="46">
        <v>9000.0</v>
      </c>
      <c r="AN209" s="46">
        <v>1200.0</v>
      </c>
      <c r="AO209" s="46">
        <v>7000.0</v>
      </c>
      <c r="AP209" s="46">
        <v>9000.0</v>
      </c>
      <c r="AQ209" s="46">
        <v>1.0</v>
      </c>
      <c r="AR209" s="58" t="s">
        <v>3970</v>
      </c>
      <c r="AS209" s="58" t="s">
        <v>2959</v>
      </c>
      <c r="AT209" s="58" t="s">
        <v>3971</v>
      </c>
      <c r="AU209" s="58" t="s">
        <v>3972</v>
      </c>
      <c r="AV209" s="58" t="s">
        <v>3973</v>
      </c>
      <c r="AW209" s="58" t="s">
        <v>3974</v>
      </c>
      <c r="AX209" s="58" t="s">
        <v>3975</v>
      </c>
      <c r="AY209" s="58" t="s">
        <v>3976</v>
      </c>
      <c r="AZ209" s="58" t="s">
        <v>3977</v>
      </c>
      <c r="BA209" s="58" t="s">
        <v>3978</v>
      </c>
      <c r="BB209" s="58" t="s">
        <v>3979</v>
      </c>
      <c r="BC209" s="58" t="s">
        <v>3980</v>
      </c>
      <c r="BD209" s="58" t="s">
        <v>3981</v>
      </c>
      <c r="BE209" s="58" t="s">
        <v>3982</v>
      </c>
      <c r="BF209" s="58" t="s">
        <v>3983</v>
      </c>
      <c r="BG209" s="58" t="s">
        <v>3984</v>
      </c>
      <c r="BH209" s="58" t="s">
        <v>3985</v>
      </c>
      <c r="BI209" s="58" t="s">
        <v>3986</v>
      </c>
      <c r="BJ209" s="58" t="s">
        <v>3987</v>
      </c>
      <c r="BK209" s="58" t="s">
        <v>3988</v>
      </c>
      <c r="BL209" s="58" t="s">
        <v>1034</v>
      </c>
      <c r="BM209" s="58" t="s">
        <v>1035</v>
      </c>
      <c r="BN209" s="58" t="s">
        <v>1036</v>
      </c>
      <c r="BO209" s="58" t="s">
        <v>1037</v>
      </c>
      <c r="BP209" s="46">
        <v>0.0</v>
      </c>
      <c r="BQ209" s="46">
        <v>5.0</v>
      </c>
      <c r="BR209" s="46">
        <v>2.23</v>
      </c>
      <c r="BS209" s="46">
        <v>1.61</v>
      </c>
      <c r="BT209" s="46">
        <v>1.31</v>
      </c>
      <c r="BU209" s="46">
        <v>1.09</v>
      </c>
      <c r="BV209" s="46">
        <v>0.958</v>
      </c>
      <c r="BW209" s="46">
        <v>0.0</v>
      </c>
      <c r="BX209" s="46">
        <v>0.0</v>
      </c>
      <c r="BY209" s="46">
        <v>0.0</v>
      </c>
      <c r="BZ209" s="46">
        <v>2.06</v>
      </c>
      <c r="CA209" s="46">
        <v>3.333</v>
      </c>
      <c r="CB209" s="46">
        <v>4.0</v>
      </c>
      <c r="CC209" s="46">
        <v>0.0</v>
      </c>
      <c r="CD209" s="46">
        <v>0.0</v>
      </c>
      <c r="CE209" s="46">
        <v>10000.0</v>
      </c>
      <c r="CF209" s="46">
        <v>9000.0</v>
      </c>
      <c r="CG209" s="46">
        <v>1.0</v>
      </c>
      <c r="CH209" s="46">
        <v>0.0</v>
      </c>
      <c r="CI209" s="46">
        <v>0.0</v>
      </c>
      <c r="CJ209" s="2"/>
      <c r="CK209" s="2"/>
    </row>
    <row r="210">
      <c r="A210" s="44">
        <v>209.0</v>
      </c>
      <c r="B210" s="44">
        <v>338.0</v>
      </c>
      <c r="C210" s="44" t="s">
        <v>674</v>
      </c>
      <c r="D210" s="44" t="s">
        <v>675</v>
      </c>
      <c r="E210" s="44" t="s">
        <v>676</v>
      </c>
      <c r="F210" s="44">
        <v>1200.0</v>
      </c>
      <c r="G210" s="44">
        <v>4.345</v>
      </c>
      <c r="H210" s="44">
        <v>1.68</v>
      </c>
      <c r="I210" s="44">
        <v>1.37</v>
      </c>
      <c r="J210" s="44">
        <v>2.565</v>
      </c>
      <c r="K210" s="44">
        <v>1.42</v>
      </c>
      <c r="L210" s="44">
        <v>1.43</v>
      </c>
      <c r="M210" s="44">
        <v>0.13</v>
      </c>
      <c r="N210" s="44">
        <v>0.5</v>
      </c>
      <c r="O210" s="44">
        <v>0.0</v>
      </c>
      <c r="P210" s="44">
        <v>0.5</v>
      </c>
      <c r="Q210" s="44">
        <v>1.05</v>
      </c>
      <c r="R210" s="44">
        <v>100.0</v>
      </c>
      <c r="S210" s="44">
        <v>1.085</v>
      </c>
      <c r="T210" s="44">
        <v>0.225</v>
      </c>
      <c r="U210" s="44">
        <v>0.45</v>
      </c>
      <c r="V210" s="44">
        <v>16.0</v>
      </c>
      <c r="W210" s="44">
        <v>0.225</v>
      </c>
      <c r="X210" s="44">
        <v>0.45</v>
      </c>
      <c r="Y210" s="44">
        <v>16.0</v>
      </c>
      <c r="Z210" s="44">
        <v>0.0</v>
      </c>
      <c r="AA210" s="44">
        <v>-0.3</v>
      </c>
      <c r="AB210" s="44">
        <v>3.0</v>
      </c>
      <c r="AC210" s="44">
        <v>12.0</v>
      </c>
      <c r="AD210" s="44">
        <v>1.7</v>
      </c>
      <c r="AE210" s="44">
        <v>2.0</v>
      </c>
      <c r="AF210" s="44">
        <v>-4.0</v>
      </c>
      <c r="AG210" s="44">
        <v>-1.0</v>
      </c>
      <c r="AH210" s="44">
        <v>1.6</v>
      </c>
      <c r="AI210" s="44">
        <v>1.0</v>
      </c>
      <c r="AJ210" s="44">
        <v>2467.0</v>
      </c>
      <c r="AK210" s="44">
        <v>0.0</v>
      </c>
      <c r="AL210" s="44">
        <v>7000.0</v>
      </c>
      <c r="AM210" s="44">
        <v>7200.0</v>
      </c>
      <c r="AN210" s="44">
        <v>700.0</v>
      </c>
      <c r="AO210" s="44">
        <v>4750.0</v>
      </c>
      <c r="AP210" s="44">
        <v>7000.0</v>
      </c>
      <c r="AQ210" s="44">
        <v>0.0</v>
      </c>
      <c r="AR210" s="57" t="s">
        <v>3989</v>
      </c>
      <c r="AS210" s="57" t="s">
        <v>3990</v>
      </c>
      <c r="AT210" s="57" t="s">
        <v>3991</v>
      </c>
      <c r="AU210" s="57" t="s">
        <v>3312</v>
      </c>
      <c r="AV210" s="57" t="s">
        <v>3992</v>
      </c>
      <c r="AW210" s="57" t="s">
        <v>3350</v>
      </c>
      <c r="AX210" s="57" t="s">
        <v>3993</v>
      </c>
      <c r="AY210" s="57" t="s">
        <v>3994</v>
      </c>
      <c r="AZ210" s="57" t="s">
        <v>3995</v>
      </c>
      <c r="BA210" s="57" t="s">
        <v>3996</v>
      </c>
      <c r="BB210" s="57" t="s">
        <v>2214</v>
      </c>
      <c r="BC210" s="57" t="s">
        <v>3997</v>
      </c>
      <c r="BD210" s="57" t="s">
        <v>3998</v>
      </c>
      <c r="BE210" s="57" t="s">
        <v>1968</v>
      </c>
      <c r="BF210" s="57" t="s">
        <v>2589</v>
      </c>
      <c r="BG210" s="57" t="s">
        <v>3999</v>
      </c>
      <c r="BH210" s="57" t="s">
        <v>1030</v>
      </c>
      <c r="BI210" s="57" t="s">
        <v>1031</v>
      </c>
      <c r="BJ210" s="57" t="s">
        <v>1032</v>
      </c>
      <c r="BK210" s="57" t="s">
        <v>1033</v>
      </c>
      <c r="BL210" s="57" t="s">
        <v>1034</v>
      </c>
      <c r="BM210" s="57" t="s">
        <v>1035</v>
      </c>
      <c r="BN210" s="57" t="s">
        <v>1036</v>
      </c>
      <c r="BO210" s="57" t="s">
        <v>1037</v>
      </c>
      <c r="BP210" s="44">
        <v>0.0</v>
      </c>
      <c r="BQ210" s="44">
        <v>5.0</v>
      </c>
      <c r="BR210" s="44">
        <v>3.72</v>
      </c>
      <c r="BS210" s="44">
        <v>2.4</v>
      </c>
      <c r="BT210" s="44">
        <v>1.77</v>
      </c>
      <c r="BU210" s="44">
        <v>1.26</v>
      </c>
      <c r="BV210" s="44">
        <v>1.0</v>
      </c>
      <c r="BW210" s="44">
        <v>0.0</v>
      </c>
      <c r="BX210" s="44">
        <v>0.0</v>
      </c>
      <c r="BY210" s="44">
        <v>0.0</v>
      </c>
      <c r="BZ210" s="44">
        <v>4.23</v>
      </c>
      <c r="CA210" s="44">
        <v>3.15</v>
      </c>
      <c r="CB210" s="44">
        <v>3.0</v>
      </c>
      <c r="CC210" s="44">
        <v>0.0</v>
      </c>
      <c r="CD210" s="44">
        <v>0.0</v>
      </c>
      <c r="CE210" s="44">
        <v>8000.0</v>
      </c>
      <c r="CF210" s="44">
        <v>7000.0</v>
      </c>
      <c r="CG210" s="44">
        <v>0.0</v>
      </c>
      <c r="CH210" s="44">
        <v>0.0</v>
      </c>
      <c r="CI210" s="44">
        <v>0.0</v>
      </c>
      <c r="CJ210" s="2"/>
      <c r="CK210" s="2"/>
    </row>
    <row r="211">
      <c r="A211" s="46">
        <v>210.0</v>
      </c>
      <c r="B211" s="46">
        <v>353.0</v>
      </c>
      <c r="C211" s="46" t="s">
        <v>677</v>
      </c>
      <c r="D211" s="46" t="s">
        <v>678</v>
      </c>
      <c r="E211" s="46" t="s">
        <v>679</v>
      </c>
      <c r="F211" s="46">
        <v>1554.0</v>
      </c>
      <c r="G211" s="46">
        <v>4.765</v>
      </c>
      <c r="H211" s="46">
        <v>1.831</v>
      </c>
      <c r="I211" s="46">
        <v>1.384</v>
      </c>
      <c r="J211" s="46">
        <v>2.72</v>
      </c>
      <c r="K211" s="46">
        <v>1.582</v>
      </c>
      <c r="L211" s="46">
        <v>1.588</v>
      </c>
      <c r="M211" s="46">
        <v>0.1</v>
      </c>
      <c r="N211" s="46">
        <v>0.48</v>
      </c>
      <c r="O211" s="46">
        <v>0.0</v>
      </c>
      <c r="P211" s="46">
        <v>0.5</v>
      </c>
      <c r="Q211" s="46">
        <v>1.1</v>
      </c>
      <c r="R211" s="46">
        <v>0.0</v>
      </c>
      <c r="S211" s="46">
        <v>1.119</v>
      </c>
      <c r="T211" s="46">
        <v>0.255</v>
      </c>
      <c r="U211" s="46">
        <v>0.45</v>
      </c>
      <c r="V211" s="46">
        <v>18.0</v>
      </c>
      <c r="W211" s="46">
        <v>0.255</v>
      </c>
      <c r="X211" s="46">
        <v>0.45</v>
      </c>
      <c r="Y211" s="46">
        <v>18.0</v>
      </c>
      <c r="Z211" s="46">
        <v>0.0</v>
      </c>
      <c r="AA211" s="46">
        <v>-0.3</v>
      </c>
      <c r="AB211" s="46">
        <v>6.0</v>
      </c>
      <c r="AC211" s="46">
        <v>14.0</v>
      </c>
      <c r="AD211" s="46">
        <v>1.8</v>
      </c>
      <c r="AE211" s="46">
        <v>2.0</v>
      </c>
      <c r="AF211" s="46">
        <v>-4.0</v>
      </c>
      <c r="AG211" s="46">
        <v>-0.3</v>
      </c>
      <c r="AH211" s="46">
        <v>1.8</v>
      </c>
      <c r="AI211" s="46">
        <v>1.0</v>
      </c>
      <c r="AJ211" s="46">
        <v>4601.0</v>
      </c>
      <c r="AK211" s="46">
        <v>0.0</v>
      </c>
      <c r="AL211" s="46">
        <v>6000.0</v>
      </c>
      <c r="AM211" s="46">
        <v>6250.0</v>
      </c>
      <c r="AN211" s="46">
        <v>800.0</v>
      </c>
      <c r="AO211" s="46">
        <v>4500.0</v>
      </c>
      <c r="AP211" s="46">
        <v>6000.0</v>
      </c>
      <c r="AQ211" s="46">
        <v>0.0</v>
      </c>
      <c r="AR211" s="58" t="s">
        <v>4000</v>
      </c>
      <c r="AS211" s="58" t="s">
        <v>4001</v>
      </c>
      <c r="AT211" s="58" t="s">
        <v>4002</v>
      </c>
      <c r="AU211" s="58" t="s">
        <v>4003</v>
      </c>
      <c r="AV211" s="58" t="s">
        <v>4004</v>
      </c>
      <c r="AW211" s="58" t="s">
        <v>4005</v>
      </c>
      <c r="AX211" s="58" t="s">
        <v>4006</v>
      </c>
      <c r="AY211" s="58" t="s">
        <v>4007</v>
      </c>
      <c r="AZ211" s="58" t="s">
        <v>4008</v>
      </c>
      <c r="BA211" s="58" t="s">
        <v>4009</v>
      </c>
      <c r="BB211" s="58" t="s">
        <v>4010</v>
      </c>
      <c r="BC211" s="58" t="s">
        <v>4011</v>
      </c>
      <c r="BD211" s="58" t="s">
        <v>1128</v>
      </c>
      <c r="BE211" s="58" t="s">
        <v>1143</v>
      </c>
      <c r="BF211" s="58" t="s">
        <v>1052</v>
      </c>
      <c r="BG211" s="58" t="s">
        <v>1029</v>
      </c>
      <c r="BH211" s="58" t="s">
        <v>1030</v>
      </c>
      <c r="BI211" s="58" t="s">
        <v>1031</v>
      </c>
      <c r="BJ211" s="58" t="s">
        <v>1032</v>
      </c>
      <c r="BK211" s="58" t="s">
        <v>1033</v>
      </c>
      <c r="BL211" s="58" t="s">
        <v>1034</v>
      </c>
      <c r="BM211" s="58" t="s">
        <v>1035</v>
      </c>
      <c r="BN211" s="58" t="s">
        <v>1036</v>
      </c>
      <c r="BO211" s="58" t="s">
        <v>1037</v>
      </c>
      <c r="BP211" s="46">
        <v>0.0</v>
      </c>
      <c r="BQ211" s="46">
        <v>5.0</v>
      </c>
      <c r="BR211" s="46">
        <v>2.71</v>
      </c>
      <c r="BS211" s="46">
        <v>1.848</v>
      </c>
      <c r="BT211" s="46">
        <v>1.345</v>
      </c>
      <c r="BU211" s="46">
        <v>1.0</v>
      </c>
      <c r="BV211" s="46">
        <v>0.75</v>
      </c>
      <c r="BW211" s="46">
        <v>0.0</v>
      </c>
      <c r="BX211" s="46">
        <v>0.0</v>
      </c>
      <c r="BY211" s="46">
        <v>0.0</v>
      </c>
      <c r="BZ211" s="46">
        <v>2.9</v>
      </c>
      <c r="CA211" s="46">
        <v>3.31</v>
      </c>
      <c r="CB211" s="46">
        <v>1.0</v>
      </c>
      <c r="CC211" s="46">
        <v>0.0</v>
      </c>
      <c r="CD211" s="46">
        <v>0.0</v>
      </c>
      <c r="CE211" s="46">
        <v>8000.0</v>
      </c>
      <c r="CF211" s="46">
        <v>6000.0</v>
      </c>
      <c r="CG211" s="46">
        <v>0.0</v>
      </c>
      <c r="CH211" s="46">
        <v>0.0</v>
      </c>
      <c r="CI211" s="46">
        <v>0.0</v>
      </c>
      <c r="CJ211" s="2"/>
      <c r="CK211" s="2"/>
    </row>
    <row r="212">
      <c r="A212" s="44">
        <v>211.0</v>
      </c>
      <c r="B212" s="44">
        <v>354.0</v>
      </c>
      <c r="C212" s="44" t="s">
        <v>680</v>
      </c>
      <c r="D212" s="44" t="s">
        <v>681</v>
      </c>
      <c r="E212" s="44" t="s">
        <v>682</v>
      </c>
      <c r="F212" s="44">
        <v>900.0</v>
      </c>
      <c r="G212" s="44">
        <v>4.65</v>
      </c>
      <c r="H212" s="44">
        <v>2.0</v>
      </c>
      <c r="I212" s="44">
        <v>1.092</v>
      </c>
      <c r="J212" s="44">
        <v>2.736</v>
      </c>
      <c r="K212" s="44">
        <v>1.676</v>
      </c>
      <c r="L212" s="44">
        <v>1.634</v>
      </c>
      <c r="M212" s="44">
        <v>0.04</v>
      </c>
      <c r="N212" s="44">
        <v>0.55</v>
      </c>
      <c r="O212" s="44">
        <v>2.0</v>
      </c>
      <c r="P212" s="44">
        <v>0.4</v>
      </c>
      <c r="Q212" s="44">
        <v>1.6</v>
      </c>
      <c r="R212" s="44">
        <v>500.0</v>
      </c>
      <c r="S212" s="44">
        <v>0.734</v>
      </c>
      <c r="T212" s="44">
        <v>0.33</v>
      </c>
      <c r="U212" s="44">
        <v>0.292</v>
      </c>
      <c r="V212" s="44">
        <v>18.0</v>
      </c>
      <c r="W212" s="44">
        <v>0.37</v>
      </c>
      <c r="X212" s="44">
        <v>0.342</v>
      </c>
      <c r="Y212" s="44">
        <v>18.0</v>
      </c>
      <c r="Z212" s="44">
        <v>3.0</v>
      </c>
      <c r="AA212" s="44">
        <v>-0.3</v>
      </c>
      <c r="AB212" s="44">
        <v>3.0</v>
      </c>
      <c r="AC212" s="44">
        <v>6.0</v>
      </c>
      <c r="AD212" s="44">
        <v>3.0</v>
      </c>
      <c r="AE212" s="44">
        <v>5.0</v>
      </c>
      <c r="AF212" s="44">
        <v>-6.0</v>
      </c>
      <c r="AG212" s="44">
        <v>-1.3</v>
      </c>
      <c r="AH212" s="44">
        <v>3.0</v>
      </c>
      <c r="AI212" s="44">
        <v>3.0</v>
      </c>
      <c r="AJ212" s="44">
        <v>3596.0</v>
      </c>
      <c r="AK212" s="44">
        <v>1.0</v>
      </c>
      <c r="AL212" s="44">
        <v>8000.0</v>
      </c>
      <c r="AM212" s="44">
        <v>8000.0</v>
      </c>
      <c r="AN212" s="44">
        <v>900.0</v>
      </c>
      <c r="AO212" s="44">
        <v>5500.0</v>
      </c>
      <c r="AP212" s="44">
        <v>6500.0</v>
      </c>
      <c r="AQ212" s="44">
        <v>1.0</v>
      </c>
      <c r="AR212" s="57" t="s">
        <v>1955</v>
      </c>
      <c r="AS212" s="57" t="s">
        <v>1304</v>
      </c>
      <c r="AT212" s="57" t="s">
        <v>3513</v>
      </c>
      <c r="AU212" s="57" t="s">
        <v>3514</v>
      </c>
      <c r="AV212" s="57" t="s">
        <v>2298</v>
      </c>
      <c r="AW212" s="57" t="s">
        <v>3515</v>
      </c>
      <c r="AX212" s="57" t="s">
        <v>3516</v>
      </c>
      <c r="AY212" s="57" t="s">
        <v>3517</v>
      </c>
      <c r="AZ212" s="57" t="s">
        <v>3518</v>
      </c>
      <c r="BA212" s="57" t="s">
        <v>3519</v>
      </c>
      <c r="BB212" s="57" t="s">
        <v>3520</v>
      </c>
      <c r="BC212" s="57" t="s">
        <v>3521</v>
      </c>
      <c r="BD212" s="57" t="s">
        <v>3522</v>
      </c>
      <c r="BE212" s="57" t="s">
        <v>3523</v>
      </c>
      <c r="BF212" s="57" t="s">
        <v>3524</v>
      </c>
      <c r="BG212" s="57" t="s">
        <v>3525</v>
      </c>
      <c r="BH212" s="57" t="s">
        <v>3526</v>
      </c>
      <c r="BI212" s="57" t="s">
        <v>1031</v>
      </c>
      <c r="BJ212" s="57" t="s">
        <v>1032</v>
      </c>
      <c r="BK212" s="57" t="s">
        <v>1033</v>
      </c>
      <c r="BL212" s="57" t="s">
        <v>1034</v>
      </c>
      <c r="BM212" s="57" t="s">
        <v>1035</v>
      </c>
      <c r="BN212" s="57" t="s">
        <v>1036</v>
      </c>
      <c r="BO212" s="57" t="s">
        <v>1037</v>
      </c>
      <c r="BP212" s="44">
        <v>0.0</v>
      </c>
      <c r="BQ212" s="44">
        <v>6.0</v>
      </c>
      <c r="BR212" s="44">
        <v>3.354</v>
      </c>
      <c r="BS212" s="44">
        <v>2.245</v>
      </c>
      <c r="BT212" s="44">
        <v>1.764</v>
      </c>
      <c r="BU212" s="44">
        <v>1.382</v>
      </c>
      <c r="BV212" s="44">
        <v>1.081</v>
      </c>
      <c r="BW212" s="44">
        <v>0.828</v>
      </c>
      <c r="BX212" s="44">
        <v>0.0</v>
      </c>
      <c r="BY212" s="44">
        <v>0.0</v>
      </c>
      <c r="BZ212" s="44">
        <v>3.4</v>
      </c>
      <c r="CA212" s="44">
        <v>3.4</v>
      </c>
      <c r="CB212" s="44">
        <v>4.0</v>
      </c>
      <c r="CC212" s="44">
        <v>0.0</v>
      </c>
      <c r="CD212" s="44">
        <v>0.0</v>
      </c>
      <c r="CE212" s="44">
        <v>0.0</v>
      </c>
      <c r="CF212" s="44">
        <v>8000.0</v>
      </c>
      <c r="CG212" s="44">
        <v>0.0</v>
      </c>
      <c r="CH212" s="44">
        <v>1.0</v>
      </c>
      <c r="CI212" s="44">
        <v>0.0</v>
      </c>
      <c r="CJ212" s="2"/>
      <c r="C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</row>
  </sheetData>
  <autoFilter ref="$A$1:$CI$21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5.88"/>
    <col customWidth="1" min="3" max="3" width="14.88"/>
    <col customWidth="1" min="4" max="4" width="36.88"/>
    <col customWidth="1" min="5" max="5" width="51.0"/>
    <col customWidth="1" min="6" max="6" width="22.25"/>
    <col customWidth="1" min="7" max="7" width="29.5"/>
    <col customWidth="1" min="8" max="8" width="28.0"/>
  </cols>
  <sheetData>
    <row r="1">
      <c r="A1" s="42" t="s">
        <v>6</v>
      </c>
      <c r="B1" s="42" t="s">
        <v>47</v>
      </c>
      <c r="C1" s="42" t="s">
        <v>48</v>
      </c>
      <c r="D1" s="42" t="s">
        <v>49</v>
      </c>
      <c r="E1" s="42" t="s">
        <v>50</v>
      </c>
      <c r="F1" s="42" t="s">
        <v>719</v>
      </c>
      <c r="G1" s="42" t="s">
        <v>4012</v>
      </c>
      <c r="H1" s="42" t="s">
        <v>4013</v>
      </c>
    </row>
    <row r="2">
      <c r="A2" s="44">
        <v>1.0</v>
      </c>
      <c r="B2" s="44">
        <v>1.0</v>
      </c>
      <c r="C2" s="44" t="s">
        <v>51</v>
      </c>
      <c r="D2" s="44" t="s">
        <v>52</v>
      </c>
      <c r="E2" s="44" t="s">
        <v>53</v>
      </c>
      <c r="F2" s="44">
        <v>252.0</v>
      </c>
      <c r="G2" s="44">
        <f t="shared" ref="G2:G212" si="1">(F2/6+18)</f>
        <v>60</v>
      </c>
      <c r="H2" s="44">
        <f t="shared" ref="H2:H212" si="2">G2/8</f>
        <v>7.5</v>
      </c>
    </row>
    <row r="3">
      <c r="A3" s="46">
        <v>2.0</v>
      </c>
      <c r="B3" s="46">
        <v>2.0</v>
      </c>
      <c r="C3" s="46" t="s">
        <v>54</v>
      </c>
      <c r="D3" s="46" t="s">
        <v>55</v>
      </c>
      <c r="E3" s="46" t="s">
        <v>56</v>
      </c>
      <c r="F3" s="46">
        <v>252.0</v>
      </c>
      <c r="G3" s="46">
        <f t="shared" si="1"/>
        <v>60</v>
      </c>
      <c r="H3" s="46">
        <f t="shared" si="2"/>
        <v>7.5</v>
      </c>
    </row>
    <row r="4">
      <c r="A4" s="44">
        <v>3.0</v>
      </c>
      <c r="B4" s="44">
        <v>3.0</v>
      </c>
      <c r="C4" s="44" t="s">
        <v>57</v>
      </c>
      <c r="D4" s="44" t="s">
        <v>58</v>
      </c>
      <c r="E4" s="44" t="s">
        <v>59</v>
      </c>
      <c r="F4" s="44">
        <v>252.0</v>
      </c>
      <c r="G4" s="44">
        <f t="shared" si="1"/>
        <v>60</v>
      </c>
      <c r="H4" s="44">
        <f t="shared" si="2"/>
        <v>7.5</v>
      </c>
    </row>
    <row r="5">
      <c r="A5" s="46">
        <v>4.0</v>
      </c>
      <c r="B5" s="46">
        <v>5.0</v>
      </c>
      <c r="C5" s="46" t="s">
        <v>60</v>
      </c>
      <c r="D5" s="46" t="s">
        <v>61</v>
      </c>
      <c r="E5" s="46" t="s">
        <v>62</v>
      </c>
      <c r="F5" s="46">
        <v>144.0</v>
      </c>
      <c r="G5" s="46">
        <f t="shared" si="1"/>
        <v>42</v>
      </c>
      <c r="H5" s="46">
        <f t="shared" si="2"/>
        <v>5.25</v>
      </c>
    </row>
    <row r="6">
      <c r="A6" s="44">
        <v>5.0</v>
      </c>
      <c r="B6" s="44">
        <v>6.0</v>
      </c>
      <c r="C6" s="44" t="s">
        <v>63</v>
      </c>
      <c r="D6" s="44" t="s">
        <v>64</v>
      </c>
      <c r="E6" s="44" t="s">
        <v>65</v>
      </c>
      <c r="F6" s="44">
        <v>252.0</v>
      </c>
      <c r="G6" s="44">
        <f t="shared" si="1"/>
        <v>60</v>
      </c>
      <c r="H6" s="44">
        <f t="shared" si="2"/>
        <v>7.5</v>
      </c>
    </row>
    <row r="7">
      <c r="A7" s="46">
        <v>6.0</v>
      </c>
      <c r="B7" s="46">
        <v>7.0</v>
      </c>
      <c r="C7" s="46" t="s">
        <v>66</v>
      </c>
      <c r="D7" s="46" t="s">
        <v>67</v>
      </c>
      <c r="E7" s="46" t="s">
        <v>68</v>
      </c>
      <c r="F7" s="46">
        <v>72.0</v>
      </c>
      <c r="G7" s="46">
        <f t="shared" si="1"/>
        <v>30</v>
      </c>
      <c r="H7" s="46">
        <f t="shared" si="2"/>
        <v>3.75</v>
      </c>
    </row>
    <row r="8">
      <c r="A8" s="44">
        <v>7.0</v>
      </c>
      <c r="B8" s="44">
        <v>8.0</v>
      </c>
      <c r="C8" s="44" t="s">
        <v>69</v>
      </c>
      <c r="D8" s="44" t="s">
        <v>70</v>
      </c>
      <c r="E8" s="44" t="s">
        <v>71</v>
      </c>
      <c r="F8" s="44">
        <v>180.0</v>
      </c>
      <c r="G8" s="44">
        <f t="shared" si="1"/>
        <v>48</v>
      </c>
      <c r="H8" s="44">
        <f t="shared" si="2"/>
        <v>6</v>
      </c>
    </row>
    <row r="9">
      <c r="A9" s="46">
        <v>8.0</v>
      </c>
      <c r="B9" s="46">
        <v>10.0</v>
      </c>
      <c r="C9" s="46" t="s">
        <v>72</v>
      </c>
      <c r="D9" s="46" t="s">
        <v>73</v>
      </c>
      <c r="E9" s="46" t="s">
        <v>74</v>
      </c>
      <c r="F9" s="46">
        <v>180.0</v>
      </c>
      <c r="G9" s="46">
        <f t="shared" si="1"/>
        <v>48</v>
      </c>
      <c r="H9" s="46">
        <f t="shared" si="2"/>
        <v>6</v>
      </c>
    </row>
    <row r="10">
      <c r="A10" s="44">
        <v>9.0</v>
      </c>
      <c r="B10" s="44">
        <v>11.0</v>
      </c>
      <c r="C10" s="44" t="s">
        <v>75</v>
      </c>
      <c r="D10" s="44" t="s">
        <v>76</v>
      </c>
      <c r="E10" s="44" t="s">
        <v>77</v>
      </c>
      <c r="F10" s="44">
        <v>0.0</v>
      </c>
      <c r="G10" s="44">
        <f t="shared" si="1"/>
        <v>18</v>
      </c>
      <c r="H10" s="44">
        <f t="shared" si="2"/>
        <v>2.25</v>
      </c>
    </row>
    <row r="11">
      <c r="A11" s="46">
        <v>10.0</v>
      </c>
      <c r="B11" s="46">
        <v>13.0</v>
      </c>
      <c r="C11" s="46" t="s">
        <v>78</v>
      </c>
      <c r="D11" s="46" t="s">
        <v>79</v>
      </c>
      <c r="E11" s="46" t="s">
        <v>80</v>
      </c>
      <c r="F11" s="46">
        <v>180.0</v>
      </c>
      <c r="G11" s="46">
        <f t="shared" si="1"/>
        <v>48</v>
      </c>
      <c r="H11" s="46">
        <f t="shared" si="2"/>
        <v>6</v>
      </c>
    </row>
    <row r="12">
      <c r="A12" s="44">
        <v>11.0</v>
      </c>
      <c r="B12" s="44">
        <v>14.0</v>
      </c>
      <c r="C12" s="44" t="s">
        <v>81</v>
      </c>
      <c r="D12" s="44" t="s">
        <v>82</v>
      </c>
      <c r="E12" s="44" t="s">
        <v>83</v>
      </c>
      <c r="F12" s="44">
        <v>108.0</v>
      </c>
      <c r="G12" s="44">
        <f t="shared" si="1"/>
        <v>36</v>
      </c>
      <c r="H12" s="44">
        <f t="shared" si="2"/>
        <v>4.5</v>
      </c>
    </row>
    <row r="13">
      <c r="A13" s="46">
        <v>12.0</v>
      </c>
      <c r="B13" s="46">
        <v>15.0</v>
      </c>
      <c r="C13" s="46" t="s">
        <v>84</v>
      </c>
      <c r="D13" s="46" t="s">
        <v>85</v>
      </c>
      <c r="E13" s="46" t="s">
        <v>86</v>
      </c>
      <c r="F13" s="46">
        <v>180.0</v>
      </c>
      <c r="G13" s="46">
        <f t="shared" si="1"/>
        <v>48</v>
      </c>
      <c r="H13" s="46">
        <f t="shared" si="2"/>
        <v>6</v>
      </c>
    </row>
    <row r="14">
      <c r="A14" s="44">
        <v>13.0</v>
      </c>
      <c r="B14" s="44">
        <v>16.0</v>
      </c>
      <c r="C14" s="44" t="s">
        <v>87</v>
      </c>
      <c r="D14" s="44" t="s">
        <v>88</v>
      </c>
      <c r="E14" s="44" t="s">
        <v>89</v>
      </c>
      <c r="F14" s="44">
        <v>180.0</v>
      </c>
      <c r="G14" s="44">
        <f t="shared" si="1"/>
        <v>48</v>
      </c>
      <c r="H14" s="44">
        <f t="shared" si="2"/>
        <v>6</v>
      </c>
    </row>
    <row r="15">
      <c r="A15" s="46">
        <v>14.0</v>
      </c>
      <c r="B15" s="46">
        <v>17.0</v>
      </c>
      <c r="C15" s="46" t="s">
        <v>90</v>
      </c>
      <c r="D15" s="46" t="s">
        <v>91</v>
      </c>
      <c r="E15" s="46" t="s">
        <v>92</v>
      </c>
      <c r="F15" s="46">
        <v>0.0</v>
      </c>
      <c r="G15" s="46">
        <f t="shared" si="1"/>
        <v>18</v>
      </c>
      <c r="H15" s="46">
        <f t="shared" si="2"/>
        <v>2.25</v>
      </c>
    </row>
    <row r="16">
      <c r="A16" s="44">
        <v>15.0</v>
      </c>
      <c r="B16" s="44">
        <v>18.0</v>
      </c>
      <c r="C16" s="44" t="s">
        <v>93</v>
      </c>
      <c r="D16" s="44" t="s">
        <v>94</v>
      </c>
      <c r="E16" s="44" t="s">
        <v>95</v>
      </c>
      <c r="F16" s="44">
        <v>72.0</v>
      </c>
      <c r="G16" s="44">
        <f t="shared" si="1"/>
        <v>30</v>
      </c>
      <c r="H16" s="44">
        <f t="shared" si="2"/>
        <v>3.75</v>
      </c>
    </row>
    <row r="17">
      <c r="A17" s="46">
        <v>16.0</v>
      </c>
      <c r="B17" s="46">
        <v>19.0</v>
      </c>
      <c r="C17" s="46" t="s">
        <v>96</v>
      </c>
      <c r="D17" s="46" t="s">
        <v>97</v>
      </c>
      <c r="E17" s="46" t="s">
        <v>98</v>
      </c>
      <c r="F17" s="46">
        <v>180.0</v>
      </c>
      <c r="G17" s="46">
        <f t="shared" si="1"/>
        <v>48</v>
      </c>
      <c r="H17" s="46">
        <f t="shared" si="2"/>
        <v>6</v>
      </c>
    </row>
    <row r="18">
      <c r="A18" s="44">
        <v>17.0</v>
      </c>
      <c r="B18" s="44">
        <v>20.0</v>
      </c>
      <c r="C18" s="44" t="s">
        <v>99</v>
      </c>
      <c r="D18" s="44" t="s">
        <v>100</v>
      </c>
      <c r="E18" s="44" t="s">
        <v>101</v>
      </c>
      <c r="F18" s="44">
        <v>252.0</v>
      </c>
      <c r="G18" s="44">
        <f t="shared" si="1"/>
        <v>60</v>
      </c>
      <c r="H18" s="44">
        <f t="shared" si="2"/>
        <v>7.5</v>
      </c>
    </row>
    <row r="19">
      <c r="A19" s="46">
        <v>18.0</v>
      </c>
      <c r="B19" s="46">
        <v>21.0</v>
      </c>
      <c r="C19" s="46" t="s">
        <v>102</v>
      </c>
      <c r="D19" s="46" t="s">
        <v>103</v>
      </c>
      <c r="E19" s="46" t="s">
        <v>104</v>
      </c>
      <c r="F19" s="46">
        <v>144.0</v>
      </c>
      <c r="G19" s="46">
        <f t="shared" si="1"/>
        <v>42</v>
      </c>
      <c r="H19" s="46">
        <f t="shared" si="2"/>
        <v>5.25</v>
      </c>
    </row>
    <row r="20">
      <c r="A20" s="44">
        <v>19.0</v>
      </c>
      <c r="B20" s="44">
        <v>25.0</v>
      </c>
      <c r="C20" s="44" t="s">
        <v>105</v>
      </c>
      <c r="D20" s="44" t="s">
        <v>106</v>
      </c>
      <c r="E20" s="44" t="s">
        <v>107</v>
      </c>
      <c r="F20" s="44">
        <v>108.0</v>
      </c>
      <c r="G20" s="44">
        <f t="shared" si="1"/>
        <v>36</v>
      </c>
      <c r="H20" s="44">
        <f t="shared" si="2"/>
        <v>4.5</v>
      </c>
    </row>
    <row r="21">
      <c r="A21" s="46">
        <v>20.0</v>
      </c>
      <c r="B21" s="46">
        <v>26.0</v>
      </c>
      <c r="C21" s="46" t="s">
        <v>108</v>
      </c>
      <c r="D21" s="46" t="s">
        <v>109</v>
      </c>
      <c r="E21" s="46" t="s">
        <v>110</v>
      </c>
      <c r="F21" s="46">
        <v>216.0</v>
      </c>
      <c r="G21" s="46">
        <f t="shared" si="1"/>
        <v>54</v>
      </c>
      <c r="H21" s="46">
        <f t="shared" si="2"/>
        <v>6.75</v>
      </c>
    </row>
    <row r="22">
      <c r="A22" s="44">
        <v>21.0</v>
      </c>
      <c r="B22" s="44">
        <v>27.0</v>
      </c>
      <c r="C22" s="44" t="s">
        <v>111</v>
      </c>
      <c r="D22" s="44" t="s">
        <v>112</v>
      </c>
      <c r="E22" s="44" t="s">
        <v>113</v>
      </c>
      <c r="F22" s="44">
        <v>144.0</v>
      </c>
      <c r="G22" s="44">
        <f t="shared" si="1"/>
        <v>42</v>
      </c>
      <c r="H22" s="44">
        <f t="shared" si="2"/>
        <v>5.25</v>
      </c>
    </row>
    <row r="23">
      <c r="A23" s="46">
        <v>22.0</v>
      </c>
      <c r="B23" s="46">
        <v>28.0</v>
      </c>
      <c r="C23" s="46" t="s">
        <v>114</v>
      </c>
      <c r="D23" s="46" t="s">
        <v>115</v>
      </c>
      <c r="E23" s="46" t="s">
        <v>116</v>
      </c>
      <c r="F23" s="46">
        <v>36.0</v>
      </c>
      <c r="G23" s="46">
        <f t="shared" si="1"/>
        <v>24</v>
      </c>
      <c r="H23" s="46">
        <f t="shared" si="2"/>
        <v>3</v>
      </c>
    </row>
    <row r="24">
      <c r="A24" s="44">
        <v>23.0</v>
      </c>
      <c r="B24" s="44">
        <v>29.0</v>
      </c>
      <c r="C24" s="44" t="s">
        <v>117</v>
      </c>
      <c r="D24" s="44" t="s">
        <v>118</v>
      </c>
      <c r="E24" s="44" t="s">
        <v>119</v>
      </c>
      <c r="F24" s="44">
        <v>144.0</v>
      </c>
      <c r="G24" s="44">
        <f t="shared" si="1"/>
        <v>42</v>
      </c>
      <c r="H24" s="44">
        <f t="shared" si="2"/>
        <v>5.25</v>
      </c>
    </row>
    <row r="25">
      <c r="A25" s="46">
        <v>24.0</v>
      </c>
      <c r="B25" s="46">
        <v>31.0</v>
      </c>
      <c r="C25" s="46" t="s">
        <v>120</v>
      </c>
      <c r="D25" s="46" t="s">
        <v>121</v>
      </c>
      <c r="E25" s="46" t="s">
        <v>122</v>
      </c>
      <c r="F25" s="46">
        <v>216.0</v>
      </c>
      <c r="G25" s="46">
        <f t="shared" si="1"/>
        <v>54</v>
      </c>
      <c r="H25" s="46">
        <f t="shared" si="2"/>
        <v>6.75</v>
      </c>
    </row>
    <row r="26">
      <c r="A26" s="44">
        <v>25.0</v>
      </c>
      <c r="B26" s="44">
        <v>32.0</v>
      </c>
      <c r="C26" s="44" t="s">
        <v>123</v>
      </c>
      <c r="D26" s="44" t="s">
        <v>124</v>
      </c>
      <c r="E26" s="44" t="s">
        <v>125</v>
      </c>
      <c r="F26" s="44">
        <v>180.0</v>
      </c>
      <c r="G26" s="44">
        <f t="shared" si="1"/>
        <v>48</v>
      </c>
      <c r="H26" s="44">
        <f t="shared" si="2"/>
        <v>6</v>
      </c>
    </row>
    <row r="27">
      <c r="A27" s="46">
        <v>26.0</v>
      </c>
      <c r="B27" s="46">
        <v>35.0</v>
      </c>
      <c r="C27" s="46" t="s">
        <v>126</v>
      </c>
      <c r="D27" s="46" t="s">
        <v>127</v>
      </c>
      <c r="E27" s="46" t="s">
        <v>128</v>
      </c>
      <c r="F27" s="46">
        <v>252.0</v>
      </c>
      <c r="G27" s="46">
        <f t="shared" si="1"/>
        <v>60</v>
      </c>
      <c r="H27" s="46">
        <f t="shared" si="2"/>
        <v>7.5</v>
      </c>
    </row>
    <row r="28">
      <c r="A28" s="44">
        <v>27.0</v>
      </c>
      <c r="B28" s="44">
        <v>36.0</v>
      </c>
      <c r="C28" s="44" t="s">
        <v>129</v>
      </c>
      <c r="D28" s="44" t="s">
        <v>130</v>
      </c>
      <c r="E28" s="44" t="s">
        <v>131</v>
      </c>
      <c r="F28" s="44">
        <v>216.0</v>
      </c>
      <c r="G28" s="44">
        <f t="shared" si="1"/>
        <v>54</v>
      </c>
      <c r="H28" s="44">
        <f t="shared" si="2"/>
        <v>6.75</v>
      </c>
    </row>
    <row r="29">
      <c r="A29" s="46">
        <v>28.0</v>
      </c>
      <c r="B29" s="46">
        <v>37.0</v>
      </c>
      <c r="C29" s="46" t="s">
        <v>132</v>
      </c>
      <c r="D29" s="46" t="s">
        <v>133</v>
      </c>
      <c r="E29" s="46" t="s">
        <v>134</v>
      </c>
      <c r="F29" s="46">
        <v>252.0</v>
      </c>
      <c r="G29" s="46">
        <f t="shared" si="1"/>
        <v>60</v>
      </c>
      <c r="H29" s="46">
        <f t="shared" si="2"/>
        <v>7.5</v>
      </c>
    </row>
    <row r="30">
      <c r="A30" s="44">
        <v>29.0</v>
      </c>
      <c r="B30" s="44">
        <v>38.0</v>
      </c>
      <c r="C30" s="44" t="s">
        <v>135</v>
      </c>
      <c r="D30" s="44" t="s">
        <v>136</v>
      </c>
      <c r="E30" s="44" t="s">
        <v>137</v>
      </c>
      <c r="F30" s="44">
        <v>252.0</v>
      </c>
      <c r="G30" s="44">
        <f t="shared" si="1"/>
        <v>60</v>
      </c>
      <c r="H30" s="44">
        <f t="shared" si="2"/>
        <v>7.5</v>
      </c>
    </row>
    <row r="31">
      <c r="A31" s="46">
        <v>30.0</v>
      </c>
      <c r="B31" s="46">
        <v>39.0</v>
      </c>
      <c r="C31" s="46" t="s">
        <v>138</v>
      </c>
      <c r="D31" s="46" t="s">
        <v>139</v>
      </c>
      <c r="E31" s="46" t="s">
        <v>140</v>
      </c>
      <c r="F31" s="46">
        <v>252.0</v>
      </c>
      <c r="G31" s="46">
        <f t="shared" si="1"/>
        <v>60</v>
      </c>
      <c r="H31" s="46">
        <f t="shared" si="2"/>
        <v>7.5</v>
      </c>
    </row>
    <row r="32">
      <c r="A32" s="44">
        <v>31.0</v>
      </c>
      <c r="B32" s="44">
        <v>40.0</v>
      </c>
      <c r="C32" s="44" t="s">
        <v>141</v>
      </c>
      <c r="D32" s="44" t="s">
        <v>142</v>
      </c>
      <c r="E32" s="44" t="s">
        <v>143</v>
      </c>
      <c r="F32" s="44">
        <v>252.0</v>
      </c>
      <c r="G32" s="44">
        <f t="shared" si="1"/>
        <v>60</v>
      </c>
      <c r="H32" s="44">
        <f t="shared" si="2"/>
        <v>7.5</v>
      </c>
    </row>
    <row r="33">
      <c r="A33" s="46">
        <v>32.0</v>
      </c>
      <c r="B33" s="46">
        <v>42.0</v>
      </c>
      <c r="C33" s="46" t="s">
        <v>144</v>
      </c>
      <c r="D33" s="46" t="s">
        <v>145</v>
      </c>
      <c r="E33" s="46" t="s">
        <v>146</v>
      </c>
      <c r="F33" s="46">
        <v>252.0</v>
      </c>
      <c r="G33" s="46">
        <f t="shared" si="1"/>
        <v>60</v>
      </c>
      <c r="H33" s="46">
        <f t="shared" si="2"/>
        <v>7.5</v>
      </c>
    </row>
    <row r="34">
      <c r="A34" s="44">
        <v>33.0</v>
      </c>
      <c r="B34" s="44">
        <v>45.0</v>
      </c>
      <c r="C34" s="44" t="s">
        <v>147</v>
      </c>
      <c r="D34" s="44" t="s">
        <v>148</v>
      </c>
      <c r="E34" s="44" t="s">
        <v>149</v>
      </c>
      <c r="F34" s="44">
        <v>216.0</v>
      </c>
      <c r="G34" s="44">
        <f t="shared" si="1"/>
        <v>54</v>
      </c>
      <c r="H34" s="44">
        <f t="shared" si="2"/>
        <v>6.75</v>
      </c>
    </row>
    <row r="35">
      <c r="A35" s="46">
        <v>34.0</v>
      </c>
      <c r="B35" s="46">
        <v>46.0</v>
      </c>
      <c r="C35" s="46" t="s">
        <v>150</v>
      </c>
      <c r="D35" s="46" t="s">
        <v>151</v>
      </c>
      <c r="E35" s="46" t="s">
        <v>152</v>
      </c>
      <c r="F35" s="46">
        <v>216.0</v>
      </c>
      <c r="G35" s="46">
        <f t="shared" si="1"/>
        <v>54</v>
      </c>
      <c r="H35" s="46">
        <f t="shared" si="2"/>
        <v>6.75</v>
      </c>
    </row>
    <row r="36">
      <c r="A36" s="44">
        <v>35.0</v>
      </c>
      <c r="B36" s="44">
        <v>47.0</v>
      </c>
      <c r="C36" s="44" t="s">
        <v>153</v>
      </c>
      <c r="D36" s="44" t="s">
        <v>154</v>
      </c>
      <c r="E36" s="44" t="s">
        <v>155</v>
      </c>
      <c r="F36" s="44">
        <v>144.0</v>
      </c>
      <c r="G36" s="44">
        <f t="shared" si="1"/>
        <v>42</v>
      </c>
      <c r="H36" s="44">
        <f t="shared" si="2"/>
        <v>5.25</v>
      </c>
    </row>
    <row r="37">
      <c r="A37" s="46">
        <v>36.0</v>
      </c>
      <c r="B37" s="46">
        <v>48.0</v>
      </c>
      <c r="C37" s="46" t="s">
        <v>156</v>
      </c>
      <c r="D37" s="46" t="s">
        <v>157</v>
      </c>
      <c r="E37" s="46" t="s">
        <v>158</v>
      </c>
      <c r="F37" s="46">
        <v>216.0</v>
      </c>
      <c r="G37" s="46">
        <f t="shared" si="1"/>
        <v>54</v>
      </c>
      <c r="H37" s="46">
        <f t="shared" si="2"/>
        <v>6.75</v>
      </c>
    </row>
    <row r="38">
      <c r="A38" s="44">
        <v>37.0</v>
      </c>
      <c r="B38" s="44">
        <v>49.0</v>
      </c>
      <c r="C38" s="44" t="s">
        <v>159</v>
      </c>
      <c r="D38" s="44" t="s">
        <v>160</v>
      </c>
      <c r="E38" s="44" t="s">
        <v>161</v>
      </c>
      <c r="F38" s="44">
        <v>216.0</v>
      </c>
      <c r="G38" s="44">
        <f t="shared" si="1"/>
        <v>54</v>
      </c>
      <c r="H38" s="44">
        <f t="shared" si="2"/>
        <v>6.75</v>
      </c>
    </row>
    <row r="39">
      <c r="A39" s="46">
        <v>38.0</v>
      </c>
      <c r="B39" s="46">
        <v>50.0</v>
      </c>
      <c r="C39" s="46" t="s">
        <v>162</v>
      </c>
      <c r="D39" s="46" t="s">
        <v>163</v>
      </c>
      <c r="E39" s="46" t="s">
        <v>164</v>
      </c>
      <c r="F39" s="46">
        <v>216.0</v>
      </c>
      <c r="G39" s="46">
        <f t="shared" si="1"/>
        <v>54</v>
      </c>
      <c r="H39" s="46">
        <f t="shared" si="2"/>
        <v>6.75</v>
      </c>
    </row>
    <row r="40">
      <c r="A40" s="44">
        <v>39.0</v>
      </c>
      <c r="B40" s="44">
        <v>51.0</v>
      </c>
      <c r="C40" s="44" t="s">
        <v>165</v>
      </c>
      <c r="D40" s="44" t="s">
        <v>166</v>
      </c>
      <c r="E40" s="44" t="s">
        <v>167</v>
      </c>
      <c r="F40" s="44">
        <v>180.0</v>
      </c>
      <c r="G40" s="44">
        <f t="shared" si="1"/>
        <v>48</v>
      </c>
      <c r="H40" s="44">
        <f t="shared" si="2"/>
        <v>6</v>
      </c>
    </row>
    <row r="41">
      <c r="A41" s="46">
        <v>40.0</v>
      </c>
      <c r="B41" s="46">
        <v>52.0</v>
      </c>
      <c r="C41" s="46" t="s">
        <v>168</v>
      </c>
      <c r="D41" s="46" t="s">
        <v>169</v>
      </c>
      <c r="E41" s="46" t="s">
        <v>170</v>
      </c>
      <c r="F41" s="46">
        <v>252.0</v>
      </c>
      <c r="G41" s="46">
        <f t="shared" si="1"/>
        <v>60</v>
      </c>
      <c r="H41" s="46">
        <f t="shared" si="2"/>
        <v>7.5</v>
      </c>
    </row>
    <row r="42">
      <c r="A42" s="44">
        <v>41.0</v>
      </c>
      <c r="B42" s="44">
        <v>54.0</v>
      </c>
      <c r="C42" s="44" t="s">
        <v>171</v>
      </c>
      <c r="D42" s="44" t="s">
        <v>172</v>
      </c>
      <c r="E42" s="44" t="s">
        <v>173</v>
      </c>
      <c r="F42" s="44">
        <v>144.0</v>
      </c>
      <c r="G42" s="44">
        <f t="shared" si="1"/>
        <v>42</v>
      </c>
      <c r="H42" s="44">
        <f t="shared" si="2"/>
        <v>5.25</v>
      </c>
    </row>
    <row r="43">
      <c r="A43" s="46">
        <v>42.0</v>
      </c>
      <c r="B43" s="46">
        <v>56.0</v>
      </c>
      <c r="C43" s="46" t="s">
        <v>174</v>
      </c>
      <c r="D43" s="46" t="s">
        <v>175</v>
      </c>
      <c r="E43" s="46" t="s">
        <v>176</v>
      </c>
      <c r="F43" s="46">
        <v>216.0</v>
      </c>
      <c r="G43" s="46">
        <f t="shared" si="1"/>
        <v>54</v>
      </c>
      <c r="H43" s="46">
        <f t="shared" si="2"/>
        <v>6.75</v>
      </c>
    </row>
    <row r="44">
      <c r="A44" s="44">
        <v>43.0</v>
      </c>
      <c r="B44" s="44">
        <v>57.0</v>
      </c>
      <c r="C44" s="44" t="s">
        <v>177</v>
      </c>
      <c r="D44" s="44" t="s">
        <v>178</v>
      </c>
      <c r="E44" s="44" t="s">
        <v>179</v>
      </c>
      <c r="F44" s="44">
        <v>216.0</v>
      </c>
      <c r="G44" s="44">
        <f t="shared" si="1"/>
        <v>54</v>
      </c>
      <c r="H44" s="44">
        <f t="shared" si="2"/>
        <v>6.75</v>
      </c>
    </row>
    <row r="45">
      <c r="A45" s="46">
        <v>44.0</v>
      </c>
      <c r="B45" s="46">
        <v>58.0</v>
      </c>
      <c r="C45" s="46" t="s">
        <v>180</v>
      </c>
      <c r="D45" s="46" t="s">
        <v>181</v>
      </c>
      <c r="E45" s="46" t="s">
        <v>182</v>
      </c>
      <c r="F45" s="46">
        <v>216.0</v>
      </c>
      <c r="G45" s="46">
        <f t="shared" si="1"/>
        <v>54</v>
      </c>
      <c r="H45" s="46">
        <f t="shared" si="2"/>
        <v>6.75</v>
      </c>
    </row>
    <row r="46">
      <c r="A46" s="44">
        <v>45.0</v>
      </c>
      <c r="B46" s="44">
        <v>60.0</v>
      </c>
      <c r="C46" s="44" t="s">
        <v>183</v>
      </c>
      <c r="D46" s="44" t="s">
        <v>184</v>
      </c>
      <c r="E46" s="44" t="s">
        <v>185</v>
      </c>
      <c r="F46" s="44">
        <v>180.0</v>
      </c>
      <c r="G46" s="44">
        <f t="shared" si="1"/>
        <v>48</v>
      </c>
      <c r="H46" s="44">
        <f t="shared" si="2"/>
        <v>6</v>
      </c>
    </row>
    <row r="47">
      <c r="A47" s="46">
        <v>46.0</v>
      </c>
      <c r="B47" s="46">
        <v>61.0</v>
      </c>
      <c r="C47" s="46" t="s">
        <v>186</v>
      </c>
      <c r="D47" s="46" t="s">
        <v>187</v>
      </c>
      <c r="E47" s="46" t="s">
        <v>188</v>
      </c>
      <c r="F47" s="46">
        <v>108.0</v>
      </c>
      <c r="G47" s="46">
        <f t="shared" si="1"/>
        <v>36</v>
      </c>
      <c r="H47" s="46">
        <f t="shared" si="2"/>
        <v>4.5</v>
      </c>
    </row>
    <row r="48">
      <c r="A48" s="44">
        <v>47.0</v>
      </c>
      <c r="B48" s="44">
        <v>63.0</v>
      </c>
      <c r="C48" s="44" t="s">
        <v>189</v>
      </c>
      <c r="D48" s="44" t="s">
        <v>190</v>
      </c>
      <c r="E48" s="44" t="s">
        <v>191</v>
      </c>
      <c r="F48" s="44">
        <v>180.0</v>
      </c>
      <c r="G48" s="44">
        <f t="shared" si="1"/>
        <v>48</v>
      </c>
      <c r="H48" s="44">
        <f t="shared" si="2"/>
        <v>6</v>
      </c>
    </row>
    <row r="49">
      <c r="A49" s="46">
        <v>48.0</v>
      </c>
      <c r="B49" s="46">
        <v>64.0</v>
      </c>
      <c r="C49" s="46" t="s">
        <v>192</v>
      </c>
      <c r="D49" s="46" t="s">
        <v>193</v>
      </c>
      <c r="E49" s="46" t="s">
        <v>194</v>
      </c>
      <c r="F49" s="46">
        <v>180.0</v>
      </c>
      <c r="G49" s="46">
        <f t="shared" si="1"/>
        <v>48</v>
      </c>
      <c r="H49" s="46">
        <f t="shared" si="2"/>
        <v>6</v>
      </c>
    </row>
    <row r="50">
      <c r="A50" s="44">
        <v>49.0</v>
      </c>
      <c r="B50" s="44">
        <v>66.0</v>
      </c>
      <c r="C50" s="44" t="s">
        <v>195</v>
      </c>
      <c r="D50" s="44" t="s">
        <v>196</v>
      </c>
      <c r="E50" s="44" t="s">
        <v>197</v>
      </c>
      <c r="F50" s="44">
        <v>216.0</v>
      </c>
      <c r="G50" s="44">
        <f t="shared" si="1"/>
        <v>54</v>
      </c>
      <c r="H50" s="44">
        <f t="shared" si="2"/>
        <v>6.75</v>
      </c>
    </row>
    <row r="51">
      <c r="A51" s="46">
        <v>50.0</v>
      </c>
      <c r="B51" s="46">
        <v>67.0</v>
      </c>
      <c r="C51" s="46" t="s">
        <v>198</v>
      </c>
      <c r="D51" s="46" t="s">
        <v>199</v>
      </c>
      <c r="E51" s="46" t="s">
        <v>200</v>
      </c>
      <c r="F51" s="46">
        <v>180.0</v>
      </c>
      <c r="G51" s="46">
        <f t="shared" si="1"/>
        <v>48</v>
      </c>
      <c r="H51" s="46">
        <f t="shared" si="2"/>
        <v>6</v>
      </c>
    </row>
    <row r="52">
      <c r="A52" s="44">
        <v>51.0</v>
      </c>
      <c r="B52" s="44">
        <v>69.0</v>
      </c>
      <c r="C52" s="44" t="s">
        <v>201</v>
      </c>
      <c r="D52" s="44" t="s">
        <v>202</v>
      </c>
      <c r="E52" s="44" t="s">
        <v>203</v>
      </c>
      <c r="F52" s="44">
        <v>216.0</v>
      </c>
      <c r="G52" s="44">
        <f t="shared" si="1"/>
        <v>54</v>
      </c>
      <c r="H52" s="44">
        <f t="shared" si="2"/>
        <v>6.75</v>
      </c>
    </row>
    <row r="53">
      <c r="A53" s="46">
        <v>52.0</v>
      </c>
      <c r="B53" s="46">
        <v>79.0</v>
      </c>
      <c r="C53" s="46" t="s">
        <v>204</v>
      </c>
      <c r="D53" s="46" t="s">
        <v>205</v>
      </c>
      <c r="E53" s="46" t="s">
        <v>206</v>
      </c>
      <c r="F53" s="46">
        <v>252.0</v>
      </c>
      <c r="G53" s="46">
        <f t="shared" si="1"/>
        <v>60</v>
      </c>
      <c r="H53" s="46">
        <f t="shared" si="2"/>
        <v>7.5</v>
      </c>
    </row>
    <row r="54">
      <c r="A54" s="44">
        <v>53.0</v>
      </c>
      <c r="B54" s="44">
        <v>82.0</v>
      </c>
      <c r="C54" s="44" t="s">
        <v>207</v>
      </c>
      <c r="D54" s="44" t="s">
        <v>208</v>
      </c>
      <c r="E54" s="44" t="s">
        <v>209</v>
      </c>
      <c r="F54" s="44">
        <v>252.0</v>
      </c>
      <c r="G54" s="44">
        <f t="shared" si="1"/>
        <v>60</v>
      </c>
      <c r="H54" s="44">
        <f t="shared" si="2"/>
        <v>7.5</v>
      </c>
    </row>
    <row r="55">
      <c r="A55" s="46">
        <v>54.0</v>
      </c>
      <c r="B55" s="46">
        <v>83.0</v>
      </c>
      <c r="C55" s="46" t="s">
        <v>210</v>
      </c>
      <c r="D55" s="46" t="s">
        <v>211</v>
      </c>
      <c r="E55" s="46" t="s">
        <v>212</v>
      </c>
      <c r="F55" s="46">
        <v>216.0</v>
      </c>
      <c r="G55" s="46">
        <f t="shared" si="1"/>
        <v>54</v>
      </c>
      <c r="H55" s="46">
        <f t="shared" si="2"/>
        <v>6.75</v>
      </c>
    </row>
    <row r="56">
      <c r="A56" s="44">
        <v>55.0</v>
      </c>
      <c r="B56" s="44">
        <v>84.0</v>
      </c>
      <c r="C56" s="44" t="s">
        <v>213</v>
      </c>
      <c r="D56" s="44" t="s">
        <v>214</v>
      </c>
      <c r="E56" s="44" t="s">
        <v>215</v>
      </c>
      <c r="F56" s="44">
        <v>252.0</v>
      </c>
      <c r="G56" s="44">
        <f t="shared" si="1"/>
        <v>60</v>
      </c>
      <c r="H56" s="44">
        <f t="shared" si="2"/>
        <v>7.5</v>
      </c>
    </row>
    <row r="57">
      <c r="A57" s="46">
        <v>56.0</v>
      </c>
      <c r="B57" s="46">
        <v>85.0</v>
      </c>
      <c r="C57" s="46" t="s">
        <v>216</v>
      </c>
      <c r="D57" s="46" t="s">
        <v>217</v>
      </c>
      <c r="E57" s="46" t="s">
        <v>218</v>
      </c>
      <c r="F57" s="46">
        <v>252.0</v>
      </c>
      <c r="G57" s="46">
        <f t="shared" si="1"/>
        <v>60</v>
      </c>
      <c r="H57" s="46">
        <f t="shared" si="2"/>
        <v>7.5</v>
      </c>
    </row>
    <row r="58">
      <c r="A58" s="44">
        <v>57.0</v>
      </c>
      <c r="B58" s="44">
        <v>86.0</v>
      </c>
      <c r="C58" s="44" t="s">
        <v>219</v>
      </c>
      <c r="D58" s="44" t="s">
        <v>220</v>
      </c>
      <c r="E58" s="44" t="s">
        <v>221</v>
      </c>
      <c r="F58" s="44">
        <v>216.0</v>
      </c>
      <c r="G58" s="44">
        <f t="shared" si="1"/>
        <v>54</v>
      </c>
      <c r="H58" s="44">
        <f t="shared" si="2"/>
        <v>6.75</v>
      </c>
    </row>
    <row r="59">
      <c r="A59" s="46">
        <v>58.0</v>
      </c>
      <c r="B59" s="46">
        <v>87.0</v>
      </c>
      <c r="C59" s="46" t="s">
        <v>222</v>
      </c>
      <c r="D59" s="46" t="s">
        <v>223</v>
      </c>
      <c r="E59" s="46" t="s">
        <v>224</v>
      </c>
      <c r="F59" s="46">
        <v>216.0</v>
      </c>
      <c r="G59" s="46">
        <f t="shared" si="1"/>
        <v>54</v>
      </c>
      <c r="H59" s="46">
        <f t="shared" si="2"/>
        <v>6.75</v>
      </c>
    </row>
    <row r="60">
      <c r="A60" s="44">
        <v>59.0</v>
      </c>
      <c r="B60" s="44">
        <v>88.0</v>
      </c>
      <c r="C60" s="44" t="s">
        <v>225</v>
      </c>
      <c r="D60" s="44" t="s">
        <v>226</v>
      </c>
      <c r="E60" s="44" t="s">
        <v>227</v>
      </c>
      <c r="F60" s="44">
        <v>216.0</v>
      </c>
      <c r="G60" s="44">
        <f t="shared" si="1"/>
        <v>54</v>
      </c>
      <c r="H60" s="44">
        <f t="shared" si="2"/>
        <v>6.75</v>
      </c>
    </row>
    <row r="61">
      <c r="A61" s="46">
        <v>60.0</v>
      </c>
      <c r="B61" s="46">
        <v>89.0</v>
      </c>
      <c r="C61" s="46" t="s">
        <v>228</v>
      </c>
      <c r="D61" s="46" t="s">
        <v>229</v>
      </c>
      <c r="E61" s="46" t="s">
        <v>230</v>
      </c>
      <c r="F61" s="46">
        <v>180.0</v>
      </c>
      <c r="G61" s="46">
        <f t="shared" si="1"/>
        <v>48</v>
      </c>
      <c r="H61" s="46">
        <f t="shared" si="2"/>
        <v>6</v>
      </c>
    </row>
    <row r="62">
      <c r="A62" s="44">
        <v>61.0</v>
      </c>
      <c r="B62" s="44">
        <v>90.0</v>
      </c>
      <c r="C62" s="44" t="s">
        <v>231</v>
      </c>
      <c r="D62" s="44" t="s">
        <v>232</v>
      </c>
      <c r="E62" s="44" t="s">
        <v>233</v>
      </c>
      <c r="F62" s="44">
        <v>180.0</v>
      </c>
      <c r="G62" s="44">
        <f t="shared" si="1"/>
        <v>48</v>
      </c>
      <c r="H62" s="44">
        <f t="shared" si="2"/>
        <v>6</v>
      </c>
    </row>
    <row r="63">
      <c r="A63" s="46">
        <v>62.0</v>
      </c>
      <c r="B63" s="46">
        <v>91.0</v>
      </c>
      <c r="C63" s="46" t="s">
        <v>234</v>
      </c>
      <c r="D63" s="46" t="s">
        <v>235</v>
      </c>
      <c r="E63" s="46" t="s">
        <v>236</v>
      </c>
      <c r="F63" s="46">
        <v>108.0</v>
      </c>
      <c r="G63" s="46">
        <f t="shared" si="1"/>
        <v>36</v>
      </c>
      <c r="H63" s="46">
        <f t="shared" si="2"/>
        <v>4.5</v>
      </c>
    </row>
    <row r="64">
      <c r="A64" s="44">
        <v>63.0</v>
      </c>
      <c r="B64" s="44">
        <v>92.0</v>
      </c>
      <c r="C64" s="44" t="s">
        <v>237</v>
      </c>
      <c r="D64" s="44" t="s">
        <v>238</v>
      </c>
      <c r="E64" s="44" t="s">
        <v>239</v>
      </c>
      <c r="F64" s="44">
        <v>180.0</v>
      </c>
      <c r="G64" s="44">
        <f t="shared" si="1"/>
        <v>48</v>
      </c>
      <c r="H64" s="44">
        <f t="shared" si="2"/>
        <v>6</v>
      </c>
    </row>
    <row r="65">
      <c r="A65" s="46">
        <v>64.0</v>
      </c>
      <c r="B65" s="46">
        <v>95.0</v>
      </c>
      <c r="C65" s="46" t="s">
        <v>240</v>
      </c>
      <c r="D65" s="46" t="s">
        <v>241</v>
      </c>
      <c r="E65" s="46" t="s">
        <v>242</v>
      </c>
      <c r="F65" s="46">
        <v>180.0</v>
      </c>
      <c r="G65" s="46">
        <f t="shared" si="1"/>
        <v>48</v>
      </c>
      <c r="H65" s="46">
        <f t="shared" si="2"/>
        <v>6</v>
      </c>
    </row>
    <row r="66">
      <c r="A66" s="44">
        <v>65.0</v>
      </c>
      <c r="B66" s="44">
        <v>97.0</v>
      </c>
      <c r="C66" s="44" t="s">
        <v>243</v>
      </c>
      <c r="D66" s="44" t="s">
        <v>244</v>
      </c>
      <c r="E66" s="44" t="s">
        <v>245</v>
      </c>
      <c r="F66" s="44">
        <v>216.0</v>
      </c>
      <c r="G66" s="44">
        <f t="shared" si="1"/>
        <v>54</v>
      </c>
      <c r="H66" s="44">
        <f t="shared" si="2"/>
        <v>6.75</v>
      </c>
    </row>
    <row r="67">
      <c r="A67" s="46">
        <v>66.0</v>
      </c>
      <c r="B67" s="46">
        <v>98.0</v>
      </c>
      <c r="C67" s="46" t="s">
        <v>246</v>
      </c>
      <c r="D67" s="46" t="s">
        <v>247</v>
      </c>
      <c r="E67" s="46" t="s">
        <v>248</v>
      </c>
      <c r="F67" s="46">
        <v>252.0</v>
      </c>
      <c r="G67" s="46">
        <f t="shared" si="1"/>
        <v>60</v>
      </c>
      <c r="H67" s="46">
        <f t="shared" si="2"/>
        <v>7.5</v>
      </c>
    </row>
    <row r="68">
      <c r="A68" s="44">
        <v>67.0</v>
      </c>
      <c r="B68" s="44">
        <v>100.0</v>
      </c>
      <c r="C68" s="44" t="s">
        <v>249</v>
      </c>
      <c r="D68" s="44" t="s">
        <v>250</v>
      </c>
      <c r="E68" s="44" t="s">
        <v>251</v>
      </c>
      <c r="F68" s="44">
        <v>252.0</v>
      </c>
      <c r="G68" s="44">
        <f t="shared" si="1"/>
        <v>60</v>
      </c>
      <c r="H68" s="44">
        <f t="shared" si="2"/>
        <v>7.5</v>
      </c>
    </row>
    <row r="69">
      <c r="A69" s="46">
        <v>68.0</v>
      </c>
      <c r="B69" s="46">
        <v>103.0</v>
      </c>
      <c r="C69" s="46" t="s">
        <v>252</v>
      </c>
      <c r="D69" s="46" t="s">
        <v>253</v>
      </c>
      <c r="E69" s="46" t="s">
        <v>254</v>
      </c>
      <c r="F69" s="46">
        <v>252.0</v>
      </c>
      <c r="G69" s="46">
        <f t="shared" si="1"/>
        <v>60</v>
      </c>
      <c r="H69" s="46">
        <f t="shared" si="2"/>
        <v>7.5</v>
      </c>
    </row>
    <row r="70">
      <c r="A70" s="44">
        <v>69.0</v>
      </c>
      <c r="B70" s="44">
        <v>105.0</v>
      </c>
      <c r="C70" s="44" t="s">
        <v>255</v>
      </c>
      <c r="D70" s="44" t="s">
        <v>256</v>
      </c>
      <c r="E70" s="44" t="s">
        <v>257</v>
      </c>
      <c r="F70" s="44">
        <v>216.0</v>
      </c>
      <c r="G70" s="44">
        <f t="shared" si="1"/>
        <v>54</v>
      </c>
      <c r="H70" s="44">
        <f t="shared" si="2"/>
        <v>6.75</v>
      </c>
    </row>
    <row r="71">
      <c r="A71" s="46">
        <v>70.0</v>
      </c>
      <c r="B71" s="46">
        <v>106.0</v>
      </c>
      <c r="C71" s="46" t="s">
        <v>258</v>
      </c>
      <c r="D71" s="46" t="s">
        <v>259</v>
      </c>
      <c r="E71" s="46" t="s">
        <v>260</v>
      </c>
      <c r="F71" s="46">
        <v>252.0</v>
      </c>
      <c r="G71" s="46">
        <f t="shared" si="1"/>
        <v>60</v>
      </c>
      <c r="H71" s="46">
        <f t="shared" si="2"/>
        <v>7.5</v>
      </c>
    </row>
    <row r="72">
      <c r="A72" s="44">
        <v>71.0</v>
      </c>
      <c r="B72" s="44">
        <v>108.0</v>
      </c>
      <c r="C72" s="44" t="s">
        <v>261</v>
      </c>
      <c r="D72" s="44" t="s">
        <v>262</v>
      </c>
      <c r="E72" s="44" t="s">
        <v>263</v>
      </c>
      <c r="F72" s="44">
        <v>252.0</v>
      </c>
      <c r="G72" s="44">
        <f t="shared" si="1"/>
        <v>60</v>
      </c>
      <c r="H72" s="44">
        <f t="shared" si="2"/>
        <v>7.5</v>
      </c>
    </row>
    <row r="73">
      <c r="A73" s="46">
        <v>72.0</v>
      </c>
      <c r="B73" s="46">
        <v>109.0</v>
      </c>
      <c r="C73" s="46" t="s">
        <v>264</v>
      </c>
      <c r="D73" s="46" t="s">
        <v>265</v>
      </c>
      <c r="E73" s="46" t="s">
        <v>266</v>
      </c>
      <c r="F73" s="46">
        <v>252.0</v>
      </c>
      <c r="G73" s="46">
        <f t="shared" si="1"/>
        <v>60</v>
      </c>
      <c r="H73" s="46">
        <f t="shared" si="2"/>
        <v>7.5</v>
      </c>
    </row>
    <row r="74">
      <c r="A74" s="44">
        <v>73.0</v>
      </c>
      <c r="B74" s="44">
        <v>111.0</v>
      </c>
      <c r="C74" s="44" t="s">
        <v>267</v>
      </c>
      <c r="D74" s="44" t="s">
        <v>268</v>
      </c>
      <c r="E74" s="44" t="s">
        <v>269</v>
      </c>
      <c r="F74" s="44">
        <v>144.0</v>
      </c>
      <c r="G74" s="44">
        <f t="shared" si="1"/>
        <v>42</v>
      </c>
      <c r="H74" s="44">
        <f t="shared" si="2"/>
        <v>5.25</v>
      </c>
    </row>
    <row r="75">
      <c r="A75" s="46">
        <v>74.0</v>
      </c>
      <c r="B75" s="46">
        <v>112.0</v>
      </c>
      <c r="C75" s="46" t="s">
        <v>270</v>
      </c>
      <c r="D75" s="46" t="s">
        <v>271</v>
      </c>
      <c r="E75" s="46" t="s">
        <v>272</v>
      </c>
      <c r="F75" s="46">
        <v>216.0</v>
      </c>
      <c r="G75" s="46">
        <f t="shared" si="1"/>
        <v>54</v>
      </c>
      <c r="H75" s="46">
        <f t="shared" si="2"/>
        <v>6.75</v>
      </c>
    </row>
    <row r="76">
      <c r="A76" s="44">
        <v>75.0</v>
      </c>
      <c r="B76" s="44">
        <v>113.0</v>
      </c>
      <c r="C76" s="44" t="s">
        <v>273</v>
      </c>
      <c r="D76" s="44" t="s">
        <v>274</v>
      </c>
      <c r="E76" s="44" t="s">
        <v>275</v>
      </c>
      <c r="F76" s="44">
        <v>252.0</v>
      </c>
      <c r="G76" s="44">
        <f t="shared" si="1"/>
        <v>60</v>
      </c>
      <c r="H76" s="44">
        <f t="shared" si="2"/>
        <v>7.5</v>
      </c>
    </row>
    <row r="77">
      <c r="A77" s="46">
        <v>76.0</v>
      </c>
      <c r="B77" s="46">
        <v>114.0</v>
      </c>
      <c r="C77" s="46" t="s">
        <v>276</v>
      </c>
      <c r="D77" s="46" t="s">
        <v>277</v>
      </c>
      <c r="E77" s="46" t="s">
        <v>278</v>
      </c>
      <c r="F77" s="46">
        <v>216.0</v>
      </c>
      <c r="G77" s="46">
        <f t="shared" si="1"/>
        <v>54</v>
      </c>
      <c r="H77" s="46">
        <f t="shared" si="2"/>
        <v>6.75</v>
      </c>
    </row>
    <row r="78">
      <c r="A78" s="44">
        <v>77.0</v>
      </c>
      <c r="B78" s="44">
        <v>117.0</v>
      </c>
      <c r="C78" s="44" t="s">
        <v>279</v>
      </c>
      <c r="D78" s="44" t="s">
        <v>280</v>
      </c>
      <c r="E78" s="44" t="s">
        <v>281</v>
      </c>
      <c r="F78" s="44">
        <v>216.0</v>
      </c>
      <c r="G78" s="44">
        <f t="shared" si="1"/>
        <v>54</v>
      </c>
      <c r="H78" s="44">
        <f t="shared" si="2"/>
        <v>6.75</v>
      </c>
    </row>
    <row r="79">
      <c r="A79" s="46">
        <v>78.0</v>
      </c>
      <c r="B79" s="46">
        <v>119.0</v>
      </c>
      <c r="C79" s="46" t="s">
        <v>282</v>
      </c>
      <c r="D79" s="46" t="s">
        <v>283</v>
      </c>
      <c r="E79" s="46" t="s">
        <v>284</v>
      </c>
      <c r="F79" s="46">
        <v>252.0</v>
      </c>
      <c r="G79" s="46">
        <f t="shared" si="1"/>
        <v>60</v>
      </c>
      <c r="H79" s="46">
        <f t="shared" si="2"/>
        <v>7.5</v>
      </c>
    </row>
    <row r="80">
      <c r="A80" s="44">
        <v>79.0</v>
      </c>
      <c r="B80" s="44">
        <v>120.0</v>
      </c>
      <c r="C80" s="44" t="s">
        <v>285</v>
      </c>
      <c r="D80" s="44" t="s">
        <v>286</v>
      </c>
      <c r="E80" s="44" t="s">
        <v>287</v>
      </c>
      <c r="F80" s="44">
        <v>252.0</v>
      </c>
      <c r="G80" s="44">
        <f t="shared" si="1"/>
        <v>60</v>
      </c>
      <c r="H80" s="44">
        <f t="shared" si="2"/>
        <v>7.5</v>
      </c>
    </row>
    <row r="81">
      <c r="A81" s="46">
        <v>80.0</v>
      </c>
      <c r="B81" s="46">
        <v>121.0</v>
      </c>
      <c r="C81" s="46" t="s">
        <v>288</v>
      </c>
      <c r="D81" s="46" t="s">
        <v>289</v>
      </c>
      <c r="E81" s="46" t="s">
        <v>290</v>
      </c>
      <c r="F81" s="46">
        <v>216.0</v>
      </c>
      <c r="G81" s="46">
        <f t="shared" si="1"/>
        <v>54</v>
      </c>
      <c r="H81" s="46">
        <f t="shared" si="2"/>
        <v>6.75</v>
      </c>
    </row>
    <row r="82">
      <c r="A82" s="44">
        <v>81.0</v>
      </c>
      <c r="B82" s="44">
        <v>122.0</v>
      </c>
      <c r="C82" s="44" t="s">
        <v>291</v>
      </c>
      <c r="D82" s="44" t="s">
        <v>292</v>
      </c>
      <c r="E82" s="44" t="s">
        <v>293</v>
      </c>
      <c r="F82" s="44">
        <v>216.0</v>
      </c>
      <c r="G82" s="44">
        <f t="shared" si="1"/>
        <v>54</v>
      </c>
      <c r="H82" s="44">
        <f t="shared" si="2"/>
        <v>6.75</v>
      </c>
    </row>
    <row r="83">
      <c r="A83" s="46">
        <v>82.0</v>
      </c>
      <c r="B83" s="46">
        <v>123.0</v>
      </c>
      <c r="C83" s="46" t="s">
        <v>294</v>
      </c>
      <c r="D83" s="46" t="s">
        <v>295</v>
      </c>
      <c r="E83" s="46" t="s">
        <v>296</v>
      </c>
      <c r="F83" s="46">
        <v>216.0</v>
      </c>
      <c r="G83" s="46">
        <f t="shared" si="1"/>
        <v>54</v>
      </c>
      <c r="H83" s="46">
        <f t="shared" si="2"/>
        <v>6.75</v>
      </c>
    </row>
    <row r="84">
      <c r="A84" s="44">
        <v>83.0</v>
      </c>
      <c r="B84" s="44">
        <v>124.0</v>
      </c>
      <c r="C84" s="44" t="s">
        <v>297</v>
      </c>
      <c r="D84" s="44" t="s">
        <v>298</v>
      </c>
      <c r="E84" s="44" t="s">
        <v>299</v>
      </c>
      <c r="F84" s="44">
        <v>252.0</v>
      </c>
      <c r="G84" s="44">
        <f t="shared" si="1"/>
        <v>60</v>
      </c>
      <c r="H84" s="44">
        <f t="shared" si="2"/>
        <v>7.5</v>
      </c>
    </row>
    <row r="85">
      <c r="A85" s="46">
        <v>84.0</v>
      </c>
      <c r="B85" s="46">
        <v>126.0</v>
      </c>
      <c r="C85" s="46" t="s">
        <v>300</v>
      </c>
      <c r="D85" s="46" t="s">
        <v>301</v>
      </c>
      <c r="E85" s="46" t="s">
        <v>302</v>
      </c>
      <c r="F85" s="46">
        <v>252.0</v>
      </c>
      <c r="G85" s="46">
        <f t="shared" si="1"/>
        <v>60</v>
      </c>
      <c r="H85" s="46">
        <f t="shared" si="2"/>
        <v>7.5</v>
      </c>
    </row>
    <row r="86">
      <c r="A86" s="44">
        <v>85.0</v>
      </c>
      <c r="B86" s="44">
        <v>127.0</v>
      </c>
      <c r="C86" s="44" t="s">
        <v>303</v>
      </c>
      <c r="D86" s="44" t="s">
        <v>304</v>
      </c>
      <c r="E86" s="44" t="s">
        <v>305</v>
      </c>
      <c r="F86" s="44">
        <v>144.0</v>
      </c>
      <c r="G86" s="44">
        <f t="shared" si="1"/>
        <v>42</v>
      </c>
      <c r="H86" s="44">
        <f t="shared" si="2"/>
        <v>5.25</v>
      </c>
    </row>
    <row r="87">
      <c r="A87" s="46">
        <v>86.0</v>
      </c>
      <c r="B87" s="46">
        <v>129.0</v>
      </c>
      <c r="C87" s="46" t="s">
        <v>306</v>
      </c>
      <c r="D87" s="46" t="s">
        <v>307</v>
      </c>
      <c r="E87" s="46" t="s">
        <v>308</v>
      </c>
      <c r="F87" s="46">
        <v>252.0</v>
      </c>
      <c r="G87" s="46">
        <f t="shared" si="1"/>
        <v>60</v>
      </c>
      <c r="H87" s="46">
        <f t="shared" si="2"/>
        <v>7.5</v>
      </c>
    </row>
    <row r="88">
      <c r="A88" s="44">
        <v>87.0</v>
      </c>
      <c r="B88" s="44">
        <v>130.0</v>
      </c>
      <c r="C88" s="44" t="s">
        <v>309</v>
      </c>
      <c r="D88" s="44" t="s">
        <v>310</v>
      </c>
      <c r="E88" s="44" t="s">
        <v>311</v>
      </c>
      <c r="F88" s="44">
        <v>252.0</v>
      </c>
      <c r="G88" s="44">
        <f t="shared" si="1"/>
        <v>60</v>
      </c>
      <c r="H88" s="44">
        <f t="shared" si="2"/>
        <v>7.5</v>
      </c>
    </row>
    <row r="89">
      <c r="A89" s="46">
        <v>88.0</v>
      </c>
      <c r="B89" s="46">
        <v>132.0</v>
      </c>
      <c r="C89" s="46" t="s">
        <v>312</v>
      </c>
      <c r="D89" s="46" t="s">
        <v>313</v>
      </c>
      <c r="E89" s="46" t="s">
        <v>314</v>
      </c>
      <c r="F89" s="46">
        <v>180.0</v>
      </c>
      <c r="G89" s="46">
        <f t="shared" si="1"/>
        <v>48</v>
      </c>
      <c r="H89" s="46">
        <f t="shared" si="2"/>
        <v>6</v>
      </c>
    </row>
    <row r="90">
      <c r="A90" s="44">
        <v>89.0</v>
      </c>
      <c r="B90" s="44">
        <v>133.0</v>
      </c>
      <c r="C90" s="44" t="s">
        <v>315</v>
      </c>
      <c r="D90" s="44" t="s">
        <v>316</v>
      </c>
      <c r="E90" s="44" t="s">
        <v>317</v>
      </c>
      <c r="F90" s="44">
        <v>180.0</v>
      </c>
      <c r="G90" s="44">
        <f t="shared" si="1"/>
        <v>48</v>
      </c>
      <c r="H90" s="44">
        <f t="shared" si="2"/>
        <v>6</v>
      </c>
    </row>
    <row r="91">
      <c r="A91" s="46">
        <v>90.0</v>
      </c>
      <c r="B91" s="46">
        <v>137.0</v>
      </c>
      <c r="C91" s="46" t="s">
        <v>318</v>
      </c>
      <c r="D91" s="46" t="s">
        <v>319</v>
      </c>
      <c r="E91" s="46" t="s">
        <v>320</v>
      </c>
      <c r="F91" s="46">
        <v>252.0</v>
      </c>
      <c r="G91" s="46">
        <f t="shared" si="1"/>
        <v>60</v>
      </c>
      <c r="H91" s="46">
        <f t="shared" si="2"/>
        <v>7.5</v>
      </c>
    </row>
    <row r="92">
      <c r="A92" s="44">
        <v>91.0</v>
      </c>
      <c r="B92" s="44">
        <v>144.0</v>
      </c>
      <c r="C92" s="44" t="s">
        <v>321</v>
      </c>
      <c r="D92" s="44" t="s">
        <v>322</v>
      </c>
      <c r="E92" s="44" t="s">
        <v>323</v>
      </c>
      <c r="F92" s="44">
        <v>252.0</v>
      </c>
      <c r="G92" s="44">
        <f t="shared" si="1"/>
        <v>60</v>
      </c>
      <c r="H92" s="44">
        <f t="shared" si="2"/>
        <v>7.5</v>
      </c>
    </row>
    <row r="93">
      <c r="A93" s="46">
        <v>92.0</v>
      </c>
      <c r="B93" s="46">
        <v>146.0</v>
      </c>
      <c r="C93" s="46" t="s">
        <v>324</v>
      </c>
      <c r="D93" s="46" t="s">
        <v>325</v>
      </c>
      <c r="E93" s="46" t="s">
        <v>326</v>
      </c>
      <c r="F93" s="46">
        <v>216.0</v>
      </c>
      <c r="G93" s="46">
        <f t="shared" si="1"/>
        <v>54</v>
      </c>
      <c r="H93" s="46">
        <f t="shared" si="2"/>
        <v>6.75</v>
      </c>
    </row>
    <row r="94">
      <c r="A94" s="44">
        <v>93.0</v>
      </c>
      <c r="B94" s="44">
        <v>148.0</v>
      </c>
      <c r="C94" s="44" t="s">
        <v>327</v>
      </c>
      <c r="D94" s="44" t="s">
        <v>328</v>
      </c>
      <c r="E94" s="44" t="s">
        <v>329</v>
      </c>
      <c r="F94" s="44">
        <v>216.0</v>
      </c>
      <c r="G94" s="44">
        <f t="shared" si="1"/>
        <v>54</v>
      </c>
      <c r="H94" s="44">
        <f t="shared" si="2"/>
        <v>6.75</v>
      </c>
    </row>
    <row r="95">
      <c r="A95" s="46">
        <v>94.0</v>
      </c>
      <c r="B95" s="46">
        <v>151.0</v>
      </c>
      <c r="C95" s="46" t="s">
        <v>330</v>
      </c>
      <c r="D95" s="46" t="s">
        <v>331</v>
      </c>
      <c r="E95" s="46" t="s">
        <v>332</v>
      </c>
      <c r="F95" s="46">
        <v>72.0</v>
      </c>
      <c r="G95" s="46">
        <f t="shared" si="1"/>
        <v>30</v>
      </c>
      <c r="H95" s="46">
        <f t="shared" si="2"/>
        <v>3.75</v>
      </c>
    </row>
    <row r="96">
      <c r="A96" s="44">
        <v>95.0</v>
      </c>
      <c r="B96" s="44">
        <v>152.0</v>
      </c>
      <c r="C96" s="44" t="s">
        <v>333</v>
      </c>
      <c r="D96" s="44" t="s">
        <v>334</v>
      </c>
      <c r="E96" s="44" t="s">
        <v>335</v>
      </c>
      <c r="F96" s="44">
        <v>252.0</v>
      </c>
      <c r="G96" s="44">
        <f t="shared" si="1"/>
        <v>60</v>
      </c>
      <c r="H96" s="44">
        <f t="shared" si="2"/>
        <v>7.5</v>
      </c>
    </row>
    <row r="97">
      <c r="A97" s="46">
        <v>96.0</v>
      </c>
      <c r="B97" s="46">
        <v>153.0</v>
      </c>
      <c r="C97" s="46" t="s">
        <v>336</v>
      </c>
      <c r="D97" s="46" t="s">
        <v>337</v>
      </c>
      <c r="E97" s="46" t="s">
        <v>338</v>
      </c>
      <c r="F97" s="46">
        <v>252.0</v>
      </c>
      <c r="G97" s="46">
        <f t="shared" si="1"/>
        <v>60</v>
      </c>
      <c r="H97" s="46">
        <f t="shared" si="2"/>
        <v>7.5</v>
      </c>
    </row>
    <row r="98">
      <c r="A98" s="44">
        <v>97.0</v>
      </c>
      <c r="B98" s="44">
        <v>154.0</v>
      </c>
      <c r="C98" s="44" t="s">
        <v>339</v>
      </c>
      <c r="D98" s="44" t="s">
        <v>340</v>
      </c>
      <c r="E98" s="44" t="s">
        <v>341</v>
      </c>
      <c r="F98" s="44">
        <v>108.0</v>
      </c>
      <c r="G98" s="44">
        <f t="shared" si="1"/>
        <v>36</v>
      </c>
      <c r="H98" s="44">
        <f t="shared" si="2"/>
        <v>4.5</v>
      </c>
    </row>
    <row r="99">
      <c r="A99" s="46">
        <v>98.0</v>
      </c>
      <c r="B99" s="46">
        <v>155.0</v>
      </c>
      <c r="C99" s="46" t="s">
        <v>342</v>
      </c>
      <c r="D99" s="46" t="s">
        <v>343</v>
      </c>
      <c r="E99" s="46" t="s">
        <v>344</v>
      </c>
      <c r="F99" s="46">
        <v>72.0</v>
      </c>
      <c r="G99" s="46">
        <f t="shared" si="1"/>
        <v>30</v>
      </c>
      <c r="H99" s="46">
        <f t="shared" si="2"/>
        <v>3.75</v>
      </c>
    </row>
    <row r="100">
      <c r="A100" s="44">
        <v>99.0</v>
      </c>
      <c r="B100" s="44">
        <v>156.0</v>
      </c>
      <c r="C100" s="44" t="s">
        <v>345</v>
      </c>
      <c r="D100" s="44" t="s">
        <v>346</v>
      </c>
      <c r="E100" s="44" t="s">
        <v>347</v>
      </c>
      <c r="F100" s="44">
        <v>252.0</v>
      </c>
      <c r="G100" s="44">
        <f t="shared" si="1"/>
        <v>60</v>
      </c>
      <c r="H100" s="44">
        <f t="shared" si="2"/>
        <v>7.5</v>
      </c>
    </row>
    <row r="101">
      <c r="A101" s="46">
        <v>100.0</v>
      </c>
      <c r="B101" s="46">
        <v>157.0</v>
      </c>
      <c r="C101" s="46" t="s">
        <v>348</v>
      </c>
      <c r="D101" s="46" t="s">
        <v>349</v>
      </c>
      <c r="E101" s="46" t="s">
        <v>350</v>
      </c>
      <c r="F101" s="46">
        <v>252.0</v>
      </c>
      <c r="G101" s="46">
        <f t="shared" si="1"/>
        <v>60</v>
      </c>
      <c r="H101" s="46">
        <f t="shared" si="2"/>
        <v>7.5</v>
      </c>
    </row>
    <row r="102">
      <c r="A102" s="44">
        <v>101.0</v>
      </c>
      <c r="B102" s="44">
        <v>158.0</v>
      </c>
      <c r="C102" s="44" t="s">
        <v>351</v>
      </c>
      <c r="D102" s="44" t="s">
        <v>352</v>
      </c>
      <c r="E102" s="44" t="s">
        <v>353</v>
      </c>
      <c r="F102" s="44">
        <v>36.0</v>
      </c>
      <c r="G102" s="44">
        <f t="shared" si="1"/>
        <v>24</v>
      </c>
      <c r="H102" s="44">
        <f t="shared" si="2"/>
        <v>3</v>
      </c>
    </row>
    <row r="103">
      <c r="A103" s="46">
        <v>102.0</v>
      </c>
      <c r="B103" s="46">
        <v>159.0</v>
      </c>
      <c r="C103" s="46" t="s">
        <v>354</v>
      </c>
      <c r="D103" s="46" t="s">
        <v>355</v>
      </c>
      <c r="E103" s="46" t="s">
        <v>356</v>
      </c>
      <c r="F103" s="46">
        <v>72.0</v>
      </c>
      <c r="G103" s="46">
        <f t="shared" si="1"/>
        <v>30</v>
      </c>
      <c r="H103" s="46">
        <f t="shared" si="2"/>
        <v>3.75</v>
      </c>
    </row>
    <row r="104">
      <c r="A104" s="44">
        <v>103.0</v>
      </c>
      <c r="B104" s="44">
        <v>160.0</v>
      </c>
      <c r="C104" s="44" t="s">
        <v>357</v>
      </c>
      <c r="D104" s="44" t="s">
        <v>358</v>
      </c>
      <c r="E104" s="44" t="s">
        <v>359</v>
      </c>
      <c r="F104" s="44">
        <v>216.0</v>
      </c>
      <c r="G104" s="44">
        <f t="shared" si="1"/>
        <v>54</v>
      </c>
      <c r="H104" s="44">
        <f t="shared" si="2"/>
        <v>6.75</v>
      </c>
    </row>
    <row r="105">
      <c r="A105" s="46">
        <v>104.0</v>
      </c>
      <c r="B105" s="46">
        <v>161.0</v>
      </c>
      <c r="C105" s="46" t="s">
        <v>360</v>
      </c>
      <c r="D105" s="46" t="s">
        <v>361</v>
      </c>
      <c r="E105" s="46" t="s">
        <v>362</v>
      </c>
      <c r="F105" s="46">
        <v>252.0</v>
      </c>
      <c r="G105" s="46">
        <f t="shared" si="1"/>
        <v>60</v>
      </c>
      <c r="H105" s="46">
        <f t="shared" si="2"/>
        <v>7.5</v>
      </c>
    </row>
    <row r="106">
      <c r="A106" s="44">
        <v>105.0</v>
      </c>
      <c r="B106" s="44">
        <v>163.0</v>
      </c>
      <c r="C106" s="44" t="s">
        <v>363</v>
      </c>
      <c r="D106" s="44" t="s">
        <v>364</v>
      </c>
      <c r="E106" s="44" t="s">
        <v>365</v>
      </c>
      <c r="F106" s="44">
        <v>180.0</v>
      </c>
      <c r="G106" s="44">
        <f t="shared" si="1"/>
        <v>48</v>
      </c>
      <c r="H106" s="44">
        <f t="shared" si="2"/>
        <v>6</v>
      </c>
    </row>
    <row r="107">
      <c r="A107" s="46">
        <v>106.0</v>
      </c>
      <c r="B107" s="46">
        <v>166.0</v>
      </c>
      <c r="C107" s="46" t="s">
        <v>366</v>
      </c>
      <c r="D107" s="46" t="s">
        <v>367</v>
      </c>
      <c r="E107" s="46" t="s">
        <v>368</v>
      </c>
      <c r="F107" s="46">
        <v>108.0</v>
      </c>
      <c r="G107" s="46">
        <f t="shared" si="1"/>
        <v>36</v>
      </c>
      <c r="H107" s="46">
        <f t="shared" si="2"/>
        <v>4.5</v>
      </c>
    </row>
    <row r="108">
      <c r="A108" s="44">
        <v>107.0</v>
      </c>
      <c r="B108" s="44">
        <v>167.0</v>
      </c>
      <c r="C108" s="44" t="s">
        <v>369</v>
      </c>
      <c r="D108" s="44" t="s">
        <v>370</v>
      </c>
      <c r="E108" s="44" t="s">
        <v>371</v>
      </c>
      <c r="F108" s="44">
        <v>72.0</v>
      </c>
      <c r="G108" s="44">
        <f t="shared" si="1"/>
        <v>30</v>
      </c>
      <c r="H108" s="44">
        <f t="shared" si="2"/>
        <v>3.75</v>
      </c>
    </row>
    <row r="109">
      <c r="A109" s="46">
        <v>108.0</v>
      </c>
      <c r="B109" s="46">
        <v>168.0</v>
      </c>
      <c r="C109" s="46" t="s">
        <v>372</v>
      </c>
      <c r="D109" s="46" t="s">
        <v>373</v>
      </c>
      <c r="E109" s="46" t="s">
        <v>374</v>
      </c>
      <c r="F109" s="46">
        <v>180.0</v>
      </c>
      <c r="G109" s="46">
        <f t="shared" si="1"/>
        <v>48</v>
      </c>
      <c r="H109" s="46">
        <f t="shared" si="2"/>
        <v>6</v>
      </c>
    </row>
    <row r="110">
      <c r="A110" s="44">
        <v>109.0</v>
      </c>
      <c r="B110" s="44">
        <v>170.0</v>
      </c>
      <c r="C110" s="44" t="s">
        <v>375</v>
      </c>
      <c r="D110" s="44" t="s">
        <v>376</v>
      </c>
      <c r="E110" s="44" t="s">
        <v>377</v>
      </c>
      <c r="F110" s="44">
        <v>108.0</v>
      </c>
      <c r="G110" s="44">
        <f t="shared" si="1"/>
        <v>36</v>
      </c>
      <c r="H110" s="44">
        <f t="shared" si="2"/>
        <v>4.5</v>
      </c>
    </row>
    <row r="111">
      <c r="A111" s="46">
        <v>110.0</v>
      </c>
      <c r="B111" s="46">
        <v>172.0</v>
      </c>
      <c r="C111" s="46" t="s">
        <v>378</v>
      </c>
      <c r="D111" s="46" t="s">
        <v>379</v>
      </c>
      <c r="E111" s="46" t="s">
        <v>380</v>
      </c>
      <c r="F111" s="46">
        <v>180.0</v>
      </c>
      <c r="G111" s="46">
        <f t="shared" si="1"/>
        <v>48</v>
      </c>
      <c r="H111" s="46">
        <f t="shared" si="2"/>
        <v>6</v>
      </c>
    </row>
    <row r="112">
      <c r="A112" s="44">
        <v>111.0</v>
      </c>
      <c r="B112" s="44">
        <v>173.0</v>
      </c>
      <c r="C112" s="44" t="s">
        <v>381</v>
      </c>
      <c r="D112" s="44" t="s">
        <v>382</v>
      </c>
      <c r="E112" s="44" t="s">
        <v>383</v>
      </c>
      <c r="F112" s="44">
        <v>72.0</v>
      </c>
      <c r="G112" s="44">
        <f t="shared" si="1"/>
        <v>30</v>
      </c>
      <c r="H112" s="44">
        <f t="shared" si="2"/>
        <v>3.75</v>
      </c>
    </row>
    <row r="113">
      <c r="A113" s="46">
        <v>112.0</v>
      </c>
      <c r="B113" s="46">
        <v>174.0</v>
      </c>
      <c r="C113" s="46" t="s">
        <v>384</v>
      </c>
      <c r="D113" s="46" t="s">
        <v>385</v>
      </c>
      <c r="E113" s="46" t="s">
        <v>386</v>
      </c>
      <c r="F113" s="46">
        <v>216.0</v>
      </c>
      <c r="G113" s="46">
        <f t="shared" si="1"/>
        <v>54</v>
      </c>
      <c r="H113" s="46">
        <f t="shared" si="2"/>
        <v>6.75</v>
      </c>
    </row>
    <row r="114">
      <c r="A114" s="44">
        <v>113.0</v>
      </c>
      <c r="B114" s="44">
        <v>175.0</v>
      </c>
      <c r="C114" s="44" t="s">
        <v>387</v>
      </c>
      <c r="D114" s="44" t="s">
        <v>388</v>
      </c>
      <c r="E114" s="44" t="s">
        <v>389</v>
      </c>
      <c r="F114" s="44">
        <v>216.0</v>
      </c>
      <c r="G114" s="44">
        <f t="shared" si="1"/>
        <v>54</v>
      </c>
      <c r="H114" s="44">
        <f t="shared" si="2"/>
        <v>6.75</v>
      </c>
    </row>
    <row r="115">
      <c r="A115" s="46">
        <v>114.0</v>
      </c>
      <c r="B115" s="46">
        <v>176.0</v>
      </c>
      <c r="C115" s="46" t="s">
        <v>390</v>
      </c>
      <c r="D115" s="46" t="s">
        <v>391</v>
      </c>
      <c r="E115" s="46" t="s">
        <v>392</v>
      </c>
      <c r="F115" s="46">
        <v>216.0</v>
      </c>
      <c r="G115" s="46">
        <f t="shared" si="1"/>
        <v>54</v>
      </c>
      <c r="H115" s="46">
        <f t="shared" si="2"/>
        <v>6.75</v>
      </c>
    </row>
    <row r="116">
      <c r="A116" s="44">
        <v>115.0</v>
      </c>
      <c r="B116" s="44">
        <v>177.0</v>
      </c>
      <c r="C116" s="44" t="s">
        <v>393</v>
      </c>
      <c r="D116" s="44" t="s">
        <v>394</v>
      </c>
      <c r="E116" s="44" t="s">
        <v>395</v>
      </c>
      <c r="F116" s="44">
        <v>216.0</v>
      </c>
      <c r="G116" s="44">
        <f t="shared" si="1"/>
        <v>54</v>
      </c>
      <c r="H116" s="44">
        <f t="shared" si="2"/>
        <v>6.75</v>
      </c>
    </row>
    <row r="117">
      <c r="A117" s="46">
        <v>116.0</v>
      </c>
      <c r="B117" s="46">
        <v>179.0</v>
      </c>
      <c r="C117" s="46" t="s">
        <v>396</v>
      </c>
      <c r="D117" s="46" t="s">
        <v>397</v>
      </c>
      <c r="E117" s="46" t="s">
        <v>398</v>
      </c>
      <c r="F117" s="46">
        <v>144.0</v>
      </c>
      <c r="G117" s="46">
        <f t="shared" si="1"/>
        <v>42</v>
      </c>
      <c r="H117" s="46">
        <f t="shared" si="2"/>
        <v>5.25</v>
      </c>
    </row>
    <row r="118">
      <c r="A118" s="44">
        <v>117.0</v>
      </c>
      <c r="B118" s="44">
        <v>180.0</v>
      </c>
      <c r="C118" s="44" t="s">
        <v>399</v>
      </c>
      <c r="D118" s="44" t="s">
        <v>400</v>
      </c>
      <c r="E118" s="44" t="s">
        <v>401</v>
      </c>
      <c r="F118" s="44">
        <v>108.0</v>
      </c>
      <c r="G118" s="44">
        <f t="shared" si="1"/>
        <v>36</v>
      </c>
      <c r="H118" s="44">
        <f t="shared" si="2"/>
        <v>4.5</v>
      </c>
    </row>
    <row r="119">
      <c r="A119" s="46">
        <v>118.0</v>
      </c>
      <c r="B119" s="46">
        <v>181.0</v>
      </c>
      <c r="C119" s="46" t="s">
        <v>402</v>
      </c>
      <c r="D119" s="46" t="s">
        <v>403</v>
      </c>
      <c r="E119" s="46" t="s">
        <v>404</v>
      </c>
      <c r="F119" s="46">
        <v>72.0</v>
      </c>
      <c r="G119" s="46">
        <f t="shared" si="1"/>
        <v>30</v>
      </c>
      <c r="H119" s="46">
        <f t="shared" si="2"/>
        <v>3.75</v>
      </c>
    </row>
    <row r="120">
      <c r="A120" s="44">
        <v>119.0</v>
      </c>
      <c r="B120" s="44">
        <v>183.0</v>
      </c>
      <c r="C120" s="44" t="s">
        <v>405</v>
      </c>
      <c r="D120" s="44" t="s">
        <v>406</v>
      </c>
      <c r="E120" s="44" t="s">
        <v>407</v>
      </c>
      <c r="F120" s="44">
        <v>108.0</v>
      </c>
      <c r="G120" s="44">
        <f t="shared" si="1"/>
        <v>36</v>
      </c>
      <c r="H120" s="44">
        <f t="shared" si="2"/>
        <v>4.5</v>
      </c>
    </row>
    <row r="121">
      <c r="A121" s="46">
        <v>120.0</v>
      </c>
      <c r="B121" s="46">
        <v>184.0</v>
      </c>
      <c r="C121" s="46" t="s">
        <v>408</v>
      </c>
      <c r="D121" s="46" t="s">
        <v>409</v>
      </c>
      <c r="E121" s="46" t="s">
        <v>410</v>
      </c>
      <c r="F121" s="46">
        <v>144.0</v>
      </c>
      <c r="G121" s="46">
        <f t="shared" si="1"/>
        <v>42</v>
      </c>
      <c r="H121" s="46">
        <f t="shared" si="2"/>
        <v>5.25</v>
      </c>
    </row>
    <row r="122">
      <c r="A122" s="44">
        <v>121.0</v>
      </c>
      <c r="B122" s="44">
        <v>186.0</v>
      </c>
      <c r="C122" s="44" t="s">
        <v>411</v>
      </c>
      <c r="D122" s="44" t="s">
        <v>412</v>
      </c>
      <c r="E122" s="44" t="s">
        <v>413</v>
      </c>
      <c r="F122" s="44">
        <v>72.0</v>
      </c>
      <c r="G122" s="44">
        <f t="shared" si="1"/>
        <v>30</v>
      </c>
      <c r="H122" s="44">
        <f t="shared" si="2"/>
        <v>3.75</v>
      </c>
    </row>
    <row r="123">
      <c r="A123" s="46">
        <v>122.0</v>
      </c>
      <c r="B123" s="46">
        <v>187.0</v>
      </c>
      <c r="C123" s="46" t="s">
        <v>414</v>
      </c>
      <c r="D123" s="46" t="s">
        <v>415</v>
      </c>
      <c r="E123" s="46" t="s">
        <v>416</v>
      </c>
      <c r="F123" s="46">
        <v>216.0</v>
      </c>
      <c r="G123" s="46">
        <f t="shared" si="1"/>
        <v>54</v>
      </c>
      <c r="H123" s="46">
        <f t="shared" si="2"/>
        <v>6.75</v>
      </c>
    </row>
    <row r="124">
      <c r="A124" s="44">
        <v>123.0</v>
      </c>
      <c r="B124" s="44">
        <v>188.0</v>
      </c>
      <c r="C124" s="44" t="s">
        <v>417</v>
      </c>
      <c r="D124" s="44" t="s">
        <v>418</v>
      </c>
      <c r="E124" s="44" t="s">
        <v>419</v>
      </c>
      <c r="F124" s="44">
        <v>144.0</v>
      </c>
      <c r="G124" s="44">
        <f t="shared" si="1"/>
        <v>42</v>
      </c>
      <c r="H124" s="44">
        <f t="shared" si="2"/>
        <v>5.25</v>
      </c>
    </row>
    <row r="125">
      <c r="A125" s="46">
        <v>124.0</v>
      </c>
      <c r="B125" s="46">
        <v>189.0</v>
      </c>
      <c r="C125" s="46" t="s">
        <v>420</v>
      </c>
      <c r="D125" s="46" t="s">
        <v>421</v>
      </c>
      <c r="E125" s="46" t="s">
        <v>422</v>
      </c>
      <c r="F125" s="46">
        <v>108.0</v>
      </c>
      <c r="G125" s="46">
        <f t="shared" si="1"/>
        <v>36</v>
      </c>
      <c r="H125" s="46">
        <f t="shared" si="2"/>
        <v>4.5</v>
      </c>
    </row>
    <row r="126">
      <c r="A126" s="44">
        <v>125.0</v>
      </c>
      <c r="B126" s="44">
        <v>190.0</v>
      </c>
      <c r="C126" s="44" t="s">
        <v>423</v>
      </c>
      <c r="D126" s="44" t="s">
        <v>424</v>
      </c>
      <c r="E126" s="44" t="s">
        <v>425</v>
      </c>
      <c r="F126" s="44">
        <v>108.0</v>
      </c>
      <c r="G126" s="44">
        <f t="shared" si="1"/>
        <v>36</v>
      </c>
      <c r="H126" s="44">
        <f t="shared" si="2"/>
        <v>4.5</v>
      </c>
    </row>
    <row r="127">
      <c r="A127" s="46">
        <v>126.0</v>
      </c>
      <c r="B127" s="46">
        <v>193.0</v>
      </c>
      <c r="C127" s="46" t="s">
        <v>426</v>
      </c>
      <c r="D127" s="46" t="s">
        <v>427</v>
      </c>
      <c r="E127" s="46" t="s">
        <v>428</v>
      </c>
      <c r="F127" s="46">
        <v>36.0</v>
      </c>
      <c r="G127" s="46">
        <f t="shared" si="1"/>
        <v>24</v>
      </c>
      <c r="H127" s="46">
        <f t="shared" si="2"/>
        <v>3</v>
      </c>
    </row>
    <row r="128">
      <c r="A128" s="44">
        <v>127.0</v>
      </c>
      <c r="B128" s="44">
        <v>194.0</v>
      </c>
      <c r="C128" s="44" t="s">
        <v>429</v>
      </c>
      <c r="D128" s="44" t="s">
        <v>430</v>
      </c>
      <c r="E128" s="44" t="s">
        <v>431</v>
      </c>
      <c r="F128" s="44">
        <v>36.0</v>
      </c>
      <c r="G128" s="44">
        <f t="shared" si="1"/>
        <v>24</v>
      </c>
      <c r="H128" s="44">
        <f t="shared" si="2"/>
        <v>3</v>
      </c>
    </row>
    <row r="129">
      <c r="A129" s="46">
        <v>128.0</v>
      </c>
      <c r="B129" s="46">
        <v>197.0</v>
      </c>
      <c r="C129" s="46" t="s">
        <v>432</v>
      </c>
      <c r="D129" s="46" t="s">
        <v>433</v>
      </c>
      <c r="E129" s="46" t="s">
        <v>434</v>
      </c>
      <c r="F129" s="46">
        <v>144.0</v>
      </c>
      <c r="G129" s="46">
        <f t="shared" si="1"/>
        <v>42</v>
      </c>
      <c r="H129" s="46">
        <f t="shared" si="2"/>
        <v>5.25</v>
      </c>
    </row>
    <row r="130">
      <c r="A130" s="44">
        <v>129.0</v>
      </c>
      <c r="B130" s="44">
        <v>198.0</v>
      </c>
      <c r="C130" s="44" t="s">
        <v>435</v>
      </c>
      <c r="D130" s="44" t="s">
        <v>436</v>
      </c>
      <c r="E130" s="44" t="s">
        <v>437</v>
      </c>
      <c r="F130" s="44">
        <v>180.0</v>
      </c>
      <c r="G130" s="44">
        <f t="shared" si="1"/>
        <v>48</v>
      </c>
      <c r="H130" s="44">
        <f t="shared" si="2"/>
        <v>6</v>
      </c>
    </row>
    <row r="131">
      <c r="A131" s="46">
        <v>130.0</v>
      </c>
      <c r="B131" s="46">
        <v>199.0</v>
      </c>
      <c r="C131" s="46" t="s">
        <v>438</v>
      </c>
      <c r="D131" s="46" t="s">
        <v>439</v>
      </c>
      <c r="E131" s="46" t="s">
        <v>440</v>
      </c>
      <c r="F131" s="46">
        <v>216.0</v>
      </c>
      <c r="G131" s="46">
        <f t="shared" si="1"/>
        <v>54</v>
      </c>
      <c r="H131" s="46">
        <f t="shared" si="2"/>
        <v>6.75</v>
      </c>
    </row>
    <row r="132">
      <c r="A132" s="44">
        <v>131.0</v>
      </c>
      <c r="B132" s="44">
        <v>200.0</v>
      </c>
      <c r="C132" s="44" t="s">
        <v>441</v>
      </c>
      <c r="D132" s="44" t="s">
        <v>442</v>
      </c>
      <c r="E132" s="44" t="s">
        <v>443</v>
      </c>
      <c r="F132" s="44">
        <v>72.0</v>
      </c>
      <c r="G132" s="44">
        <f t="shared" si="1"/>
        <v>30</v>
      </c>
      <c r="H132" s="44">
        <f t="shared" si="2"/>
        <v>3.75</v>
      </c>
    </row>
    <row r="133">
      <c r="A133" s="46">
        <v>132.0</v>
      </c>
      <c r="B133" s="46">
        <v>201.0</v>
      </c>
      <c r="C133" s="46" t="s">
        <v>444</v>
      </c>
      <c r="D133" s="46" t="s">
        <v>445</v>
      </c>
      <c r="E133" s="46" t="s">
        <v>446</v>
      </c>
      <c r="F133" s="46">
        <v>108.0</v>
      </c>
      <c r="G133" s="46">
        <f t="shared" si="1"/>
        <v>36</v>
      </c>
      <c r="H133" s="46">
        <f t="shared" si="2"/>
        <v>4.5</v>
      </c>
    </row>
    <row r="134">
      <c r="A134" s="44">
        <v>133.0</v>
      </c>
      <c r="B134" s="44">
        <v>203.0</v>
      </c>
      <c r="C134" s="44" t="s">
        <v>447</v>
      </c>
      <c r="D134" s="44" t="s">
        <v>448</v>
      </c>
      <c r="E134" s="44" t="s">
        <v>449</v>
      </c>
      <c r="F134" s="44">
        <v>180.0</v>
      </c>
      <c r="G134" s="44">
        <f t="shared" si="1"/>
        <v>48</v>
      </c>
      <c r="H134" s="44">
        <f t="shared" si="2"/>
        <v>6</v>
      </c>
    </row>
    <row r="135">
      <c r="A135" s="46">
        <v>134.0</v>
      </c>
      <c r="B135" s="46">
        <v>206.0</v>
      </c>
      <c r="C135" s="46" t="s">
        <v>450</v>
      </c>
      <c r="D135" s="46" t="s">
        <v>451</v>
      </c>
      <c r="E135" s="46" t="s">
        <v>452</v>
      </c>
      <c r="F135" s="46">
        <v>72.0</v>
      </c>
      <c r="G135" s="46">
        <f t="shared" si="1"/>
        <v>30</v>
      </c>
      <c r="H135" s="46">
        <f t="shared" si="2"/>
        <v>3.75</v>
      </c>
    </row>
    <row r="136">
      <c r="A136" s="44">
        <v>135.0</v>
      </c>
      <c r="B136" s="44">
        <v>208.0</v>
      </c>
      <c r="C136" s="44" t="s">
        <v>453</v>
      </c>
      <c r="D136" s="44" t="s">
        <v>454</v>
      </c>
      <c r="E136" s="44" t="s">
        <v>455</v>
      </c>
      <c r="F136" s="44">
        <v>36.0</v>
      </c>
      <c r="G136" s="44">
        <f t="shared" si="1"/>
        <v>24</v>
      </c>
      <c r="H136" s="44">
        <f t="shared" si="2"/>
        <v>3</v>
      </c>
    </row>
    <row r="137">
      <c r="A137" s="46">
        <v>136.0</v>
      </c>
      <c r="B137" s="46">
        <v>209.0</v>
      </c>
      <c r="C137" s="46" t="s">
        <v>456</v>
      </c>
      <c r="D137" s="46" t="s">
        <v>457</v>
      </c>
      <c r="E137" s="46" t="s">
        <v>458</v>
      </c>
      <c r="F137" s="46">
        <v>144.0</v>
      </c>
      <c r="G137" s="46">
        <f t="shared" si="1"/>
        <v>42</v>
      </c>
      <c r="H137" s="46">
        <f t="shared" si="2"/>
        <v>5.25</v>
      </c>
    </row>
    <row r="138">
      <c r="A138" s="44">
        <v>137.0</v>
      </c>
      <c r="B138" s="44">
        <v>211.0</v>
      </c>
      <c r="C138" s="44" t="s">
        <v>459</v>
      </c>
      <c r="D138" s="44" t="s">
        <v>460</v>
      </c>
      <c r="E138" s="44" t="s">
        <v>461</v>
      </c>
      <c r="F138" s="44">
        <v>180.0</v>
      </c>
      <c r="G138" s="44">
        <f t="shared" si="1"/>
        <v>48</v>
      </c>
      <c r="H138" s="44">
        <f t="shared" si="2"/>
        <v>6</v>
      </c>
    </row>
    <row r="139">
      <c r="A139" s="46">
        <v>138.0</v>
      </c>
      <c r="B139" s="46">
        <v>212.0</v>
      </c>
      <c r="C139" s="46" t="s">
        <v>462</v>
      </c>
      <c r="D139" s="46" t="s">
        <v>463</v>
      </c>
      <c r="E139" s="46" t="s">
        <v>464</v>
      </c>
      <c r="F139" s="46">
        <v>36.0</v>
      </c>
      <c r="G139" s="46">
        <f t="shared" si="1"/>
        <v>24</v>
      </c>
      <c r="H139" s="46">
        <f t="shared" si="2"/>
        <v>3</v>
      </c>
    </row>
    <row r="140">
      <c r="A140" s="44">
        <v>139.0</v>
      </c>
      <c r="B140" s="44">
        <v>215.0</v>
      </c>
      <c r="C140" s="44" t="s">
        <v>465</v>
      </c>
      <c r="D140" s="44" t="s">
        <v>466</v>
      </c>
      <c r="E140" s="44" t="s">
        <v>467</v>
      </c>
      <c r="F140" s="44">
        <v>180.0</v>
      </c>
      <c r="G140" s="44">
        <f t="shared" si="1"/>
        <v>48</v>
      </c>
      <c r="H140" s="44">
        <f t="shared" si="2"/>
        <v>6</v>
      </c>
    </row>
    <row r="141">
      <c r="A141" s="46">
        <v>140.0</v>
      </c>
      <c r="B141" s="46">
        <v>216.0</v>
      </c>
      <c r="C141" s="46" t="s">
        <v>468</v>
      </c>
      <c r="D141" s="46" t="s">
        <v>469</v>
      </c>
      <c r="E141" s="46" t="s">
        <v>470</v>
      </c>
      <c r="F141" s="46">
        <v>144.0</v>
      </c>
      <c r="G141" s="46">
        <f t="shared" si="1"/>
        <v>42</v>
      </c>
      <c r="H141" s="46">
        <f t="shared" si="2"/>
        <v>5.25</v>
      </c>
    </row>
    <row r="142">
      <c r="A142" s="44">
        <v>141.0</v>
      </c>
      <c r="B142" s="44">
        <v>218.0</v>
      </c>
      <c r="C142" s="44" t="s">
        <v>471</v>
      </c>
      <c r="D142" s="44" t="s">
        <v>472</v>
      </c>
      <c r="E142" s="44" t="s">
        <v>473</v>
      </c>
      <c r="F142" s="44">
        <v>252.0</v>
      </c>
      <c r="G142" s="44">
        <f t="shared" si="1"/>
        <v>60</v>
      </c>
      <c r="H142" s="44">
        <f t="shared" si="2"/>
        <v>7.5</v>
      </c>
    </row>
    <row r="143">
      <c r="A143" s="46">
        <v>142.0</v>
      </c>
      <c r="B143" s="46">
        <v>222.0</v>
      </c>
      <c r="C143" s="46" t="s">
        <v>474</v>
      </c>
      <c r="D143" s="46" t="s">
        <v>475</v>
      </c>
      <c r="E143" s="46" t="s">
        <v>476</v>
      </c>
      <c r="F143" s="46">
        <v>144.0</v>
      </c>
      <c r="G143" s="46">
        <f t="shared" si="1"/>
        <v>42</v>
      </c>
      <c r="H143" s="46">
        <f t="shared" si="2"/>
        <v>5.25</v>
      </c>
    </row>
    <row r="144">
      <c r="A144" s="44">
        <v>143.0</v>
      </c>
      <c r="B144" s="44">
        <v>225.0</v>
      </c>
      <c r="C144" s="44" t="s">
        <v>477</v>
      </c>
      <c r="D144" s="44" t="s">
        <v>478</v>
      </c>
      <c r="E144" s="44" t="s">
        <v>479</v>
      </c>
      <c r="F144" s="44">
        <v>180.0</v>
      </c>
      <c r="G144" s="44">
        <f t="shared" si="1"/>
        <v>48</v>
      </c>
      <c r="H144" s="44">
        <f t="shared" si="2"/>
        <v>6</v>
      </c>
    </row>
    <row r="145">
      <c r="A145" s="46">
        <v>144.0</v>
      </c>
      <c r="B145" s="46">
        <v>229.0</v>
      </c>
      <c r="C145" s="46" t="s">
        <v>480</v>
      </c>
      <c r="D145" s="46" t="s">
        <v>481</v>
      </c>
      <c r="E145" s="46" t="s">
        <v>482</v>
      </c>
      <c r="F145" s="46">
        <v>108.0</v>
      </c>
      <c r="G145" s="46">
        <f t="shared" si="1"/>
        <v>36</v>
      </c>
      <c r="H145" s="46">
        <f t="shared" si="2"/>
        <v>4.5</v>
      </c>
    </row>
    <row r="146">
      <c r="A146" s="44">
        <v>145.0</v>
      </c>
      <c r="B146" s="44">
        <v>230.0</v>
      </c>
      <c r="C146" s="44" t="s">
        <v>483</v>
      </c>
      <c r="D146" s="44" t="s">
        <v>484</v>
      </c>
      <c r="E146" s="44" t="s">
        <v>485</v>
      </c>
      <c r="F146" s="44">
        <v>144.0</v>
      </c>
      <c r="G146" s="44">
        <f t="shared" si="1"/>
        <v>42</v>
      </c>
      <c r="H146" s="44">
        <f t="shared" si="2"/>
        <v>5.25</v>
      </c>
    </row>
    <row r="147">
      <c r="A147" s="46">
        <v>146.0</v>
      </c>
      <c r="B147" s="46">
        <v>231.0</v>
      </c>
      <c r="C147" s="46" t="s">
        <v>486</v>
      </c>
      <c r="D147" s="46" t="s">
        <v>487</v>
      </c>
      <c r="E147" s="46" t="s">
        <v>488</v>
      </c>
      <c r="F147" s="46">
        <v>144.0</v>
      </c>
      <c r="G147" s="46">
        <f t="shared" si="1"/>
        <v>42</v>
      </c>
      <c r="H147" s="46">
        <f t="shared" si="2"/>
        <v>5.25</v>
      </c>
    </row>
    <row r="148">
      <c r="A148" s="44">
        <v>147.0</v>
      </c>
      <c r="B148" s="44">
        <v>232.0</v>
      </c>
      <c r="C148" s="44" t="s">
        <v>489</v>
      </c>
      <c r="D148" s="44" t="s">
        <v>490</v>
      </c>
      <c r="E148" s="44" t="s">
        <v>491</v>
      </c>
      <c r="F148" s="44">
        <v>108.0</v>
      </c>
      <c r="G148" s="44">
        <f t="shared" si="1"/>
        <v>36</v>
      </c>
      <c r="H148" s="44">
        <f t="shared" si="2"/>
        <v>4.5</v>
      </c>
    </row>
    <row r="149">
      <c r="A149" s="46">
        <v>148.0</v>
      </c>
      <c r="B149" s="46">
        <v>233.0</v>
      </c>
      <c r="C149" s="46" t="s">
        <v>492</v>
      </c>
      <c r="D149" s="46" t="s">
        <v>493</v>
      </c>
      <c r="E149" s="46" t="s">
        <v>494</v>
      </c>
      <c r="F149" s="46">
        <v>252.0</v>
      </c>
      <c r="G149" s="46">
        <f t="shared" si="1"/>
        <v>60</v>
      </c>
      <c r="H149" s="46">
        <f t="shared" si="2"/>
        <v>7.5</v>
      </c>
    </row>
    <row r="150">
      <c r="A150" s="44">
        <v>149.0</v>
      </c>
      <c r="B150" s="44">
        <v>236.0</v>
      </c>
      <c r="C150" s="44" t="s">
        <v>495</v>
      </c>
      <c r="D150" s="44" t="s">
        <v>496</v>
      </c>
      <c r="E150" s="44" t="s">
        <v>497</v>
      </c>
      <c r="F150" s="44">
        <v>216.0</v>
      </c>
      <c r="G150" s="44">
        <f t="shared" si="1"/>
        <v>54</v>
      </c>
      <c r="H150" s="44">
        <f t="shared" si="2"/>
        <v>6.75</v>
      </c>
    </row>
    <row r="151">
      <c r="A151" s="46">
        <v>150.0</v>
      </c>
      <c r="B151" s="46">
        <v>237.0</v>
      </c>
      <c r="C151" s="46" t="s">
        <v>498</v>
      </c>
      <c r="D151" s="46" t="s">
        <v>499</v>
      </c>
      <c r="E151" s="46" t="s">
        <v>500</v>
      </c>
      <c r="F151" s="46">
        <v>180.0</v>
      </c>
      <c r="G151" s="46">
        <f t="shared" si="1"/>
        <v>48</v>
      </c>
      <c r="H151" s="46">
        <f t="shared" si="2"/>
        <v>6</v>
      </c>
    </row>
    <row r="152">
      <c r="A152" s="44">
        <v>151.0</v>
      </c>
      <c r="B152" s="44">
        <v>239.0</v>
      </c>
      <c r="C152" s="44" t="s">
        <v>501</v>
      </c>
      <c r="D152" s="44" t="s">
        <v>502</v>
      </c>
      <c r="E152" s="44" t="s">
        <v>503</v>
      </c>
      <c r="F152" s="44">
        <v>180.0</v>
      </c>
      <c r="G152" s="44">
        <f t="shared" si="1"/>
        <v>48</v>
      </c>
      <c r="H152" s="44">
        <f t="shared" si="2"/>
        <v>6</v>
      </c>
    </row>
    <row r="153">
      <c r="A153" s="46">
        <v>152.0</v>
      </c>
      <c r="B153" s="46">
        <v>240.0</v>
      </c>
      <c r="C153" s="46" t="s">
        <v>504</v>
      </c>
      <c r="D153" s="46" t="s">
        <v>505</v>
      </c>
      <c r="E153" s="46" t="s">
        <v>506</v>
      </c>
      <c r="F153" s="46">
        <v>72.0</v>
      </c>
      <c r="G153" s="46">
        <f t="shared" si="1"/>
        <v>30</v>
      </c>
      <c r="H153" s="46">
        <f t="shared" si="2"/>
        <v>3.75</v>
      </c>
    </row>
    <row r="154">
      <c r="A154" s="44">
        <v>153.0</v>
      </c>
      <c r="B154" s="44">
        <v>241.0</v>
      </c>
      <c r="C154" s="44" t="s">
        <v>507</v>
      </c>
      <c r="D154" s="44" t="s">
        <v>508</v>
      </c>
      <c r="E154" s="44" t="s">
        <v>509</v>
      </c>
      <c r="F154" s="44">
        <v>216.0</v>
      </c>
      <c r="G154" s="44">
        <f t="shared" si="1"/>
        <v>54</v>
      </c>
      <c r="H154" s="44">
        <f t="shared" si="2"/>
        <v>6.75</v>
      </c>
    </row>
    <row r="155">
      <c r="A155" s="46">
        <v>154.0</v>
      </c>
      <c r="B155" s="46">
        <v>242.0</v>
      </c>
      <c r="C155" s="46" t="s">
        <v>510</v>
      </c>
      <c r="D155" s="46" t="s">
        <v>511</v>
      </c>
      <c r="E155" s="46" t="s">
        <v>512</v>
      </c>
      <c r="F155" s="46">
        <v>72.0</v>
      </c>
      <c r="G155" s="46">
        <f t="shared" si="1"/>
        <v>30</v>
      </c>
      <c r="H155" s="46">
        <f t="shared" si="2"/>
        <v>3.75</v>
      </c>
    </row>
    <row r="156">
      <c r="A156" s="44">
        <v>155.0</v>
      </c>
      <c r="B156" s="44">
        <v>244.0</v>
      </c>
      <c r="C156" s="44" t="s">
        <v>513</v>
      </c>
      <c r="D156" s="44" t="s">
        <v>514</v>
      </c>
      <c r="E156" s="44" t="s">
        <v>515</v>
      </c>
      <c r="F156" s="44">
        <v>252.0</v>
      </c>
      <c r="G156" s="44">
        <f t="shared" si="1"/>
        <v>60</v>
      </c>
      <c r="H156" s="44">
        <f t="shared" si="2"/>
        <v>7.5</v>
      </c>
    </row>
    <row r="157">
      <c r="A157" s="46">
        <v>156.0</v>
      </c>
      <c r="B157" s="46">
        <v>245.0</v>
      </c>
      <c r="C157" s="46" t="s">
        <v>516</v>
      </c>
      <c r="D157" s="46" t="s">
        <v>517</v>
      </c>
      <c r="E157" s="46" t="s">
        <v>518</v>
      </c>
      <c r="F157" s="46">
        <v>216.0</v>
      </c>
      <c r="G157" s="46">
        <f t="shared" si="1"/>
        <v>54</v>
      </c>
      <c r="H157" s="46">
        <f t="shared" si="2"/>
        <v>6.75</v>
      </c>
    </row>
    <row r="158">
      <c r="A158" s="44">
        <v>157.0</v>
      </c>
      <c r="B158" s="44">
        <v>254.0</v>
      </c>
      <c r="C158" s="44" t="s">
        <v>519</v>
      </c>
      <c r="D158" s="44" t="s">
        <v>520</v>
      </c>
      <c r="E158" s="44" t="s">
        <v>521</v>
      </c>
      <c r="F158" s="44">
        <v>180.0</v>
      </c>
      <c r="G158" s="44">
        <f t="shared" si="1"/>
        <v>48</v>
      </c>
      <c r="H158" s="44">
        <f t="shared" si="2"/>
        <v>6</v>
      </c>
    </row>
    <row r="159">
      <c r="A159" s="46">
        <v>158.0</v>
      </c>
      <c r="B159" s="46">
        <v>255.0</v>
      </c>
      <c r="C159" s="46" t="s">
        <v>522</v>
      </c>
      <c r="D159" s="46" t="s">
        <v>523</v>
      </c>
      <c r="E159" s="46" t="s">
        <v>524</v>
      </c>
      <c r="F159" s="46">
        <v>108.0</v>
      </c>
      <c r="G159" s="46">
        <f t="shared" si="1"/>
        <v>36</v>
      </c>
      <c r="H159" s="46">
        <f t="shared" si="2"/>
        <v>4.5</v>
      </c>
    </row>
    <row r="160">
      <c r="A160" s="44">
        <v>159.0</v>
      </c>
      <c r="B160" s="44">
        <v>256.0</v>
      </c>
      <c r="C160" s="44" t="s">
        <v>525</v>
      </c>
      <c r="D160" s="44" t="s">
        <v>526</v>
      </c>
      <c r="E160" s="44" t="s">
        <v>527</v>
      </c>
      <c r="F160" s="44">
        <v>216.0</v>
      </c>
      <c r="G160" s="44">
        <f t="shared" si="1"/>
        <v>54</v>
      </c>
      <c r="H160" s="44">
        <f t="shared" si="2"/>
        <v>6.75</v>
      </c>
    </row>
    <row r="161">
      <c r="A161" s="46">
        <v>160.0</v>
      </c>
      <c r="B161" s="46">
        <v>258.0</v>
      </c>
      <c r="C161" s="46" t="s">
        <v>528</v>
      </c>
      <c r="D161" s="46" t="s">
        <v>529</v>
      </c>
      <c r="E161" s="46" t="s">
        <v>530</v>
      </c>
      <c r="F161" s="46">
        <v>72.0</v>
      </c>
      <c r="G161" s="46">
        <f t="shared" si="1"/>
        <v>30</v>
      </c>
      <c r="H161" s="46">
        <f t="shared" si="2"/>
        <v>3.75</v>
      </c>
    </row>
    <row r="162">
      <c r="A162" s="44">
        <v>161.0</v>
      </c>
      <c r="B162" s="44">
        <v>261.0</v>
      </c>
      <c r="C162" s="44" t="s">
        <v>531</v>
      </c>
      <c r="D162" s="44" t="s">
        <v>532</v>
      </c>
      <c r="E162" s="44" t="s">
        <v>533</v>
      </c>
      <c r="F162" s="44">
        <v>72.0</v>
      </c>
      <c r="G162" s="44">
        <f t="shared" si="1"/>
        <v>30</v>
      </c>
      <c r="H162" s="44">
        <f t="shared" si="2"/>
        <v>3.75</v>
      </c>
    </row>
    <row r="163">
      <c r="A163" s="46">
        <v>162.0</v>
      </c>
      <c r="B163" s="46">
        <v>263.0</v>
      </c>
      <c r="C163" s="46" t="s">
        <v>534</v>
      </c>
      <c r="D163" s="46" t="s">
        <v>535</v>
      </c>
      <c r="E163" s="46" t="s">
        <v>536</v>
      </c>
      <c r="F163" s="46">
        <v>180.0</v>
      </c>
      <c r="G163" s="46">
        <f t="shared" si="1"/>
        <v>48</v>
      </c>
      <c r="H163" s="46">
        <f t="shared" si="2"/>
        <v>6</v>
      </c>
    </row>
    <row r="164">
      <c r="A164" s="44">
        <v>163.0</v>
      </c>
      <c r="B164" s="44">
        <v>264.0</v>
      </c>
      <c r="C164" s="44" t="s">
        <v>537</v>
      </c>
      <c r="D164" s="44" t="s">
        <v>538</v>
      </c>
      <c r="E164" s="44" t="s">
        <v>539</v>
      </c>
      <c r="F164" s="44">
        <v>216.0</v>
      </c>
      <c r="G164" s="44">
        <f t="shared" si="1"/>
        <v>54</v>
      </c>
      <c r="H164" s="44">
        <f t="shared" si="2"/>
        <v>6.75</v>
      </c>
    </row>
    <row r="165">
      <c r="A165" s="46">
        <v>164.0</v>
      </c>
      <c r="B165" s="46">
        <v>265.0</v>
      </c>
      <c r="C165" s="46" t="s">
        <v>540</v>
      </c>
      <c r="D165" s="46" t="s">
        <v>541</v>
      </c>
      <c r="E165" s="46" t="s">
        <v>542</v>
      </c>
      <c r="F165" s="46">
        <v>252.0</v>
      </c>
      <c r="G165" s="46">
        <f t="shared" si="1"/>
        <v>60</v>
      </c>
      <c r="H165" s="46">
        <f t="shared" si="2"/>
        <v>7.5</v>
      </c>
    </row>
    <row r="166">
      <c r="A166" s="44">
        <v>165.0</v>
      </c>
      <c r="B166" s="44">
        <v>266.0</v>
      </c>
      <c r="C166" s="44" t="s">
        <v>543</v>
      </c>
      <c r="D166" s="44" t="s">
        <v>544</v>
      </c>
      <c r="E166" s="44" t="s">
        <v>545</v>
      </c>
      <c r="F166" s="44">
        <v>36.0</v>
      </c>
      <c r="G166" s="44">
        <f t="shared" si="1"/>
        <v>24</v>
      </c>
      <c r="H166" s="44">
        <f t="shared" si="2"/>
        <v>3</v>
      </c>
    </row>
    <row r="167">
      <c r="A167" s="46">
        <v>166.0</v>
      </c>
      <c r="B167" s="46">
        <v>270.0</v>
      </c>
      <c r="C167" s="46" t="s">
        <v>546</v>
      </c>
      <c r="D167" s="46" t="s">
        <v>547</v>
      </c>
      <c r="E167" s="46" t="s">
        <v>548</v>
      </c>
      <c r="F167" s="46">
        <v>0.0</v>
      </c>
      <c r="G167" s="46">
        <f t="shared" si="1"/>
        <v>18</v>
      </c>
      <c r="H167" s="46">
        <f t="shared" si="2"/>
        <v>2.25</v>
      </c>
    </row>
    <row r="168">
      <c r="A168" s="44">
        <v>167.0</v>
      </c>
      <c r="B168" s="44">
        <v>277.0</v>
      </c>
      <c r="C168" s="44" t="s">
        <v>549</v>
      </c>
      <c r="D168" s="44" t="s">
        <v>550</v>
      </c>
      <c r="E168" s="44" t="s">
        <v>551</v>
      </c>
      <c r="F168" s="44">
        <v>216.0</v>
      </c>
      <c r="G168" s="44">
        <f t="shared" si="1"/>
        <v>54</v>
      </c>
      <c r="H168" s="44">
        <f t="shared" si="2"/>
        <v>6.75</v>
      </c>
    </row>
    <row r="169">
      <c r="A169" s="46">
        <v>168.0</v>
      </c>
      <c r="B169" s="46">
        <v>279.0</v>
      </c>
      <c r="C169" s="46" t="s">
        <v>552</v>
      </c>
      <c r="D169" s="46" t="s">
        <v>553</v>
      </c>
      <c r="E169" s="46" t="s">
        <v>554</v>
      </c>
      <c r="F169" s="46">
        <v>216.0</v>
      </c>
      <c r="G169" s="46">
        <f t="shared" si="1"/>
        <v>54</v>
      </c>
      <c r="H169" s="46">
        <f t="shared" si="2"/>
        <v>6.75</v>
      </c>
    </row>
    <row r="170">
      <c r="A170" s="44">
        <v>169.0</v>
      </c>
      <c r="B170" s="44">
        <v>280.0</v>
      </c>
      <c r="C170" s="44" t="s">
        <v>555</v>
      </c>
      <c r="D170" s="44" t="s">
        <v>556</v>
      </c>
      <c r="E170" s="44" t="s">
        <v>557</v>
      </c>
      <c r="F170" s="44">
        <v>216.0</v>
      </c>
      <c r="G170" s="44">
        <f t="shared" si="1"/>
        <v>54</v>
      </c>
      <c r="H170" s="44">
        <f t="shared" si="2"/>
        <v>6.75</v>
      </c>
    </row>
    <row r="171">
      <c r="A171" s="46">
        <v>170.0</v>
      </c>
      <c r="B171" s="46">
        <v>281.0</v>
      </c>
      <c r="C171" s="46" t="s">
        <v>558</v>
      </c>
      <c r="D171" s="46" t="s">
        <v>559</v>
      </c>
      <c r="E171" s="46" t="s">
        <v>560</v>
      </c>
      <c r="F171" s="46">
        <v>108.0</v>
      </c>
      <c r="G171" s="46">
        <f t="shared" si="1"/>
        <v>36</v>
      </c>
      <c r="H171" s="46">
        <f t="shared" si="2"/>
        <v>4.5</v>
      </c>
    </row>
    <row r="172">
      <c r="A172" s="44">
        <v>171.0</v>
      </c>
      <c r="B172" s="44">
        <v>283.0</v>
      </c>
      <c r="C172" s="44" t="s">
        <v>561</v>
      </c>
      <c r="D172" s="44" t="s">
        <v>562</v>
      </c>
      <c r="E172" s="44" t="s">
        <v>563</v>
      </c>
      <c r="F172" s="44">
        <v>252.0</v>
      </c>
      <c r="G172" s="44">
        <f t="shared" si="1"/>
        <v>60</v>
      </c>
      <c r="H172" s="44">
        <f t="shared" si="2"/>
        <v>7.5</v>
      </c>
    </row>
    <row r="173">
      <c r="A173" s="46">
        <v>172.0</v>
      </c>
      <c r="B173" s="46">
        <v>285.0</v>
      </c>
      <c r="C173" s="46" t="s">
        <v>564</v>
      </c>
      <c r="D173" s="46" t="s">
        <v>565</v>
      </c>
      <c r="E173" s="46" t="s">
        <v>566</v>
      </c>
      <c r="F173" s="46">
        <v>216.0</v>
      </c>
      <c r="G173" s="46">
        <f t="shared" si="1"/>
        <v>54</v>
      </c>
      <c r="H173" s="46">
        <f t="shared" si="2"/>
        <v>6.75</v>
      </c>
    </row>
    <row r="174">
      <c r="A174" s="44">
        <v>173.0</v>
      </c>
      <c r="B174" s="44">
        <v>286.0</v>
      </c>
      <c r="C174" s="44" t="s">
        <v>567</v>
      </c>
      <c r="D174" s="44" t="s">
        <v>568</v>
      </c>
      <c r="E174" s="44" t="s">
        <v>569</v>
      </c>
      <c r="F174" s="44">
        <v>180.0</v>
      </c>
      <c r="G174" s="44">
        <f t="shared" si="1"/>
        <v>48</v>
      </c>
      <c r="H174" s="44">
        <f t="shared" si="2"/>
        <v>6</v>
      </c>
    </row>
    <row r="175">
      <c r="A175" s="46">
        <v>174.0</v>
      </c>
      <c r="B175" s="46">
        <v>290.0</v>
      </c>
      <c r="C175" s="46" t="s">
        <v>570</v>
      </c>
      <c r="D175" s="46" t="s">
        <v>571</v>
      </c>
      <c r="E175" s="46" t="s">
        <v>572</v>
      </c>
      <c r="F175" s="46">
        <v>36.0</v>
      </c>
      <c r="G175" s="46">
        <f t="shared" si="1"/>
        <v>24</v>
      </c>
      <c r="H175" s="46">
        <f t="shared" si="2"/>
        <v>3</v>
      </c>
    </row>
    <row r="176">
      <c r="A176" s="44">
        <v>175.0</v>
      </c>
      <c r="B176" s="44">
        <v>291.0</v>
      </c>
      <c r="C176" s="44" t="s">
        <v>573</v>
      </c>
      <c r="D176" s="44" t="s">
        <v>574</v>
      </c>
      <c r="E176" s="44" t="s">
        <v>575</v>
      </c>
      <c r="F176" s="44">
        <v>0.0</v>
      </c>
      <c r="G176" s="44">
        <f t="shared" si="1"/>
        <v>18</v>
      </c>
      <c r="H176" s="44">
        <f t="shared" si="2"/>
        <v>2.25</v>
      </c>
    </row>
    <row r="177">
      <c r="A177" s="46">
        <v>176.0</v>
      </c>
      <c r="B177" s="46">
        <v>292.0</v>
      </c>
      <c r="C177" s="46" t="s">
        <v>576</v>
      </c>
      <c r="D177" s="46" t="s">
        <v>577</v>
      </c>
      <c r="E177" s="46" t="s">
        <v>578</v>
      </c>
      <c r="F177" s="46">
        <v>216.0</v>
      </c>
      <c r="G177" s="46">
        <f t="shared" si="1"/>
        <v>54</v>
      </c>
      <c r="H177" s="46">
        <f t="shared" si="2"/>
        <v>6.75</v>
      </c>
    </row>
    <row r="178">
      <c r="A178" s="44">
        <v>177.0</v>
      </c>
      <c r="B178" s="44">
        <v>293.0</v>
      </c>
      <c r="C178" s="44" t="s">
        <v>579</v>
      </c>
      <c r="D178" s="44" t="s">
        <v>580</v>
      </c>
      <c r="E178" s="44" t="s">
        <v>581</v>
      </c>
      <c r="F178" s="44">
        <v>144.0</v>
      </c>
      <c r="G178" s="44">
        <f t="shared" si="1"/>
        <v>42</v>
      </c>
      <c r="H178" s="44">
        <f t="shared" si="2"/>
        <v>5.25</v>
      </c>
    </row>
    <row r="179">
      <c r="A179" s="46">
        <v>178.0</v>
      </c>
      <c r="B179" s="46">
        <v>295.0</v>
      </c>
      <c r="C179" s="46" t="s">
        <v>582</v>
      </c>
      <c r="D179" s="46" t="s">
        <v>583</v>
      </c>
      <c r="E179" s="46" t="s">
        <v>584</v>
      </c>
      <c r="F179" s="46">
        <v>36.0</v>
      </c>
      <c r="G179" s="46">
        <f t="shared" si="1"/>
        <v>24</v>
      </c>
      <c r="H179" s="46">
        <f t="shared" si="2"/>
        <v>3</v>
      </c>
    </row>
    <row r="180">
      <c r="A180" s="44">
        <v>179.0</v>
      </c>
      <c r="B180" s="44">
        <v>296.0</v>
      </c>
      <c r="C180" s="44" t="s">
        <v>585</v>
      </c>
      <c r="D180" s="44" t="s">
        <v>586</v>
      </c>
      <c r="E180" s="44" t="s">
        <v>587</v>
      </c>
      <c r="F180" s="44">
        <v>72.0</v>
      </c>
      <c r="G180" s="44">
        <f t="shared" si="1"/>
        <v>30</v>
      </c>
      <c r="H180" s="44">
        <f t="shared" si="2"/>
        <v>3.75</v>
      </c>
    </row>
    <row r="181">
      <c r="A181" s="46">
        <v>180.0</v>
      </c>
      <c r="B181" s="46">
        <v>297.0</v>
      </c>
      <c r="C181" s="46" t="s">
        <v>588</v>
      </c>
      <c r="D181" s="46" t="s">
        <v>589</v>
      </c>
      <c r="E181" s="46" t="s">
        <v>590</v>
      </c>
      <c r="F181" s="46">
        <v>252.0</v>
      </c>
      <c r="G181" s="46">
        <f t="shared" si="1"/>
        <v>60</v>
      </c>
      <c r="H181" s="46">
        <f t="shared" si="2"/>
        <v>7.5</v>
      </c>
    </row>
    <row r="182">
      <c r="A182" s="44">
        <v>181.0</v>
      </c>
      <c r="B182" s="44">
        <v>298.0</v>
      </c>
      <c r="C182" s="44" t="s">
        <v>591</v>
      </c>
      <c r="D182" s="44" t="s">
        <v>592</v>
      </c>
      <c r="E182" s="44" t="s">
        <v>593</v>
      </c>
      <c r="F182" s="44">
        <v>108.0</v>
      </c>
      <c r="G182" s="44">
        <f t="shared" si="1"/>
        <v>36</v>
      </c>
      <c r="H182" s="44">
        <f t="shared" si="2"/>
        <v>4.5</v>
      </c>
    </row>
    <row r="183">
      <c r="A183" s="46">
        <v>182.0</v>
      </c>
      <c r="B183" s="46">
        <v>299.0</v>
      </c>
      <c r="C183" s="46" t="s">
        <v>594</v>
      </c>
      <c r="D183" s="46" t="s">
        <v>595</v>
      </c>
      <c r="E183" s="46" t="s">
        <v>596</v>
      </c>
      <c r="F183" s="46">
        <v>252.0</v>
      </c>
      <c r="G183" s="46">
        <f t="shared" si="1"/>
        <v>60</v>
      </c>
      <c r="H183" s="46">
        <f t="shared" si="2"/>
        <v>7.5</v>
      </c>
    </row>
    <row r="184">
      <c r="A184" s="44">
        <v>183.0</v>
      </c>
      <c r="B184" s="44">
        <v>300.0</v>
      </c>
      <c r="C184" s="44" t="s">
        <v>597</v>
      </c>
      <c r="D184" s="44" t="s">
        <v>598</v>
      </c>
      <c r="E184" s="44" t="s">
        <v>599</v>
      </c>
      <c r="F184" s="44">
        <v>216.0</v>
      </c>
      <c r="G184" s="44">
        <f t="shared" si="1"/>
        <v>54</v>
      </c>
      <c r="H184" s="44">
        <f t="shared" si="2"/>
        <v>6.75</v>
      </c>
    </row>
    <row r="185">
      <c r="A185" s="46">
        <v>184.0</v>
      </c>
      <c r="B185" s="46">
        <v>301.0</v>
      </c>
      <c r="C185" s="46" t="s">
        <v>600</v>
      </c>
      <c r="D185" s="46" t="s">
        <v>601</v>
      </c>
      <c r="E185" s="46" t="s">
        <v>602</v>
      </c>
      <c r="F185" s="46">
        <v>216.0</v>
      </c>
      <c r="G185" s="46">
        <f t="shared" si="1"/>
        <v>54</v>
      </c>
      <c r="H185" s="46">
        <f t="shared" si="2"/>
        <v>6.75</v>
      </c>
    </row>
    <row r="186">
      <c r="A186" s="44">
        <v>185.0</v>
      </c>
      <c r="B186" s="44">
        <v>302.0</v>
      </c>
      <c r="C186" s="44" t="s">
        <v>603</v>
      </c>
      <c r="D186" s="44" t="s">
        <v>604</v>
      </c>
      <c r="E186" s="44" t="s">
        <v>605</v>
      </c>
      <c r="F186" s="44">
        <v>144.0</v>
      </c>
      <c r="G186" s="44">
        <f t="shared" si="1"/>
        <v>42</v>
      </c>
      <c r="H186" s="44">
        <f t="shared" si="2"/>
        <v>5.25</v>
      </c>
    </row>
    <row r="187">
      <c r="A187" s="46">
        <v>186.0</v>
      </c>
      <c r="B187" s="46">
        <v>304.0</v>
      </c>
      <c r="C187" s="46" t="s">
        <v>606</v>
      </c>
      <c r="D187" s="46" t="s">
        <v>607</v>
      </c>
      <c r="E187" s="46" t="s">
        <v>607</v>
      </c>
      <c r="F187" s="46">
        <v>72.0</v>
      </c>
      <c r="G187" s="46">
        <f t="shared" si="1"/>
        <v>30</v>
      </c>
      <c r="H187" s="46">
        <f t="shared" si="2"/>
        <v>3.75</v>
      </c>
    </row>
    <row r="188">
      <c r="A188" s="44">
        <v>187.0</v>
      </c>
      <c r="B188" s="44">
        <v>305.0</v>
      </c>
      <c r="C188" s="44" t="s">
        <v>608</v>
      </c>
      <c r="D188" s="44" t="s">
        <v>609</v>
      </c>
      <c r="E188" s="44" t="s">
        <v>610</v>
      </c>
      <c r="F188" s="44">
        <v>252.0</v>
      </c>
      <c r="G188" s="44">
        <f t="shared" si="1"/>
        <v>60</v>
      </c>
      <c r="H188" s="44">
        <f t="shared" si="2"/>
        <v>7.5</v>
      </c>
    </row>
    <row r="189">
      <c r="A189" s="46">
        <v>188.0</v>
      </c>
      <c r="B189" s="46">
        <v>306.0</v>
      </c>
      <c r="C189" s="46" t="s">
        <v>611</v>
      </c>
      <c r="D189" s="46" t="s">
        <v>612</v>
      </c>
      <c r="E189" s="46" t="s">
        <v>613</v>
      </c>
      <c r="F189" s="46">
        <v>180.0</v>
      </c>
      <c r="G189" s="46">
        <f t="shared" si="1"/>
        <v>48</v>
      </c>
      <c r="H189" s="46">
        <f t="shared" si="2"/>
        <v>6</v>
      </c>
    </row>
    <row r="190">
      <c r="A190" s="44">
        <v>189.0</v>
      </c>
      <c r="B190" s="44">
        <v>307.0</v>
      </c>
      <c r="C190" s="44" t="s">
        <v>614</v>
      </c>
      <c r="D190" s="44" t="s">
        <v>615</v>
      </c>
      <c r="E190" s="44" t="s">
        <v>616</v>
      </c>
      <c r="F190" s="44">
        <v>36.0</v>
      </c>
      <c r="G190" s="44">
        <f t="shared" si="1"/>
        <v>24</v>
      </c>
      <c r="H190" s="44">
        <f t="shared" si="2"/>
        <v>3</v>
      </c>
    </row>
    <row r="191">
      <c r="A191" s="46">
        <v>190.0</v>
      </c>
      <c r="B191" s="46">
        <v>308.0</v>
      </c>
      <c r="C191" s="46" t="s">
        <v>617</v>
      </c>
      <c r="D191" s="46" t="s">
        <v>618</v>
      </c>
      <c r="E191" s="46" t="s">
        <v>619</v>
      </c>
      <c r="F191" s="46">
        <v>36.0</v>
      </c>
      <c r="G191" s="46">
        <f t="shared" si="1"/>
        <v>24</v>
      </c>
      <c r="H191" s="46">
        <f t="shared" si="2"/>
        <v>3</v>
      </c>
    </row>
    <row r="192">
      <c r="A192" s="44">
        <v>191.0</v>
      </c>
      <c r="B192" s="44">
        <v>309.0</v>
      </c>
      <c r="C192" s="44" t="s">
        <v>620</v>
      </c>
      <c r="D192" s="44" t="s">
        <v>621</v>
      </c>
      <c r="E192" s="44" t="s">
        <v>622</v>
      </c>
      <c r="F192" s="44">
        <v>36.0</v>
      </c>
      <c r="G192" s="44">
        <f t="shared" si="1"/>
        <v>24</v>
      </c>
      <c r="H192" s="44">
        <f t="shared" si="2"/>
        <v>3</v>
      </c>
    </row>
    <row r="193">
      <c r="A193" s="46">
        <v>192.0</v>
      </c>
      <c r="B193" s="46">
        <v>310.0</v>
      </c>
      <c r="C193" s="46" t="s">
        <v>623</v>
      </c>
      <c r="D193" s="46" t="s">
        <v>624</v>
      </c>
      <c r="E193" s="46" t="s">
        <v>625</v>
      </c>
      <c r="F193" s="46">
        <v>144.0</v>
      </c>
      <c r="G193" s="46">
        <f t="shared" si="1"/>
        <v>42</v>
      </c>
      <c r="H193" s="46">
        <f t="shared" si="2"/>
        <v>5.25</v>
      </c>
    </row>
    <row r="194">
      <c r="A194" s="44">
        <v>193.0</v>
      </c>
      <c r="B194" s="44">
        <v>311.0</v>
      </c>
      <c r="C194" s="44" t="s">
        <v>626</v>
      </c>
      <c r="D194" s="44" t="s">
        <v>627</v>
      </c>
      <c r="E194" s="44" t="s">
        <v>628</v>
      </c>
      <c r="F194" s="44">
        <v>216.0</v>
      </c>
      <c r="G194" s="44">
        <f t="shared" si="1"/>
        <v>54</v>
      </c>
      <c r="H194" s="44">
        <f t="shared" si="2"/>
        <v>6.75</v>
      </c>
    </row>
    <row r="195">
      <c r="A195" s="46">
        <v>194.0</v>
      </c>
      <c r="B195" s="46">
        <v>315.0</v>
      </c>
      <c r="C195" s="46" t="s">
        <v>629</v>
      </c>
      <c r="D195" s="46" t="s">
        <v>630</v>
      </c>
      <c r="E195" s="46" t="s">
        <v>631</v>
      </c>
      <c r="F195" s="46">
        <v>180.0</v>
      </c>
      <c r="G195" s="46">
        <f t="shared" si="1"/>
        <v>48</v>
      </c>
      <c r="H195" s="46">
        <f t="shared" si="2"/>
        <v>6</v>
      </c>
    </row>
    <row r="196">
      <c r="A196" s="44">
        <v>195.0</v>
      </c>
      <c r="B196" s="44">
        <v>316.0</v>
      </c>
      <c r="C196" s="44" t="s">
        <v>632</v>
      </c>
      <c r="D196" s="44" t="s">
        <v>633</v>
      </c>
      <c r="E196" s="44" t="s">
        <v>634</v>
      </c>
      <c r="F196" s="44">
        <v>216.0</v>
      </c>
      <c r="G196" s="44">
        <f t="shared" si="1"/>
        <v>54</v>
      </c>
      <c r="H196" s="44">
        <f t="shared" si="2"/>
        <v>6.75</v>
      </c>
    </row>
    <row r="197">
      <c r="A197" s="46">
        <v>196.0</v>
      </c>
      <c r="B197" s="46">
        <v>319.0</v>
      </c>
      <c r="C197" s="46" t="s">
        <v>635</v>
      </c>
      <c r="D197" s="46" t="s">
        <v>636</v>
      </c>
      <c r="E197" s="46" t="s">
        <v>637</v>
      </c>
      <c r="F197" s="46">
        <v>72.0</v>
      </c>
      <c r="G197" s="46">
        <f t="shared" si="1"/>
        <v>30</v>
      </c>
      <c r="H197" s="46">
        <f t="shared" si="2"/>
        <v>3.75</v>
      </c>
    </row>
    <row r="198">
      <c r="A198" s="44">
        <v>197.0</v>
      </c>
      <c r="B198" s="44">
        <v>320.0</v>
      </c>
      <c r="C198" s="44" t="s">
        <v>638</v>
      </c>
      <c r="D198" s="44" t="s">
        <v>639</v>
      </c>
      <c r="E198" s="44" t="s">
        <v>640</v>
      </c>
      <c r="F198" s="44">
        <v>180.0</v>
      </c>
      <c r="G198" s="44">
        <f t="shared" si="1"/>
        <v>48</v>
      </c>
      <c r="H198" s="44">
        <f t="shared" si="2"/>
        <v>6</v>
      </c>
    </row>
    <row r="199">
      <c r="A199" s="46">
        <v>198.0</v>
      </c>
      <c r="B199" s="46">
        <v>321.0</v>
      </c>
      <c r="C199" s="46" t="s">
        <v>641</v>
      </c>
      <c r="D199" s="46" t="s">
        <v>642</v>
      </c>
      <c r="E199" s="46" t="s">
        <v>643</v>
      </c>
      <c r="F199" s="46">
        <v>216.0</v>
      </c>
      <c r="G199" s="46">
        <f t="shared" si="1"/>
        <v>54</v>
      </c>
      <c r="H199" s="46">
        <f t="shared" si="2"/>
        <v>6.75</v>
      </c>
    </row>
    <row r="200">
      <c r="A200" s="44">
        <v>199.0</v>
      </c>
      <c r="B200" s="44">
        <v>323.0</v>
      </c>
      <c r="C200" s="44" t="s">
        <v>644</v>
      </c>
      <c r="D200" s="44" t="s">
        <v>645</v>
      </c>
      <c r="E200" s="44" t="s">
        <v>646</v>
      </c>
      <c r="F200" s="44">
        <v>36.0</v>
      </c>
      <c r="G200" s="44">
        <f t="shared" si="1"/>
        <v>24</v>
      </c>
      <c r="H200" s="44">
        <f t="shared" si="2"/>
        <v>3</v>
      </c>
    </row>
    <row r="201">
      <c r="A201" s="46">
        <v>200.0</v>
      </c>
      <c r="B201" s="46">
        <v>327.0</v>
      </c>
      <c r="C201" s="46" t="s">
        <v>647</v>
      </c>
      <c r="D201" s="46" t="s">
        <v>648</v>
      </c>
      <c r="E201" s="46" t="s">
        <v>649</v>
      </c>
      <c r="F201" s="46">
        <v>72.0</v>
      </c>
      <c r="G201" s="46">
        <f t="shared" si="1"/>
        <v>30</v>
      </c>
      <c r="H201" s="46">
        <f t="shared" si="2"/>
        <v>3.75</v>
      </c>
    </row>
    <row r="202">
      <c r="A202" s="44">
        <v>201.0</v>
      </c>
      <c r="B202" s="44">
        <v>330.0</v>
      </c>
      <c r="C202" s="44" t="s">
        <v>650</v>
      </c>
      <c r="D202" s="44" t="s">
        <v>651</v>
      </c>
      <c r="E202" s="44" t="s">
        <v>652</v>
      </c>
      <c r="F202" s="44">
        <v>108.0</v>
      </c>
      <c r="G202" s="44">
        <f t="shared" si="1"/>
        <v>36</v>
      </c>
      <c r="H202" s="44">
        <f t="shared" si="2"/>
        <v>4.5</v>
      </c>
    </row>
    <row r="203">
      <c r="A203" s="46">
        <v>202.0</v>
      </c>
      <c r="B203" s="46">
        <v>331.0</v>
      </c>
      <c r="C203" s="46" t="s">
        <v>653</v>
      </c>
      <c r="D203" s="46" t="s">
        <v>654</v>
      </c>
      <c r="E203" s="46" t="s">
        <v>655</v>
      </c>
      <c r="F203" s="46">
        <v>108.0</v>
      </c>
      <c r="G203" s="46">
        <f t="shared" si="1"/>
        <v>36</v>
      </c>
      <c r="H203" s="46">
        <f t="shared" si="2"/>
        <v>4.5</v>
      </c>
    </row>
    <row r="204">
      <c r="A204" s="44">
        <v>203.0</v>
      </c>
      <c r="B204" s="44">
        <v>332.0</v>
      </c>
      <c r="C204" s="44" t="s">
        <v>656</v>
      </c>
      <c r="D204" s="44" t="s">
        <v>657</v>
      </c>
      <c r="E204" s="44" t="s">
        <v>658</v>
      </c>
      <c r="F204" s="44">
        <v>36.0</v>
      </c>
      <c r="G204" s="44">
        <f t="shared" si="1"/>
        <v>24</v>
      </c>
      <c r="H204" s="44">
        <f t="shared" si="2"/>
        <v>3</v>
      </c>
    </row>
    <row r="205">
      <c r="A205" s="46">
        <v>204.0</v>
      </c>
      <c r="B205" s="46">
        <v>333.0</v>
      </c>
      <c r="C205" s="46" t="s">
        <v>659</v>
      </c>
      <c r="D205" s="46" t="s">
        <v>660</v>
      </c>
      <c r="E205" s="46" t="s">
        <v>661</v>
      </c>
      <c r="F205" s="46">
        <v>216.0</v>
      </c>
      <c r="G205" s="46">
        <f t="shared" si="1"/>
        <v>54</v>
      </c>
      <c r="H205" s="46">
        <f t="shared" si="2"/>
        <v>6.75</v>
      </c>
    </row>
    <row r="206">
      <c r="A206" s="44">
        <v>205.0</v>
      </c>
      <c r="B206" s="44">
        <v>334.0</v>
      </c>
      <c r="C206" s="44" t="s">
        <v>662</v>
      </c>
      <c r="D206" s="44" t="s">
        <v>663</v>
      </c>
      <c r="E206" s="44" t="s">
        <v>664</v>
      </c>
      <c r="F206" s="44">
        <v>0.0</v>
      </c>
      <c r="G206" s="44">
        <f t="shared" si="1"/>
        <v>18</v>
      </c>
      <c r="H206" s="44">
        <f t="shared" si="2"/>
        <v>2.25</v>
      </c>
    </row>
    <row r="207">
      <c r="A207" s="46">
        <v>206.0</v>
      </c>
      <c r="B207" s="46">
        <v>335.0</v>
      </c>
      <c r="C207" s="46" t="s">
        <v>665</v>
      </c>
      <c r="D207" s="46" t="s">
        <v>666</v>
      </c>
      <c r="E207" s="46" t="s">
        <v>667</v>
      </c>
      <c r="F207" s="46">
        <v>36.0</v>
      </c>
      <c r="G207" s="46">
        <f t="shared" si="1"/>
        <v>24</v>
      </c>
      <c r="H207" s="46">
        <f t="shared" si="2"/>
        <v>3</v>
      </c>
    </row>
    <row r="208">
      <c r="A208" s="44">
        <v>207.0</v>
      </c>
      <c r="B208" s="44">
        <v>336.0</v>
      </c>
      <c r="C208" s="44" t="s">
        <v>668</v>
      </c>
      <c r="D208" s="44" t="s">
        <v>669</v>
      </c>
      <c r="E208" s="44" t="s">
        <v>670</v>
      </c>
      <c r="F208" s="44">
        <v>72.0</v>
      </c>
      <c r="G208" s="44">
        <f t="shared" si="1"/>
        <v>30</v>
      </c>
      <c r="H208" s="44">
        <f t="shared" si="2"/>
        <v>3.75</v>
      </c>
    </row>
    <row r="209">
      <c r="A209" s="46">
        <v>208.0</v>
      </c>
      <c r="B209" s="46">
        <v>337.0</v>
      </c>
      <c r="C209" s="46" t="s">
        <v>671</v>
      </c>
      <c r="D209" s="46" t="s">
        <v>672</v>
      </c>
      <c r="E209" s="46" t="s">
        <v>673</v>
      </c>
      <c r="F209" s="46">
        <v>0.0</v>
      </c>
      <c r="G209" s="46">
        <f t="shared" si="1"/>
        <v>18</v>
      </c>
      <c r="H209" s="46">
        <f t="shared" si="2"/>
        <v>2.25</v>
      </c>
    </row>
    <row r="210">
      <c r="A210" s="44">
        <v>209.0</v>
      </c>
      <c r="B210" s="44">
        <v>338.0</v>
      </c>
      <c r="C210" s="44" t="s">
        <v>674</v>
      </c>
      <c r="D210" s="44" t="s">
        <v>675</v>
      </c>
      <c r="E210" s="44" t="s">
        <v>676</v>
      </c>
      <c r="F210" s="44">
        <v>180.0</v>
      </c>
      <c r="G210" s="44">
        <f t="shared" si="1"/>
        <v>48</v>
      </c>
      <c r="H210" s="44">
        <f t="shared" si="2"/>
        <v>6</v>
      </c>
    </row>
    <row r="211">
      <c r="A211" s="46">
        <v>210.0</v>
      </c>
      <c r="B211" s="46">
        <v>353.0</v>
      </c>
      <c r="C211" s="46" t="s">
        <v>677</v>
      </c>
      <c r="D211" s="46" t="s">
        <v>678</v>
      </c>
      <c r="E211" s="46" t="s">
        <v>679</v>
      </c>
      <c r="F211" s="46">
        <v>108.0</v>
      </c>
      <c r="G211" s="46">
        <f t="shared" si="1"/>
        <v>36</v>
      </c>
      <c r="H211" s="46">
        <f t="shared" si="2"/>
        <v>4.5</v>
      </c>
    </row>
    <row r="212">
      <c r="A212" s="44">
        <v>211.0</v>
      </c>
      <c r="B212" s="44">
        <v>354.0</v>
      </c>
      <c r="C212" s="44" t="s">
        <v>680</v>
      </c>
      <c r="D212" s="44" t="s">
        <v>681</v>
      </c>
      <c r="E212" s="44" t="s">
        <v>682</v>
      </c>
      <c r="F212" s="44">
        <v>0.0</v>
      </c>
      <c r="G212" s="44">
        <f t="shared" si="1"/>
        <v>18</v>
      </c>
      <c r="H212" s="44">
        <f t="shared" si="2"/>
        <v>2.25</v>
      </c>
    </row>
  </sheetData>
  <autoFilter ref="$A$1:$H$21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3.75"/>
    <col customWidth="1" min="3" max="3" width="12.38"/>
    <col customWidth="1" min="4" max="4" width="37.0"/>
    <col customWidth="1" min="5" max="5" width="51.13"/>
    <col customWidth="1" min="6" max="6" width="15.38"/>
    <col customWidth="1" min="7" max="7" width="14.88"/>
    <col customWidth="1" min="8" max="8" width="11.0"/>
    <col customWidth="1" min="9" max="9" width="20.75"/>
    <col customWidth="1" min="10" max="10" width="20.0"/>
    <col customWidth="1" min="11" max="11" width="6.13"/>
    <col customWidth="1" min="12" max="12" width="17.13"/>
    <col customWidth="1" min="13" max="13" width="13.5"/>
  </cols>
  <sheetData>
    <row r="1">
      <c r="A1" s="59" t="s">
        <v>6</v>
      </c>
      <c r="B1" s="59" t="s">
        <v>47</v>
      </c>
      <c r="C1" s="59" t="s">
        <v>48</v>
      </c>
      <c r="D1" s="59" t="s">
        <v>49</v>
      </c>
      <c r="E1" s="59" t="s">
        <v>50</v>
      </c>
      <c r="F1" s="60" t="s">
        <v>967</v>
      </c>
      <c r="G1" s="60" t="s">
        <v>968</v>
      </c>
      <c r="H1" s="60" t="s">
        <v>969</v>
      </c>
      <c r="I1" s="60" t="s">
        <v>705</v>
      </c>
      <c r="J1" s="60" t="s">
        <v>702</v>
      </c>
      <c r="K1" s="59" t="s">
        <v>4014</v>
      </c>
      <c r="L1" s="59" t="s">
        <v>4015</v>
      </c>
      <c r="M1" s="61" t="s">
        <v>4016</v>
      </c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3">
        <v>1.0</v>
      </c>
      <c r="B2" s="63">
        <v>1.0</v>
      </c>
      <c r="C2" s="64" t="s">
        <v>51</v>
      </c>
      <c r="D2" s="64" t="s">
        <v>52</v>
      </c>
      <c r="E2" s="64" t="s">
        <v>53</v>
      </c>
      <c r="F2" s="65">
        <v>7200.0</v>
      </c>
      <c r="G2" s="65">
        <v>7300.0</v>
      </c>
      <c r="H2" s="65">
        <v>900.0</v>
      </c>
      <c r="I2" s="65">
        <v>4500.0</v>
      </c>
      <c r="J2" s="65">
        <v>6500.0</v>
      </c>
      <c r="K2" s="63">
        <v>500.0</v>
      </c>
      <c r="L2" s="63">
        <v>11.0</v>
      </c>
      <c r="M2" s="66">
        <f t="shared" ref="M2:M3193" si="1">ROUND(L2*K2/716.2, 2)</f>
        <v>7.68</v>
      </c>
    </row>
    <row r="3">
      <c r="A3" s="67"/>
      <c r="B3" s="67"/>
      <c r="C3" s="67"/>
      <c r="D3" s="67"/>
      <c r="E3" s="67"/>
      <c r="F3" s="68"/>
      <c r="G3" s="68"/>
      <c r="H3" s="68"/>
      <c r="I3" s="68"/>
      <c r="J3" s="68"/>
      <c r="K3" s="69">
        <v>1000.0</v>
      </c>
      <c r="L3" s="69">
        <v>12.0</v>
      </c>
      <c r="M3" s="68">
        <f t="shared" si="1"/>
        <v>16.76</v>
      </c>
    </row>
    <row r="4">
      <c r="A4" s="70"/>
      <c r="B4" s="70"/>
      <c r="C4" s="70"/>
      <c r="D4" s="70"/>
      <c r="E4" s="70"/>
      <c r="F4" s="66"/>
      <c r="G4" s="66"/>
      <c r="H4" s="66"/>
      <c r="I4" s="66"/>
      <c r="J4" s="66"/>
      <c r="K4" s="63">
        <v>1500.0</v>
      </c>
      <c r="L4" s="63">
        <v>12.8</v>
      </c>
      <c r="M4" s="66">
        <f t="shared" si="1"/>
        <v>26.81</v>
      </c>
    </row>
    <row r="5">
      <c r="A5" s="67"/>
      <c r="B5" s="67"/>
      <c r="C5" s="67"/>
      <c r="D5" s="67"/>
      <c r="E5" s="67"/>
      <c r="F5" s="68"/>
      <c r="G5" s="68"/>
      <c r="H5" s="68"/>
      <c r="I5" s="68"/>
      <c r="J5" s="68"/>
      <c r="K5" s="69">
        <v>2000.0</v>
      </c>
      <c r="L5" s="69">
        <v>13.5</v>
      </c>
      <c r="M5" s="68">
        <f t="shared" si="1"/>
        <v>37.7</v>
      </c>
    </row>
    <row r="6">
      <c r="A6" s="70"/>
      <c r="B6" s="70"/>
      <c r="C6" s="70"/>
      <c r="D6" s="70"/>
      <c r="E6" s="70"/>
      <c r="F6" s="66"/>
      <c r="G6" s="66"/>
      <c r="H6" s="66"/>
      <c r="I6" s="66"/>
      <c r="J6" s="66"/>
      <c r="K6" s="63">
        <v>2500.0</v>
      </c>
      <c r="L6" s="63">
        <v>14.0</v>
      </c>
      <c r="M6" s="66">
        <f t="shared" si="1"/>
        <v>48.87</v>
      </c>
    </row>
    <row r="7">
      <c r="A7" s="67"/>
      <c r="B7" s="67"/>
      <c r="C7" s="67"/>
      <c r="D7" s="67"/>
      <c r="E7" s="67"/>
      <c r="F7" s="68"/>
      <c r="G7" s="68"/>
      <c r="H7" s="68"/>
      <c r="I7" s="68"/>
      <c r="J7" s="68"/>
      <c r="K7" s="69">
        <v>3000.0</v>
      </c>
      <c r="L7" s="69">
        <v>14.0</v>
      </c>
      <c r="M7" s="68">
        <f t="shared" si="1"/>
        <v>58.64</v>
      </c>
    </row>
    <row r="8">
      <c r="A8" s="70"/>
      <c r="B8" s="70"/>
      <c r="C8" s="70"/>
      <c r="D8" s="70"/>
      <c r="E8" s="70"/>
      <c r="F8" s="66"/>
      <c r="G8" s="66"/>
      <c r="H8" s="66"/>
      <c r="I8" s="66"/>
      <c r="J8" s="66"/>
      <c r="K8" s="63">
        <v>3500.0</v>
      </c>
      <c r="L8" s="63">
        <v>15.0</v>
      </c>
      <c r="M8" s="66">
        <f t="shared" si="1"/>
        <v>73.3</v>
      </c>
    </row>
    <row r="9">
      <c r="A9" s="67"/>
      <c r="B9" s="67"/>
      <c r="C9" s="67"/>
      <c r="D9" s="67"/>
      <c r="E9" s="67"/>
      <c r="F9" s="68"/>
      <c r="G9" s="68"/>
      <c r="H9" s="68"/>
      <c r="I9" s="68"/>
      <c r="J9" s="68"/>
      <c r="K9" s="69">
        <v>4000.0</v>
      </c>
      <c r="L9" s="69">
        <v>15.8</v>
      </c>
      <c r="M9" s="68">
        <f t="shared" si="1"/>
        <v>88.24</v>
      </c>
    </row>
    <row r="10">
      <c r="A10" s="70"/>
      <c r="B10" s="70"/>
      <c r="C10" s="70"/>
      <c r="D10" s="70"/>
      <c r="E10" s="70"/>
      <c r="F10" s="66"/>
      <c r="G10" s="66"/>
      <c r="H10" s="66"/>
      <c r="I10" s="66"/>
      <c r="J10" s="66"/>
      <c r="K10" s="63">
        <v>4500.0</v>
      </c>
      <c r="L10" s="63">
        <v>16.0</v>
      </c>
      <c r="M10" s="66">
        <f t="shared" si="1"/>
        <v>100.53</v>
      </c>
    </row>
    <row r="11">
      <c r="A11" s="67"/>
      <c r="B11" s="67"/>
      <c r="C11" s="67"/>
      <c r="D11" s="67"/>
      <c r="E11" s="67"/>
      <c r="F11" s="68"/>
      <c r="G11" s="68"/>
      <c r="H11" s="68"/>
      <c r="I11" s="68"/>
      <c r="J11" s="68"/>
      <c r="K11" s="69">
        <v>5000.0</v>
      </c>
      <c r="L11" s="69">
        <v>15.9</v>
      </c>
      <c r="M11" s="68">
        <f t="shared" si="1"/>
        <v>111</v>
      </c>
    </row>
    <row r="12">
      <c r="A12" s="70"/>
      <c r="B12" s="70"/>
      <c r="C12" s="70"/>
      <c r="D12" s="70"/>
      <c r="E12" s="70"/>
      <c r="F12" s="66"/>
      <c r="G12" s="66"/>
      <c r="H12" s="66"/>
      <c r="I12" s="66"/>
      <c r="J12" s="66"/>
      <c r="K12" s="63">
        <v>5500.0</v>
      </c>
      <c r="L12" s="63">
        <v>15.6</v>
      </c>
      <c r="M12" s="66">
        <f t="shared" si="1"/>
        <v>119.8</v>
      </c>
    </row>
    <row r="13">
      <c r="A13" s="67"/>
      <c r="B13" s="67"/>
      <c r="C13" s="67"/>
      <c r="D13" s="67"/>
      <c r="E13" s="67"/>
      <c r="F13" s="68"/>
      <c r="G13" s="68"/>
      <c r="H13" s="68"/>
      <c r="I13" s="68"/>
      <c r="J13" s="68"/>
      <c r="K13" s="69">
        <v>6000.0</v>
      </c>
      <c r="L13" s="69">
        <v>15.2</v>
      </c>
      <c r="M13" s="68">
        <f t="shared" si="1"/>
        <v>127.34</v>
      </c>
    </row>
    <row r="14">
      <c r="A14" s="70"/>
      <c r="B14" s="70"/>
      <c r="C14" s="70"/>
      <c r="D14" s="70"/>
      <c r="E14" s="70"/>
      <c r="F14" s="66"/>
      <c r="G14" s="66"/>
      <c r="H14" s="66"/>
      <c r="I14" s="66"/>
      <c r="J14" s="66"/>
      <c r="K14" s="63">
        <v>6500.0</v>
      </c>
      <c r="L14" s="63">
        <v>14.6</v>
      </c>
      <c r="M14" s="66">
        <f t="shared" si="1"/>
        <v>132.5</v>
      </c>
    </row>
    <row r="15">
      <c r="A15" s="67"/>
      <c r="B15" s="67"/>
      <c r="C15" s="67"/>
      <c r="D15" s="67"/>
      <c r="E15" s="67"/>
      <c r="F15" s="68"/>
      <c r="G15" s="68"/>
      <c r="H15" s="68"/>
      <c r="I15" s="68"/>
      <c r="J15" s="68"/>
      <c r="K15" s="69">
        <v>7000.0</v>
      </c>
      <c r="L15" s="69">
        <v>13.3</v>
      </c>
      <c r="M15" s="68">
        <f t="shared" si="1"/>
        <v>129.99</v>
      </c>
    </row>
    <row r="16">
      <c r="A16" s="70"/>
      <c r="B16" s="70"/>
      <c r="C16" s="70"/>
      <c r="D16" s="70"/>
      <c r="E16" s="70"/>
      <c r="F16" s="66"/>
      <c r="G16" s="66"/>
      <c r="H16" s="66"/>
      <c r="I16" s="66"/>
      <c r="J16" s="66"/>
      <c r="K16" s="63">
        <v>7500.0</v>
      </c>
      <c r="L16" s="63">
        <v>12.0</v>
      </c>
      <c r="M16" s="66">
        <f t="shared" si="1"/>
        <v>125.66</v>
      </c>
    </row>
    <row r="17">
      <c r="A17" s="68">
        <v>2.0</v>
      </c>
      <c r="B17" s="68">
        <v>2.0</v>
      </c>
      <c r="C17" s="71" t="s">
        <v>54</v>
      </c>
      <c r="D17" s="71" t="s">
        <v>55</v>
      </c>
      <c r="E17" s="71" t="s">
        <v>56</v>
      </c>
      <c r="F17" s="72">
        <v>6400.0</v>
      </c>
      <c r="G17" s="72">
        <v>6800.0</v>
      </c>
      <c r="H17" s="72">
        <v>600.0</v>
      </c>
      <c r="I17" s="72">
        <v>3200.0</v>
      </c>
      <c r="J17" s="72">
        <v>5600.0</v>
      </c>
      <c r="K17" s="69">
        <v>500.0</v>
      </c>
      <c r="L17" s="69">
        <v>9.03</v>
      </c>
      <c r="M17" s="68">
        <f t="shared" si="1"/>
        <v>6.3</v>
      </c>
    </row>
    <row r="18">
      <c r="A18" s="70"/>
      <c r="B18" s="70"/>
      <c r="C18" s="70"/>
      <c r="D18" s="70"/>
      <c r="E18" s="70"/>
      <c r="F18" s="66"/>
      <c r="G18" s="66"/>
      <c r="H18" s="66"/>
      <c r="I18" s="66"/>
      <c r="J18" s="66"/>
      <c r="K18" s="63">
        <v>1000.0</v>
      </c>
      <c r="L18" s="63">
        <v>10.52</v>
      </c>
      <c r="M18" s="66">
        <f t="shared" si="1"/>
        <v>14.69</v>
      </c>
    </row>
    <row r="19">
      <c r="A19" s="67"/>
      <c r="B19" s="67"/>
      <c r="C19" s="67"/>
      <c r="D19" s="67"/>
      <c r="E19" s="67"/>
      <c r="F19" s="68"/>
      <c r="G19" s="68"/>
      <c r="H19" s="68"/>
      <c r="I19" s="68"/>
      <c r="J19" s="68"/>
      <c r="K19" s="69">
        <v>1500.0</v>
      </c>
      <c r="L19" s="69">
        <v>11.35</v>
      </c>
      <c r="M19" s="68">
        <f t="shared" si="1"/>
        <v>23.77</v>
      </c>
    </row>
    <row r="20">
      <c r="A20" s="70"/>
      <c r="B20" s="70"/>
      <c r="C20" s="70"/>
      <c r="D20" s="70"/>
      <c r="E20" s="70"/>
      <c r="F20" s="66"/>
      <c r="G20" s="66"/>
      <c r="H20" s="66"/>
      <c r="I20" s="66"/>
      <c r="J20" s="66"/>
      <c r="K20" s="63">
        <v>2000.0</v>
      </c>
      <c r="L20" s="63">
        <v>12.06</v>
      </c>
      <c r="M20" s="66">
        <f t="shared" si="1"/>
        <v>33.68</v>
      </c>
    </row>
    <row r="21">
      <c r="A21" s="67"/>
      <c r="B21" s="67"/>
      <c r="C21" s="67"/>
      <c r="D21" s="67"/>
      <c r="E21" s="67"/>
      <c r="F21" s="68"/>
      <c r="G21" s="68"/>
      <c r="H21" s="68"/>
      <c r="I21" s="68"/>
      <c r="J21" s="68"/>
      <c r="K21" s="69">
        <v>2500.0</v>
      </c>
      <c r="L21" s="69">
        <v>12.47</v>
      </c>
      <c r="M21" s="68">
        <f t="shared" si="1"/>
        <v>43.53</v>
      </c>
    </row>
    <row r="22">
      <c r="A22" s="70"/>
      <c r="B22" s="70"/>
      <c r="C22" s="70"/>
      <c r="D22" s="70"/>
      <c r="E22" s="70"/>
      <c r="F22" s="66"/>
      <c r="G22" s="66"/>
      <c r="H22" s="66"/>
      <c r="I22" s="66"/>
      <c r="J22" s="66"/>
      <c r="K22" s="63">
        <v>3000.0</v>
      </c>
      <c r="L22" s="63">
        <v>13.97</v>
      </c>
      <c r="M22" s="66">
        <f t="shared" si="1"/>
        <v>58.52</v>
      </c>
    </row>
    <row r="23">
      <c r="A23" s="67"/>
      <c r="B23" s="67"/>
      <c r="C23" s="67"/>
      <c r="D23" s="67"/>
      <c r="E23" s="67"/>
      <c r="F23" s="68"/>
      <c r="G23" s="68"/>
      <c r="H23" s="68"/>
      <c r="I23" s="68"/>
      <c r="J23" s="68"/>
      <c r="K23" s="69">
        <v>3500.0</v>
      </c>
      <c r="L23" s="69">
        <v>13.97</v>
      </c>
      <c r="M23" s="68">
        <f t="shared" si="1"/>
        <v>68.27</v>
      </c>
    </row>
    <row r="24">
      <c r="A24" s="70"/>
      <c r="B24" s="70"/>
      <c r="C24" s="70"/>
      <c r="D24" s="70"/>
      <c r="E24" s="70"/>
      <c r="F24" s="66"/>
      <c r="G24" s="66"/>
      <c r="H24" s="66"/>
      <c r="I24" s="66"/>
      <c r="J24" s="66"/>
      <c r="K24" s="63">
        <v>4000.0</v>
      </c>
      <c r="L24" s="63">
        <v>13.72</v>
      </c>
      <c r="M24" s="66">
        <f t="shared" si="1"/>
        <v>76.63</v>
      </c>
    </row>
    <row r="25">
      <c r="A25" s="67"/>
      <c r="B25" s="67"/>
      <c r="C25" s="67"/>
      <c r="D25" s="67"/>
      <c r="E25" s="67"/>
      <c r="F25" s="68"/>
      <c r="G25" s="68"/>
      <c r="H25" s="68"/>
      <c r="I25" s="68"/>
      <c r="J25" s="68"/>
      <c r="K25" s="69">
        <v>4500.0</v>
      </c>
      <c r="L25" s="69">
        <v>13.2</v>
      </c>
      <c r="M25" s="68">
        <f t="shared" si="1"/>
        <v>82.94</v>
      </c>
    </row>
    <row r="26">
      <c r="A26" s="73"/>
      <c r="B26" s="73"/>
      <c r="C26" s="73"/>
      <c r="D26" s="73"/>
      <c r="E26" s="73"/>
      <c r="F26" s="66"/>
      <c r="G26" s="66"/>
      <c r="H26" s="66"/>
      <c r="I26" s="66"/>
      <c r="J26" s="66"/>
      <c r="K26" s="63">
        <v>5000.0</v>
      </c>
      <c r="L26" s="63">
        <v>12.79</v>
      </c>
      <c r="M26" s="66">
        <f t="shared" si="1"/>
        <v>89.29</v>
      </c>
    </row>
    <row r="27">
      <c r="A27" s="67"/>
      <c r="B27" s="67"/>
      <c r="C27" s="67"/>
      <c r="D27" s="67"/>
      <c r="E27" s="67"/>
      <c r="F27" s="68"/>
      <c r="G27" s="68"/>
      <c r="H27" s="68"/>
      <c r="I27" s="68"/>
      <c r="J27" s="68"/>
      <c r="K27" s="69">
        <v>5600.0</v>
      </c>
      <c r="L27" s="69">
        <v>12.54</v>
      </c>
      <c r="M27" s="68">
        <f t="shared" si="1"/>
        <v>98.05</v>
      </c>
    </row>
    <row r="28">
      <c r="A28" s="70"/>
      <c r="B28" s="70"/>
      <c r="C28" s="70"/>
      <c r="D28" s="70"/>
      <c r="E28" s="70"/>
      <c r="F28" s="66"/>
      <c r="G28" s="66"/>
      <c r="H28" s="66"/>
      <c r="I28" s="66"/>
      <c r="J28" s="66"/>
      <c r="K28" s="63">
        <v>6000.0</v>
      </c>
      <c r="L28" s="63">
        <v>12.13</v>
      </c>
      <c r="M28" s="66">
        <f t="shared" si="1"/>
        <v>101.62</v>
      </c>
    </row>
    <row r="29">
      <c r="A29" s="67"/>
      <c r="B29" s="67"/>
      <c r="C29" s="67"/>
      <c r="D29" s="67"/>
      <c r="E29" s="67"/>
      <c r="F29" s="68"/>
      <c r="G29" s="68"/>
      <c r="H29" s="68"/>
      <c r="I29" s="68"/>
      <c r="J29" s="68"/>
      <c r="K29" s="69">
        <v>6500.0</v>
      </c>
      <c r="L29" s="69">
        <v>11.0</v>
      </c>
      <c r="M29" s="68">
        <f t="shared" si="1"/>
        <v>99.83</v>
      </c>
    </row>
    <row r="30">
      <c r="A30" s="70"/>
      <c r="B30" s="70"/>
      <c r="C30" s="70"/>
      <c r="D30" s="70"/>
      <c r="E30" s="70"/>
      <c r="F30" s="66"/>
      <c r="G30" s="66"/>
      <c r="H30" s="66"/>
      <c r="I30" s="66"/>
      <c r="J30" s="66"/>
      <c r="K30" s="63">
        <v>7000.0</v>
      </c>
      <c r="L30" s="63">
        <v>9.55</v>
      </c>
      <c r="M30" s="66">
        <f t="shared" si="1"/>
        <v>93.34</v>
      </c>
    </row>
    <row r="31">
      <c r="A31" s="68">
        <v>3.0</v>
      </c>
      <c r="B31" s="68">
        <v>3.0</v>
      </c>
      <c r="C31" s="71" t="s">
        <v>57</v>
      </c>
      <c r="D31" s="71" t="s">
        <v>58</v>
      </c>
      <c r="E31" s="71" t="s">
        <v>59</v>
      </c>
      <c r="F31" s="72">
        <v>7500.0</v>
      </c>
      <c r="G31" s="72">
        <v>7600.0</v>
      </c>
      <c r="H31" s="72">
        <v>700.0</v>
      </c>
      <c r="I31" s="72">
        <v>5500.0</v>
      </c>
      <c r="J31" s="72">
        <v>7000.0</v>
      </c>
      <c r="K31" s="69">
        <v>500.0</v>
      </c>
      <c r="L31" s="69">
        <v>9.87</v>
      </c>
      <c r="M31" s="68">
        <f t="shared" si="1"/>
        <v>6.89</v>
      </c>
    </row>
    <row r="32">
      <c r="A32" s="70"/>
      <c r="B32" s="70"/>
      <c r="C32" s="70"/>
      <c r="D32" s="70"/>
      <c r="E32" s="70"/>
      <c r="F32" s="66"/>
      <c r="G32" s="66"/>
      <c r="H32" s="66"/>
      <c r="I32" s="66"/>
      <c r="J32" s="66"/>
      <c r="K32" s="63">
        <v>1000.0</v>
      </c>
      <c r="L32" s="63">
        <v>12.24</v>
      </c>
      <c r="M32" s="66">
        <f t="shared" si="1"/>
        <v>17.09</v>
      </c>
    </row>
    <row r="33">
      <c r="A33" s="67"/>
      <c r="B33" s="67"/>
      <c r="C33" s="67"/>
      <c r="D33" s="67"/>
      <c r="E33" s="67"/>
      <c r="F33" s="68"/>
      <c r="G33" s="68"/>
      <c r="H33" s="68"/>
      <c r="I33" s="68"/>
      <c r="J33" s="68"/>
      <c r="K33" s="69">
        <v>1500.0</v>
      </c>
      <c r="L33" s="69">
        <v>13.77</v>
      </c>
      <c r="M33" s="68">
        <f t="shared" si="1"/>
        <v>28.84</v>
      </c>
    </row>
    <row r="34">
      <c r="A34" s="70"/>
      <c r="B34" s="70"/>
      <c r="C34" s="70"/>
      <c r="D34" s="70"/>
      <c r="E34" s="70"/>
      <c r="F34" s="66"/>
      <c r="G34" s="66"/>
      <c r="H34" s="66"/>
      <c r="I34" s="66"/>
      <c r="J34" s="66"/>
      <c r="K34" s="63">
        <v>2000.0</v>
      </c>
      <c r="L34" s="63">
        <v>15.3</v>
      </c>
      <c r="M34" s="66">
        <f t="shared" si="1"/>
        <v>42.73</v>
      </c>
    </row>
    <row r="35">
      <c r="A35" s="67"/>
      <c r="B35" s="67"/>
      <c r="C35" s="67"/>
      <c r="D35" s="67"/>
      <c r="E35" s="67"/>
      <c r="F35" s="68"/>
      <c r="G35" s="68"/>
      <c r="H35" s="68"/>
      <c r="I35" s="68"/>
      <c r="J35" s="68"/>
      <c r="K35" s="69">
        <v>2500.0</v>
      </c>
      <c r="L35" s="69">
        <v>15.81</v>
      </c>
      <c r="M35" s="68">
        <f t="shared" si="1"/>
        <v>55.19</v>
      </c>
    </row>
    <row r="36">
      <c r="A36" s="70"/>
      <c r="B36" s="70"/>
      <c r="C36" s="70"/>
      <c r="D36" s="70"/>
      <c r="E36" s="70"/>
      <c r="F36" s="66"/>
      <c r="G36" s="66"/>
      <c r="H36" s="66"/>
      <c r="I36" s="66"/>
      <c r="J36" s="66"/>
      <c r="K36" s="63">
        <v>3000.0</v>
      </c>
      <c r="L36" s="63">
        <v>16.32</v>
      </c>
      <c r="M36" s="66">
        <f t="shared" si="1"/>
        <v>68.36</v>
      </c>
    </row>
    <row r="37">
      <c r="A37" s="67"/>
      <c r="B37" s="67"/>
      <c r="C37" s="67"/>
      <c r="D37" s="67"/>
      <c r="E37" s="67"/>
      <c r="F37" s="68"/>
      <c r="G37" s="68"/>
      <c r="H37" s="68"/>
      <c r="I37" s="68"/>
      <c r="J37" s="68"/>
      <c r="K37" s="69">
        <v>3500.0</v>
      </c>
      <c r="L37" s="69">
        <v>16.72</v>
      </c>
      <c r="M37" s="68">
        <f t="shared" si="1"/>
        <v>81.71</v>
      </c>
    </row>
    <row r="38">
      <c r="A38" s="70"/>
      <c r="B38" s="70"/>
      <c r="C38" s="70"/>
      <c r="D38" s="70"/>
      <c r="E38" s="70"/>
      <c r="F38" s="66"/>
      <c r="G38" s="66"/>
      <c r="H38" s="66"/>
      <c r="I38" s="66"/>
      <c r="J38" s="66"/>
      <c r="K38" s="63">
        <v>4000.0</v>
      </c>
      <c r="L38" s="63">
        <v>17.13</v>
      </c>
      <c r="M38" s="66">
        <f t="shared" si="1"/>
        <v>95.67</v>
      </c>
    </row>
    <row r="39">
      <c r="A39" s="67"/>
      <c r="B39" s="67"/>
      <c r="C39" s="67"/>
      <c r="D39" s="67"/>
      <c r="E39" s="67"/>
      <c r="F39" s="68"/>
      <c r="G39" s="68"/>
      <c r="H39" s="68"/>
      <c r="I39" s="68"/>
      <c r="J39" s="68"/>
      <c r="K39" s="69">
        <v>4500.0</v>
      </c>
      <c r="L39" s="69">
        <v>17.2</v>
      </c>
      <c r="M39" s="68">
        <f t="shared" si="1"/>
        <v>108.07</v>
      </c>
    </row>
    <row r="40">
      <c r="A40" s="70"/>
      <c r="B40" s="70"/>
      <c r="C40" s="70"/>
      <c r="D40" s="70"/>
      <c r="E40" s="70"/>
      <c r="F40" s="66"/>
      <c r="G40" s="66"/>
      <c r="H40" s="66"/>
      <c r="I40" s="66"/>
      <c r="J40" s="66"/>
      <c r="K40" s="63">
        <v>5000.0</v>
      </c>
      <c r="L40" s="63">
        <v>17.27</v>
      </c>
      <c r="M40" s="66">
        <f t="shared" si="1"/>
        <v>120.57</v>
      </c>
    </row>
    <row r="41">
      <c r="A41" s="67"/>
      <c r="B41" s="67"/>
      <c r="C41" s="67"/>
      <c r="D41" s="67"/>
      <c r="E41" s="67"/>
      <c r="F41" s="68"/>
      <c r="G41" s="68"/>
      <c r="H41" s="68"/>
      <c r="I41" s="68"/>
      <c r="J41" s="68"/>
      <c r="K41" s="69">
        <v>5500.0</v>
      </c>
      <c r="L41" s="69">
        <v>17.34</v>
      </c>
      <c r="M41" s="68">
        <f t="shared" si="1"/>
        <v>133.16</v>
      </c>
    </row>
    <row r="42">
      <c r="A42" s="70"/>
      <c r="B42" s="70"/>
      <c r="C42" s="70"/>
      <c r="D42" s="70"/>
      <c r="E42" s="70"/>
      <c r="F42" s="66"/>
      <c r="G42" s="66"/>
      <c r="H42" s="66"/>
      <c r="I42" s="66"/>
      <c r="J42" s="66"/>
      <c r="K42" s="63">
        <v>6000.0</v>
      </c>
      <c r="L42" s="63">
        <v>17.0</v>
      </c>
      <c r="M42" s="66">
        <f t="shared" si="1"/>
        <v>142.42</v>
      </c>
    </row>
    <row r="43">
      <c r="A43" s="67"/>
      <c r="B43" s="67"/>
      <c r="C43" s="67"/>
      <c r="D43" s="67"/>
      <c r="E43" s="67"/>
      <c r="F43" s="68"/>
      <c r="G43" s="68"/>
      <c r="H43" s="68"/>
      <c r="I43" s="68"/>
      <c r="J43" s="68"/>
      <c r="K43" s="69">
        <v>6500.0</v>
      </c>
      <c r="L43" s="69">
        <v>16.51</v>
      </c>
      <c r="M43" s="68">
        <f t="shared" si="1"/>
        <v>149.84</v>
      </c>
    </row>
    <row r="44">
      <c r="A44" s="70"/>
      <c r="B44" s="70"/>
      <c r="C44" s="70"/>
      <c r="D44" s="70"/>
      <c r="E44" s="70"/>
      <c r="F44" s="66"/>
      <c r="G44" s="66"/>
      <c r="H44" s="66"/>
      <c r="I44" s="66"/>
      <c r="J44" s="66"/>
      <c r="K44" s="63">
        <v>7000.0</v>
      </c>
      <c r="L44" s="63">
        <v>15.32</v>
      </c>
      <c r="M44" s="66">
        <f t="shared" si="1"/>
        <v>149.73</v>
      </c>
    </row>
    <row r="45">
      <c r="A45" s="67"/>
      <c r="B45" s="67"/>
      <c r="C45" s="67"/>
      <c r="D45" s="67"/>
      <c r="E45" s="67"/>
      <c r="F45" s="68"/>
      <c r="G45" s="68"/>
      <c r="H45" s="68"/>
      <c r="I45" s="68"/>
      <c r="J45" s="68"/>
      <c r="K45" s="69">
        <v>7500.0</v>
      </c>
      <c r="L45" s="69">
        <v>13.49</v>
      </c>
      <c r="M45" s="68">
        <f t="shared" si="1"/>
        <v>141.27</v>
      </c>
    </row>
    <row r="46">
      <c r="A46" s="70"/>
      <c r="B46" s="70"/>
      <c r="C46" s="70"/>
      <c r="D46" s="70"/>
      <c r="E46" s="70"/>
      <c r="F46" s="66"/>
      <c r="G46" s="66"/>
      <c r="H46" s="66"/>
      <c r="I46" s="66"/>
      <c r="J46" s="66"/>
      <c r="K46" s="63">
        <v>8000.0</v>
      </c>
      <c r="L46" s="63">
        <v>10.0</v>
      </c>
      <c r="M46" s="66">
        <f t="shared" si="1"/>
        <v>111.7</v>
      </c>
    </row>
    <row r="47">
      <c r="A47" s="68">
        <v>4.0</v>
      </c>
      <c r="B47" s="68">
        <v>5.0</v>
      </c>
      <c r="C47" s="71" t="s">
        <v>60</v>
      </c>
      <c r="D47" s="71" t="s">
        <v>61</v>
      </c>
      <c r="E47" s="71" t="s">
        <v>62</v>
      </c>
      <c r="F47" s="72">
        <v>8000.0</v>
      </c>
      <c r="G47" s="72">
        <v>8500.0</v>
      </c>
      <c r="H47" s="72">
        <v>750.0</v>
      </c>
      <c r="I47" s="72">
        <v>5300.0</v>
      </c>
      <c r="J47" s="72">
        <v>7300.0</v>
      </c>
      <c r="K47" s="69">
        <v>500.0</v>
      </c>
      <c r="L47" s="69">
        <v>22.99</v>
      </c>
      <c r="M47" s="68">
        <f t="shared" si="1"/>
        <v>16.05</v>
      </c>
    </row>
    <row r="48">
      <c r="A48" s="70"/>
      <c r="B48" s="70"/>
      <c r="C48" s="70"/>
      <c r="D48" s="70"/>
      <c r="E48" s="70"/>
      <c r="F48" s="66"/>
      <c r="G48" s="66"/>
      <c r="H48" s="66"/>
      <c r="I48" s="66"/>
      <c r="J48" s="66"/>
      <c r="K48" s="63">
        <v>1000.0</v>
      </c>
      <c r="L48" s="63">
        <v>25.25</v>
      </c>
      <c r="M48" s="66">
        <f t="shared" si="1"/>
        <v>35.26</v>
      </c>
    </row>
    <row r="49">
      <c r="A49" s="67"/>
      <c r="B49" s="67"/>
      <c r="C49" s="67"/>
      <c r="D49" s="67"/>
      <c r="E49" s="67"/>
      <c r="F49" s="68"/>
      <c r="G49" s="68"/>
      <c r="H49" s="68"/>
      <c r="I49" s="68"/>
      <c r="J49" s="68"/>
      <c r="K49" s="69">
        <v>1500.0</v>
      </c>
      <c r="L49" s="69">
        <v>25.89</v>
      </c>
      <c r="M49" s="68">
        <f t="shared" si="1"/>
        <v>54.22</v>
      </c>
    </row>
    <row r="50">
      <c r="A50" s="73"/>
      <c r="B50" s="73"/>
      <c r="C50" s="73"/>
      <c r="D50" s="73"/>
      <c r="E50" s="73"/>
      <c r="F50" s="66"/>
      <c r="G50" s="66"/>
      <c r="H50" s="66"/>
      <c r="I50" s="66"/>
      <c r="J50" s="66"/>
      <c r="K50" s="63">
        <v>2000.0</v>
      </c>
      <c r="L50" s="63">
        <v>26.51</v>
      </c>
      <c r="M50" s="66">
        <f t="shared" si="1"/>
        <v>74.03</v>
      </c>
    </row>
    <row r="51">
      <c r="A51" s="67"/>
      <c r="B51" s="67"/>
      <c r="C51" s="67"/>
      <c r="D51" s="67"/>
      <c r="E51" s="67"/>
      <c r="F51" s="68"/>
      <c r="G51" s="68"/>
      <c r="H51" s="68"/>
      <c r="I51" s="68"/>
      <c r="J51" s="68"/>
      <c r="K51" s="69">
        <v>2500.0</v>
      </c>
      <c r="L51" s="69">
        <v>27.33</v>
      </c>
      <c r="M51" s="68">
        <f t="shared" si="1"/>
        <v>95.4</v>
      </c>
    </row>
    <row r="52">
      <c r="A52" s="70"/>
      <c r="B52" s="70"/>
      <c r="C52" s="70"/>
      <c r="D52" s="70"/>
      <c r="E52" s="70"/>
      <c r="F52" s="66"/>
      <c r="G52" s="66"/>
      <c r="H52" s="66"/>
      <c r="I52" s="66"/>
      <c r="J52" s="66"/>
      <c r="K52" s="63">
        <v>3000.0</v>
      </c>
      <c r="L52" s="63">
        <v>27.94</v>
      </c>
      <c r="M52" s="66">
        <f t="shared" si="1"/>
        <v>117.03</v>
      </c>
    </row>
    <row r="53">
      <c r="A53" s="67"/>
      <c r="B53" s="67"/>
      <c r="C53" s="67"/>
      <c r="D53" s="67"/>
      <c r="E53" s="67"/>
      <c r="F53" s="68"/>
      <c r="G53" s="68"/>
      <c r="H53" s="68"/>
      <c r="I53" s="68"/>
      <c r="J53" s="68"/>
      <c r="K53" s="69">
        <v>3500.0</v>
      </c>
      <c r="L53" s="69">
        <v>29.88</v>
      </c>
      <c r="M53" s="68">
        <f t="shared" si="1"/>
        <v>146.02</v>
      </c>
    </row>
    <row r="54">
      <c r="A54" s="70"/>
      <c r="B54" s="70"/>
      <c r="C54" s="70"/>
      <c r="D54" s="70"/>
      <c r="E54" s="70"/>
      <c r="F54" s="66"/>
      <c r="G54" s="66"/>
      <c r="H54" s="66"/>
      <c r="I54" s="66"/>
      <c r="J54" s="66"/>
      <c r="K54" s="63">
        <v>4000.0</v>
      </c>
      <c r="L54" s="63">
        <v>30.39</v>
      </c>
      <c r="M54" s="66">
        <f t="shared" si="1"/>
        <v>169.73</v>
      </c>
    </row>
    <row r="55">
      <c r="A55" s="67"/>
      <c r="B55" s="67"/>
      <c r="C55" s="67"/>
      <c r="D55" s="67"/>
      <c r="E55" s="67"/>
      <c r="F55" s="68"/>
      <c r="G55" s="68"/>
      <c r="H55" s="68"/>
      <c r="I55" s="68"/>
      <c r="J55" s="68"/>
      <c r="K55" s="69">
        <v>4500.0</v>
      </c>
      <c r="L55" s="69">
        <v>30.08</v>
      </c>
      <c r="M55" s="68">
        <f t="shared" si="1"/>
        <v>189</v>
      </c>
    </row>
    <row r="56">
      <c r="A56" s="70"/>
      <c r="B56" s="70"/>
      <c r="C56" s="70"/>
      <c r="D56" s="70"/>
      <c r="E56" s="70"/>
      <c r="F56" s="66"/>
      <c r="G56" s="66"/>
      <c r="H56" s="66"/>
      <c r="I56" s="66"/>
      <c r="J56" s="66"/>
      <c r="K56" s="63">
        <v>5000.0</v>
      </c>
      <c r="L56" s="63">
        <v>30.69</v>
      </c>
      <c r="M56" s="66">
        <f t="shared" si="1"/>
        <v>214.26</v>
      </c>
    </row>
    <row r="57">
      <c r="A57" s="67"/>
      <c r="B57" s="67"/>
      <c r="C57" s="67"/>
      <c r="D57" s="67"/>
      <c r="E57" s="67"/>
      <c r="F57" s="68"/>
      <c r="G57" s="68"/>
      <c r="H57" s="68"/>
      <c r="I57" s="68"/>
      <c r="J57" s="68"/>
      <c r="K57" s="69">
        <v>5500.0</v>
      </c>
      <c r="L57" s="69">
        <v>31.1</v>
      </c>
      <c r="M57" s="68">
        <f t="shared" si="1"/>
        <v>238.83</v>
      </c>
    </row>
    <row r="58">
      <c r="A58" s="70"/>
      <c r="B58" s="70"/>
      <c r="C58" s="70"/>
      <c r="D58" s="70"/>
      <c r="E58" s="70"/>
      <c r="F58" s="66"/>
      <c r="G58" s="66"/>
      <c r="H58" s="66"/>
      <c r="I58" s="66"/>
      <c r="J58" s="66"/>
      <c r="K58" s="63">
        <v>6000.0</v>
      </c>
      <c r="L58" s="63">
        <v>30.49</v>
      </c>
      <c r="M58" s="66">
        <f t="shared" si="1"/>
        <v>255.43</v>
      </c>
    </row>
    <row r="59">
      <c r="A59" s="67"/>
      <c r="B59" s="67"/>
      <c r="C59" s="67"/>
      <c r="D59" s="67"/>
      <c r="E59" s="67"/>
      <c r="F59" s="68"/>
      <c r="G59" s="68"/>
      <c r="H59" s="68"/>
      <c r="I59" s="68"/>
      <c r="J59" s="68"/>
      <c r="K59" s="69">
        <v>6500.0</v>
      </c>
      <c r="L59" s="69">
        <v>29.09</v>
      </c>
      <c r="M59" s="68">
        <f t="shared" si="1"/>
        <v>264.01</v>
      </c>
    </row>
    <row r="60">
      <c r="A60" s="70"/>
      <c r="B60" s="70"/>
      <c r="C60" s="70"/>
      <c r="D60" s="70"/>
      <c r="E60" s="70"/>
      <c r="F60" s="66"/>
      <c r="G60" s="66"/>
      <c r="H60" s="66"/>
      <c r="I60" s="66"/>
      <c r="J60" s="66"/>
      <c r="K60" s="63">
        <v>7000.0</v>
      </c>
      <c r="L60" s="63">
        <v>28.16</v>
      </c>
      <c r="M60" s="66">
        <f t="shared" si="1"/>
        <v>275.23</v>
      </c>
    </row>
    <row r="61">
      <c r="A61" s="67"/>
      <c r="B61" s="67"/>
      <c r="C61" s="67"/>
      <c r="D61" s="67"/>
      <c r="E61" s="67"/>
      <c r="F61" s="68"/>
      <c r="G61" s="68"/>
      <c r="H61" s="68"/>
      <c r="I61" s="68"/>
      <c r="J61" s="68"/>
      <c r="K61" s="69">
        <v>7500.0</v>
      </c>
      <c r="L61" s="69">
        <v>26.72</v>
      </c>
      <c r="M61" s="68">
        <f t="shared" si="1"/>
        <v>279.81</v>
      </c>
    </row>
    <row r="62">
      <c r="A62" s="70"/>
      <c r="B62" s="70"/>
      <c r="C62" s="70"/>
      <c r="D62" s="70"/>
      <c r="E62" s="70"/>
      <c r="F62" s="66"/>
      <c r="G62" s="66"/>
      <c r="H62" s="66"/>
      <c r="I62" s="66"/>
      <c r="J62" s="66"/>
      <c r="K62" s="63">
        <v>8000.0</v>
      </c>
      <c r="L62" s="63">
        <v>24.76</v>
      </c>
      <c r="M62" s="66">
        <f t="shared" si="1"/>
        <v>276.57</v>
      </c>
    </row>
    <row r="63">
      <c r="A63" s="67"/>
      <c r="B63" s="67"/>
      <c r="C63" s="67"/>
      <c r="D63" s="67"/>
      <c r="E63" s="67"/>
      <c r="F63" s="68"/>
      <c r="G63" s="68"/>
      <c r="H63" s="68"/>
      <c r="I63" s="68"/>
      <c r="J63" s="68"/>
      <c r="K63" s="69">
        <v>8500.0</v>
      </c>
      <c r="L63" s="69">
        <v>22.6</v>
      </c>
      <c r="M63" s="68">
        <f t="shared" si="1"/>
        <v>268.22</v>
      </c>
    </row>
    <row r="64">
      <c r="A64" s="70"/>
      <c r="B64" s="70"/>
      <c r="C64" s="70"/>
      <c r="D64" s="70"/>
      <c r="E64" s="70"/>
      <c r="F64" s="66"/>
      <c r="G64" s="66"/>
      <c r="H64" s="66"/>
      <c r="I64" s="66"/>
      <c r="J64" s="66"/>
      <c r="K64" s="63">
        <v>9000.0</v>
      </c>
      <c r="L64" s="63">
        <v>20.2</v>
      </c>
      <c r="M64" s="66">
        <f t="shared" si="1"/>
        <v>253.84</v>
      </c>
    </row>
    <row r="65">
      <c r="A65" s="68">
        <v>5.0</v>
      </c>
      <c r="B65" s="68">
        <v>6.0</v>
      </c>
      <c r="C65" s="71" t="s">
        <v>63</v>
      </c>
      <c r="D65" s="71" t="s">
        <v>64</v>
      </c>
      <c r="E65" s="71" t="s">
        <v>65</v>
      </c>
      <c r="F65" s="72">
        <v>6500.0</v>
      </c>
      <c r="G65" s="72">
        <v>6600.0</v>
      </c>
      <c r="H65" s="72">
        <v>700.0</v>
      </c>
      <c r="I65" s="72">
        <v>4200.0</v>
      </c>
      <c r="J65" s="72">
        <v>6000.0</v>
      </c>
      <c r="K65" s="69">
        <v>500.0</v>
      </c>
      <c r="L65" s="69">
        <v>11.01</v>
      </c>
      <c r="M65" s="68">
        <f t="shared" si="1"/>
        <v>7.69</v>
      </c>
    </row>
    <row r="66">
      <c r="A66" s="70"/>
      <c r="B66" s="70"/>
      <c r="C66" s="70"/>
      <c r="D66" s="70"/>
      <c r="E66" s="70"/>
      <c r="F66" s="66"/>
      <c r="G66" s="66"/>
      <c r="H66" s="66"/>
      <c r="I66" s="66"/>
      <c r="J66" s="66"/>
      <c r="K66" s="63">
        <v>1000.0</v>
      </c>
      <c r="L66" s="63">
        <v>11.93</v>
      </c>
      <c r="M66" s="66">
        <f t="shared" si="1"/>
        <v>16.66</v>
      </c>
    </row>
    <row r="67">
      <c r="A67" s="67"/>
      <c r="B67" s="67"/>
      <c r="C67" s="67"/>
      <c r="D67" s="67"/>
      <c r="E67" s="67"/>
      <c r="F67" s="68"/>
      <c r="G67" s="68"/>
      <c r="H67" s="68"/>
      <c r="I67" s="68"/>
      <c r="J67" s="68"/>
      <c r="K67" s="69">
        <v>1500.0</v>
      </c>
      <c r="L67" s="69">
        <v>12.54</v>
      </c>
      <c r="M67" s="68">
        <f t="shared" si="1"/>
        <v>26.26</v>
      </c>
    </row>
    <row r="68">
      <c r="A68" s="70"/>
      <c r="B68" s="70"/>
      <c r="C68" s="70"/>
      <c r="D68" s="70"/>
      <c r="E68" s="70"/>
      <c r="F68" s="66"/>
      <c r="G68" s="66"/>
      <c r="H68" s="66"/>
      <c r="I68" s="66"/>
      <c r="J68" s="66"/>
      <c r="K68" s="63">
        <v>2000.0</v>
      </c>
      <c r="L68" s="63">
        <v>12.95</v>
      </c>
      <c r="M68" s="66">
        <f t="shared" si="1"/>
        <v>36.16</v>
      </c>
    </row>
    <row r="69">
      <c r="A69" s="67"/>
      <c r="B69" s="67"/>
      <c r="C69" s="67"/>
      <c r="D69" s="67"/>
      <c r="E69" s="67"/>
      <c r="F69" s="68"/>
      <c r="G69" s="68"/>
      <c r="H69" s="68"/>
      <c r="I69" s="68"/>
      <c r="J69" s="68"/>
      <c r="K69" s="69">
        <v>2500.0</v>
      </c>
      <c r="L69" s="69">
        <v>13.15</v>
      </c>
      <c r="M69" s="68">
        <f t="shared" si="1"/>
        <v>45.9</v>
      </c>
    </row>
    <row r="70">
      <c r="A70" s="70"/>
      <c r="B70" s="70"/>
      <c r="C70" s="70"/>
      <c r="D70" s="70"/>
      <c r="E70" s="70"/>
      <c r="F70" s="66"/>
      <c r="G70" s="66"/>
      <c r="H70" s="66"/>
      <c r="I70" s="66"/>
      <c r="J70" s="66"/>
      <c r="K70" s="63">
        <v>3000.0</v>
      </c>
      <c r="L70" s="63">
        <v>13.66</v>
      </c>
      <c r="M70" s="66">
        <f t="shared" si="1"/>
        <v>57.22</v>
      </c>
    </row>
    <row r="71">
      <c r="A71" s="67"/>
      <c r="B71" s="67"/>
      <c r="C71" s="67"/>
      <c r="D71" s="67"/>
      <c r="E71" s="67"/>
      <c r="F71" s="68"/>
      <c r="G71" s="68"/>
      <c r="H71" s="68"/>
      <c r="I71" s="68"/>
      <c r="J71" s="68"/>
      <c r="K71" s="69">
        <v>3500.0</v>
      </c>
      <c r="L71" s="69">
        <v>14.38</v>
      </c>
      <c r="M71" s="68">
        <f t="shared" si="1"/>
        <v>70.27</v>
      </c>
    </row>
    <row r="72">
      <c r="A72" s="70"/>
      <c r="B72" s="70"/>
      <c r="C72" s="70"/>
      <c r="D72" s="70"/>
      <c r="E72" s="70"/>
      <c r="F72" s="66"/>
      <c r="G72" s="66"/>
      <c r="H72" s="66"/>
      <c r="I72" s="66"/>
      <c r="J72" s="66"/>
      <c r="K72" s="63">
        <v>4000.0</v>
      </c>
      <c r="L72" s="63">
        <v>14.58</v>
      </c>
      <c r="M72" s="66">
        <f t="shared" si="1"/>
        <v>81.43</v>
      </c>
    </row>
    <row r="73">
      <c r="A73" s="67"/>
      <c r="B73" s="67"/>
      <c r="C73" s="67"/>
      <c r="D73" s="67"/>
      <c r="E73" s="67"/>
      <c r="F73" s="68"/>
      <c r="G73" s="68"/>
      <c r="H73" s="68"/>
      <c r="I73" s="68"/>
      <c r="J73" s="68"/>
      <c r="K73" s="69">
        <v>4500.0</v>
      </c>
      <c r="L73" s="69">
        <v>14.48</v>
      </c>
      <c r="M73" s="68">
        <f t="shared" si="1"/>
        <v>90.98</v>
      </c>
    </row>
    <row r="74">
      <c r="A74" s="73"/>
      <c r="B74" s="73"/>
      <c r="C74" s="73"/>
      <c r="D74" s="73"/>
      <c r="E74" s="73"/>
      <c r="F74" s="66"/>
      <c r="G74" s="66"/>
      <c r="H74" s="66"/>
      <c r="I74" s="66"/>
      <c r="J74" s="66"/>
      <c r="K74" s="63">
        <v>5000.0</v>
      </c>
      <c r="L74" s="63">
        <v>14.07</v>
      </c>
      <c r="M74" s="66">
        <f t="shared" si="1"/>
        <v>98.23</v>
      </c>
    </row>
    <row r="75">
      <c r="A75" s="67"/>
      <c r="B75" s="67"/>
      <c r="C75" s="67"/>
      <c r="D75" s="67"/>
      <c r="E75" s="67"/>
      <c r="F75" s="68"/>
      <c r="G75" s="68"/>
      <c r="H75" s="68"/>
      <c r="I75" s="68"/>
      <c r="J75" s="68"/>
      <c r="K75" s="69">
        <v>5500.0</v>
      </c>
      <c r="L75" s="69">
        <v>13.66</v>
      </c>
      <c r="M75" s="68">
        <f t="shared" si="1"/>
        <v>104.9</v>
      </c>
    </row>
    <row r="76">
      <c r="A76" s="70"/>
      <c r="B76" s="70"/>
      <c r="C76" s="70"/>
      <c r="D76" s="70"/>
      <c r="E76" s="70"/>
      <c r="F76" s="66"/>
      <c r="G76" s="66"/>
      <c r="H76" s="66"/>
      <c r="I76" s="66"/>
      <c r="J76" s="66"/>
      <c r="K76" s="63">
        <v>6000.0</v>
      </c>
      <c r="L76" s="63">
        <v>13.05</v>
      </c>
      <c r="M76" s="66">
        <f t="shared" si="1"/>
        <v>109.33</v>
      </c>
    </row>
    <row r="77">
      <c r="A77" s="67"/>
      <c r="B77" s="67"/>
      <c r="C77" s="67"/>
      <c r="D77" s="67"/>
      <c r="E77" s="67"/>
      <c r="F77" s="68"/>
      <c r="G77" s="68"/>
      <c r="H77" s="68"/>
      <c r="I77" s="68"/>
      <c r="J77" s="68"/>
      <c r="K77" s="69">
        <v>6500.0</v>
      </c>
      <c r="L77" s="69">
        <v>12.13</v>
      </c>
      <c r="M77" s="68">
        <f t="shared" si="1"/>
        <v>110.09</v>
      </c>
    </row>
    <row r="78">
      <c r="A78" s="70"/>
      <c r="B78" s="70"/>
      <c r="C78" s="70"/>
      <c r="D78" s="70"/>
      <c r="E78" s="70"/>
      <c r="F78" s="66"/>
      <c r="G78" s="66"/>
      <c r="H78" s="66"/>
      <c r="I78" s="66"/>
      <c r="J78" s="66"/>
      <c r="K78" s="63">
        <v>7000.0</v>
      </c>
      <c r="L78" s="63">
        <v>10.91</v>
      </c>
      <c r="M78" s="66">
        <f t="shared" si="1"/>
        <v>106.63</v>
      </c>
    </row>
    <row r="79">
      <c r="A79" s="68">
        <v>6.0</v>
      </c>
      <c r="B79" s="68">
        <v>7.0</v>
      </c>
      <c r="C79" s="71" t="s">
        <v>66</v>
      </c>
      <c r="D79" s="71" t="s">
        <v>67</v>
      </c>
      <c r="E79" s="71" t="s">
        <v>68</v>
      </c>
      <c r="F79" s="72">
        <v>7000.0</v>
      </c>
      <c r="G79" s="72">
        <v>7400.0</v>
      </c>
      <c r="H79" s="72">
        <v>700.0</v>
      </c>
      <c r="I79" s="72">
        <v>5000.0</v>
      </c>
      <c r="J79" s="72">
        <v>6600.0</v>
      </c>
      <c r="K79" s="69">
        <v>500.0</v>
      </c>
      <c r="L79" s="69">
        <v>11.45</v>
      </c>
      <c r="M79" s="68">
        <f t="shared" si="1"/>
        <v>7.99</v>
      </c>
    </row>
    <row r="80">
      <c r="A80" s="70"/>
      <c r="B80" s="70"/>
      <c r="C80" s="70"/>
      <c r="D80" s="70"/>
      <c r="E80" s="70"/>
      <c r="F80" s="66"/>
      <c r="G80" s="66"/>
      <c r="H80" s="66"/>
      <c r="I80" s="66"/>
      <c r="J80" s="66"/>
      <c r="K80" s="63">
        <v>1000.0</v>
      </c>
      <c r="L80" s="63">
        <v>12.4</v>
      </c>
      <c r="M80" s="66">
        <f t="shared" si="1"/>
        <v>17.31</v>
      </c>
    </row>
    <row r="81">
      <c r="A81" s="67"/>
      <c r="B81" s="67"/>
      <c r="C81" s="67"/>
      <c r="D81" s="67"/>
      <c r="E81" s="67"/>
      <c r="F81" s="68"/>
      <c r="G81" s="68"/>
      <c r="H81" s="68"/>
      <c r="I81" s="68"/>
      <c r="J81" s="68"/>
      <c r="K81" s="69">
        <v>1500.0</v>
      </c>
      <c r="L81" s="69">
        <v>13.0</v>
      </c>
      <c r="M81" s="68">
        <f t="shared" si="1"/>
        <v>27.23</v>
      </c>
    </row>
    <row r="82">
      <c r="A82" s="70"/>
      <c r="B82" s="70"/>
      <c r="C82" s="70"/>
      <c r="D82" s="70"/>
      <c r="E82" s="70"/>
      <c r="F82" s="66"/>
      <c r="G82" s="66"/>
      <c r="H82" s="66"/>
      <c r="I82" s="66"/>
      <c r="J82" s="66"/>
      <c r="K82" s="63">
        <v>2000.0</v>
      </c>
      <c r="L82" s="63">
        <v>13.8</v>
      </c>
      <c r="M82" s="66">
        <f t="shared" si="1"/>
        <v>38.54</v>
      </c>
    </row>
    <row r="83">
      <c r="A83" s="67"/>
      <c r="B83" s="67"/>
      <c r="C83" s="67"/>
      <c r="D83" s="67"/>
      <c r="E83" s="67"/>
      <c r="F83" s="68"/>
      <c r="G83" s="68"/>
      <c r="H83" s="68"/>
      <c r="I83" s="68"/>
      <c r="J83" s="68"/>
      <c r="K83" s="69">
        <v>2500.0</v>
      </c>
      <c r="L83" s="69">
        <v>15.0</v>
      </c>
      <c r="M83" s="68">
        <f t="shared" si="1"/>
        <v>52.36</v>
      </c>
    </row>
    <row r="84">
      <c r="A84" s="70"/>
      <c r="B84" s="70"/>
      <c r="C84" s="70"/>
      <c r="D84" s="70"/>
      <c r="E84" s="70"/>
      <c r="F84" s="66"/>
      <c r="G84" s="66"/>
      <c r="H84" s="66"/>
      <c r="I84" s="66"/>
      <c r="J84" s="66"/>
      <c r="K84" s="63">
        <v>3000.0</v>
      </c>
      <c r="L84" s="63">
        <v>16.0</v>
      </c>
      <c r="M84" s="66">
        <f t="shared" si="1"/>
        <v>67.02</v>
      </c>
    </row>
    <row r="85">
      <c r="A85" s="67"/>
      <c r="B85" s="67"/>
      <c r="C85" s="67"/>
      <c r="D85" s="67"/>
      <c r="E85" s="67"/>
      <c r="F85" s="68"/>
      <c r="G85" s="68"/>
      <c r="H85" s="68"/>
      <c r="I85" s="68"/>
      <c r="J85" s="68"/>
      <c r="K85" s="69">
        <v>3500.0</v>
      </c>
      <c r="L85" s="69">
        <v>16.9</v>
      </c>
      <c r="M85" s="68">
        <f t="shared" si="1"/>
        <v>82.59</v>
      </c>
    </row>
    <row r="86">
      <c r="A86" s="70"/>
      <c r="B86" s="70"/>
      <c r="C86" s="70"/>
      <c r="D86" s="70"/>
      <c r="E86" s="70"/>
      <c r="F86" s="66"/>
      <c r="G86" s="66"/>
      <c r="H86" s="66"/>
      <c r="I86" s="66"/>
      <c r="J86" s="66"/>
      <c r="K86" s="63">
        <v>4000.0</v>
      </c>
      <c r="L86" s="63">
        <v>17.8</v>
      </c>
      <c r="M86" s="66">
        <f t="shared" si="1"/>
        <v>99.41</v>
      </c>
    </row>
    <row r="87">
      <c r="A87" s="67"/>
      <c r="B87" s="67"/>
      <c r="C87" s="67"/>
      <c r="D87" s="67"/>
      <c r="E87" s="67"/>
      <c r="F87" s="68"/>
      <c r="G87" s="68"/>
      <c r="H87" s="68"/>
      <c r="I87" s="68"/>
      <c r="J87" s="68"/>
      <c r="K87" s="69">
        <v>4500.0</v>
      </c>
      <c r="L87" s="69">
        <v>17.9</v>
      </c>
      <c r="M87" s="68">
        <f t="shared" si="1"/>
        <v>112.47</v>
      </c>
    </row>
    <row r="88">
      <c r="A88" s="70"/>
      <c r="B88" s="70"/>
      <c r="C88" s="70"/>
      <c r="D88" s="70"/>
      <c r="E88" s="70"/>
      <c r="F88" s="66"/>
      <c r="G88" s="66"/>
      <c r="H88" s="66"/>
      <c r="I88" s="66"/>
      <c r="J88" s="66"/>
      <c r="K88" s="63">
        <v>5000.0</v>
      </c>
      <c r="L88" s="63">
        <v>18.0</v>
      </c>
      <c r="M88" s="66">
        <f t="shared" si="1"/>
        <v>125.66</v>
      </c>
    </row>
    <row r="89">
      <c r="A89" s="67"/>
      <c r="B89" s="67"/>
      <c r="C89" s="67"/>
      <c r="D89" s="67"/>
      <c r="E89" s="67"/>
      <c r="F89" s="68"/>
      <c r="G89" s="68"/>
      <c r="H89" s="68"/>
      <c r="I89" s="68"/>
      <c r="J89" s="68"/>
      <c r="K89" s="69">
        <v>5500.0</v>
      </c>
      <c r="L89" s="69">
        <v>17.9</v>
      </c>
      <c r="M89" s="68">
        <f t="shared" si="1"/>
        <v>137.46</v>
      </c>
    </row>
    <row r="90">
      <c r="A90" s="70"/>
      <c r="B90" s="70"/>
      <c r="C90" s="70"/>
      <c r="D90" s="70"/>
      <c r="E90" s="70"/>
      <c r="F90" s="66"/>
      <c r="G90" s="66"/>
      <c r="H90" s="66"/>
      <c r="I90" s="66"/>
      <c r="J90" s="66"/>
      <c r="K90" s="63">
        <v>6000.0</v>
      </c>
      <c r="L90" s="63">
        <v>17.0</v>
      </c>
      <c r="M90" s="66">
        <f t="shared" si="1"/>
        <v>142.42</v>
      </c>
    </row>
    <row r="91">
      <c r="A91" s="67"/>
      <c r="B91" s="67"/>
      <c r="C91" s="67"/>
      <c r="D91" s="67"/>
      <c r="E91" s="67"/>
      <c r="F91" s="68"/>
      <c r="G91" s="68"/>
      <c r="H91" s="68"/>
      <c r="I91" s="68"/>
      <c r="J91" s="68"/>
      <c r="K91" s="69">
        <v>6500.0</v>
      </c>
      <c r="L91" s="69">
        <v>16.5</v>
      </c>
      <c r="M91" s="68">
        <f t="shared" si="1"/>
        <v>149.75</v>
      </c>
    </row>
    <row r="92">
      <c r="A92" s="70"/>
      <c r="B92" s="70"/>
      <c r="C92" s="70"/>
      <c r="D92" s="70"/>
      <c r="E92" s="70"/>
      <c r="F92" s="66"/>
      <c r="G92" s="66"/>
      <c r="H92" s="66"/>
      <c r="I92" s="66"/>
      <c r="J92" s="66"/>
      <c r="K92" s="63">
        <v>7000.0</v>
      </c>
      <c r="L92" s="63">
        <v>15.5</v>
      </c>
      <c r="M92" s="66">
        <f t="shared" si="1"/>
        <v>151.49</v>
      </c>
    </row>
    <row r="93">
      <c r="A93" s="67"/>
      <c r="B93" s="67"/>
      <c r="C93" s="67"/>
      <c r="D93" s="67"/>
      <c r="E93" s="67"/>
      <c r="F93" s="68"/>
      <c r="G93" s="68"/>
      <c r="H93" s="68"/>
      <c r="I93" s="68"/>
      <c r="J93" s="68"/>
      <c r="K93" s="69">
        <v>7500.0</v>
      </c>
      <c r="L93" s="69">
        <v>14.2</v>
      </c>
      <c r="M93" s="68">
        <f t="shared" si="1"/>
        <v>148.7</v>
      </c>
    </row>
    <row r="94">
      <c r="A94" s="70"/>
      <c r="B94" s="70"/>
      <c r="C94" s="70"/>
      <c r="D94" s="70"/>
      <c r="E94" s="70"/>
      <c r="F94" s="66"/>
      <c r="G94" s="66"/>
      <c r="H94" s="66"/>
      <c r="I94" s="66"/>
      <c r="J94" s="66"/>
      <c r="K94" s="63">
        <v>8000.0</v>
      </c>
      <c r="L94" s="63">
        <v>11.75</v>
      </c>
      <c r="M94" s="66">
        <f t="shared" si="1"/>
        <v>131.25</v>
      </c>
    </row>
    <row r="95">
      <c r="A95" s="68">
        <v>7.0</v>
      </c>
      <c r="B95" s="68">
        <v>8.0</v>
      </c>
      <c r="C95" s="71" t="s">
        <v>69</v>
      </c>
      <c r="D95" s="71" t="s">
        <v>70</v>
      </c>
      <c r="E95" s="71" t="s">
        <v>71</v>
      </c>
      <c r="F95" s="72">
        <v>6800.0</v>
      </c>
      <c r="G95" s="72">
        <v>7000.0</v>
      </c>
      <c r="H95" s="72">
        <v>700.0</v>
      </c>
      <c r="I95" s="72">
        <v>3600.0</v>
      </c>
      <c r="J95" s="72">
        <v>5600.0</v>
      </c>
      <c r="K95" s="69">
        <v>500.0</v>
      </c>
      <c r="L95" s="69">
        <v>27.88</v>
      </c>
      <c r="M95" s="68">
        <f t="shared" si="1"/>
        <v>19.46</v>
      </c>
    </row>
    <row r="96">
      <c r="A96" s="70"/>
      <c r="B96" s="70"/>
      <c r="C96" s="70"/>
      <c r="D96" s="70"/>
      <c r="E96" s="70"/>
      <c r="F96" s="66"/>
      <c r="G96" s="66"/>
      <c r="H96" s="66"/>
      <c r="I96" s="66"/>
      <c r="J96" s="66"/>
      <c r="K96" s="63">
        <v>1000.0</v>
      </c>
      <c r="L96" s="63">
        <v>31.25</v>
      </c>
      <c r="M96" s="66">
        <f t="shared" si="1"/>
        <v>43.63</v>
      </c>
    </row>
    <row r="97">
      <c r="A97" s="67"/>
      <c r="B97" s="67"/>
      <c r="C97" s="67"/>
      <c r="D97" s="67"/>
      <c r="E97" s="67"/>
      <c r="F97" s="68"/>
      <c r="G97" s="68"/>
      <c r="H97" s="68"/>
      <c r="I97" s="68"/>
      <c r="J97" s="68"/>
      <c r="K97" s="69">
        <v>1500.0</v>
      </c>
      <c r="L97" s="69">
        <v>34.2</v>
      </c>
      <c r="M97" s="68">
        <f t="shared" si="1"/>
        <v>71.63</v>
      </c>
    </row>
    <row r="98">
      <c r="A98" s="73"/>
      <c r="B98" s="73"/>
      <c r="C98" s="73"/>
      <c r="D98" s="73"/>
      <c r="E98" s="73"/>
      <c r="F98" s="66"/>
      <c r="G98" s="66"/>
      <c r="H98" s="66"/>
      <c r="I98" s="66"/>
      <c r="J98" s="66"/>
      <c r="K98" s="63">
        <v>2000.0</v>
      </c>
      <c r="L98" s="63">
        <v>41.67</v>
      </c>
      <c r="M98" s="66">
        <f t="shared" si="1"/>
        <v>116.36</v>
      </c>
    </row>
    <row r="99">
      <c r="A99" s="67"/>
      <c r="B99" s="67"/>
      <c r="C99" s="67"/>
      <c r="D99" s="67"/>
      <c r="E99" s="67"/>
      <c r="F99" s="68"/>
      <c r="G99" s="68"/>
      <c r="H99" s="68"/>
      <c r="I99" s="68"/>
      <c r="J99" s="68"/>
      <c r="K99" s="69">
        <v>2500.0</v>
      </c>
      <c r="L99" s="69">
        <v>44.0</v>
      </c>
      <c r="M99" s="68">
        <f t="shared" si="1"/>
        <v>153.59</v>
      </c>
    </row>
    <row r="100">
      <c r="A100" s="70"/>
      <c r="B100" s="70"/>
      <c r="C100" s="70"/>
      <c r="D100" s="70"/>
      <c r="E100" s="70"/>
      <c r="F100" s="66"/>
      <c r="G100" s="66"/>
      <c r="H100" s="66"/>
      <c r="I100" s="66"/>
      <c r="J100" s="66"/>
      <c r="K100" s="63">
        <v>3000.0</v>
      </c>
      <c r="L100" s="63">
        <v>44.54</v>
      </c>
      <c r="M100" s="66">
        <f t="shared" si="1"/>
        <v>186.57</v>
      </c>
    </row>
    <row r="101">
      <c r="A101" s="67"/>
      <c r="B101" s="67"/>
      <c r="C101" s="67"/>
      <c r="D101" s="67"/>
      <c r="E101" s="67"/>
      <c r="F101" s="68"/>
      <c r="G101" s="68"/>
      <c r="H101" s="68"/>
      <c r="I101" s="68"/>
      <c r="J101" s="68"/>
      <c r="K101" s="69">
        <v>3600.0</v>
      </c>
      <c r="L101" s="69">
        <v>46.0</v>
      </c>
      <c r="M101" s="68">
        <f t="shared" si="1"/>
        <v>231.22</v>
      </c>
    </row>
    <row r="102">
      <c r="A102" s="70"/>
      <c r="B102" s="70"/>
      <c r="C102" s="70"/>
      <c r="D102" s="70"/>
      <c r="E102" s="70"/>
      <c r="F102" s="66"/>
      <c r="G102" s="66"/>
      <c r="H102" s="66"/>
      <c r="I102" s="66"/>
      <c r="J102" s="66"/>
      <c r="K102" s="63">
        <v>4000.0</v>
      </c>
      <c r="L102" s="63">
        <v>45.0</v>
      </c>
      <c r="M102" s="66">
        <f t="shared" si="1"/>
        <v>251.33</v>
      </c>
    </row>
    <row r="103">
      <c r="A103" s="67"/>
      <c r="B103" s="67"/>
      <c r="C103" s="67"/>
      <c r="D103" s="67"/>
      <c r="E103" s="67"/>
      <c r="F103" s="68"/>
      <c r="G103" s="68"/>
      <c r="H103" s="68"/>
      <c r="I103" s="68"/>
      <c r="J103" s="68"/>
      <c r="K103" s="69">
        <v>4500.0</v>
      </c>
      <c r="L103" s="69">
        <v>42.25</v>
      </c>
      <c r="M103" s="68">
        <f t="shared" si="1"/>
        <v>265.46</v>
      </c>
    </row>
    <row r="104">
      <c r="A104" s="70"/>
      <c r="B104" s="70"/>
      <c r="C104" s="70"/>
      <c r="D104" s="70"/>
      <c r="E104" s="70"/>
      <c r="F104" s="66"/>
      <c r="G104" s="66"/>
      <c r="H104" s="66"/>
      <c r="I104" s="66"/>
      <c r="J104" s="66"/>
      <c r="K104" s="63">
        <v>5000.0</v>
      </c>
      <c r="L104" s="63">
        <v>39.5</v>
      </c>
      <c r="M104" s="66">
        <f t="shared" si="1"/>
        <v>275.76</v>
      </c>
    </row>
    <row r="105">
      <c r="A105" s="67"/>
      <c r="B105" s="67"/>
      <c r="C105" s="67"/>
      <c r="D105" s="67"/>
      <c r="E105" s="67"/>
      <c r="F105" s="68"/>
      <c r="G105" s="68"/>
      <c r="H105" s="68"/>
      <c r="I105" s="68"/>
      <c r="J105" s="68"/>
      <c r="K105" s="69">
        <v>5600.0</v>
      </c>
      <c r="L105" s="69">
        <v>35.8</v>
      </c>
      <c r="M105" s="68">
        <f t="shared" si="1"/>
        <v>279.92</v>
      </c>
    </row>
    <row r="106">
      <c r="A106" s="70"/>
      <c r="B106" s="70"/>
      <c r="C106" s="70"/>
      <c r="D106" s="70"/>
      <c r="E106" s="70"/>
      <c r="F106" s="66"/>
      <c r="G106" s="66"/>
      <c r="H106" s="66"/>
      <c r="I106" s="66"/>
      <c r="J106" s="66"/>
      <c r="K106" s="63">
        <v>6000.0</v>
      </c>
      <c r="L106" s="63">
        <v>33.25</v>
      </c>
      <c r="M106" s="66">
        <f t="shared" si="1"/>
        <v>278.55</v>
      </c>
    </row>
    <row r="107">
      <c r="A107" s="67"/>
      <c r="B107" s="67"/>
      <c r="C107" s="67"/>
      <c r="D107" s="67"/>
      <c r="E107" s="67"/>
      <c r="F107" s="68"/>
      <c r="G107" s="68"/>
      <c r="H107" s="68"/>
      <c r="I107" s="68"/>
      <c r="J107" s="68"/>
      <c r="K107" s="69">
        <v>6500.0</v>
      </c>
      <c r="L107" s="69">
        <v>30.5</v>
      </c>
      <c r="M107" s="68">
        <f t="shared" si="1"/>
        <v>276.81</v>
      </c>
    </row>
    <row r="108">
      <c r="A108" s="70"/>
      <c r="B108" s="70"/>
      <c r="C108" s="70"/>
      <c r="D108" s="70"/>
      <c r="E108" s="70"/>
      <c r="F108" s="66"/>
      <c r="G108" s="66"/>
      <c r="H108" s="66"/>
      <c r="I108" s="66"/>
      <c r="J108" s="66"/>
      <c r="K108" s="63">
        <v>7000.0</v>
      </c>
      <c r="L108" s="63">
        <v>27.38</v>
      </c>
      <c r="M108" s="66">
        <f t="shared" si="1"/>
        <v>267.61</v>
      </c>
    </row>
    <row r="109">
      <c r="A109" s="68">
        <v>8.0</v>
      </c>
      <c r="B109" s="68">
        <v>10.0</v>
      </c>
      <c r="C109" s="71" t="s">
        <v>72</v>
      </c>
      <c r="D109" s="71" t="s">
        <v>73</v>
      </c>
      <c r="E109" s="71" t="s">
        <v>74</v>
      </c>
      <c r="F109" s="72">
        <v>5500.0</v>
      </c>
      <c r="G109" s="72">
        <v>6000.0</v>
      </c>
      <c r="H109" s="72">
        <v>800.0</v>
      </c>
      <c r="I109" s="72">
        <v>3800.0</v>
      </c>
      <c r="J109" s="72">
        <v>5400.0</v>
      </c>
      <c r="K109" s="69">
        <v>500.0</v>
      </c>
      <c r="L109" s="69">
        <v>4.8</v>
      </c>
      <c r="M109" s="68">
        <f t="shared" si="1"/>
        <v>3.35</v>
      </c>
    </row>
    <row r="110">
      <c r="A110" s="70"/>
      <c r="B110" s="70"/>
      <c r="C110" s="70"/>
      <c r="D110" s="70"/>
      <c r="E110" s="70"/>
      <c r="F110" s="66"/>
      <c r="G110" s="66"/>
      <c r="H110" s="66"/>
      <c r="I110" s="66"/>
      <c r="J110" s="66"/>
      <c r="K110" s="63">
        <v>1000.0</v>
      </c>
      <c r="L110" s="63">
        <v>4.8</v>
      </c>
      <c r="M110" s="66">
        <f t="shared" si="1"/>
        <v>6.7</v>
      </c>
    </row>
    <row r="111">
      <c r="A111" s="67"/>
      <c r="B111" s="67"/>
      <c r="C111" s="67"/>
      <c r="D111" s="67"/>
      <c r="E111" s="67"/>
      <c r="F111" s="68"/>
      <c r="G111" s="68"/>
      <c r="H111" s="68"/>
      <c r="I111" s="68"/>
      <c r="J111" s="68"/>
      <c r="K111" s="69">
        <v>1500.0</v>
      </c>
      <c r="L111" s="69">
        <v>4.9</v>
      </c>
      <c r="M111" s="68">
        <f t="shared" si="1"/>
        <v>10.26</v>
      </c>
    </row>
    <row r="112">
      <c r="A112" s="70"/>
      <c r="B112" s="70"/>
      <c r="C112" s="70"/>
      <c r="D112" s="70"/>
      <c r="E112" s="70"/>
      <c r="F112" s="66"/>
      <c r="G112" s="66"/>
      <c r="H112" s="66"/>
      <c r="I112" s="66"/>
      <c r="J112" s="66"/>
      <c r="K112" s="63">
        <v>2000.0</v>
      </c>
      <c r="L112" s="63">
        <v>5.1</v>
      </c>
      <c r="M112" s="66">
        <f t="shared" si="1"/>
        <v>14.24</v>
      </c>
    </row>
    <row r="113">
      <c r="A113" s="67"/>
      <c r="B113" s="67"/>
      <c r="C113" s="67"/>
      <c r="D113" s="67"/>
      <c r="E113" s="67"/>
      <c r="F113" s="68"/>
      <c r="G113" s="68"/>
      <c r="H113" s="68"/>
      <c r="I113" s="68"/>
      <c r="J113" s="68"/>
      <c r="K113" s="69">
        <v>2500.0</v>
      </c>
      <c r="L113" s="69">
        <v>6.0</v>
      </c>
      <c r="M113" s="68">
        <f t="shared" si="1"/>
        <v>20.94</v>
      </c>
    </row>
    <row r="114">
      <c r="A114" s="70"/>
      <c r="B114" s="70"/>
      <c r="C114" s="70"/>
      <c r="D114" s="70"/>
      <c r="E114" s="70"/>
      <c r="F114" s="66"/>
      <c r="G114" s="66"/>
      <c r="H114" s="66"/>
      <c r="I114" s="66"/>
      <c r="J114" s="66"/>
      <c r="K114" s="63">
        <v>3000.0</v>
      </c>
      <c r="L114" s="63">
        <v>6.6</v>
      </c>
      <c r="M114" s="66">
        <f t="shared" si="1"/>
        <v>27.65</v>
      </c>
    </row>
    <row r="115">
      <c r="A115" s="67"/>
      <c r="B115" s="67"/>
      <c r="C115" s="67"/>
      <c r="D115" s="67"/>
      <c r="E115" s="67"/>
      <c r="F115" s="68"/>
      <c r="G115" s="68"/>
      <c r="H115" s="68"/>
      <c r="I115" s="68"/>
      <c r="J115" s="68"/>
      <c r="K115" s="69">
        <v>3500.0</v>
      </c>
      <c r="L115" s="69">
        <v>6.7</v>
      </c>
      <c r="M115" s="68">
        <f t="shared" si="1"/>
        <v>32.74</v>
      </c>
    </row>
    <row r="116">
      <c r="A116" s="70"/>
      <c r="B116" s="70"/>
      <c r="C116" s="70"/>
      <c r="D116" s="70"/>
      <c r="E116" s="70"/>
      <c r="F116" s="66"/>
      <c r="G116" s="66"/>
      <c r="H116" s="66"/>
      <c r="I116" s="66"/>
      <c r="J116" s="66"/>
      <c r="K116" s="63">
        <v>4000.0</v>
      </c>
      <c r="L116" s="63">
        <v>6.8</v>
      </c>
      <c r="M116" s="66">
        <f t="shared" si="1"/>
        <v>37.98</v>
      </c>
    </row>
    <row r="117">
      <c r="A117" s="67"/>
      <c r="B117" s="67"/>
      <c r="C117" s="67"/>
      <c r="D117" s="67"/>
      <c r="E117" s="67"/>
      <c r="F117" s="68"/>
      <c r="G117" s="68"/>
      <c r="H117" s="68"/>
      <c r="I117" s="68"/>
      <c r="J117" s="68"/>
      <c r="K117" s="69">
        <v>4500.0</v>
      </c>
      <c r="L117" s="69">
        <v>6.63</v>
      </c>
      <c r="M117" s="68">
        <f t="shared" si="1"/>
        <v>41.66</v>
      </c>
    </row>
    <row r="118">
      <c r="A118" s="70"/>
      <c r="B118" s="70"/>
      <c r="C118" s="70"/>
      <c r="D118" s="70"/>
      <c r="E118" s="70"/>
      <c r="F118" s="66"/>
      <c r="G118" s="66"/>
      <c r="H118" s="66"/>
      <c r="I118" s="66"/>
      <c r="J118" s="66"/>
      <c r="K118" s="63">
        <v>5000.0</v>
      </c>
      <c r="L118" s="63">
        <v>6.44</v>
      </c>
      <c r="M118" s="66">
        <f t="shared" si="1"/>
        <v>44.96</v>
      </c>
    </row>
    <row r="119">
      <c r="A119" s="67"/>
      <c r="B119" s="67"/>
      <c r="C119" s="67"/>
      <c r="D119" s="67"/>
      <c r="E119" s="67"/>
      <c r="F119" s="68"/>
      <c r="G119" s="68"/>
      <c r="H119" s="68"/>
      <c r="I119" s="68"/>
      <c r="J119" s="68"/>
      <c r="K119" s="69">
        <v>5500.0</v>
      </c>
      <c r="L119" s="69">
        <v>5.82</v>
      </c>
      <c r="M119" s="68">
        <f t="shared" si="1"/>
        <v>44.69</v>
      </c>
    </row>
    <row r="120">
      <c r="A120" s="70"/>
      <c r="B120" s="70"/>
      <c r="C120" s="70"/>
      <c r="D120" s="70"/>
      <c r="E120" s="70"/>
      <c r="F120" s="66"/>
      <c r="G120" s="66"/>
      <c r="H120" s="66"/>
      <c r="I120" s="66"/>
      <c r="J120" s="66"/>
      <c r="K120" s="63">
        <v>6000.0</v>
      </c>
      <c r="L120" s="63">
        <v>5.15</v>
      </c>
      <c r="M120" s="66">
        <f t="shared" si="1"/>
        <v>43.14</v>
      </c>
    </row>
    <row r="121">
      <c r="A121" s="67"/>
      <c r="B121" s="67"/>
      <c r="C121" s="67"/>
      <c r="D121" s="67"/>
      <c r="E121" s="67"/>
      <c r="F121" s="68"/>
      <c r="G121" s="68"/>
      <c r="H121" s="68"/>
      <c r="I121" s="68"/>
      <c r="J121" s="68"/>
      <c r="K121" s="69">
        <v>6500.0</v>
      </c>
      <c r="L121" s="69">
        <v>3.85</v>
      </c>
      <c r="M121" s="68">
        <f t="shared" si="1"/>
        <v>34.94</v>
      </c>
    </row>
    <row r="122">
      <c r="A122" s="63">
        <v>9.0</v>
      </c>
      <c r="B122" s="63">
        <v>11.0</v>
      </c>
      <c r="C122" s="64" t="s">
        <v>75</v>
      </c>
      <c r="D122" s="64" t="s">
        <v>76</v>
      </c>
      <c r="E122" s="64" t="s">
        <v>77</v>
      </c>
      <c r="F122" s="65">
        <v>8000.0</v>
      </c>
      <c r="G122" s="65">
        <v>8000.0</v>
      </c>
      <c r="H122" s="65">
        <v>900.0</v>
      </c>
      <c r="I122" s="65">
        <v>6000.0</v>
      </c>
      <c r="J122" s="65">
        <v>7500.0</v>
      </c>
      <c r="K122" s="63">
        <v>500.0</v>
      </c>
      <c r="L122" s="63">
        <v>25.55</v>
      </c>
      <c r="M122" s="66">
        <f t="shared" si="1"/>
        <v>17.84</v>
      </c>
    </row>
    <row r="123">
      <c r="A123" s="67"/>
      <c r="B123" s="67"/>
      <c r="C123" s="67"/>
      <c r="D123" s="67"/>
      <c r="E123" s="67"/>
      <c r="F123" s="68"/>
      <c r="G123" s="68"/>
      <c r="H123" s="68"/>
      <c r="I123" s="68"/>
      <c r="J123" s="68"/>
      <c r="K123" s="69">
        <v>1000.0</v>
      </c>
      <c r="L123" s="69">
        <v>28.35</v>
      </c>
      <c r="M123" s="68">
        <f t="shared" si="1"/>
        <v>39.58</v>
      </c>
    </row>
    <row r="124">
      <c r="A124" s="70"/>
      <c r="B124" s="70"/>
      <c r="C124" s="70"/>
      <c r="D124" s="70"/>
      <c r="E124" s="70"/>
      <c r="F124" s="66"/>
      <c r="G124" s="66"/>
      <c r="H124" s="66"/>
      <c r="I124" s="66"/>
      <c r="J124" s="66"/>
      <c r="K124" s="63">
        <v>1500.0</v>
      </c>
      <c r="L124" s="63">
        <v>30.8</v>
      </c>
      <c r="M124" s="66">
        <f t="shared" si="1"/>
        <v>64.51</v>
      </c>
    </row>
    <row r="125">
      <c r="A125" s="67"/>
      <c r="B125" s="67"/>
      <c r="C125" s="67"/>
      <c r="D125" s="67"/>
      <c r="E125" s="67"/>
      <c r="F125" s="68"/>
      <c r="G125" s="68"/>
      <c r="H125" s="68"/>
      <c r="I125" s="68"/>
      <c r="J125" s="68"/>
      <c r="K125" s="69">
        <v>2000.0</v>
      </c>
      <c r="L125" s="69">
        <v>35.17</v>
      </c>
      <c r="M125" s="68">
        <f t="shared" si="1"/>
        <v>98.21</v>
      </c>
    </row>
    <row r="126">
      <c r="A126" s="70"/>
      <c r="B126" s="70"/>
      <c r="C126" s="70"/>
      <c r="D126" s="70"/>
      <c r="E126" s="70"/>
      <c r="F126" s="66"/>
      <c r="G126" s="66"/>
      <c r="H126" s="66"/>
      <c r="I126" s="66"/>
      <c r="J126" s="66"/>
      <c r="K126" s="63">
        <v>2500.0</v>
      </c>
      <c r="L126" s="63">
        <v>46.38</v>
      </c>
      <c r="M126" s="66">
        <f t="shared" si="1"/>
        <v>161.9</v>
      </c>
    </row>
    <row r="127">
      <c r="A127" s="67"/>
      <c r="B127" s="67"/>
      <c r="C127" s="67"/>
      <c r="D127" s="67"/>
      <c r="E127" s="67"/>
      <c r="F127" s="68"/>
      <c r="G127" s="68"/>
      <c r="H127" s="68"/>
      <c r="I127" s="68"/>
      <c r="J127" s="68"/>
      <c r="K127" s="69">
        <v>3000.0</v>
      </c>
      <c r="L127" s="69">
        <v>56.35</v>
      </c>
      <c r="M127" s="68">
        <f t="shared" si="1"/>
        <v>236.04</v>
      </c>
    </row>
    <row r="128">
      <c r="A128" s="70"/>
      <c r="B128" s="70"/>
      <c r="C128" s="70"/>
      <c r="D128" s="70"/>
      <c r="E128" s="70"/>
      <c r="F128" s="66"/>
      <c r="G128" s="66"/>
      <c r="H128" s="66"/>
      <c r="I128" s="66"/>
      <c r="J128" s="66"/>
      <c r="K128" s="63">
        <v>3500.0</v>
      </c>
      <c r="L128" s="63">
        <v>59.67</v>
      </c>
      <c r="M128" s="66">
        <f t="shared" si="1"/>
        <v>291.6</v>
      </c>
    </row>
    <row r="129">
      <c r="A129" s="67"/>
      <c r="B129" s="67"/>
      <c r="C129" s="67"/>
      <c r="D129" s="67"/>
      <c r="E129" s="67"/>
      <c r="F129" s="68"/>
      <c r="G129" s="68"/>
      <c r="H129" s="68"/>
      <c r="I129" s="68"/>
      <c r="J129" s="68"/>
      <c r="K129" s="69">
        <v>4000.0</v>
      </c>
      <c r="L129" s="69">
        <v>61.25</v>
      </c>
      <c r="M129" s="68">
        <f t="shared" si="1"/>
        <v>342.08</v>
      </c>
    </row>
    <row r="130">
      <c r="A130" s="70"/>
      <c r="B130" s="70"/>
      <c r="C130" s="70"/>
      <c r="D130" s="70"/>
      <c r="E130" s="70"/>
      <c r="F130" s="66"/>
      <c r="G130" s="66"/>
      <c r="H130" s="66"/>
      <c r="I130" s="66"/>
      <c r="J130" s="66"/>
      <c r="K130" s="63">
        <v>4500.0</v>
      </c>
      <c r="L130" s="63">
        <v>62.13</v>
      </c>
      <c r="M130" s="66">
        <f t="shared" si="1"/>
        <v>390.37</v>
      </c>
    </row>
    <row r="131">
      <c r="A131" s="67"/>
      <c r="B131" s="67"/>
      <c r="C131" s="67"/>
      <c r="D131" s="67"/>
      <c r="E131" s="67"/>
      <c r="F131" s="68"/>
      <c r="G131" s="68"/>
      <c r="H131" s="68"/>
      <c r="I131" s="68"/>
      <c r="J131" s="68"/>
      <c r="K131" s="69">
        <v>5000.0</v>
      </c>
      <c r="L131" s="69">
        <v>62.65</v>
      </c>
      <c r="M131" s="68">
        <f t="shared" si="1"/>
        <v>437.38</v>
      </c>
    </row>
    <row r="132">
      <c r="A132" s="70"/>
      <c r="B132" s="70"/>
      <c r="C132" s="70"/>
      <c r="D132" s="70"/>
      <c r="E132" s="70"/>
      <c r="F132" s="66"/>
      <c r="G132" s="66"/>
      <c r="H132" s="66"/>
      <c r="I132" s="66"/>
      <c r="J132" s="66"/>
      <c r="K132" s="63">
        <v>5500.0</v>
      </c>
      <c r="L132" s="63">
        <v>63.0</v>
      </c>
      <c r="M132" s="66">
        <f t="shared" si="1"/>
        <v>483.8</v>
      </c>
    </row>
    <row r="133">
      <c r="A133" s="67"/>
      <c r="B133" s="67"/>
      <c r="C133" s="67"/>
      <c r="D133" s="67"/>
      <c r="E133" s="67"/>
      <c r="F133" s="68"/>
      <c r="G133" s="68"/>
      <c r="H133" s="68"/>
      <c r="I133" s="68"/>
      <c r="J133" s="68"/>
      <c r="K133" s="69">
        <v>6000.0</v>
      </c>
      <c r="L133" s="69">
        <v>63.2</v>
      </c>
      <c r="M133" s="68">
        <f t="shared" si="1"/>
        <v>529.46</v>
      </c>
    </row>
    <row r="134">
      <c r="A134" s="70"/>
      <c r="B134" s="70"/>
      <c r="C134" s="70"/>
      <c r="D134" s="70"/>
      <c r="E134" s="70"/>
      <c r="F134" s="66"/>
      <c r="G134" s="66"/>
      <c r="H134" s="66"/>
      <c r="I134" s="66"/>
      <c r="J134" s="66"/>
      <c r="K134" s="63">
        <v>6500.0</v>
      </c>
      <c r="L134" s="63">
        <v>63.0</v>
      </c>
      <c r="M134" s="66">
        <f t="shared" si="1"/>
        <v>571.77</v>
      </c>
    </row>
    <row r="135">
      <c r="A135" s="67"/>
      <c r="B135" s="67"/>
      <c r="C135" s="67"/>
      <c r="D135" s="67"/>
      <c r="E135" s="67"/>
      <c r="F135" s="68"/>
      <c r="G135" s="68"/>
      <c r="H135" s="68"/>
      <c r="I135" s="68"/>
      <c r="J135" s="68"/>
      <c r="K135" s="69">
        <v>7000.0</v>
      </c>
      <c r="L135" s="69">
        <v>60.9</v>
      </c>
      <c r="M135" s="68">
        <f t="shared" si="1"/>
        <v>595.22</v>
      </c>
    </row>
    <row r="136">
      <c r="A136" s="70"/>
      <c r="B136" s="70"/>
      <c r="C136" s="70"/>
      <c r="D136" s="70"/>
      <c r="E136" s="70"/>
      <c r="F136" s="66"/>
      <c r="G136" s="66"/>
      <c r="H136" s="66"/>
      <c r="I136" s="66"/>
      <c r="J136" s="66"/>
      <c r="K136" s="63">
        <v>7500.0</v>
      </c>
      <c r="L136" s="63">
        <v>57.2</v>
      </c>
      <c r="M136" s="66">
        <f t="shared" si="1"/>
        <v>598.99</v>
      </c>
    </row>
    <row r="137">
      <c r="A137" s="67"/>
      <c r="B137" s="67"/>
      <c r="C137" s="67"/>
      <c r="D137" s="67"/>
      <c r="E137" s="67"/>
      <c r="F137" s="68"/>
      <c r="G137" s="68"/>
      <c r="H137" s="68"/>
      <c r="I137" s="68"/>
      <c r="J137" s="68"/>
      <c r="K137" s="69">
        <v>8000.0</v>
      </c>
      <c r="L137" s="69">
        <v>51.8</v>
      </c>
      <c r="M137" s="68">
        <f t="shared" si="1"/>
        <v>578.61</v>
      </c>
    </row>
    <row r="138">
      <c r="A138" s="66">
        <v>10.0</v>
      </c>
      <c r="B138" s="66">
        <v>13.0</v>
      </c>
      <c r="C138" s="74" t="s">
        <v>78</v>
      </c>
      <c r="D138" s="74" t="s">
        <v>79</v>
      </c>
      <c r="E138" s="74" t="s">
        <v>80</v>
      </c>
      <c r="F138" s="65">
        <v>7000.0</v>
      </c>
      <c r="G138" s="65">
        <v>7200.0</v>
      </c>
      <c r="H138" s="65">
        <v>700.0</v>
      </c>
      <c r="I138" s="65">
        <v>4800.0</v>
      </c>
      <c r="J138" s="65">
        <v>5600.0</v>
      </c>
      <c r="K138" s="63">
        <v>500.0</v>
      </c>
      <c r="L138" s="63">
        <v>14.13</v>
      </c>
      <c r="M138" s="66">
        <f t="shared" si="1"/>
        <v>9.86</v>
      </c>
    </row>
    <row r="139">
      <c r="A139" s="67"/>
      <c r="B139" s="67"/>
      <c r="C139" s="67"/>
      <c r="D139" s="67"/>
      <c r="E139" s="67"/>
      <c r="F139" s="68"/>
      <c r="G139" s="68"/>
      <c r="H139" s="68"/>
      <c r="I139" s="68"/>
      <c r="J139" s="68"/>
      <c r="K139" s="69">
        <v>1000.0</v>
      </c>
      <c r="L139" s="69">
        <v>16.1</v>
      </c>
      <c r="M139" s="68">
        <f t="shared" si="1"/>
        <v>22.48</v>
      </c>
    </row>
    <row r="140">
      <c r="A140" s="70"/>
      <c r="B140" s="70"/>
      <c r="C140" s="70"/>
      <c r="D140" s="70"/>
      <c r="E140" s="70"/>
      <c r="F140" s="66"/>
      <c r="G140" s="66"/>
      <c r="H140" s="66"/>
      <c r="I140" s="66"/>
      <c r="J140" s="66"/>
      <c r="K140" s="63">
        <v>1500.0</v>
      </c>
      <c r="L140" s="63">
        <v>17.4</v>
      </c>
      <c r="M140" s="66">
        <f t="shared" si="1"/>
        <v>36.44</v>
      </c>
    </row>
    <row r="141">
      <c r="A141" s="67"/>
      <c r="B141" s="67"/>
      <c r="C141" s="67"/>
      <c r="D141" s="67"/>
      <c r="E141" s="67"/>
      <c r="F141" s="68"/>
      <c r="G141" s="68"/>
      <c r="H141" s="68"/>
      <c r="I141" s="68"/>
      <c r="J141" s="68"/>
      <c r="K141" s="69">
        <v>2000.0</v>
      </c>
      <c r="L141" s="69">
        <v>18.25</v>
      </c>
      <c r="M141" s="68">
        <f t="shared" si="1"/>
        <v>50.96</v>
      </c>
    </row>
    <row r="142">
      <c r="A142" s="70"/>
      <c r="B142" s="70"/>
      <c r="C142" s="70"/>
      <c r="D142" s="70"/>
      <c r="E142" s="70"/>
      <c r="F142" s="66"/>
      <c r="G142" s="66"/>
      <c r="H142" s="66"/>
      <c r="I142" s="66"/>
      <c r="J142" s="66"/>
      <c r="K142" s="63">
        <v>2500.0</v>
      </c>
      <c r="L142" s="63">
        <v>18.58</v>
      </c>
      <c r="M142" s="66">
        <f t="shared" si="1"/>
        <v>64.86</v>
      </c>
    </row>
    <row r="143">
      <c r="A143" s="67"/>
      <c r="B143" s="67"/>
      <c r="C143" s="67"/>
      <c r="D143" s="67"/>
      <c r="E143" s="67"/>
      <c r="F143" s="68"/>
      <c r="G143" s="68"/>
      <c r="H143" s="68"/>
      <c r="I143" s="68"/>
      <c r="J143" s="68"/>
      <c r="K143" s="69">
        <v>3000.0</v>
      </c>
      <c r="L143" s="69">
        <v>19.23</v>
      </c>
      <c r="M143" s="68">
        <f t="shared" si="1"/>
        <v>80.55</v>
      </c>
    </row>
    <row r="144">
      <c r="A144" s="70"/>
      <c r="B144" s="70"/>
      <c r="C144" s="70"/>
      <c r="D144" s="70"/>
      <c r="E144" s="70"/>
      <c r="F144" s="66"/>
      <c r="G144" s="66"/>
      <c r="H144" s="66"/>
      <c r="I144" s="66"/>
      <c r="J144" s="66"/>
      <c r="K144" s="63">
        <v>3500.0</v>
      </c>
      <c r="L144" s="63">
        <v>19.83</v>
      </c>
      <c r="M144" s="66">
        <f t="shared" si="1"/>
        <v>96.91</v>
      </c>
    </row>
    <row r="145">
      <c r="A145" s="67"/>
      <c r="B145" s="67"/>
      <c r="C145" s="67"/>
      <c r="D145" s="67"/>
      <c r="E145" s="67"/>
      <c r="F145" s="68"/>
      <c r="G145" s="68"/>
      <c r="H145" s="68"/>
      <c r="I145" s="68"/>
      <c r="J145" s="68"/>
      <c r="K145" s="69">
        <v>4000.0</v>
      </c>
      <c r="L145" s="69">
        <v>20.43</v>
      </c>
      <c r="M145" s="68">
        <f t="shared" si="1"/>
        <v>114.1</v>
      </c>
    </row>
    <row r="146">
      <c r="A146" s="73"/>
      <c r="B146" s="73"/>
      <c r="C146" s="73"/>
      <c r="D146" s="73"/>
      <c r="E146" s="73"/>
      <c r="F146" s="66"/>
      <c r="G146" s="66"/>
      <c r="H146" s="66"/>
      <c r="I146" s="66"/>
      <c r="J146" s="66"/>
      <c r="K146" s="63">
        <v>4500.0</v>
      </c>
      <c r="L146" s="63">
        <v>20.9</v>
      </c>
      <c r="M146" s="66">
        <f t="shared" si="1"/>
        <v>131.32</v>
      </c>
    </row>
    <row r="147">
      <c r="A147" s="67"/>
      <c r="B147" s="67"/>
      <c r="C147" s="67"/>
      <c r="D147" s="67"/>
      <c r="E147" s="67"/>
      <c r="F147" s="68"/>
      <c r="G147" s="68"/>
      <c r="H147" s="68"/>
      <c r="I147" s="68"/>
      <c r="J147" s="68"/>
      <c r="K147" s="69">
        <v>4800.0</v>
      </c>
      <c r="L147" s="69">
        <v>21.0</v>
      </c>
      <c r="M147" s="68">
        <f t="shared" si="1"/>
        <v>140.74</v>
      </c>
    </row>
    <row r="148">
      <c r="A148" s="70"/>
      <c r="B148" s="70"/>
      <c r="C148" s="70"/>
      <c r="D148" s="70"/>
      <c r="E148" s="70"/>
      <c r="F148" s="66"/>
      <c r="G148" s="66"/>
      <c r="H148" s="66"/>
      <c r="I148" s="66"/>
      <c r="J148" s="66"/>
      <c r="K148" s="63">
        <v>5600.0</v>
      </c>
      <c r="L148" s="63">
        <v>19.2</v>
      </c>
      <c r="M148" s="66">
        <f t="shared" si="1"/>
        <v>150.13</v>
      </c>
    </row>
    <row r="149">
      <c r="A149" s="67"/>
      <c r="B149" s="67"/>
      <c r="C149" s="67"/>
      <c r="D149" s="67"/>
      <c r="E149" s="67"/>
      <c r="F149" s="68"/>
      <c r="G149" s="68"/>
      <c r="H149" s="68"/>
      <c r="I149" s="68"/>
      <c r="J149" s="68"/>
      <c r="K149" s="69">
        <v>6000.0</v>
      </c>
      <c r="L149" s="69">
        <v>17.83</v>
      </c>
      <c r="M149" s="68">
        <f t="shared" si="1"/>
        <v>149.37</v>
      </c>
    </row>
    <row r="150">
      <c r="A150" s="70"/>
      <c r="B150" s="70"/>
      <c r="C150" s="70"/>
      <c r="D150" s="70"/>
      <c r="E150" s="70"/>
      <c r="F150" s="66"/>
      <c r="G150" s="66"/>
      <c r="H150" s="66"/>
      <c r="I150" s="66"/>
      <c r="J150" s="66"/>
      <c r="K150" s="63">
        <v>6500.0</v>
      </c>
      <c r="L150" s="63">
        <v>15.92</v>
      </c>
      <c r="M150" s="66">
        <f t="shared" si="1"/>
        <v>144.48</v>
      </c>
    </row>
    <row r="151">
      <c r="A151" s="67"/>
      <c r="B151" s="67"/>
      <c r="C151" s="67"/>
      <c r="D151" s="67"/>
      <c r="E151" s="67"/>
      <c r="F151" s="68"/>
      <c r="G151" s="68"/>
      <c r="H151" s="68"/>
      <c r="I151" s="68"/>
      <c r="J151" s="68"/>
      <c r="K151" s="69">
        <v>7000.0</v>
      </c>
      <c r="L151" s="69">
        <v>13.73</v>
      </c>
      <c r="M151" s="68">
        <f t="shared" si="1"/>
        <v>134.19</v>
      </c>
    </row>
    <row r="152">
      <c r="A152" s="70"/>
      <c r="B152" s="70"/>
      <c r="C152" s="70"/>
      <c r="D152" s="70"/>
      <c r="E152" s="70"/>
      <c r="F152" s="66"/>
      <c r="G152" s="66"/>
      <c r="H152" s="66"/>
      <c r="I152" s="66"/>
      <c r="J152" s="66"/>
      <c r="K152" s="63">
        <v>7500.0</v>
      </c>
      <c r="L152" s="63">
        <v>11.02</v>
      </c>
      <c r="M152" s="66">
        <f t="shared" si="1"/>
        <v>115.4</v>
      </c>
    </row>
    <row r="153">
      <c r="A153" s="68">
        <v>11.0</v>
      </c>
      <c r="B153" s="68">
        <v>14.0</v>
      </c>
      <c r="C153" s="71" t="s">
        <v>81</v>
      </c>
      <c r="D153" s="71" t="s">
        <v>82</v>
      </c>
      <c r="E153" s="71" t="s">
        <v>83</v>
      </c>
      <c r="F153" s="72">
        <v>7000.0</v>
      </c>
      <c r="G153" s="72">
        <v>7400.0</v>
      </c>
      <c r="H153" s="72">
        <v>700.0</v>
      </c>
      <c r="I153" s="72">
        <v>4000.0</v>
      </c>
      <c r="J153" s="72">
        <v>6000.0</v>
      </c>
      <c r="K153" s="69">
        <v>500.0</v>
      </c>
      <c r="L153" s="69">
        <v>8.97</v>
      </c>
      <c r="M153" s="68">
        <f t="shared" si="1"/>
        <v>6.26</v>
      </c>
    </row>
    <row r="154">
      <c r="A154" s="70"/>
      <c r="B154" s="70"/>
      <c r="C154" s="70"/>
      <c r="D154" s="70"/>
      <c r="E154" s="70"/>
      <c r="F154" s="66"/>
      <c r="G154" s="66"/>
      <c r="H154" s="66"/>
      <c r="I154" s="66"/>
      <c r="J154" s="66"/>
      <c r="K154" s="63">
        <v>1000.0</v>
      </c>
      <c r="L154" s="63">
        <v>10.26</v>
      </c>
      <c r="M154" s="66">
        <f t="shared" si="1"/>
        <v>14.33</v>
      </c>
    </row>
    <row r="155">
      <c r="A155" s="67"/>
      <c r="B155" s="67"/>
      <c r="C155" s="67"/>
      <c r="D155" s="67"/>
      <c r="E155" s="67"/>
      <c r="F155" s="68"/>
      <c r="G155" s="68"/>
      <c r="H155" s="68"/>
      <c r="I155" s="68"/>
      <c r="J155" s="68"/>
      <c r="K155" s="69">
        <v>1500.0</v>
      </c>
      <c r="L155" s="69">
        <v>11.44</v>
      </c>
      <c r="M155" s="68">
        <f t="shared" si="1"/>
        <v>23.96</v>
      </c>
    </row>
    <row r="156">
      <c r="A156" s="70"/>
      <c r="B156" s="70"/>
      <c r="C156" s="70"/>
      <c r="D156" s="70"/>
      <c r="E156" s="70"/>
      <c r="F156" s="66"/>
      <c r="G156" s="66"/>
      <c r="H156" s="66"/>
      <c r="I156" s="66"/>
      <c r="J156" s="66"/>
      <c r="K156" s="63">
        <v>2000.0</v>
      </c>
      <c r="L156" s="63">
        <v>12.33</v>
      </c>
      <c r="M156" s="66">
        <f t="shared" si="1"/>
        <v>34.43</v>
      </c>
    </row>
    <row r="157">
      <c r="A157" s="67"/>
      <c r="B157" s="67"/>
      <c r="C157" s="67"/>
      <c r="D157" s="67"/>
      <c r="E157" s="67"/>
      <c r="F157" s="68"/>
      <c r="G157" s="68"/>
      <c r="H157" s="68"/>
      <c r="I157" s="68"/>
      <c r="J157" s="68"/>
      <c r="K157" s="69">
        <v>2500.0</v>
      </c>
      <c r="L157" s="69">
        <v>12.88</v>
      </c>
      <c r="M157" s="68">
        <f t="shared" si="1"/>
        <v>44.96</v>
      </c>
    </row>
    <row r="158">
      <c r="A158" s="70"/>
      <c r="B158" s="70"/>
      <c r="C158" s="70"/>
      <c r="D158" s="70"/>
      <c r="E158" s="70"/>
      <c r="F158" s="66"/>
      <c r="G158" s="66"/>
      <c r="H158" s="66"/>
      <c r="I158" s="66"/>
      <c r="J158" s="66"/>
      <c r="K158" s="63">
        <v>3000.0</v>
      </c>
      <c r="L158" s="63">
        <v>13.24</v>
      </c>
      <c r="M158" s="66">
        <f t="shared" si="1"/>
        <v>55.46</v>
      </c>
    </row>
    <row r="159">
      <c r="A159" s="67"/>
      <c r="B159" s="67"/>
      <c r="C159" s="67"/>
      <c r="D159" s="67"/>
      <c r="E159" s="67"/>
      <c r="F159" s="68"/>
      <c r="G159" s="68"/>
      <c r="H159" s="68"/>
      <c r="I159" s="68"/>
      <c r="J159" s="68"/>
      <c r="K159" s="69">
        <v>3500.0</v>
      </c>
      <c r="L159" s="69">
        <v>13.45</v>
      </c>
      <c r="M159" s="68">
        <f t="shared" si="1"/>
        <v>65.73</v>
      </c>
    </row>
    <row r="160">
      <c r="A160" s="70"/>
      <c r="B160" s="70"/>
      <c r="C160" s="70"/>
      <c r="D160" s="70"/>
      <c r="E160" s="70"/>
      <c r="F160" s="66"/>
      <c r="G160" s="66"/>
      <c r="H160" s="66"/>
      <c r="I160" s="66"/>
      <c r="J160" s="66"/>
      <c r="K160" s="63">
        <v>4000.0</v>
      </c>
      <c r="L160" s="63">
        <v>13.5</v>
      </c>
      <c r="M160" s="66">
        <f t="shared" si="1"/>
        <v>75.4</v>
      </c>
    </row>
    <row r="161">
      <c r="A161" s="67"/>
      <c r="B161" s="67"/>
      <c r="C161" s="67"/>
      <c r="D161" s="67"/>
      <c r="E161" s="67"/>
      <c r="F161" s="68"/>
      <c r="G161" s="68"/>
      <c r="H161" s="68"/>
      <c r="I161" s="68"/>
      <c r="J161" s="68"/>
      <c r="K161" s="69">
        <v>4500.0</v>
      </c>
      <c r="L161" s="69">
        <v>13.39</v>
      </c>
      <c r="M161" s="68">
        <f t="shared" si="1"/>
        <v>84.13</v>
      </c>
    </row>
    <row r="162">
      <c r="A162" s="70"/>
      <c r="B162" s="70"/>
      <c r="C162" s="70"/>
      <c r="D162" s="70"/>
      <c r="E162" s="70"/>
      <c r="F162" s="66"/>
      <c r="G162" s="66"/>
      <c r="H162" s="66"/>
      <c r="I162" s="66"/>
      <c r="J162" s="66"/>
      <c r="K162" s="63">
        <v>5000.0</v>
      </c>
      <c r="L162" s="63">
        <v>13.1</v>
      </c>
      <c r="M162" s="66">
        <f t="shared" si="1"/>
        <v>91.45</v>
      </c>
    </row>
    <row r="163">
      <c r="A163" s="67"/>
      <c r="B163" s="67"/>
      <c r="C163" s="67"/>
      <c r="D163" s="67"/>
      <c r="E163" s="67"/>
      <c r="F163" s="68"/>
      <c r="G163" s="68"/>
      <c r="H163" s="68"/>
      <c r="I163" s="68"/>
      <c r="J163" s="68"/>
      <c r="K163" s="69">
        <v>5500.0</v>
      </c>
      <c r="L163" s="69">
        <v>12.6</v>
      </c>
      <c r="M163" s="68">
        <f t="shared" si="1"/>
        <v>96.76</v>
      </c>
    </row>
    <row r="164">
      <c r="A164" s="70"/>
      <c r="B164" s="70"/>
      <c r="C164" s="70"/>
      <c r="D164" s="70"/>
      <c r="E164" s="70"/>
      <c r="F164" s="66"/>
      <c r="G164" s="66"/>
      <c r="H164" s="66"/>
      <c r="I164" s="66"/>
      <c r="J164" s="66"/>
      <c r="K164" s="63">
        <v>6000.0</v>
      </c>
      <c r="L164" s="63">
        <v>11.86</v>
      </c>
      <c r="M164" s="66">
        <f t="shared" si="1"/>
        <v>99.36</v>
      </c>
    </row>
    <row r="165">
      <c r="A165" s="67"/>
      <c r="B165" s="67"/>
      <c r="C165" s="67"/>
      <c r="D165" s="67"/>
      <c r="E165" s="67"/>
      <c r="F165" s="68"/>
      <c r="G165" s="68"/>
      <c r="H165" s="68"/>
      <c r="I165" s="68"/>
      <c r="J165" s="68"/>
      <c r="K165" s="69">
        <v>6500.0</v>
      </c>
      <c r="L165" s="69">
        <v>10.8</v>
      </c>
      <c r="M165" s="68">
        <f t="shared" si="1"/>
        <v>98.02</v>
      </c>
    </row>
    <row r="166">
      <c r="A166" s="70"/>
      <c r="B166" s="70"/>
      <c r="C166" s="70"/>
      <c r="D166" s="70"/>
      <c r="E166" s="70"/>
      <c r="F166" s="66"/>
      <c r="G166" s="66"/>
      <c r="H166" s="66"/>
      <c r="I166" s="66"/>
      <c r="J166" s="66"/>
      <c r="K166" s="63">
        <v>7000.0</v>
      </c>
      <c r="L166" s="63">
        <v>9.55</v>
      </c>
      <c r="M166" s="66">
        <f t="shared" si="1"/>
        <v>93.34</v>
      </c>
    </row>
    <row r="167">
      <c r="A167" s="67"/>
      <c r="B167" s="67"/>
      <c r="C167" s="67"/>
      <c r="D167" s="67"/>
      <c r="E167" s="67"/>
      <c r="F167" s="68"/>
      <c r="G167" s="68"/>
      <c r="H167" s="68"/>
      <c r="I167" s="68"/>
      <c r="J167" s="68"/>
      <c r="K167" s="69">
        <v>7500.0</v>
      </c>
      <c r="L167" s="69">
        <v>7.9</v>
      </c>
      <c r="M167" s="68">
        <f t="shared" si="1"/>
        <v>82.73</v>
      </c>
    </row>
    <row r="168">
      <c r="A168" s="66">
        <v>12.0</v>
      </c>
      <c r="B168" s="66">
        <v>15.0</v>
      </c>
      <c r="C168" s="74" t="s">
        <v>84</v>
      </c>
      <c r="D168" s="74" t="s">
        <v>85</v>
      </c>
      <c r="E168" s="74" t="s">
        <v>86</v>
      </c>
      <c r="F168" s="65">
        <v>6500.0</v>
      </c>
      <c r="G168" s="65">
        <v>6800.0</v>
      </c>
      <c r="H168" s="65">
        <v>700.0</v>
      </c>
      <c r="I168" s="65">
        <v>4000.0</v>
      </c>
      <c r="J168" s="65">
        <v>6000.0</v>
      </c>
      <c r="K168" s="63">
        <v>500.0</v>
      </c>
      <c r="L168" s="63">
        <v>3.35</v>
      </c>
      <c r="M168" s="66">
        <f t="shared" si="1"/>
        <v>2.34</v>
      </c>
    </row>
    <row r="169">
      <c r="A169" s="67"/>
      <c r="B169" s="67"/>
      <c r="C169" s="67"/>
      <c r="D169" s="67"/>
      <c r="E169" s="67"/>
      <c r="F169" s="68"/>
      <c r="G169" s="68"/>
      <c r="H169" s="68"/>
      <c r="I169" s="68"/>
      <c r="J169" s="68"/>
      <c r="K169" s="69">
        <v>1000.0</v>
      </c>
      <c r="L169" s="69">
        <v>5.77</v>
      </c>
      <c r="M169" s="68">
        <f t="shared" si="1"/>
        <v>8.06</v>
      </c>
    </row>
    <row r="170">
      <c r="A170" s="73"/>
      <c r="B170" s="73"/>
      <c r="C170" s="73"/>
      <c r="D170" s="73"/>
      <c r="E170" s="73"/>
      <c r="F170" s="66"/>
      <c r="G170" s="66"/>
      <c r="H170" s="66"/>
      <c r="I170" s="66"/>
      <c r="J170" s="66"/>
      <c r="K170" s="63">
        <v>1500.0</v>
      </c>
      <c r="L170" s="63">
        <v>7.43</v>
      </c>
      <c r="M170" s="66">
        <f t="shared" si="1"/>
        <v>15.56</v>
      </c>
    </row>
    <row r="171">
      <c r="A171" s="67"/>
      <c r="B171" s="67"/>
      <c r="C171" s="67"/>
      <c r="D171" s="67"/>
      <c r="E171" s="67"/>
      <c r="F171" s="68"/>
      <c r="G171" s="68"/>
      <c r="H171" s="68"/>
      <c r="I171" s="68"/>
      <c r="J171" s="68"/>
      <c r="K171" s="69">
        <v>2000.0</v>
      </c>
      <c r="L171" s="69">
        <v>9.1</v>
      </c>
      <c r="M171" s="68">
        <f t="shared" si="1"/>
        <v>25.41</v>
      </c>
    </row>
    <row r="172">
      <c r="A172" s="70"/>
      <c r="B172" s="70"/>
      <c r="C172" s="70"/>
      <c r="D172" s="70"/>
      <c r="E172" s="70"/>
      <c r="F172" s="66"/>
      <c r="G172" s="66"/>
      <c r="H172" s="66"/>
      <c r="I172" s="66"/>
      <c r="J172" s="66"/>
      <c r="K172" s="63">
        <v>2500.0</v>
      </c>
      <c r="L172" s="63">
        <v>9.8</v>
      </c>
      <c r="M172" s="66">
        <f t="shared" si="1"/>
        <v>34.21</v>
      </c>
    </row>
    <row r="173">
      <c r="A173" s="67"/>
      <c r="B173" s="67"/>
      <c r="C173" s="67"/>
      <c r="D173" s="67"/>
      <c r="E173" s="67"/>
      <c r="F173" s="68"/>
      <c r="G173" s="68"/>
      <c r="H173" s="68"/>
      <c r="I173" s="68"/>
      <c r="J173" s="68"/>
      <c r="K173" s="69">
        <v>3000.0</v>
      </c>
      <c r="L173" s="69">
        <v>10.1</v>
      </c>
      <c r="M173" s="68">
        <f t="shared" si="1"/>
        <v>42.31</v>
      </c>
    </row>
    <row r="174">
      <c r="A174" s="70"/>
      <c r="B174" s="70"/>
      <c r="C174" s="70"/>
      <c r="D174" s="70"/>
      <c r="E174" s="70"/>
      <c r="F174" s="66"/>
      <c r="G174" s="66"/>
      <c r="H174" s="66"/>
      <c r="I174" s="66"/>
      <c r="J174" s="66"/>
      <c r="K174" s="63">
        <v>3500.0</v>
      </c>
      <c r="L174" s="63">
        <v>10.2</v>
      </c>
      <c r="M174" s="66">
        <f t="shared" si="1"/>
        <v>49.85</v>
      </c>
    </row>
    <row r="175">
      <c r="A175" s="67"/>
      <c r="B175" s="67"/>
      <c r="C175" s="67"/>
      <c r="D175" s="67"/>
      <c r="E175" s="67"/>
      <c r="F175" s="68"/>
      <c r="G175" s="68"/>
      <c r="H175" s="68"/>
      <c r="I175" s="68"/>
      <c r="J175" s="68"/>
      <c r="K175" s="69">
        <v>4000.0</v>
      </c>
      <c r="L175" s="69">
        <v>10.3</v>
      </c>
      <c r="M175" s="68">
        <f t="shared" si="1"/>
        <v>57.53</v>
      </c>
    </row>
    <row r="176">
      <c r="A176" s="70"/>
      <c r="B176" s="70"/>
      <c r="C176" s="70"/>
      <c r="D176" s="70"/>
      <c r="E176" s="70"/>
      <c r="F176" s="66"/>
      <c r="G176" s="66"/>
      <c r="H176" s="66"/>
      <c r="I176" s="66"/>
      <c r="J176" s="66"/>
      <c r="K176" s="63">
        <v>4500.0</v>
      </c>
      <c r="L176" s="63">
        <v>10.2</v>
      </c>
      <c r="M176" s="66">
        <f t="shared" si="1"/>
        <v>64.09</v>
      </c>
    </row>
    <row r="177">
      <c r="A177" s="67"/>
      <c r="B177" s="67"/>
      <c r="C177" s="67"/>
      <c r="D177" s="67"/>
      <c r="E177" s="67"/>
      <c r="F177" s="68"/>
      <c r="G177" s="68"/>
      <c r="H177" s="68"/>
      <c r="I177" s="68"/>
      <c r="J177" s="68"/>
      <c r="K177" s="69">
        <v>5000.0</v>
      </c>
      <c r="L177" s="69">
        <v>10.05</v>
      </c>
      <c r="M177" s="68">
        <f t="shared" si="1"/>
        <v>70.16</v>
      </c>
    </row>
    <row r="178">
      <c r="A178" s="70"/>
      <c r="B178" s="70"/>
      <c r="C178" s="70"/>
      <c r="D178" s="70"/>
      <c r="E178" s="70"/>
      <c r="F178" s="66"/>
      <c r="G178" s="66"/>
      <c r="H178" s="66"/>
      <c r="I178" s="66"/>
      <c r="J178" s="66"/>
      <c r="K178" s="63">
        <v>5500.0</v>
      </c>
      <c r="L178" s="63">
        <v>9.6</v>
      </c>
      <c r="M178" s="66">
        <f t="shared" si="1"/>
        <v>73.72</v>
      </c>
    </row>
    <row r="179">
      <c r="A179" s="67"/>
      <c r="B179" s="67"/>
      <c r="C179" s="67"/>
      <c r="D179" s="67"/>
      <c r="E179" s="67"/>
      <c r="F179" s="68"/>
      <c r="G179" s="68"/>
      <c r="H179" s="68"/>
      <c r="I179" s="68"/>
      <c r="J179" s="68"/>
      <c r="K179" s="69">
        <v>6000.0</v>
      </c>
      <c r="L179" s="69">
        <v>9.1</v>
      </c>
      <c r="M179" s="68">
        <f t="shared" si="1"/>
        <v>76.24</v>
      </c>
    </row>
    <row r="180">
      <c r="A180" s="70"/>
      <c r="B180" s="70"/>
      <c r="C180" s="70"/>
      <c r="D180" s="70"/>
      <c r="E180" s="70"/>
      <c r="F180" s="66"/>
      <c r="G180" s="66"/>
      <c r="H180" s="66"/>
      <c r="I180" s="66"/>
      <c r="J180" s="66"/>
      <c r="K180" s="63">
        <v>6500.0</v>
      </c>
      <c r="L180" s="63">
        <v>7.68</v>
      </c>
      <c r="M180" s="66">
        <f t="shared" si="1"/>
        <v>69.7</v>
      </c>
    </row>
    <row r="181">
      <c r="A181" s="67"/>
      <c r="B181" s="67"/>
      <c r="C181" s="67"/>
      <c r="D181" s="67"/>
      <c r="E181" s="67"/>
      <c r="F181" s="68"/>
      <c r="G181" s="68"/>
      <c r="H181" s="68"/>
      <c r="I181" s="68"/>
      <c r="J181" s="68"/>
      <c r="K181" s="69">
        <v>7000.0</v>
      </c>
      <c r="L181" s="69">
        <v>6.0</v>
      </c>
      <c r="M181" s="68">
        <f t="shared" si="1"/>
        <v>58.64</v>
      </c>
    </row>
    <row r="182">
      <c r="A182" s="66">
        <v>13.0</v>
      </c>
      <c r="B182" s="66">
        <v>16.0</v>
      </c>
      <c r="C182" s="74" t="s">
        <v>87</v>
      </c>
      <c r="D182" s="74" t="s">
        <v>88</v>
      </c>
      <c r="E182" s="74" t="s">
        <v>89</v>
      </c>
      <c r="F182" s="65">
        <v>8500.0</v>
      </c>
      <c r="G182" s="65">
        <v>8900.0</v>
      </c>
      <c r="H182" s="65">
        <v>700.0</v>
      </c>
      <c r="I182" s="65">
        <v>6000.0</v>
      </c>
      <c r="J182" s="65">
        <v>8000.0</v>
      </c>
      <c r="K182" s="63">
        <v>500.0</v>
      </c>
      <c r="L182" s="63">
        <v>4.46</v>
      </c>
      <c r="M182" s="66">
        <f t="shared" si="1"/>
        <v>3.11</v>
      </c>
    </row>
    <row r="183">
      <c r="A183" s="67"/>
      <c r="B183" s="67"/>
      <c r="C183" s="67"/>
      <c r="D183" s="67"/>
      <c r="E183" s="67"/>
      <c r="F183" s="68"/>
      <c r="G183" s="68"/>
      <c r="H183" s="68"/>
      <c r="I183" s="68"/>
      <c r="J183" s="68"/>
      <c r="K183" s="69">
        <v>1000.0</v>
      </c>
      <c r="L183" s="69">
        <v>5.05</v>
      </c>
      <c r="M183" s="68">
        <f t="shared" si="1"/>
        <v>7.05</v>
      </c>
    </row>
    <row r="184">
      <c r="A184" s="70"/>
      <c r="B184" s="70"/>
      <c r="C184" s="70"/>
      <c r="D184" s="70"/>
      <c r="E184" s="70"/>
      <c r="F184" s="66"/>
      <c r="G184" s="66"/>
      <c r="H184" s="66"/>
      <c r="I184" s="66"/>
      <c r="J184" s="66"/>
      <c r="K184" s="63">
        <v>1500.0</v>
      </c>
      <c r="L184" s="63">
        <v>5.54</v>
      </c>
      <c r="M184" s="66">
        <f t="shared" si="1"/>
        <v>11.6</v>
      </c>
    </row>
    <row r="185">
      <c r="A185" s="67"/>
      <c r="B185" s="67"/>
      <c r="C185" s="67"/>
      <c r="D185" s="67"/>
      <c r="E185" s="67"/>
      <c r="F185" s="68"/>
      <c r="G185" s="68"/>
      <c r="H185" s="68"/>
      <c r="I185" s="68"/>
      <c r="J185" s="68"/>
      <c r="K185" s="69">
        <v>2000.0</v>
      </c>
      <c r="L185" s="69">
        <v>5.9</v>
      </c>
      <c r="M185" s="68">
        <f t="shared" si="1"/>
        <v>16.48</v>
      </c>
    </row>
    <row r="186">
      <c r="A186" s="70"/>
      <c r="B186" s="70"/>
      <c r="C186" s="70"/>
      <c r="D186" s="70"/>
      <c r="E186" s="70"/>
      <c r="F186" s="66"/>
      <c r="G186" s="66"/>
      <c r="H186" s="66"/>
      <c r="I186" s="66"/>
      <c r="J186" s="66"/>
      <c r="K186" s="63">
        <v>2500.0</v>
      </c>
      <c r="L186" s="63">
        <v>6.2</v>
      </c>
      <c r="M186" s="66">
        <f t="shared" si="1"/>
        <v>21.64</v>
      </c>
    </row>
    <row r="187">
      <c r="A187" s="67"/>
      <c r="B187" s="67"/>
      <c r="C187" s="67"/>
      <c r="D187" s="67"/>
      <c r="E187" s="67"/>
      <c r="F187" s="68"/>
      <c r="G187" s="68"/>
      <c r="H187" s="68"/>
      <c r="I187" s="68"/>
      <c r="J187" s="68"/>
      <c r="K187" s="69">
        <v>3000.0</v>
      </c>
      <c r="L187" s="69">
        <v>6.4</v>
      </c>
      <c r="M187" s="68">
        <f t="shared" si="1"/>
        <v>26.81</v>
      </c>
    </row>
    <row r="188">
      <c r="A188" s="70"/>
      <c r="B188" s="70"/>
      <c r="C188" s="70"/>
      <c r="D188" s="70"/>
      <c r="E188" s="70"/>
      <c r="F188" s="66"/>
      <c r="G188" s="66"/>
      <c r="H188" s="66"/>
      <c r="I188" s="66"/>
      <c r="J188" s="66"/>
      <c r="K188" s="63">
        <v>3500.0</v>
      </c>
      <c r="L188" s="63">
        <v>6.6</v>
      </c>
      <c r="M188" s="66">
        <f t="shared" si="1"/>
        <v>32.25</v>
      </c>
    </row>
    <row r="189">
      <c r="A189" s="67"/>
      <c r="B189" s="67"/>
      <c r="C189" s="67"/>
      <c r="D189" s="67"/>
      <c r="E189" s="67"/>
      <c r="F189" s="68"/>
      <c r="G189" s="68"/>
      <c r="H189" s="68"/>
      <c r="I189" s="68"/>
      <c r="J189" s="68"/>
      <c r="K189" s="69">
        <v>4000.0</v>
      </c>
      <c r="L189" s="69">
        <v>6.69</v>
      </c>
      <c r="M189" s="68">
        <f t="shared" si="1"/>
        <v>37.36</v>
      </c>
    </row>
    <row r="190">
      <c r="A190" s="70"/>
      <c r="B190" s="70"/>
      <c r="C190" s="70"/>
      <c r="D190" s="70"/>
      <c r="E190" s="70"/>
      <c r="F190" s="66"/>
      <c r="G190" s="66"/>
      <c r="H190" s="66"/>
      <c r="I190" s="66"/>
      <c r="J190" s="66"/>
      <c r="K190" s="63">
        <v>4500.0</v>
      </c>
      <c r="L190" s="63">
        <v>6.72</v>
      </c>
      <c r="M190" s="66">
        <f t="shared" si="1"/>
        <v>42.22</v>
      </c>
    </row>
    <row r="191">
      <c r="A191" s="67"/>
      <c r="B191" s="67"/>
      <c r="C191" s="67"/>
      <c r="D191" s="67"/>
      <c r="E191" s="67"/>
      <c r="F191" s="68"/>
      <c r="G191" s="68"/>
      <c r="H191" s="68"/>
      <c r="I191" s="68"/>
      <c r="J191" s="68"/>
      <c r="K191" s="69">
        <v>5000.0</v>
      </c>
      <c r="L191" s="69">
        <v>6.76</v>
      </c>
      <c r="M191" s="68">
        <f t="shared" si="1"/>
        <v>47.19</v>
      </c>
    </row>
    <row r="192">
      <c r="A192" s="70"/>
      <c r="B192" s="70"/>
      <c r="C192" s="70"/>
      <c r="D192" s="70"/>
      <c r="E192" s="70"/>
      <c r="F192" s="66"/>
      <c r="G192" s="66"/>
      <c r="H192" s="66"/>
      <c r="I192" s="66"/>
      <c r="J192" s="66"/>
      <c r="K192" s="63">
        <v>5500.0</v>
      </c>
      <c r="L192" s="63">
        <v>6.8</v>
      </c>
      <c r="M192" s="66">
        <f t="shared" si="1"/>
        <v>52.22</v>
      </c>
    </row>
    <row r="193">
      <c r="A193" s="67"/>
      <c r="B193" s="67"/>
      <c r="C193" s="67"/>
      <c r="D193" s="67"/>
      <c r="E193" s="67"/>
      <c r="F193" s="68"/>
      <c r="G193" s="68"/>
      <c r="H193" s="68"/>
      <c r="I193" s="68"/>
      <c r="J193" s="68"/>
      <c r="K193" s="69">
        <v>6000.0</v>
      </c>
      <c r="L193" s="69">
        <v>6.82</v>
      </c>
      <c r="M193" s="68">
        <f t="shared" si="1"/>
        <v>57.13</v>
      </c>
    </row>
    <row r="194">
      <c r="A194" s="73"/>
      <c r="B194" s="73"/>
      <c r="C194" s="73"/>
      <c r="D194" s="73"/>
      <c r="E194" s="73"/>
      <c r="F194" s="66"/>
      <c r="G194" s="66"/>
      <c r="H194" s="66"/>
      <c r="I194" s="66"/>
      <c r="J194" s="66"/>
      <c r="K194" s="63">
        <v>6500.0</v>
      </c>
      <c r="L194" s="63">
        <v>6.78</v>
      </c>
      <c r="M194" s="66">
        <f t="shared" si="1"/>
        <v>61.53</v>
      </c>
    </row>
    <row r="195">
      <c r="A195" s="67"/>
      <c r="B195" s="67"/>
      <c r="C195" s="67"/>
      <c r="D195" s="67"/>
      <c r="E195" s="67"/>
      <c r="F195" s="68"/>
      <c r="G195" s="68"/>
      <c r="H195" s="68"/>
      <c r="I195" s="68"/>
      <c r="J195" s="68"/>
      <c r="K195" s="69">
        <v>7000.0</v>
      </c>
      <c r="L195" s="69">
        <v>6.68</v>
      </c>
      <c r="M195" s="68">
        <f t="shared" si="1"/>
        <v>65.29</v>
      </c>
    </row>
    <row r="196">
      <c r="A196" s="70"/>
      <c r="B196" s="70"/>
      <c r="C196" s="70"/>
      <c r="D196" s="70"/>
      <c r="E196" s="70"/>
      <c r="F196" s="66"/>
      <c r="G196" s="66"/>
      <c r="H196" s="66"/>
      <c r="I196" s="66"/>
      <c r="J196" s="66"/>
      <c r="K196" s="63">
        <v>7500.0</v>
      </c>
      <c r="L196" s="63">
        <v>6.52</v>
      </c>
      <c r="M196" s="66">
        <f t="shared" si="1"/>
        <v>68.28</v>
      </c>
    </row>
    <row r="197">
      <c r="A197" s="67"/>
      <c r="B197" s="67"/>
      <c r="C197" s="67"/>
      <c r="D197" s="67"/>
      <c r="E197" s="67"/>
      <c r="F197" s="68"/>
      <c r="G197" s="68"/>
      <c r="H197" s="68"/>
      <c r="I197" s="68"/>
      <c r="J197" s="68"/>
      <c r="K197" s="69">
        <v>8000.0</v>
      </c>
      <c r="L197" s="69">
        <v>6.28</v>
      </c>
      <c r="M197" s="68">
        <f t="shared" si="1"/>
        <v>70.15</v>
      </c>
    </row>
    <row r="198">
      <c r="A198" s="70"/>
      <c r="B198" s="70"/>
      <c r="C198" s="70"/>
      <c r="D198" s="70"/>
      <c r="E198" s="70"/>
      <c r="F198" s="66"/>
      <c r="G198" s="66"/>
      <c r="H198" s="66"/>
      <c r="I198" s="66"/>
      <c r="J198" s="66"/>
      <c r="K198" s="63">
        <v>8500.0</v>
      </c>
      <c r="L198" s="63">
        <v>5.8</v>
      </c>
      <c r="M198" s="66">
        <f t="shared" si="1"/>
        <v>68.84</v>
      </c>
    </row>
    <row r="199">
      <c r="A199" s="67"/>
      <c r="B199" s="67"/>
      <c r="C199" s="67"/>
      <c r="D199" s="67"/>
      <c r="E199" s="67"/>
      <c r="F199" s="68"/>
      <c r="G199" s="68"/>
      <c r="H199" s="68"/>
      <c r="I199" s="68"/>
      <c r="J199" s="68"/>
      <c r="K199" s="69">
        <v>9000.0</v>
      </c>
      <c r="L199" s="69">
        <v>5.2</v>
      </c>
      <c r="M199" s="68">
        <f t="shared" si="1"/>
        <v>65.34</v>
      </c>
    </row>
    <row r="200">
      <c r="A200" s="66">
        <v>14.0</v>
      </c>
      <c r="B200" s="66">
        <v>17.0</v>
      </c>
      <c r="C200" s="74" t="s">
        <v>90</v>
      </c>
      <c r="D200" s="74" t="s">
        <v>91</v>
      </c>
      <c r="E200" s="74" t="s">
        <v>92</v>
      </c>
      <c r="F200" s="65">
        <v>9000.0</v>
      </c>
      <c r="G200" s="65">
        <v>9000.0</v>
      </c>
      <c r="H200" s="65">
        <v>700.0</v>
      </c>
      <c r="I200" s="65">
        <v>6500.0</v>
      </c>
      <c r="J200" s="65">
        <v>9000.0</v>
      </c>
      <c r="K200" s="63">
        <v>500.0</v>
      </c>
      <c r="L200" s="63">
        <v>25.73</v>
      </c>
      <c r="M200" s="66">
        <f t="shared" si="1"/>
        <v>17.96</v>
      </c>
    </row>
    <row r="201">
      <c r="A201" s="67"/>
      <c r="B201" s="67"/>
      <c r="C201" s="67"/>
      <c r="D201" s="67"/>
      <c r="E201" s="67"/>
      <c r="F201" s="68"/>
      <c r="G201" s="68"/>
      <c r="H201" s="68"/>
      <c r="I201" s="68"/>
      <c r="J201" s="68"/>
      <c r="K201" s="69">
        <v>1000.0</v>
      </c>
      <c r="L201" s="69">
        <v>37.8</v>
      </c>
      <c r="M201" s="68">
        <f t="shared" si="1"/>
        <v>52.78</v>
      </c>
    </row>
    <row r="202">
      <c r="A202" s="70"/>
      <c r="B202" s="70"/>
      <c r="C202" s="70"/>
      <c r="D202" s="70"/>
      <c r="E202" s="70"/>
      <c r="F202" s="66"/>
      <c r="G202" s="66"/>
      <c r="H202" s="66"/>
      <c r="I202" s="66"/>
      <c r="J202" s="66"/>
      <c r="K202" s="63">
        <v>1500.0</v>
      </c>
      <c r="L202" s="63">
        <v>44.28</v>
      </c>
      <c r="M202" s="66">
        <f t="shared" si="1"/>
        <v>92.74</v>
      </c>
    </row>
    <row r="203">
      <c r="A203" s="67"/>
      <c r="B203" s="67"/>
      <c r="C203" s="67"/>
      <c r="D203" s="67"/>
      <c r="E203" s="67"/>
      <c r="F203" s="68"/>
      <c r="G203" s="68"/>
      <c r="H203" s="68"/>
      <c r="I203" s="68"/>
      <c r="J203" s="68"/>
      <c r="K203" s="69">
        <v>2000.0</v>
      </c>
      <c r="L203" s="69">
        <v>49.35</v>
      </c>
      <c r="M203" s="68">
        <f t="shared" si="1"/>
        <v>137.81</v>
      </c>
    </row>
    <row r="204">
      <c r="A204" s="70"/>
      <c r="B204" s="70"/>
      <c r="C204" s="70"/>
      <c r="D204" s="70"/>
      <c r="E204" s="70"/>
      <c r="F204" s="66"/>
      <c r="G204" s="66"/>
      <c r="H204" s="66"/>
      <c r="I204" s="66"/>
      <c r="J204" s="66"/>
      <c r="K204" s="63">
        <v>2500.0</v>
      </c>
      <c r="L204" s="63">
        <v>52.33</v>
      </c>
      <c r="M204" s="66">
        <f t="shared" si="1"/>
        <v>182.67</v>
      </c>
    </row>
    <row r="205">
      <c r="A205" s="67"/>
      <c r="B205" s="67"/>
      <c r="C205" s="67"/>
      <c r="D205" s="67"/>
      <c r="E205" s="67"/>
      <c r="F205" s="68"/>
      <c r="G205" s="68"/>
      <c r="H205" s="68"/>
      <c r="I205" s="68"/>
      <c r="J205" s="68"/>
      <c r="K205" s="69">
        <v>3000.0</v>
      </c>
      <c r="L205" s="69">
        <v>54.08</v>
      </c>
      <c r="M205" s="68">
        <f t="shared" si="1"/>
        <v>226.53</v>
      </c>
    </row>
    <row r="206">
      <c r="A206" s="70"/>
      <c r="B206" s="70"/>
      <c r="C206" s="70"/>
      <c r="D206" s="70"/>
      <c r="E206" s="70"/>
      <c r="F206" s="66"/>
      <c r="G206" s="66"/>
      <c r="H206" s="66"/>
      <c r="I206" s="66"/>
      <c r="J206" s="66"/>
      <c r="K206" s="63">
        <v>3500.0</v>
      </c>
      <c r="L206" s="63">
        <v>55.13</v>
      </c>
      <c r="M206" s="66">
        <f t="shared" si="1"/>
        <v>269.41</v>
      </c>
    </row>
    <row r="207">
      <c r="A207" s="67"/>
      <c r="B207" s="67"/>
      <c r="C207" s="67"/>
      <c r="D207" s="67"/>
      <c r="E207" s="67"/>
      <c r="F207" s="68"/>
      <c r="G207" s="68"/>
      <c r="H207" s="68"/>
      <c r="I207" s="68"/>
      <c r="J207" s="68"/>
      <c r="K207" s="69">
        <v>4000.0</v>
      </c>
      <c r="L207" s="69">
        <v>56.35</v>
      </c>
      <c r="M207" s="68">
        <f t="shared" si="1"/>
        <v>314.72</v>
      </c>
    </row>
    <row r="208">
      <c r="A208" s="70"/>
      <c r="B208" s="70"/>
      <c r="C208" s="70"/>
      <c r="D208" s="70"/>
      <c r="E208" s="70"/>
      <c r="F208" s="66"/>
      <c r="G208" s="66"/>
      <c r="H208" s="66"/>
      <c r="I208" s="66"/>
      <c r="J208" s="66"/>
      <c r="K208" s="63">
        <v>4500.0</v>
      </c>
      <c r="L208" s="63">
        <v>57.58</v>
      </c>
      <c r="M208" s="66">
        <f t="shared" si="1"/>
        <v>361.78</v>
      </c>
    </row>
    <row r="209">
      <c r="A209" s="67"/>
      <c r="B209" s="67"/>
      <c r="C209" s="67"/>
      <c r="D209" s="67"/>
      <c r="E209" s="67"/>
      <c r="F209" s="68"/>
      <c r="G209" s="68"/>
      <c r="H209" s="68"/>
      <c r="I209" s="68"/>
      <c r="J209" s="68"/>
      <c r="K209" s="69">
        <v>5000.0</v>
      </c>
      <c r="L209" s="69">
        <v>59.5</v>
      </c>
      <c r="M209" s="68">
        <f t="shared" si="1"/>
        <v>415.39</v>
      </c>
    </row>
    <row r="210">
      <c r="A210" s="70"/>
      <c r="B210" s="70"/>
      <c r="C210" s="70"/>
      <c r="D210" s="70"/>
      <c r="E210" s="70"/>
      <c r="F210" s="66"/>
      <c r="G210" s="66"/>
      <c r="H210" s="66"/>
      <c r="I210" s="66"/>
      <c r="J210" s="66"/>
      <c r="K210" s="63">
        <v>5500.0</v>
      </c>
      <c r="L210" s="63">
        <v>61.43</v>
      </c>
      <c r="M210" s="66">
        <f t="shared" si="1"/>
        <v>471.75</v>
      </c>
    </row>
    <row r="211">
      <c r="A211" s="67"/>
      <c r="B211" s="67"/>
      <c r="C211" s="67"/>
      <c r="D211" s="67"/>
      <c r="E211" s="67"/>
      <c r="F211" s="68"/>
      <c r="G211" s="68"/>
      <c r="H211" s="68"/>
      <c r="I211" s="68"/>
      <c r="J211" s="68"/>
      <c r="K211" s="69">
        <v>6000.0</v>
      </c>
      <c r="L211" s="69">
        <v>61.95</v>
      </c>
      <c r="M211" s="68">
        <f t="shared" si="1"/>
        <v>518.99</v>
      </c>
    </row>
    <row r="212">
      <c r="A212" s="70"/>
      <c r="B212" s="70"/>
      <c r="C212" s="70"/>
      <c r="D212" s="70"/>
      <c r="E212" s="70"/>
      <c r="F212" s="66"/>
      <c r="G212" s="66"/>
      <c r="H212" s="66"/>
      <c r="I212" s="66"/>
      <c r="J212" s="66"/>
      <c r="K212" s="63">
        <v>6500.0</v>
      </c>
      <c r="L212" s="63">
        <v>61.3</v>
      </c>
      <c r="M212" s="66">
        <f t="shared" si="1"/>
        <v>556.34</v>
      </c>
    </row>
    <row r="213">
      <c r="A213" s="67"/>
      <c r="B213" s="67"/>
      <c r="C213" s="67"/>
      <c r="D213" s="67"/>
      <c r="E213" s="67"/>
      <c r="F213" s="68"/>
      <c r="G213" s="68"/>
      <c r="H213" s="68"/>
      <c r="I213" s="68"/>
      <c r="J213" s="68"/>
      <c r="K213" s="69">
        <v>7000.0</v>
      </c>
      <c r="L213" s="69">
        <v>60.38</v>
      </c>
      <c r="M213" s="68">
        <f t="shared" si="1"/>
        <v>590.14</v>
      </c>
    </row>
    <row r="214">
      <c r="A214" s="70"/>
      <c r="B214" s="70"/>
      <c r="C214" s="70"/>
      <c r="D214" s="70"/>
      <c r="E214" s="70"/>
      <c r="F214" s="66"/>
      <c r="G214" s="66"/>
      <c r="H214" s="66"/>
      <c r="I214" s="66"/>
      <c r="J214" s="66"/>
      <c r="K214" s="63">
        <v>7500.0</v>
      </c>
      <c r="L214" s="63">
        <v>58.46</v>
      </c>
      <c r="M214" s="66">
        <f t="shared" si="1"/>
        <v>612.19</v>
      </c>
    </row>
    <row r="215">
      <c r="A215" s="67"/>
      <c r="B215" s="67"/>
      <c r="C215" s="67"/>
      <c r="D215" s="67"/>
      <c r="E215" s="67"/>
      <c r="F215" s="68"/>
      <c r="G215" s="68"/>
      <c r="H215" s="68"/>
      <c r="I215" s="68"/>
      <c r="J215" s="68"/>
      <c r="K215" s="69">
        <v>8000.0</v>
      </c>
      <c r="L215" s="69">
        <v>56.71</v>
      </c>
      <c r="M215" s="68">
        <f t="shared" si="1"/>
        <v>633.45</v>
      </c>
    </row>
    <row r="216">
      <c r="A216" s="70"/>
      <c r="B216" s="70"/>
      <c r="C216" s="70"/>
      <c r="D216" s="70"/>
      <c r="E216" s="70"/>
      <c r="F216" s="66"/>
      <c r="G216" s="66"/>
      <c r="H216" s="66"/>
      <c r="I216" s="66"/>
      <c r="J216" s="66"/>
      <c r="K216" s="63">
        <v>8500.0</v>
      </c>
      <c r="L216" s="63">
        <v>54.42</v>
      </c>
      <c r="M216" s="66">
        <f t="shared" si="1"/>
        <v>645.87</v>
      </c>
    </row>
    <row r="217">
      <c r="A217" s="67"/>
      <c r="B217" s="67"/>
      <c r="C217" s="67"/>
      <c r="D217" s="67"/>
      <c r="E217" s="67"/>
      <c r="F217" s="68"/>
      <c r="G217" s="68"/>
      <c r="H217" s="68"/>
      <c r="I217" s="68"/>
      <c r="J217" s="68"/>
      <c r="K217" s="69">
        <v>9000.0</v>
      </c>
      <c r="L217" s="69">
        <v>51.75</v>
      </c>
      <c r="M217" s="68">
        <f t="shared" si="1"/>
        <v>650.31</v>
      </c>
    </row>
    <row r="218">
      <c r="A218" s="73"/>
      <c r="B218" s="73"/>
      <c r="C218" s="73"/>
      <c r="D218" s="73"/>
      <c r="E218" s="73"/>
      <c r="F218" s="66"/>
      <c r="G218" s="66"/>
      <c r="H218" s="66"/>
      <c r="I218" s="66"/>
      <c r="J218" s="66"/>
      <c r="K218" s="63">
        <v>9500.0</v>
      </c>
      <c r="L218" s="63">
        <v>47.95</v>
      </c>
      <c r="M218" s="66">
        <f t="shared" si="1"/>
        <v>636.03</v>
      </c>
    </row>
    <row r="219">
      <c r="A219" s="67"/>
      <c r="B219" s="67"/>
      <c r="C219" s="67"/>
      <c r="D219" s="67"/>
      <c r="E219" s="67"/>
      <c r="F219" s="68"/>
      <c r="G219" s="68"/>
      <c r="H219" s="68"/>
      <c r="I219" s="68"/>
      <c r="J219" s="68"/>
      <c r="K219" s="69">
        <v>10000.0</v>
      </c>
      <c r="L219" s="69">
        <v>43.23</v>
      </c>
      <c r="M219" s="68">
        <f t="shared" si="1"/>
        <v>603.6</v>
      </c>
    </row>
    <row r="220">
      <c r="A220" s="66">
        <v>15.0</v>
      </c>
      <c r="B220" s="66">
        <v>18.0</v>
      </c>
      <c r="C220" s="74" t="s">
        <v>93</v>
      </c>
      <c r="D220" s="74" t="s">
        <v>94</v>
      </c>
      <c r="E220" s="74" t="s">
        <v>95</v>
      </c>
      <c r="F220" s="65">
        <v>7000.0</v>
      </c>
      <c r="G220" s="65">
        <v>7400.0</v>
      </c>
      <c r="H220" s="65">
        <v>900.0</v>
      </c>
      <c r="I220" s="65">
        <v>5000.0</v>
      </c>
      <c r="J220" s="65">
        <v>7000.0</v>
      </c>
      <c r="K220" s="63">
        <v>500.0</v>
      </c>
      <c r="L220" s="63">
        <v>6.03</v>
      </c>
      <c r="M220" s="66">
        <f t="shared" si="1"/>
        <v>4.21</v>
      </c>
    </row>
    <row r="221">
      <c r="A221" s="67"/>
      <c r="B221" s="67"/>
      <c r="C221" s="67"/>
      <c r="D221" s="67"/>
      <c r="E221" s="67"/>
      <c r="F221" s="68"/>
      <c r="G221" s="68"/>
      <c r="H221" s="68"/>
      <c r="I221" s="68"/>
      <c r="J221" s="68"/>
      <c r="K221" s="69">
        <v>1000.0</v>
      </c>
      <c r="L221" s="69">
        <v>7.87</v>
      </c>
      <c r="M221" s="68">
        <f t="shared" si="1"/>
        <v>10.99</v>
      </c>
    </row>
    <row r="222">
      <c r="A222" s="70"/>
      <c r="B222" s="70"/>
      <c r="C222" s="70"/>
      <c r="D222" s="70"/>
      <c r="E222" s="70"/>
      <c r="F222" s="66"/>
      <c r="G222" s="66"/>
      <c r="H222" s="66"/>
      <c r="I222" s="66"/>
      <c r="J222" s="66"/>
      <c r="K222" s="63">
        <v>1500.0</v>
      </c>
      <c r="L222" s="63">
        <v>9.2</v>
      </c>
      <c r="M222" s="66">
        <f t="shared" si="1"/>
        <v>19.27</v>
      </c>
    </row>
    <row r="223">
      <c r="A223" s="67"/>
      <c r="B223" s="67"/>
      <c r="C223" s="67"/>
      <c r="D223" s="67"/>
      <c r="E223" s="67"/>
      <c r="F223" s="68"/>
      <c r="G223" s="68"/>
      <c r="H223" s="68"/>
      <c r="I223" s="68"/>
      <c r="J223" s="68"/>
      <c r="K223" s="69">
        <v>2000.0</v>
      </c>
      <c r="L223" s="69">
        <v>10.35</v>
      </c>
      <c r="M223" s="68">
        <f t="shared" si="1"/>
        <v>28.9</v>
      </c>
    </row>
    <row r="224">
      <c r="A224" s="70"/>
      <c r="B224" s="70"/>
      <c r="C224" s="70"/>
      <c r="D224" s="70"/>
      <c r="E224" s="70"/>
      <c r="F224" s="66"/>
      <c r="G224" s="66"/>
      <c r="H224" s="66"/>
      <c r="I224" s="66"/>
      <c r="J224" s="66"/>
      <c r="K224" s="63">
        <v>2500.0</v>
      </c>
      <c r="L224" s="63">
        <v>11.22</v>
      </c>
      <c r="M224" s="66">
        <f t="shared" si="1"/>
        <v>39.17</v>
      </c>
    </row>
    <row r="225">
      <c r="A225" s="67"/>
      <c r="B225" s="67"/>
      <c r="C225" s="67"/>
      <c r="D225" s="67"/>
      <c r="E225" s="67"/>
      <c r="F225" s="68"/>
      <c r="G225" s="68"/>
      <c r="H225" s="68"/>
      <c r="I225" s="68"/>
      <c r="J225" s="68"/>
      <c r="K225" s="69">
        <v>3000.0</v>
      </c>
      <c r="L225" s="69">
        <v>11.95</v>
      </c>
      <c r="M225" s="68">
        <f t="shared" si="1"/>
        <v>50.06</v>
      </c>
    </row>
    <row r="226">
      <c r="A226" s="70"/>
      <c r="B226" s="70"/>
      <c r="C226" s="70"/>
      <c r="D226" s="70"/>
      <c r="E226" s="70"/>
      <c r="F226" s="66"/>
      <c r="G226" s="66"/>
      <c r="H226" s="66"/>
      <c r="I226" s="66"/>
      <c r="J226" s="66"/>
      <c r="K226" s="63">
        <v>3500.0</v>
      </c>
      <c r="L226" s="63">
        <v>12.57</v>
      </c>
      <c r="M226" s="66">
        <f t="shared" si="1"/>
        <v>61.43</v>
      </c>
    </row>
    <row r="227">
      <c r="A227" s="67"/>
      <c r="B227" s="67"/>
      <c r="C227" s="67"/>
      <c r="D227" s="67"/>
      <c r="E227" s="67"/>
      <c r="F227" s="68"/>
      <c r="G227" s="68"/>
      <c r="H227" s="68"/>
      <c r="I227" s="68"/>
      <c r="J227" s="68"/>
      <c r="K227" s="69">
        <v>4000.0</v>
      </c>
      <c r="L227" s="69">
        <v>12.95</v>
      </c>
      <c r="M227" s="68">
        <f t="shared" si="1"/>
        <v>72.33</v>
      </c>
    </row>
    <row r="228">
      <c r="A228" s="70"/>
      <c r="B228" s="70"/>
      <c r="C228" s="70"/>
      <c r="D228" s="70"/>
      <c r="E228" s="70"/>
      <c r="F228" s="66"/>
      <c r="G228" s="66"/>
      <c r="H228" s="66"/>
      <c r="I228" s="66"/>
      <c r="J228" s="66"/>
      <c r="K228" s="63">
        <v>4500.0</v>
      </c>
      <c r="L228" s="63">
        <v>13.28</v>
      </c>
      <c r="M228" s="66">
        <f t="shared" si="1"/>
        <v>83.44</v>
      </c>
    </row>
    <row r="229">
      <c r="A229" s="67"/>
      <c r="B229" s="67"/>
      <c r="C229" s="67"/>
      <c r="D229" s="67"/>
      <c r="E229" s="67"/>
      <c r="F229" s="68"/>
      <c r="G229" s="68"/>
      <c r="H229" s="68"/>
      <c r="I229" s="68"/>
      <c r="J229" s="68"/>
      <c r="K229" s="69">
        <v>5000.0</v>
      </c>
      <c r="L229" s="69">
        <v>13.4</v>
      </c>
      <c r="M229" s="68">
        <f t="shared" si="1"/>
        <v>93.55</v>
      </c>
    </row>
    <row r="230">
      <c r="A230" s="70"/>
      <c r="B230" s="70"/>
      <c r="C230" s="70"/>
      <c r="D230" s="70"/>
      <c r="E230" s="70"/>
      <c r="F230" s="66"/>
      <c r="G230" s="66"/>
      <c r="H230" s="66"/>
      <c r="I230" s="66"/>
      <c r="J230" s="66"/>
      <c r="K230" s="63">
        <v>5500.0</v>
      </c>
      <c r="L230" s="63">
        <v>13.38</v>
      </c>
      <c r="M230" s="66">
        <f t="shared" si="1"/>
        <v>102.75</v>
      </c>
    </row>
    <row r="231">
      <c r="A231" s="67"/>
      <c r="B231" s="67"/>
      <c r="C231" s="67"/>
      <c r="D231" s="67"/>
      <c r="E231" s="67"/>
      <c r="F231" s="68"/>
      <c r="G231" s="68"/>
      <c r="H231" s="68"/>
      <c r="I231" s="68"/>
      <c r="J231" s="68"/>
      <c r="K231" s="69">
        <v>6000.0</v>
      </c>
      <c r="L231" s="69">
        <v>13.3</v>
      </c>
      <c r="M231" s="68">
        <f t="shared" si="1"/>
        <v>111.42</v>
      </c>
    </row>
    <row r="232">
      <c r="A232" s="70"/>
      <c r="B232" s="70"/>
      <c r="C232" s="70"/>
      <c r="D232" s="70"/>
      <c r="E232" s="70"/>
      <c r="F232" s="66"/>
      <c r="G232" s="66"/>
      <c r="H232" s="66"/>
      <c r="I232" s="66"/>
      <c r="J232" s="66"/>
      <c r="K232" s="63">
        <v>6500.0</v>
      </c>
      <c r="L232" s="63">
        <v>13.05</v>
      </c>
      <c r="M232" s="66">
        <f t="shared" si="1"/>
        <v>118.44</v>
      </c>
    </row>
    <row r="233">
      <c r="A233" s="67"/>
      <c r="B233" s="67"/>
      <c r="C233" s="67"/>
      <c r="D233" s="67"/>
      <c r="E233" s="67"/>
      <c r="F233" s="68"/>
      <c r="G233" s="68"/>
      <c r="H233" s="68"/>
      <c r="I233" s="68"/>
      <c r="J233" s="68"/>
      <c r="K233" s="69">
        <v>7000.0</v>
      </c>
      <c r="L233" s="69">
        <v>12.3</v>
      </c>
      <c r="M233" s="68">
        <f t="shared" si="1"/>
        <v>120.22</v>
      </c>
    </row>
    <row r="234">
      <c r="A234" s="70"/>
      <c r="B234" s="70"/>
      <c r="C234" s="70"/>
      <c r="D234" s="70"/>
      <c r="E234" s="70"/>
      <c r="F234" s="66"/>
      <c r="G234" s="66"/>
      <c r="H234" s="66"/>
      <c r="I234" s="66"/>
      <c r="J234" s="66"/>
      <c r="K234" s="63">
        <v>7500.0</v>
      </c>
      <c r="L234" s="63">
        <v>11.1</v>
      </c>
      <c r="M234" s="66">
        <f t="shared" si="1"/>
        <v>116.24</v>
      </c>
    </row>
    <row r="235">
      <c r="A235" s="67"/>
      <c r="B235" s="67"/>
      <c r="C235" s="67"/>
      <c r="D235" s="67"/>
      <c r="E235" s="67"/>
      <c r="F235" s="68"/>
      <c r="G235" s="68"/>
      <c r="H235" s="68"/>
      <c r="I235" s="68"/>
      <c r="J235" s="68"/>
      <c r="K235" s="69">
        <v>8000.0</v>
      </c>
      <c r="L235" s="69">
        <v>9.35</v>
      </c>
      <c r="M235" s="68">
        <f t="shared" si="1"/>
        <v>104.44</v>
      </c>
    </row>
    <row r="236">
      <c r="A236" s="66">
        <v>16.0</v>
      </c>
      <c r="B236" s="66">
        <v>19.0</v>
      </c>
      <c r="C236" s="74" t="s">
        <v>96</v>
      </c>
      <c r="D236" s="74" t="s">
        <v>97</v>
      </c>
      <c r="E236" s="74" t="s">
        <v>98</v>
      </c>
      <c r="F236" s="65">
        <v>7000.0</v>
      </c>
      <c r="G236" s="65">
        <v>7000.0</v>
      </c>
      <c r="H236" s="65">
        <v>700.0</v>
      </c>
      <c r="I236" s="65">
        <v>5000.0</v>
      </c>
      <c r="J236" s="65">
        <v>6800.0</v>
      </c>
      <c r="K236" s="63">
        <v>500.0</v>
      </c>
      <c r="L236" s="63">
        <v>7.9</v>
      </c>
      <c r="M236" s="66">
        <f t="shared" si="1"/>
        <v>5.52</v>
      </c>
    </row>
    <row r="237">
      <c r="A237" s="67"/>
      <c r="B237" s="67"/>
      <c r="C237" s="67"/>
      <c r="D237" s="67"/>
      <c r="E237" s="67"/>
      <c r="F237" s="68"/>
      <c r="G237" s="68"/>
      <c r="H237" s="68"/>
      <c r="I237" s="68"/>
      <c r="J237" s="68"/>
      <c r="K237" s="69">
        <v>1000.0</v>
      </c>
      <c r="L237" s="69">
        <v>9.3</v>
      </c>
      <c r="M237" s="68">
        <f t="shared" si="1"/>
        <v>12.99</v>
      </c>
    </row>
    <row r="238">
      <c r="A238" s="70"/>
      <c r="B238" s="70"/>
      <c r="C238" s="70"/>
      <c r="D238" s="70"/>
      <c r="E238" s="70"/>
      <c r="F238" s="66"/>
      <c r="G238" s="66"/>
      <c r="H238" s="66"/>
      <c r="I238" s="66"/>
      <c r="J238" s="66"/>
      <c r="K238" s="63">
        <v>1500.0</v>
      </c>
      <c r="L238" s="63">
        <v>10.15</v>
      </c>
      <c r="M238" s="66">
        <f t="shared" si="1"/>
        <v>21.26</v>
      </c>
    </row>
    <row r="239">
      <c r="A239" s="67"/>
      <c r="B239" s="67"/>
      <c r="C239" s="67"/>
      <c r="D239" s="67"/>
      <c r="E239" s="67"/>
      <c r="F239" s="68"/>
      <c r="G239" s="68"/>
      <c r="H239" s="68"/>
      <c r="I239" s="68"/>
      <c r="J239" s="68"/>
      <c r="K239" s="69">
        <v>2000.0</v>
      </c>
      <c r="L239" s="69">
        <v>11.0</v>
      </c>
      <c r="M239" s="68">
        <f t="shared" si="1"/>
        <v>30.72</v>
      </c>
    </row>
    <row r="240">
      <c r="A240" s="70"/>
      <c r="B240" s="70"/>
      <c r="C240" s="70"/>
      <c r="D240" s="70"/>
      <c r="E240" s="70"/>
      <c r="F240" s="66"/>
      <c r="G240" s="66"/>
      <c r="H240" s="66"/>
      <c r="I240" s="66"/>
      <c r="J240" s="66"/>
      <c r="K240" s="63">
        <v>2500.0</v>
      </c>
      <c r="L240" s="63">
        <v>11.7</v>
      </c>
      <c r="M240" s="66">
        <f t="shared" si="1"/>
        <v>40.84</v>
      </c>
    </row>
    <row r="241">
      <c r="A241" s="67"/>
      <c r="B241" s="67"/>
      <c r="C241" s="67"/>
      <c r="D241" s="67"/>
      <c r="E241" s="67"/>
      <c r="F241" s="68"/>
      <c r="G241" s="68"/>
      <c r="H241" s="68"/>
      <c r="I241" s="68"/>
      <c r="J241" s="68"/>
      <c r="K241" s="69">
        <v>3000.0</v>
      </c>
      <c r="L241" s="69">
        <v>12.25</v>
      </c>
      <c r="M241" s="68">
        <f t="shared" si="1"/>
        <v>51.31</v>
      </c>
    </row>
    <row r="242">
      <c r="A242" s="73"/>
      <c r="B242" s="73"/>
      <c r="C242" s="73"/>
      <c r="D242" s="73"/>
      <c r="E242" s="73"/>
      <c r="F242" s="66"/>
      <c r="G242" s="66"/>
      <c r="H242" s="66"/>
      <c r="I242" s="66"/>
      <c r="J242" s="66"/>
      <c r="K242" s="63">
        <v>3500.0</v>
      </c>
      <c r="L242" s="63">
        <v>12.5</v>
      </c>
      <c r="M242" s="66">
        <f t="shared" si="1"/>
        <v>61.09</v>
      </c>
    </row>
    <row r="243">
      <c r="A243" s="67"/>
      <c r="B243" s="67"/>
      <c r="C243" s="67"/>
      <c r="D243" s="67"/>
      <c r="E243" s="67"/>
      <c r="F243" s="68"/>
      <c r="G243" s="68"/>
      <c r="H243" s="68"/>
      <c r="I243" s="68"/>
      <c r="J243" s="68"/>
      <c r="K243" s="69">
        <v>4000.0</v>
      </c>
      <c r="L243" s="69">
        <v>12.65</v>
      </c>
      <c r="M243" s="68">
        <f t="shared" si="1"/>
        <v>70.65</v>
      </c>
    </row>
    <row r="244">
      <c r="A244" s="70"/>
      <c r="B244" s="70"/>
      <c r="C244" s="70"/>
      <c r="D244" s="70"/>
      <c r="E244" s="70"/>
      <c r="F244" s="66"/>
      <c r="G244" s="66"/>
      <c r="H244" s="66"/>
      <c r="I244" s="66"/>
      <c r="J244" s="66"/>
      <c r="K244" s="63">
        <v>4500.0</v>
      </c>
      <c r="L244" s="63">
        <v>13.15</v>
      </c>
      <c r="M244" s="66">
        <f t="shared" si="1"/>
        <v>82.62</v>
      </c>
    </row>
    <row r="245">
      <c r="A245" s="67"/>
      <c r="B245" s="67"/>
      <c r="C245" s="67"/>
      <c r="D245" s="67"/>
      <c r="E245" s="67"/>
      <c r="F245" s="68"/>
      <c r="G245" s="68"/>
      <c r="H245" s="68"/>
      <c r="I245" s="68"/>
      <c r="J245" s="68"/>
      <c r="K245" s="69">
        <v>5000.0</v>
      </c>
      <c r="L245" s="69">
        <v>13.5</v>
      </c>
      <c r="M245" s="68">
        <f t="shared" si="1"/>
        <v>94.25</v>
      </c>
    </row>
    <row r="246">
      <c r="A246" s="70"/>
      <c r="B246" s="70"/>
      <c r="C246" s="70"/>
      <c r="D246" s="70"/>
      <c r="E246" s="70"/>
      <c r="F246" s="66"/>
      <c r="G246" s="66"/>
      <c r="H246" s="66"/>
      <c r="I246" s="66"/>
      <c r="J246" s="66"/>
      <c r="K246" s="63">
        <v>5500.0</v>
      </c>
      <c r="L246" s="63">
        <v>13.3</v>
      </c>
      <c r="M246" s="66">
        <f t="shared" si="1"/>
        <v>102.14</v>
      </c>
    </row>
    <row r="247">
      <c r="A247" s="67"/>
      <c r="B247" s="67"/>
      <c r="C247" s="67"/>
      <c r="D247" s="67"/>
      <c r="E247" s="67"/>
      <c r="F247" s="68"/>
      <c r="G247" s="68"/>
      <c r="H247" s="68"/>
      <c r="I247" s="68"/>
      <c r="J247" s="68"/>
      <c r="K247" s="69">
        <v>6000.0</v>
      </c>
      <c r="L247" s="69">
        <v>12.85</v>
      </c>
      <c r="M247" s="68">
        <f t="shared" si="1"/>
        <v>107.65</v>
      </c>
    </row>
    <row r="248">
      <c r="A248" s="70"/>
      <c r="B248" s="70"/>
      <c r="C248" s="70"/>
      <c r="D248" s="70"/>
      <c r="E248" s="70"/>
      <c r="F248" s="66"/>
      <c r="G248" s="66"/>
      <c r="H248" s="66"/>
      <c r="I248" s="66"/>
      <c r="J248" s="66"/>
      <c r="K248" s="63">
        <v>6500.0</v>
      </c>
      <c r="L248" s="63">
        <v>12.15</v>
      </c>
      <c r="M248" s="66">
        <f t="shared" si="1"/>
        <v>110.27</v>
      </c>
    </row>
    <row r="249">
      <c r="A249" s="67"/>
      <c r="B249" s="67"/>
      <c r="C249" s="67"/>
      <c r="D249" s="67"/>
      <c r="E249" s="67"/>
      <c r="F249" s="68"/>
      <c r="G249" s="68"/>
      <c r="H249" s="68"/>
      <c r="I249" s="68"/>
      <c r="J249" s="68"/>
      <c r="K249" s="69">
        <v>6800.0</v>
      </c>
      <c r="L249" s="69">
        <v>11.1</v>
      </c>
      <c r="M249" s="68">
        <f t="shared" si="1"/>
        <v>105.39</v>
      </c>
    </row>
    <row r="250">
      <c r="A250" s="70"/>
      <c r="B250" s="70"/>
      <c r="C250" s="70"/>
      <c r="D250" s="70"/>
      <c r="E250" s="70"/>
      <c r="F250" s="66"/>
      <c r="G250" s="66"/>
      <c r="H250" s="66"/>
      <c r="I250" s="66"/>
      <c r="J250" s="66"/>
      <c r="K250" s="63">
        <v>7500.0</v>
      </c>
      <c r="L250" s="63">
        <v>8.7</v>
      </c>
      <c r="M250" s="66">
        <f t="shared" si="1"/>
        <v>91.11</v>
      </c>
    </row>
    <row r="251">
      <c r="A251" s="68">
        <v>17.0</v>
      </c>
      <c r="B251" s="68">
        <v>20.0</v>
      </c>
      <c r="C251" s="71" t="s">
        <v>99</v>
      </c>
      <c r="D251" s="71" t="s">
        <v>100</v>
      </c>
      <c r="E251" s="71" t="s">
        <v>101</v>
      </c>
      <c r="F251" s="72">
        <v>7000.0</v>
      </c>
      <c r="G251" s="72">
        <v>7000.0</v>
      </c>
      <c r="H251" s="72">
        <v>700.0</v>
      </c>
      <c r="I251" s="72">
        <v>4000.0</v>
      </c>
      <c r="J251" s="72">
        <v>6500.0</v>
      </c>
      <c r="K251" s="69">
        <v>500.0</v>
      </c>
      <c r="L251" s="69">
        <v>3.56</v>
      </c>
      <c r="M251" s="68">
        <f t="shared" si="1"/>
        <v>2.49</v>
      </c>
    </row>
    <row r="252">
      <c r="A252" s="70"/>
      <c r="B252" s="70"/>
      <c r="C252" s="70"/>
      <c r="D252" s="70"/>
      <c r="E252" s="70"/>
      <c r="F252" s="66"/>
      <c r="G252" s="66"/>
      <c r="H252" s="66"/>
      <c r="I252" s="66"/>
      <c r="J252" s="66"/>
      <c r="K252" s="63">
        <v>1000.0</v>
      </c>
      <c r="L252" s="63">
        <v>4.31</v>
      </c>
      <c r="M252" s="66">
        <f t="shared" si="1"/>
        <v>6.02</v>
      </c>
    </row>
    <row r="253">
      <c r="A253" s="67"/>
      <c r="B253" s="67"/>
      <c r="C253" s="67"/>
      <c r="D253" s="67"/>
      <c r="E253" s="67"/>
      <c r="F253" s="68"/>
      <c r="G253" s="68"/>
      <c r="H253" s="68"/>
      <c r="I253" s="68"/>
      <c r="J253" s="68"/>
      <c r="K253" s="69">
        <v>1500.0</v>
      </c>
      <c r="L253" s="69">
        <v>4.89</v>
      </c>
      <c r="M253" s="68">
        <f t="shared" si="1"/>
        <v>10.24</v>
      </c>
    </row>
    <row r="254">
      <c r="A254" s="70"/>
      <c r="B254" s="70"/>
      <c r="C254" s="70"/>
      <c r="D254" s="70"/>
      <c r="E254" s="70"/>
      <c r="F254" s="66"/>
      <c r="G254" s="66"/>
      <c r="H254" s="66"/>
      <c r="I254" s="66"/>
      <c r="J254" s="66"/>
      <c r="K254" s="63">
        <v>2000.0</v>
      </c>
      <c r="L254" s="63">
        <v>5.2</v>
      </c>
      <c r="M254" s="66">
        <f t="shared" si="1"/>
        <v>14.52</v>
      </c>
    </row>
    <row r="255">
      <c r="A255" s="67"/>
      <c r="B255" s="67"/>
      <c r="C255" s="67"/>
      <c r="D255" s="67"/>
      <c r="E255" s="67"/>
      <c r="F255" s="68"/>
      <c r="G255" s="68"/>
      <c r="H255" s="68"/>
      <c r="I255" s="68"/>
      <c r="J255" s="68"/>
      <c r="K255" s="69">
        <v>2500.0</v>
      </c>
      <c r="L255" s="69">
        <v>5.56</v>
      </c>
      <c r="M255" s="68">
        <f t="shared" si="1"/>
        <v>19.41</v>
      </c>
    </row>
    <row r="256">
      <c r="A256" s="70"/>
      <c r="B256" s="70"/>
      <c r="C256" s="70"/>
      <c r="D256" s="70"/>
      <c r="E256" s="70"/>
      <c r="F256" s="66"/>
      <c r="G256" s="66"/>
      <c r="H256" s="66"/>
      <c r="I256" s="66"/>
      <c r="J256" s="66"/>
      <c r="K256" s="63">
        <v>3000.0</v>
      </c>
      <c r="L256" s="63">
        <v>5.81</v>
      </c>
      <c r="M256" s="66">
        <f t="shared" si="1"/>
        <v>24.34</v>
      </c>
    </row>
    <row r="257">
      <c r="A257" s="67"/>
      <c r="B257" s="67"/>
      <c r="C257" s="67"/>
      <c r="D257" s="67"/>
      <c r="E257" s="67"/>
      <c r="F257" s="68"/>
      <c r="G257" s="68"/>
      <c r="H257" s="68"/>
      <c r="I257" s="68"/>
      <c r="J257" s="68"/>
      <c r="K257" s="69">
        <v>3500.0</v>
      </c>
      <c r="L257" s="69">
        <v>6.02</v>
      </c>
      <c r="M257" s="68">
        <f t="shared" si="1"/>
        <v>29.42</v>
      </c>
    </row>
    <row r="258">
      <c r="A258" s="70"/>
      <c r="B258" s="70"/>
      <c r="C258" s="70"/>
      <c r="D258" s="70"/>
      <c r="E258" s="70"/>
      <c r="F258" s="66"/>
      <c r="G258" s="66"/>
      <c r="H258" s="66"/>
      <c r="I258" s="66"/>
      <c r="J258" s="66"/>
      <c r="K258" s="63">
        <v>4000.0</v>
      </c>
      <c r="L258" s="63">
        <v>6.32</v>
      </c>
      <c r="M258" s="66">
        <f t="shared" si="1"/>
        <v>35.3</v>
      </c>
    </row>
    <row r="259">
      <c r="A259" s="67"/>
      <c r="B259" s="67"/>
      <c r="C259" s="67"/>
      <c r="D259" s="67"/>
      <c r="E259" s="67"/>
      <c r="F259" s="68"/>
      <c r="G259" s="68"/>
      <c r="H259" s="68"/>
      <c r="I259" s="68"/>
      <c r="J259" s="68"/>
      <c r="K259" s="69">
        <v>4500.0</v>
      </c>
      <c r="L259" s="69">
        <v>6.22</v>
      </c>
      <c r="M259" s="68">
        <f t="shared" si="1"/>
        <v>39.08</v>
      </c>
    </row>
    <row r="260">
      <c r="A260" s="70"/>
      <c r="B260" s="70"/>
      <c r="C260" s="70"/>
      <c r="D260" s="70"/>
      <c r="E260" s="70"/>
      <c r="F260" s="66"/>
      <c r="G260" s="66"/>
      <c r="H260" s="66"/>
      <c r="I260" s="66"/>
      <c r="J260" s="66"/>
      <c r="K260" s="63">
        <v>5000.0</v>
      </c>
      <c r="L260" s="63">
        <v>6.12</v>
      </c>
      <c r="M260" s="66">
        <f t="shared" si="1"/>
        <v>42.73</v>
      </c>
    </row>
    <row r="261">
      <c r="A261" s="67"/>
      <c r="B261" s="67"/>
      <c r="C261" s="67"/>
      <c r="D261" s="67"/>
      <c r="E261" s="67"/>
      <c r="F261" s="68"/>
      <c r="G261" s="68"/>
      <c r="H261" s="68"/>
      <c r="I261" s="68"/>
      <c r="J261" s="68"/>
      <c r="K261" s="69">
        <v>5500.0</v>
      </c>
      <c r="L261" s="69">
        <v>6.02</v>
      </c>
      <c r="M261" s="68">
        <f t="shared" si="1"/>
        <v>46.23</v>
      </c>
    </row>
    <row r="262">
      <c r="A262" s="70"/>
      <c r="B262" s="70"/>
      <c r="C262" s="70"/>
      <c r="D262" s="70"/>
      <c r="E262" s="70"/>
      <c r="F262" s="66"/>
      <c r="G262" s="66"/>
      <c r="H262" s="66"/>
      <c r="I262" s="66"/>
      <c r="J262" s="66"/>
      <c r="K262" s="63">
        <v>6000.0</v>
      </c>
      <c r="L262" s="63">
        <v>5.86</v>
      </c>
      <c r="M262" s="66">
        <f t="shared" si="1"/>
        <v>49.09</v>
      </c>
    </row>
    <row r="263">
      <c r="A263" s="67"/>
      <c r="B263" s="67"/>
      <c r="C263" s="67"/>
      <c r="D263" s="67"/>
      <c r="E263" s="67"/>
      <c r="F263" s="68"/>
      <c r="G263" s="68"/>
      <c r="H263" s="68"/>
      <c r="I263" s="68"/>
      <c r="J263" s="68"/>
      <c r="K263" s="69">
        <v>6500.0</v>
      </c>
      <c r="L263" s="69">
        <v>5.51</v>
      </c>
      <c r="M263" s="68">
        <f t="shared" si="1"/>
        <v>50.01</v>
      </c>
    </row>
    <row r="264">
      <c r="A264" s="70"/>
      <c r="B264" s="70"/>
      <c r="C264" s="70"/>
      <c r="D264" s="70"/>
      <c r="E264" s="70"/>
      <c r="F264" s="66"/>
      <c r="G264" s="66"/>
      <c r="H264" s="66"/>
      <c r="I264" s="66"/>
      <c r="J264" s="66"/>
      <c r="K264" s="63">
        <v>7000.0</v>
      </c>
      <c r="L264" s="63">
        <v>5.1</v>
      </c>
      <c r="M264" s="66">
        <f t="shared" si="1"/>
        <v>49.85</v>
      </c>
    </row>
    <row r="265">
      <c r="A265" s="67"/>
      <c r="B265" s="67"/>
      <c r="C265" s="67"/>
      <c r="D265" s="67"/>
      <c r="E265" s="67"/>
      <c r="F265" s="68"/>
      <c r="G265" s="68"/>
      <c r="H265" s="68"/>
      <c r="I265" s="68"/>
      <c r="J265" s="68"/>
      <c r="K265" s="69">
        <v>7500.0</v>
      </c>
      <c r="L265" s="69">
        <v>4.23</v>
      </c>
      <c r="M265" s="68">
        <f t="shared" si="1"/>
        <v>44.3</v>
      </c>
    </row>
    <row r="266">
      <c r="A266" s="63">
        <v>18.0</v>
      </c>
      <c r="B266" s="63">
        <v>21.0</v>
      </c>
      <c r="C266" s="64" t="s">
        <v>102</v>
      </c>
      <c r="D266" s="64" t="s">
        <v>103</v>
      </c>
      <c r="E266" s="64" t="s">
        <v>104</v>
      </c>
      <c r="F266" s="65">
        <v>6000.0</v>
      </c>
      <c r="G266" s="65">
        <v>7000.0</v>
      </c>
      <c r="H266" s="65">
        <v>900.0</v>
      </c>
      <c r="I266" s="65">
        <v>6400.0</v>
      </c>
      <c r="J266" s="65">
        <v>7000.0</v>
      </c>
      <c r="K266" s="63">
        <v>500.0</v>
      </c>
      <c r="L266" s="63">
        <v>1.63</v>
      </c>
      <c r="M266" s="66">
        <f t="shared" si="1"/>
        <v>1.14</v>
      </c>
    </row>
    <row r="267">
      <c r="A267" s="67"/>
      <c r="B267" s="67"/>
      <c r="C267" s="67"/>
      <c r="D267" s="67"/>
      <c r="E267" s="67"/>
      <c r="F267" s="68"/>
      <c r="G267" s="68"/>
      <c r="H267" s="68"/>
      <c r="I267" s="68"/>
      <c r="J267" s="68"/>
      <c r="K267" s="69">
        <v>1000.0</v>
      </c>
      <c r="L267" s="69">
        <v>1.93</v>
      </c>
      <c r="M267" s="68">
        <f t="shared" si="1"/>
        <v>2.69</v>
      </c>
    </row>
    <row r="268">
      <c r="A268" s="70"/>
      <c r="B268" s="70"/>
      <c r="C268" s="70"/>
      <c r="D268" s="70"/>
      <c r="E268" s="70"/>
      <c r="F268" s="66"/>
      <c r="G268" s="66"/>
      <c r="H268" s="66"/>
      <c r="I268" s="66"/>
      <c r="J268" s="66"/>
      <c r="K268" s="63">
        <v>1500.0</v>
      </c>
      <c r="L268" s="63">
        <v>1.98</v>
      </c>
      <c r="M268" s="66">
        <f t="shared" si="1"/>
        <v>4.15</v>
      </c>
    </row>
    <row r="269">
      <c r="A269" s="67"/>
      <c r="B269" s="67"/>
      <c r="C269" s="67"/>
      <c r="D269" s="67"/>
      <c r="E269" s="67"/>
      <c r="F269" s="68"/>
      <c r="G269" s="68"/>
      <c r="H269" s="68"/>
      <c r="I269" s="68"/>
      <c r="J269" s="68"/>
      <c r="K269" s="69">
        <v>2000.0</v>
      </c>
      <c r="L269" s="69">
        <v>2.03</v>
      </c>
      <c r="M269" s="68">
        <f t="shared" si="1"/>
        <v>5.67</v>
      </c>
    </row>
    <row r="270">
      <c r="A270" s="70"/>
      <c r="B270" s="70"/>
      <c r="C270" s="70"/>
      <c r="D270" s="70"/>
      <c r="E270" s="70"/>
      <c r="F270" s="66"/>
      <c r="G270" s="66"/>
      <c r="H270" s="66"/>
      <c r="I270" s="66"/>
      <c r="J270" s="66"/>
      <c r="K270" s="63">
        <v>2500.0</v>
      </c>
      <c r="L270" s="63">
        <v>2.08</v>
      </c>
      <c r="M270" s="66">
        <f t="shared" si="1"/>
        <v>7.26</v>
      </c>
    </row>
    <row r="271">
      <c r="A271" s="67"/>
      <c r="B271" s="67"/>
      <c r="C271" s="67"/>
      <c r="D271" s="67"/>
      <c r="E271" s="67"/>
      <c r="F271" s="68"/>
      <c r="G271" s="68"/>
      <c r="H271" s="68"/>
      <c r="I271" s="68"/>
      <c r="J271" s="68"/>
      <c r="K271" s="69">
        <v>3000.0</v>
      </c>
      <c r="L271" s="69">
        <v>2.13</v>
      </c>
      <c r="M271" s="68">
        <f t="shared" si="1"/>
        <v>8.92</v>
      </c>
    </row>
    <row r="272">
      <c r="A272" s="70"/>
      <c r="B272" s="70"/>
      <c r="C272" s="70"/>
      <c r="D272" s="70"/>
      <c r="E272" s="70"/>
      <c r="F272" s="66"/>
      <c r="G272" s="66"/>
      <c r="H272" s="66"/>
      <c r="I272" s="66"/>
      <c r="J272" s="66"/>
      <c r="K272" s="63">
        <v>3500.0</v>
      </c>
      <c r="L272" s="63">
        <v>2.15</v>
      </c>
      <c r="M272" s="66">
        <f t="shared" si="1"/>
        <v>10.51</v>
      </c>
    </row>
    <row r="273">
      <c r="A273" s="67"/>
      <c r="B273" s="67"/>
      <c r="C273" s="67"/>
      <c r="D273" s="67"/>
      <c r="E273" s="67"/>
      <c r="F273" s="68"/>
      <c r="G273" s="68"/>
      <c r="H273" s="68"/>
      <c r="I273" s="68"/>
      <c r="J273" s="68"/>
      <c r="K273" s="69">
        <v>4000.0</v>
      </c>
      <c r="L273" s="69">
        <v>2.18</v>
      </c>
      <c r="M273" s="68">
        <f t="shared" si="1"/>
        <v>12.18</v>
      </c>
    </row>
    <row r="274">
      <c r="A274" s="70"/>
      <c r="B274" s="70"/>
      <c r="C274" s="70"/>
      <c r="D274" s="70"/>
      <c r="E274" s="70"/>
      <c r="F274" s="66"/>
      <c r="G274" s="66"/>
      <c r="H274" s="66"/>
      <c r="I274" s="66"/>
      <c r="J274" s="66"/>
      <c r="K274" s="63">
        <v>4500.0</v>
      </c>
      <c r="L274" s="63">
        <v>2.26</v>
      </c>
      <c r="M274" s="66">
        <f t="shared" si="1"/>
        <v>14.2</v>
      </c>
    </row>
    <row r="275">
      <c r="A275" s="67"/>
      <c r="B275" s="67"/>
      <c r="C275" s="67"/>
      <c r="D275" s="67"/>
      <c r="E275" s="67"/>
      <c r="F275" s="68"/>
      <c r="G275" s="68"/>
      <c r="H275" s="68"/>
      <c r="I275" s="68"/>
      <c r="J275" s="68"/>
      <c r="K275" s="69">
        <v>5000.0</v>
      </c>
      <c r="L275" s="69">
        <v>2.38</v>
      </c>
      <c r="M275" s="68">
        <f t="shared" si="1"/>
        <v>16.62</v>
      </c>
    </row>
    <row r="276">
      <c r="A276" s="70"/>
      <c r="B276" s="70"/>
      <c r="C276" s="70"/>
      <c r="D276" s="70"/>
      <c r="E276" s="70"/>
      <c r="F276" s="66"/>
      <c r="G276" s="66"/>
      <c r="H276" s="66"/>
      <c r="I276" s="66"/>
      <c r="J276" s="66"/>
      <c r="K276" s="63">
        <v>5500.0</v>
      </c>
      <c r="L276" s="63">
        <v>2.61</v>
      </c>
      <c r="M276" s="66">
        <f t="shared" si="1"/>
        <v>20.04</v>
      </c>
    </row>
    <row r="277">
      <c r="A277" s="67"/>
      <c r="B277" s="67"/>
      <c r="C277" s="67"/>
      <c r="D277" s="67"/>
      <c r="E277" s="67"/>
      <c r="F277" s="68"/>
      <c r="G277" s="68"/>
      <c r="H277" s="68"/>
      <c r="I277" s="68"/>
      <c r="J277" s="68"/>
      <c r="K277" s="69">
        <v>6000.0</v>
      </c>
      <c r="L277" s="69">
        <v>2.79</v>
      </c>
      <c r="M277" s="68">
        <f t="shared" si="1"/>
        <v>23.37</v>
      </c>
    </row>
    <row r="278">
      <c r="A278" s="70"/>
      <c r="B278" s="70"/>
      <c r="C278" s="70"/>
      <c r="D278" s="70"/>
      <c r="E278" s="70"/>
      <c r="F278" s="66"/>
      <c r="G278" s="66"/>
      <c r="H278" s="66"/>
      <c r="I278" s="66"/>
      <c r="J278" s="66"/>
      <c r="K278" s="63">
        <v>6400.0</v>
      </c>
      <c r="L278" s="63">
        <v>2.96</v>
      </c>
      <c r="M278" s="66">
        <f t="shared" si="1"/>
        <v>26.45</v>
      </c>
    </row>
    <row r="279">
      <c r="A279" s="67"/>
      <c r="B279" s="67"/>
      <c r="C279" s="67"/>
      <c r="D279" s="67"/>
      <c r="E279" s="67"/>
      <c r="F279" s="68"/>
      <c r="G279" s="68"/>
      <c r="H279" s="68"/>
      <c r="I279" s="68"/>
      <c r="J279" s="68"/>
      <c r="K279" s="69">
        <v>7000.0</v>
      </c>
      <c r="L279" s="69">
        <v>2.83</v>
      </c>
      <c r="M279" s="68">
        <f t="shared" si="1"/>
        <v>27.66</v>
      </c>
    </row>
    <row r="280">
      <c r="A280" s="70"/>
      <c r="B280" s="70"/>
      <c r="C280" s="70"/>
      <c r="D280" s="70"/>
      <c r="E280" s="70"/>
      <c r="F280" s="66"/>
      <c r="G280" s="66"/>
      <c r="H280" s="66"/>
      <c r="I280" s="66"/>
      <c r="J280" s="66"/>
      <c r="K280" s="63">
        <v>7500.0</v>
      </c>
      <c r="L280" s="63">
        <v>2.58</v>
      </c>
      <c r="M280" s="66">
        <f t="shared" si="1"/>
        <v>27.02</v>
      </c>
    </row>
    <row r="281">
      <c r="A281" s="67"/>
      <c r="B281" s="67"/>
      <c r="C281" s="67"/>
      <c r="D281" s="67"/>
      <c r="E281" s="67"/>
      <c r="F281" s="68"/>
      <c r="G281" s="68"/>
      <c r="H281" s="68"/>
      <c r="I281" s="68"/>
      <c r="J281" s="68"/>
      <c r="K281" s="69">
        <v>8000.0</v>
      </c>
      <c r="L281" s="69">
        <v>2.01</v>
      </c>
      <c r="M281" s="68">
        <f t="shared" si="1"/>
        <v>22.45</v>
      </c>
    </row>
    <row r="282">
      <c r="A282" s="66">
        <v>19.0</v>
      </c>
      <c r="B282" s="66">
        <v>25.0</v>
      </c>
      <c r="C282" s="74" t="s">
        <v>105</v>
      </c>
      <c r="D282" s="74" t="s">
        <v>106</v>
      </c>
      <c r="E282" s="74" t="s">
        <v>107</v>
      </c>
      <c r="F282" s="65">
        <v>6500.0</v>
      </c>
      <c r="G282" s="65">
        <v>6700.0</v>
      </c>
      <c r="H282" s="65">
        <v>700.0</v>
      </c>
      <c r="I282" s="65">
        <v>4000.0</v>
      </c>
      <c r="J282" s="65">
        <v>6000.0</v>
      </c>
      <c r="K282" s="63">
        <v>500.0</v>
      </c>
      <c r="L282" s="63">
        <v>17.25</v>
      </c>
      <c r="M282" s="66">
        <f t="shared" si="1"/>
        <v>12.04</v>
      </c>
    </row>
    <row r="283">
      <c r="A283" s="67"/>
      <c r="B283" s="67"/>
      <c r="C283" s="67"/>
      <c r="D283" s="67"/>
      <c r="E283" s="67"/>
      <c r="F283" s="68"/>
      <c r="G283" s="68"/>
      <c r="H283" s="68"/>
      <c r="I283" s="68"/>
      <c r="J283" s="68"/>
      <c r="K283" s="69">
        <v>1000.0</v>
      </c>
      <c r="L283" s="69">
        <v>24.0</v>
      </c>
      <c r="M283" s="68">
        <f t="shared" si="1"/>
        <v>33.51</v>
      </c>
    </row>
    <row r="284">
      <c r="A284" s="70"/>
      <c r="B284" s="70"/>
      <c r="C284" s="70"/>
      <c r="D284" s="70"/>
      <c r="E284" s="70"/>
      <c r="F284" s="66"/>
      <c r="G284" s="66"/>
      <c r="H284" s="66"/>
      <c r="I284" s="66"/>
      <c r="J284" s="66"/>
      <c r="K284" s="63">
        <v>1500.0</v>
      </c>
      <c r="L284" s="63">
        <v>29.63</v>
      </c>
      <c r="M284" s="66">
        <f t="shared" si="1"/>
        <v>62.06</v>
      </c>
    </row>
    <row r="285">
      <c r="A285" s="67"/>
      <c r="B285" s="67"/>
      <c r="C285" s="67"/>
      <c r="D285" s="67"/>
      <c r="E285" s="67"/>
      <c r="F285" s="68"/>
      <c r="G285" s="68"/>
      <c r="H285" s="68"/>
      <c r="I285" s="68"/>
      <c r="J285" s="68"/>
      <c r="K285" s="69">
        <v>2000.0</v>
      </c>
      <c r="L285" s="69">
        <v>33.5</v>
      </c>
      <c r="M285" s="68">
        <f t="shared" si="1"/>
        <v>93.55</v>
      </c>
    </row>
    <row r="286">
      <c r="A286" s="70"/>
      <c r="B286" s="70"/>
      <c r="C286" s="70"/>
      <c r="D286" s="70"/>
      <c r="E286" s="70"/>
      <c r="F286" s="66"/>
      <c r="G286" s="66"/>
      <c r="H286" s="66"/>
      <c r="I286" s="66"/>
      <c r="J286" s="66"/>
      <c r="K286" s="63">
        <v>2500.0</v>
      </c>
      <c r="L286" s="63">
        <v>36.88</v>
      </c>
      <c r="M286" s="66">
        <f t="shared" si="1"/>
        <v>128.73</v>
      </c>
    </row>
    <row r="287">
      <c r="A287" s="67"/>
      <c r="B287" s="67"/>
      <c r="C287" s="67"/>
      <c r="D287" s="67"/>
      <c r="E287" s="67"/>
      <c r="F287" s="68"/>
      <c r="G287" s="68"/>
      <c r="H287" s="68"/>
      <c r="I287" s="68"/>
      <c r="J287" s="68"/>
      <c r="K287" s="69">
        <v>3000.0</v>
      </c>
      <c r="L287" s="69">
        <v>38.0</v>
      </c>
      <c r="M287" s="68">
        <f t="shared" si="1"/>
        <v>159.17</v>
      </c>
    </row>
    <row r="288">
      <c r="A288" s="70"/>
      <c r="B288" s="70"/>
      <c r="C288" s="70"/>
      <c r="D288" s="70"/>
      <c r="E288" s="70"/>
      <c r="F288" s="66"/>
      <c r="G288" s="66"/>
      <c r="H288" s="66"/>
      <c r="I288" s="66"/>
      <c r="J288" s="66"/>
      <c r="K288" s="63">
        <v>3500.0</v>
      </c>
      <c r="L288" s="63">
        <v>38.5</v>
      </c>
      <c r="M288" s="66">
        <f t="shared" si="1"/>
        <v>188.15</v>
      </c>
    </row>
    <row r="289">
      <c r="A289" s="67"/>
      <c r="B289" s="67"/>
      <c r="C289" s="67"/>
      <c r="D289" s="67"/>
      <c r="E289" s="67"/>
      <c r="F289" s="68"/>
      <c r="G289" s="68"/>
      <c r="H289" s="68"/>
      <c r="I289" s="68"/>
      <c r="J289" s="68"/>
      <c r="K289" s="69">
        <v>4000.0</v>
      </c>
      <c r="L289" s="69">
        <v>38.51</v>
      </c>
      <c r="M289" s="68">
        <f t="shared" si="1"/>
        <v>215.08</v>
      </c>
    </row>
    <row r="290">
      <c r="A290" s="73"/>
      <c r="B290" s="73"/>
      <c r="C290" s="73"/>
      <c r="D290" s="73"/>
      <c r="E290" s="73"/>
      <c r="F290" s="66"/>
      <c r="G290" s="66"/>
      <c r="H290" s="66"/>
      <c r="I290" s="66"/>
      <c r="J290" s="66"/>
      <c r="K290" s="63">
        <v>4500.0</v>
      </c>
      <c r="L290" s="63">
        <v>38.5</v>
      </c>
      <c r="M290" s="66">
        <f t="shared" si="1"/>
        <v>241.9</v>
      </c>
    </row>
    <row r="291">
      <c r="A291" s="67"/>
      <c r="B291" s="67"/>
      <c r="C291" s="67"/>
      <c r="D291" s="67"/>
      <c r="E291" s="67"/>
      <c r="F291" s="68"/>
      <c r="G291" s="68"/>
      <c r="H291" s="68"/>
      <c r="I291" s="68"/>
      <c r="J291" s="68"/>
      <c r="K291" s="69">
        <v>5000.0</v>
      </c>
      <c r="L291" s="69">
        <v>38.38</v>
      </c>
      <c r="M291" s="68">
        <f t="shared" si="1"/>
        <v>267.94</v>
      </c>
    </row>
    <row r="292">
      <c r="A292" s="70"/>
      <c r="B292" s="70"/>
      <c r="C292" s="70"/>
      <c r="D292" s="70"/>
      <c r="E292" s="70"/>
      <c r="F292" s="66"/>
      <c r="G292" s="66"/>
      <c r="H292" s="66"/>
      <c r="I292" s="66"/>
      <c r="J292" s="66"/>
      <c r="K292" s="63">
        <v>5500.0</v>
      </c>
      <c r="L292" s="63">
        <v>38.5</v>
      </c>
      <c r="M292" s="66">
        <f t="shared" si="1"/>
        <v>295.66</v>
      </c>
    </row>
    <row r="293">
      <c r="A293" s="67"/>
      <c r="B293" s="67"/>
      <c r="C293" s="67"/>
      <c r="D293" s="67"/>
      <c r="E293" s="67"/>
      <c r="F293" s="68"/>
      <c r="G293" s="68"/>
      <c r="H293" s="68"/>
      <c r="I293" s="68"/>
      <c r="J293" s="68"/>
      <c r="K293" s="69">
        <v>6000.0</v>
      </c>
      <c r="L293" s="69">
        <v>38.5</v>
      </c>
      <c r="M293" s="68">
        <f t="shared" si="1"/>
        <v>322.54</v>
      </c>
    </row>
    <row r="294">
      <c r="A294" s="70"/>
      <c r="B294" s="70"/>
      <c r="C294" s="70"/>
      <c r="D294" s="70"/>
      <c r="E294" s="70"/>
      <c r="F294" s="66"/>
      <c r="G294" s="66"/>
      <c r="H294" s="66"/>
      <c r="I294" s="66"/>
      <c r="J294" s="66"/>
      <c r="K294" s="63">
        <v>6500.0</v>
      </c>
      <c r="L294" s="63">
        <v>35.25</v>
      </c>
      <c r="M294" s="66">
        <f t="shared" si="1"/>
        <v>319.92</v>
      </c>
    </row>
    <row r="295">
      <c r="A295" s="67"/>
      <c r="B295" s="67"/>
      <c r="C295" s="67"/>
      <c r="D295" s="67"/>
      <c r="E295" s="67"/>
      <c r="F295" s="68"/>
      <c r="G295" s="68"/>
      <c r="H295" s="68"/>
      <c r="I295" s="68"/>
      <c r="J295" s="68"/>
      <c r="K295" s="69">
        <v>7000.0</v>
      </c>
      <c r="L295" s="69">
        <v>28.63</v>
      </c>
      <c r="M295" s="68">
        <f t="shared" si="1"/>
        <v>279.82</v>
      </c>
    </row>
    <row r="296">
      <c r="A296" s="66">
        <v>20.0</v>
      </c>
      <c r="B296" s="66">
        <v>26.0</v>
      </c>
      <c r="C296" s="74" t="s">
        <v>108</v>
      </c>
      <c r="D296" s="74" t="s">
        <v>109</v>
      </c>
      <c r="E296" s="74" t="s">
        <v>110</v>
      </c>
      <c r="F296" s="65">
        <v>6000.0</v>
      </c>
      <c r="G296" s="65">
        <v>6200.0</v>
      </c>
      <c r="H296" s="65">
        <v>900.0</v>
      </c>
      <c r="I296" s="65">
        <v>3400.0</v>
      </c>
      <c r="J296" s="65">
        <v>6000.0</v>
      </c>
      <c r="K296" s="63">
        <v>500.0</v>
      </c>
      <c r="L296" s="63">
        <v>24.5</v>
      </c>
      <c r="M296" s="66">
        <f t="shared" si="1"/>
        <v>17.1</v>
      </c>
    </row>
    <row r="297">
      <c r="A297" s="67"/>
      <c r="B297" s="67"/>
      <c r="C297" s="67"/>
      <c r="D297" s="67"/>
      <c r="E297" s="67"/>
      <c r="F297" s="68"/>
      <c r="G297" s="68"/>
      <c r="H297" s="68"/>
      <c r="I297" s="68"/>
      <c r="J297" s="68"/>
      <c r="K297" s="69">
        <v>1000.0</v>
      </c>
      <c r="L297" s="69">
        <v>29.13</v>
      </c>
      <c r="M297" s="68">
        <f t="shared" si="1"/>
        <v>40.67</v>
      </c>
    </row>
    <row r="298">
      <c r="A298" s="70"/>
      <c r="B298" s="70"/>
      <c r="C298" s="70"/>
      <c r="D298" s="70"/>
      <c r="E298" s="70"/>
      <c r="F298" s="66"/>
      <c r="G298" s="66"/>
      <c r="H298" s="66"/>
      <c r="I298" s="66"/>
      <c r="J298" s="66"/>
      <c r="K298" s="63">
        <v>1500.0</v>
      </c>
      <c r="L298" s="63">
        <v>33.75</v>
      </c>
      <c r="M298" s="66">
        <f t="shared" si="1"/>
        <v>70.69</v>
      </c>
    </row>
    <row r="299">
      <c r="A299" s="67"/>
      <c r="B299" s="67"/>
      <c r="C299" s="67"/>
      <c r="D299" s="67"/>
      <c r="E299" s="67"/>
      <c r="F299" s="68"/>
      <c r="G299" s="68"/>
      <c r="H299" s="68"/>
      <c r="I299" s="68"/>
      <c r="J299" s="68"/>
      <c r="K299" s="69">
        <v>2000.0</v>
      </c>
      <c r="L299" s="69">
        <v>37.63</v>
      </c>
      <c r="M299" s="68">
        <f t="shared" si="1"/>
        <v>105.08</v>
      </c>
    </row>
    <row r="300">
      <c r="A300" s="70"/>
      <c r="B300" s="70"/>
      <c r="C300" s="70"/>
      <c r="D300" s="70"/>
      <c r="E300" s="70"/>
      <c r="F300" s="66"/>
      <c r="G300" s="66"/>
      <c r="H300" s="66"/>
      <c r="I300" s="66"/>
      <c r="J300" s="66"/>
      <c r="K300" s="63">
        <v>2500.0</v>
      </c>
      <c r="L300" s="63">
        <v>40.0</v>
      </c>
      <c r="M300" s="66">
        <f t="shared" si="1"/>
        <v>139.63</v>
      </c>
    </row>
    <row r="301">
      <c r="A301" s="67"/>
      <c r="B301" s="67"/>
      <c r="C301" s="67"/>
      <c r="D301" s="67"/>
      <c r="E301" s="67"/>
      <c r="F301" s="68"/>
      <c r="G301" s="68"/>
      <c r="H301" s="68"/>
      <c r="I301" s="68"/>
      <c r="J301" s="68"/>
      <c r="K301" s="69">
        <v>3000.0</v>
      </c>
      <c r="L301" s="69">
        <v>41.5</v>
      </c>
      <c r="M301" s="68">
        <f t="shared" si="1"/>
        <v>173.83</v>
      </c>
    </row>
    <row r="302">
      <c r="A302" s="70"/>
      <c r="B302" s="70"/>
      <c r="C302" s="70"/>
      <c r="D302" s="70"/>
      <c r="E302" s="70"/>
      <c r="F302" s="66"/>
      <c r="G302" s="66"/>
      <c r="H302" s="66"/>
      <c r="I302" s="66"/>
      <c r="J302" s="66"/>
      <c r="K302" s="63">
        <v>3400.0</v>
      </c>
      <c r="L302" s="63">
        <v>42.0</v>
      </c>
      <c r="M302" s="66">
        <f t="shared" si="1"/>
        <v>199.39</v>
      </c>
    </row>
    <row r="303">
      <c r="A303" s="67"/>
      <c r="B303" s="67"/>
      <c r="C303" s="67"/>
      <c r="D303" s="67"/>
      <c r="E303" s="67"/>
      <c r="F303" s="68"/>
      <c r="G303" s="68"/>
      <c r="H303" s="68"/>
      <c r="I303" s="68"/>
      <c r="J303" s="68"/>
      <c r="K303" s="69">
        <v>4000.0</v>
      </c>
      <c r="L303" s="69">
        <v>40.25</v>
      </c>
      <c r="M303" s="68">
        <f t="shared" si="1"/>
        <v>224.8</v>
      </c>
    </row>
    <row r="304">
      <c r="A304" s="70"/>
      <c r="B304" s="70"/>
      <c r="C304" s="70"/>
      <c r="D304" s="70"/>
      <c r="E304" s="70"/>
      <c r="F304" s="66"/>
      <c r="G304" s="66"/>
      <c r="H304" s="66"/>
      <c r="I304" s="66"/>
      <c r="J304" s="66"/>
      <c r="K304" s="63">
        <v>4500.0</v>
      </c>
      <c r="L304" s="63">
        <v>38.13</v>
      </c>
      <c r="M304" s="66">
        <f t="shared" si="1"/>
        <v>239.58</v>
      </c>
    </row>
    <row r="305">
      <c r="A305" s="67"/>
      <c r="B305" s="67"/>
      <c r="C305" s="67"/>
      <c r="D305" s="67"/>
      <c r="E305" s="67"/>
      <c r="F305" s="68"/>
      <c r="G305" s="68"/>
      <c r="H305" s="68"/>
      <c r="I305" s="68"/>
      <c r="J305" s="68"/>
      <c r="K305" s="69">
        <v>5000.0</v>
      </c>
      <c r="L305" s="69">
        <v>35.88</v>
      </c>
      <c r="M305" s="68">
        <f t="shared" si="1"/>
        <v>250.49</v>
      </c>
    </row>
    <row r="306">
      <c r="A306" s="70"/>
      <c r="B306" s="70"/>
      <c r="C306" s="70"/>
      <c r="D306" s="70"/>
      <c r="E306" s="70"/>
      <c r="F306" s="66"/>
      <c r="G306" s="66"/>
      <c r="H306" s="66"/>
      <c r="I306" s="66"/>
      <c r="J306" s="66"/>
      <c r="K306" s="63">
        <v>5500.0</v>
      </c>
      <c r="L306" s="63">
        <v>33.5</v>
      </c>
      <c r="M306" s="66">
        <f t="shared" si="1"/>
        <v>257.26</v>
      </c>
    </row>
    <row r="307">
      <c r="A307" s="67"/>
      <c r="B307" s="67"/>
      <c r="C307" s="67"/>
      <c r="D307" s="67"/>
      <c r="E307" s="67"/>
      <c r="F307" s="68"/>
      <c r="G307" s="68"/>
      <c r="H307" s="68"/>
      <c r="I307" s="68"/>
      <c r="J307" s="68"/>
      <c r="K307" s="69">
        <v>6000.0</v>
      </c>
      <c r="L307" s="69">
        <v>31.0</v>
      </c>
      <c r="M307" s="68">
        <f t="shared" si="1"/>
        <v>259.7</v>
      </c>
    </row>
    <row r="308">
      <c r="A308" s="70"/>
      <c r="B308" s="70"/>
      <c r="C308" s="70"/>
      <c r="D308" s="70"/>
      <c r="E308" s="70"/>
      <c r="F308" s="66"/>
      <c r="G308" s="66"/>
      <c r="H308" s="66"/>
      <c r="I308" s="66"/>
      <c r="J308" s="66"/>
      <c r="K308" s="63">
        <v>6500.0</v>
      </c>
      <c r="L308" s="63">
        <v>28.0</v>
      </c>
      <c r="M308" s="66">
        <f t="shared" si="1"/>
        <v>254.12</v>
      </c>
    </row>
    <row r="309">
      <c r="A309" s="67"/>
      <c r="B309" s="67"/>
      <c r="C309" s="67"/>
      <c r="D309" s="67"/>
      <c r="E309" s="67"/>
      <c r="F309" s="68"/>
      <c r="G309" s="68"/>
      <c r="H309" s="68"/>
      <c r="I309" s="68"/>
      <c r="J309" s="68"/>
      <c r="K309" s="69">
        <v>7000.0</v>
      </c>
      <c r="L309" s="69">
        <v>24.25</v>
      </c>
      <c r="M309" s="68">
        <f t="shared" si="1"/>
        <v>237.01</v>
      </c>
    </row>
    <row r="310">
      <c r="A310" s="66">
        <v>21.0</v>
      </c>
      <c r="B310" s="66">
        <v>27.0</v>
      </c>
      <c r="C310" s="74" t="s">
        <v>111</v>
      </c>
      <c r="D310" s="74" t="s">
        <v>112</v>
      </c>
      <c r="E310" s="74" t="s">
        <v>113</v>
      </c>
      <c r="F310" s="65">
        <v>5500.0</v>
      </c>
      <c r="G310" s="65">
        <v>5500.0</v>
      </c>
      <c r="H310" s="65">
        <v>700.0</v>
      </c>
      <c r="I310" s="65">
        <v>3300.0</v>
      </c>
      <c r="J310" s="65">
        <v>5000.0</v>
      </c>
      <c r="K310" s="63">
        <v>500.0</v>
      </c>
      <c r="L310" s="63">
        <v>5.18</v>
      </c>
      <c r="M310" s="66">
        <f t="shared" si="1"/>
        <v>3.62</v>
      </c>
    </row>
    <row r="311">
      <c r="A311" s="67"/>
      <c r="B311" s="67"/>
      <c r="C311" s="67"/>
      <c r="D311" s="67"/>
      <c r="E311" s="67"/>
      <c r="F311" s="68"/>
      <c r="G311" s="68"/>
      <c r="H311" s="68"/>
      <c r="I311" s="68"/>
      <c r="J311" s="68"/>
      <c r="K311" s="69">
        <v>1000.0</v>
      </c>
      <c r="L311" s="69">
        <v>5.85</v>
      </c>
      <c r="M311" s="68">
        <f t="shared" si="1"/>
        <v>8.17</v>
      </c>
    </row>
    <row r="312">
      <c r="A312" s="70"/>
      <c r="B312" s="70"/>
      <c r="C312" s="70"/>
      <c r="D312" s="70"/>
      <c r="E312" s="70"/>
      <c r="F312" s="66"/>
      <c r="G312" s="66"/>
      <c r="H312" s="66"/>
      <c r="I312" s="66"/>
      <c r="J312" s="66"/>
      <c r="K312" s="63">
        <v>1500.0</v>
      </c>
      <c r="L312" s="63">
        <v>6.4</v>
      </c>
      <c r="M312" s="66">
        <f t="shared" si="1"/>
        <v>13.4</v>
      </c>
    </row>
    <row r="313">
      <c r="A313" s="67"/>
      <c r="B313" s="67"/>
      <c r="C313" s="67"/>
      <c r="D313" s="67"/>
      <c r="E313" s="67"/>
      <c r="F313" s="68"/>
      <c r="G313" s="68"/>
      <c r="H313" s="68"/>
      <c r="I313" s="68"/>
      <c r="J313" s="68"/>
      <c r="K313" s="69">
        <v>2000.0</v>
      </c>
      <c r="L313" s="69">
        <v>6.78</v>
      </c>
      <c r="M313" s="68">
        <f t="shared" si="1"/>
        <v>18.93</v>
      </c>
    </row>
    <row r="314">
      <c r="A314" s="73"/>
      <c r="B314" s="73"/>
      <c r="C314" s="73"/>
      <c r="D314" s="73"/>
      <c r="E314" s="73"/>
      <c r="F314" s="66"/>
      <c r="G314" s="66"/>
      <c r="H314" s="66"/>
      <c r="I314" s="66"/>
      <c r="J314" s="66"/>
      <c r="K314" s="63">
        <v>2500.0</v>
      </c>
      <c r="L314" s="63">
        <v>7.0</v>
      </c>
      <c r="M314" s="66">
        <f t="shared" si="1"/>
        <v>24.43</v>
      </c>
    </row>
    <row r="315">
      <c r="A315" s="67"/>
      <c r="B315" s="67"/>
      <c r="C315" s="67"/>
      <c r="D315" s="67"/>
      <c r="E315" s="67"/>
      <c r="F315" s="68"/>
      <c r="G315" s="68"/>
      <c r="H315" s="68"/>
      <c r="I315" s="68"/>
      <c r="J315" s="68"/>
      <c r="K315" s="69">
        <v>3000.0</v>
      </c>
      <c r="L315" s="69">
        <v>7.18</v>
      </c>
      <c r="M315" s="68">
        <f t="shared" si="1"/>
        <v>30.08</v>
      </c>
    </row>
    <row r="316">
      <c r="A316" s="70"/>
      <c r="B316" s="70"/>
      <c r="C316" s="70"/>
      <c r="D316" s="70"/>
      <c r="E316" s="70"/>
      <c r="F316" s="66"/>
      <c r="G316" s="66"/>
      <c r="H316" s="66"/>
      <c r="I316" s="66"/>
      <c r="J316" s="66"/>
      <c r="K316" s="63">
        <v>3300.0</v>
      </c>
      <c r="L316" s="63">
        <v>7.2</v>
      </c>
      <c r="M316" s="66">
        <f t="shared" si="1"/>
        <v>33.18</v>
      </c>
    </row>
    <row r="317">
      <c r="A317" s="67"/>
      <c r="B317" s="67"/>
      <c r="C317" s="67"/>
      <c r="D317" s="67"/>
      <c r="E317" s="67"/>
      <c r="F317" s="68"/>
      <c r="G317" s="68"/>
      <c r="H317" s="68"/>
      <c r="I317" s="68"/>
      <c r="J317" s="68"/>
      <c r="K317" s="69">
        <v>4000.0</v>
      </c>
      <c r="L317" s="69">
        <v>6.8</v>
      </c>
      <c r="M317" s="68">
        <f t="shared" si="1"/>
        <v>37.98</v>
      </c>
    </row>
    <row r="318">
      <c r="A318" s="70"/>
      <c r="B318" s="70"/>
      <c r="C318" s="70"/>
      <c r="D318" s="70"/>
      <c r="E318" s="70"/>
      <c r="F318" s="66"/>
      <c r="G318" s="66"/>
      <c r="H318" s="66"/>
      <c r="I318" s="66"/>
      <c r="J318" s="66"/>
      <c r="K318" s="63">
        <v>4500.0</v>
      </c>
      <c r="L318" s="63">
        <v>6.23</v>
      </c>
      <c r="M318" s="66">
        <f t="shared" si="1"/>
        <v>39.14</v>
      </c>
    </row>
    <row r="319">
      <c r="A319" s="67"/>
      <c r="B319" s="67"/>
      <c r="C319" s="67"/>
      <c r="D319" s="67"/>
      <c r="E319" s="67"/>
      <c r="F319" s="68"/>
      <c r="G319" s="68"/>
      <c r="H319" s="68"/>
      <c r="I319" s="68"/>
      <c r="J319" s="68"/>
      <c r="K319" s="69">
        <v>5000.0</v>
      </c>
      <c r="L319" s="69">
        <v>5.5</v>
      </c>
      <c r="M319" s="68">
        <f t="shared" si="1"/>
        <v>38.4</v>
      </c>
    </row>
    <row r="320">
      <c r="A320" s="70"/>
      <c r="B320" s="70"/>
      <c r="C320" s="70"/>
      <c r="D320" s="70"/>
      <c r="E320" s="70"/>
      <c r="F320" s="66"/>
      <c r="G320" s="66"/>
      <c r="H320" s="66"/>
      <c r="I320" s="66"/>
      <c r="J320" s="66"/>
      <c r="K320" s="63">
        <v>5500.0</v>
      </c>
      <c r="L320" s="63">
        <v>4.05</v>
      </c>
      <c r="M320" s="66">
        <f t="shared" si="1"/>
        <v>31.1</v>
      </c>
    </row>
    <row r="321">
      <c r="A321" s="68">
        <v>22.0</v>
      </c>
      <c r="B321" s="68">
        <v>28.0</v>
      </c>
      <c r="C321" s="71" t="s">
        <v>114</v>
      </c>
      <c r="D321" s="71" t="s">
        <v>115</v>
      </c>
      <c r="E321" s="71" t="s">
        <v>116</v>
      </c>
      <c r="F321" s="72">
        <v>7800.0</v>
      </c>
      <c r="G321" s="72">
        <v>8000.0</v>
      </c>
      <c r="H321" s="72">
        <v>700.0</v>
      </c>
      <c r="I321" s="72">
        <v>4000.0</v>
      </c>
      <c r="J321" s="72">
        <v>7000.0</v>
      </c>
      <c r="K321" s="69">
        <v>500.0</v>
      </c>
      <c r="L321" s="69">
        <v>14.32</v>
      </c>
      <c r="M321" s="68">
        <f t="shared" si="1"/>
        <v>10</v>
      </c>
    </row>
    <row r="322">
      <c r="A322" s="70"/>
      <c r="B322" s="70"/>
      <c r="C322" s="70"/>
      <c r="D322" s="70"/>
      <c r="E322" s="70"/>
      <c r="F322" s="66"/>
      <c r="G322" s="66"/>
      <c r="H322" s="66"/>
      <c r="I322" s="66"/>
      <c r="J322" s="66"/>
      <c r="K322" s="63">
        <v>1000.0</v>
      </c>
      <c r="L322" s="63">
        <v>16.35</v>
      </c>
      <c r="M322" s="66">
        <f t="shared" si="1"/>
        <v>22.83</v>
      </c>
    </row>
    <row r="323">
      <c r="A323" s="67"/>
      <c r="B323" s="67"/>
      <c r="C323" s="67"/>
      <c r="D323" s="67"/>
      <c r="E323" s="67"/>
      <c r="F323" s="68"/>
      <c r="G323" s="68"/>
      <c r="H323" s="68"/>
      <c r="I323" s="68"/>
      <c r="J323" s="68"/>
      <c r="K323" s="69">
        <v>1500.0</v>
      </c>
      <c r="L323" s="69">
        <v>18.23</v>
      </c>
      <c r="M323" s="68">
        <f t="shared" si="1"/>
        <v>38.18</v>
      </c>
    </row>
    <row r="324">
      <c r="A324" s="70"/>
      <c r="B324" s="70"/>
      <c r="C324" s="70"/>
      <c r="D324" s="70"/>
      <c r="E324" s="70"/>
      <c r="F324" s="66"/>
      <c r="G324" s="66"/>
      <c r="H324" s="66"/>
      <c r="I324" s="66"/>
      <c r="J324" s="66"/>
      <c r="K324" s="63">
        <v>2000.0</v>
      </c>
      <c r="L324" s="63">
        <v>19.73</v>
      </c>
      <c r="M324" s="66">
        <f t="shared" si="1"/>
        <v>55.1</v>
      </c>
    </row>
    <row r="325">
      <c r="A325" s="67"/>
      <c r="B325" s="67"/>
      <c r="C325" s="67"/>
      <c r="D325" s="67"/>
      <c r="E325" s="67"/>
      <c r="F325" s="68"/>
      <c r="G325" s="68"/>
      <c r="H325" s="68"/>
      <c r="I325" s="68"/>
      <c r="J325" s="68"/>
      <c r="K325" s="69">
        <v>2500.0</v>
      </c>
      <c r="L325" s="69">
        <v>21.0</v>
      </c>
      <c r="M325" s="68">
        <f t="shared" si="1"/>
        <v>73.3</v>
      </c>
    </row>
    <row r="326">
      <c r="A326" s="70"/>
      <c r="B326" s="70"/>
      <c r="C326" s="70"/>
      <c r="D326" s="70"/>
      <c r="E326" s="70"/>
      <c r="F326" s="66"/>
      <c r="G326" s="66"/>
      <c r="H326" s="66"/>
      <c r="I326" s="66"/>
      <c r="J326" s="66"/>
      <c r="K326" s="63">
        <v>3000.0</v>
      </c>
      <c r="L326" s="63">
        <v>22.05</v>
      </c>
      <c r="M326" s="66">
        <f t="shared" si="1"/>
        <v>92.36</v>
      </c>
    </row>
    <row r="327">
      <c r="A327" s="67"/>
      <c r="B327" s="67"/>
      <c r="C327" s="67"/>
      <c r="D327" s="67"/>
      <c r="E327" s="67"/>
      <c r="F327" s="68"/>
      <c r="G327" s="68"/>
      <c r="H327" s="68"/>
      <c r="I327" s="68"/>
      <c r="J327" s="68"/>
      <c r="K327" s="69">
        <v>3500.0</v>
      </c>
      <c r="L327" s="69">
        <v>22.73</v>
      </c>
      <c r="M327" s="68">
        <f t="shared" si="1"/>
        <v>111.08</v>
      </c>
    </row>
    <row r="328">
      <c r="A328" s="70"/>
      <c r="B328" s="70"/>
      <c r="C328" s="70"/>
      <c r="D328" s="70"/>
      <c r="E328" s="70"/>
      <c r="F328" s="66"/>
      <c r="G328" s="66"/>
      <c r="H328" s="66"/>
      <c r="I328" s="66"/>
      <c r="J328" s="66"/>
      <c r="K328" s="63">
        <v>4000.0</v>
      </c>
      <c r="L328" s="63">
        <v>23.0</v>
      </c>
      <c r="M328" s="66">
        <f t="shared" si="1"/>
        <v>128.46</v>
      </c>
    </row>
    <row r="329">
      <c r="A329" s="67"/>
      <c r="B329" s="67"/>
      <c r="C329" s="67"/>
      <c r="D329" s="67"/>
      <c r="E329" s="67"/>
      <c r="F329" s="68"/>
      <c r="G329" s="68"/>
      <c r="H329" s="68"/>
      <c r="I329" s="68"/>
      <c r="J329" s="68"/>
      <c r="K329" s="69">
        <v>4500.0</v>
      </c>
      <c r="L329" s="69">
        <v>22.88</v>
      </c>
      <c r="M329" s="68">
        <f t="shared" si="1"/>
        <v>143.76</v>
      </c>
    </row>
    <row r="330">
      <c r="A330" s="70"/>
      <c r="B330" s="70"/>
      <c r="C330" s="70"/>
      <c r="D330" s="70"/>
      <c r="E330" s="70"/>
      <c r="F330" s="66"/>
      <c r="G330" s="66"/>
      <c r="H330" s="66"/>
      <c r="I330" s="66"/>
      <c r="J330" s="66"/>
      <c r="K330" s="63">
        <v>5000.0</v>
      </c>
      <c r="L330" s="63">
        <v>22.58</v>
      </c>
      <c r="M330" s="66">
        <f t="shared" si="1"/>
        <v>157.64</v>
      </c>
    </row>
    <row r="331">
      <c r="A331" s="67"/>
      <c r="B331" s="67"/>
      <c r="C331" s="67"/>
      <c r="D331" s="67"/>
      <c r="E331" s="67"/>
      <c r="F331" s="68"/>
      <c r="G331" s="68"/>
      <c r="H331" s="68"/>
      <c r="I331" s="68"/>
      <c r="J331" s="68"/>
      <c r="K331" s="69">
        <v>5500.0</v>
      </c>
      <c r="L331" s="69">
        <v>21.9</v>
      </c>
      <c r="M331" s="68">
        <f t="shared" si="1"/>
        <v>168.18</v>
      </c>
    </row>
    <row r="332">
      <c r="A332" s="70"/>
      <c r="B332" s="70"/>
      <c r="C332" s="70"/>
      <c r="D332" s="70"/>
      <c r="E332" s="70"/>
      <c r="F332" s="66"/>
      <c r="G332" s="66"/>
      <c r="H332" s="66"/>
      <c r="I332" s="66"/>
      <c r="J332" s="66"/>
      <c r="K332" s="63">
        <v>6000.0</v>
      </c>
      <c r="L332" s="63">
        <v>21.23</v>
      </c>
      <c r="M332" s="66">
        <f t="shared" si="1"/>
        <v>177.86</v>
      </c>
    </row>
    <row r="333">
      <c r="A333" s="67"/>
      <c r="B333" s="67"/>
      <c r="C333" s="67"/>
      <c r="D333" s="67"/>
      <c r="E333" s="67"/>
      <c r="F333" s="68"/>
      <c r="G333" s="68"/>
      <c r="H333" s="68"/>
      <c r="I333" s="68"/>
      <c r="J333" s="68"/>
      <c r="K333" s="69">
        <v>6500.0</v>
      </c>
      <c r="L333" s="69">
        <v>20.48</v>
      </c>
      <c r="M333" s="68">
        <f t="shared" si="1"/>
        <v>185.87</v>
      </c>
    </row>
    <row r="334">
      <c r="A334" s="70"/>
      <c r="B334" s="70"/>
      <c r="C334" s="70"/>
      <c r="D334" s="70"/>
      <c r="E334" s="70"/>
      <c r="F334" s="66"/>
      <c r="G334" s="66"/>
      <c r="H334" s="66"/>
      <c r="I334" s="66"/>
      <c r="J334" s="66"/>
      <c r="K334" s="63">
        <v>7000.0</v>
      </c>
      <c r="L334" s="63">
        <v>19.4</v>
      </c>
      <c r="M334" s="66">
        <f t="shared" si="1"/>
        <v>189.61</v>
      </c>
    </row>
    <row r="335">
      <c r="A335" s="67"/>
      <c r="B335" s="67"/>
      <c r="C335" s="67"/>
      <c r="D335" s="67"/>
      <c r="E335" s="67"/>
      <c r="F335" s="68"/>
      <c r="G335" s="68"/>
      <c r="H335" s="68"/>
      <c r="I335" s="68"/>
      <c r="J335" s="68"/>
      <c r="K335" s="69">
        <v>7500.0</v>
      </c>
      <c r="L335" s="69">
        <v>17.92</v>
      </c>
      <c r="M335" s="68">
        <f t="shared" si="1"/>
        <v>187.66</v>
      </c>
    </row>
    <row r="336">
      <c r="A336" s="70"/>
      <c r="B336" s="70"/>
      <c r="C336" s="70"/>
      <c r="D336" s="70"/>
      <c r="E336" s="70"/>
      <c r="F336" s="66"/>
      <c r="G336" s="66"/>
      <c r="H336" s="66"/>
      <c r="I336" s="66"/>
      <c r="J336" s="66"/>
      <c r="K336" s="63">
        <v>8000.0</v>
      </c>
      <c r="L336" s="63">
        <v>16.05</v>
      </c>
      <c r="M336" s="66">
        <f t="shared" si="1"/>
        <v>179.28</v>
      </c>
    </row>
    <row r="337">
      <c r="A337" s="68">
        <v>23.0</v>
      </c>
      <c r="B337" s="68">
        <v>29.0</v>
      </c>
      <c r="C337" s="71" t="s">
        <v>117</v>
      </c>
      <c r="D337" s="71" t="s">
        <v>118</v>
      </c>
      <c r="E337" s="71" t="s">
        <v>119</v>
      </c>
      <c r="F337" s="72">
        <v>6200.0</v>
      </c>
      <c r="G337" s="72">
        <v>6200.0</v>
      </c>
      <c r="H337" s="72">
        <v>900.0</v>
      </c>
      <c r="I337" s="72">
        <v>3250.0</v>
      </c>
      <c r="J337" s="72">
        <v>6000.0</v>
      </c>
      <c r="K337" s="69">
        <v>500.0</v>
      </c>
      <c r="L337" s="69">
        <v>10.05</v>
      </c>
      <c r="M337" s="68">
        <f t="shared" si="1"/>
        <v>7.02</v>
      </c>
    </row>
    <row r="338">
      <c r="A338" s="73"/>
      <c r="B338" s="73"/>
      <c r="C338" s="73"/>
      <c r="D338" s="73"/>
      <c r="E338" s="73"/>
      <c r="F338" s="66"/>
      <c r="G338" s="66"/>
      <c r="H338" s="66"/>
      <c r="I338" s="66"/>
      <c r="J338" s="66"/>
      <c r="K338" s="63">
        <v>1000.0</v>
      </c>
      <c r="L338" s="63">
        <v>11.18</v>
      </c>
      <c r="M338" s="66">
        <f t="shared" si="1"/>
        <v>15.61</v>
      </c>
    </row>
    <row r="339">
      <c r="A339" s="67"/>
      <c r="B339" s="67"/>
      <c r="C339" s="67"/>
      <c r="D339" s="67"/>
      <c r="E339" s="67"/>
      <c r="F339" s="68"/>
      <c r="G339" s="68"/>
      <c r="H339" s="68"/>
      <c r="I339" s="68"/>
      <c r="J339" s="68"/>
      <c r="K339" s="69">
        <v>1500.0</v>
      </c>
      <c r="L339" s="69">
        <v>11.63</v>
      </c>
      <c r="M339" s="68">
        <f t="shared" si="1"/>
        <v>24.36</v>
      </c>
    </row>
    <row r="340">
      <c r="A340" s="70"/>
      <c r="B340" s="70"/>
      <c r="C340" s="70"/>
      <c r="D340" s="70"/>
      <c r="E340" s="70"/>
      <c r="F340" s="66"/>
      <c r="G340" s="66"/>
      <c r="H340" s="66"/>
      <c r="I340" s="66"/>
      <c r="J340" s="66"/>
      <c r="K340" s="63">
        <v>2000.0</v>
      </c>
      <c r="L340" s="63">
        <v>12.52</v>
      </c>
      <c r="M340" s="66">
        <f t="shared" si="1"/>
        <v>34.96</v>
      </c>
    </row>
    <row r="341">
      <c r="A341" s="67"/>
      <c r="B341" s="67"/>
      <c r="C341" s="67"/>
      <c r="D341" s="67"/>
      <c r="E341" s="67"/>
      <c r="F341" s="68"/>
      <c r="G341" s="68"/>
      <c r="H341" s="68"/>
      <c r="I341" s="68"/>
      <c r="J341" s="68"/>
      <c r="K341" s="69">
        <v>2500.0</v>
      </c>
      <c r="L341" s="69">
        <v>15.6</v>
      </c>
      <c r="M341" s="68">
        <f t="shared" si="1"/>
        <v>54.45</v>
      </c>
    </row>
    <row r="342">
      <c r="A342" s="70"/>
      <c r="B342" s="70"/>
      <c r="C342" s="70"/>
      <c r="D342" s="70"/>
      <c r="E342" s="70"/>
      <c r="F342" s="66"/>
      <c r="G342" s="66"/>
      <c r="H342" s="66"/>
      <c r="I342" s="66"/>
      <c r="J342" s="66"/>
      <c r="K342" s="63">
        <v>3250.0</v>
      </c>
      <c r="L342" s="63">
        <v>20.73</v>
      </c>
      <c r="M342" s="66">
        <f t="shared" si="1"/>
        <v>94.07</v>
      </c>
    </row>
    <row r="343">
      <c r="A343" s="67"/>
      <c r="B343" s="67"/>
      <c r="C343" s="67"/>
      <c r="D343" s="67"/>
      <c r="E343" s="67"/>
      <c r="F343" s="68"/>
      <c r="G343" s="68"/>
      <c r="H343" s="68"/>
      <c r="I343" s="68"/>
      <c r="J343" s="68"/>
      <c r="K343" s="69">
        <v>3500.0</v>
      </c>
      <c r="L343" s="69">
        <v>21.3</v>
      </c>
      <c r="M343" s="68">
        <f t="shared" si="1"/>
        <v>104.09</v>
      </c>
    </row>
    <row r="344">
      <c r="A344" s="70"/>
      <c r="B344" s="70"/>
      <c r="C344" s="70"/>
      <c r="D344" s="70"/>
      <c r="E344" s="70"/>
      <c r="F344" s="66"/>
      <c r="G344" s="66"/>
      <c r="H344" s="66"/>
      <c r="I344" s="66"/>
      <c r="J344" s="66"/>
      <c r="K344" s="63">
        <v>4000.0</v>
      </c>
      <c r="L344" s="63">
        <v>21.23</v>
      </c>
      <c r="M344" s="66">
        <f t="shared" si="1"/>
        <v>118.57</v>
      </c>
    </row>
    <row r="345">
      <c r="A345" s="67"/>
      <c r="B345" s="67"/>
      <c r="C345" s="67"/>
      <c r="D345" s="67"/>
      <c r="E345" s="67"/>
      <c r="F345" s="68"/>
      <c r="G345" s="68"/>
      <c r="H345" s="68"/>
      <c r="I345" s="68"/>
      <c r="J345" s="68"/>
      <c r="K345" s="69">
        <v>4500.0</v>
      </c>
      <c r="L345" s="69">
        <v>21.15</v>
      </c>
      <c r="M345" s="68">
        <f t="shared" si="1"/>
        <v>132.89</v>
      </c>
    </row>
    <row r="346">
      <c r="A346" s="70"/>
      <c r="B346" s="70"/>
      <c r="C346" s="70"/>
      <c r="D346" s="70"/>
      <c r="E346" s="70"/>
      <c r="F346" s="66"/>
      <c r="G346" s="66"/>
      <c r="H346" s="66"/>
      <c r="I346" s="66"/>
      <c r="J346" s="66"/>
      <c r="K346" s="63">
        <v>5000.0</v>
      </c>
      <c r="L346" s="63">
        <v>20.77</v>
      </c>
      <c r="M346" s="66">
        <f t="shared" si="1"/>
        <v>145</v>
      </c>
    </row>
    <row r="347">
      <c r="A347" s="67"/>
      <c r="B347" s="67"/>
      <c r="C347" s="67"/>
      <c r="D347" s="67"/>
      <c r="E347" s="67"/>
      <c r="F347" s="68"/>
      <c r="G347" s="68"/>
      <c r="H347" s="68"/>
      <c r="I347" s="68"/>
      <c r="J347" s="68"/>
      <c r="K347" s="69">
        <v>5500.0</v>
      </c>
      <c r="L347" s="69">
        <v>20.02</v>
      </c>
      <c r="M347" s="68">
        <f t="shared" si="1"/>
        <v>153.74</v>
      </c>
    </row>
    <row r="348">
      <c r="A348" s="70"/>
      <c r="B348" s="70"/>
      <c r="C348" s="70"/>
      <c r="D348" s="70"/>
      <c r="E348" s="70"/>
      <c r="F348" s="66"/>
      <c r="G348" s="66"/>
      <c r="H348" s="66"/>
      <c r="I348" s="66"/>
      <c r="J348" s="66"/>
      <c r="K348" s="63">
        <v>6000.0</v>
      </c>
      <c r="L348" s="63">
        <v>19.0</v>
      </c>
      <c r="M348" s="66">
        <f t="shared" si="1"/>
        <v>159.17</v>
      </c>
    </row>
    <row r="349">
      <c r="A349" s="67"/>
      <c r="B349" s="67"/>
      <c r="C349" s="67"/>
      <c r="D349" s="67"/>
      <c r="E349" s="67"/>
      <c r="F349" s="68"/>
      <c r="G349" s="68"/>
      <c r="H349" s="68"/>
      <c r="I349" s="68"/>
      <c r="J349" s="68"/>
      <c r="K349" s="69">
        <v>6500.0</v>
      </c>
      <c r="L349" s="69">
        <v>17.17</v>
      </c>
      <c r="M349" s="68">
        <f t="shared" si="1"/>
        <v>155.83</v>
      </c>
    </row>
    <row r="350">
      <c r="A350" s="70"/>
      <c r="B350" s="70"/>
      <c r="C350" s="70"/>
      <c r="D350" s="70"/>
      <c r="E350" s="70"/>
      <c r="F350" s="66"/>
      <c r="G350" s="66"/>
      <c r="H350" s="66"/>
      <c r="I350" s="66"/>
      <c r="J350" s="66"/>
      <c r="K350" s="63">
        <v>7000.0</v>
      </c>
      <c r="L350" s="63">
        <v>15.0</v>
      </c>
      <c r="M350" s="66">
        <f t="shared" si="1"/>
        <v>146.61</v>
      </c>
    </row>
    <row r="351">
      <c r="A351" s="68">
        <v>24.0</v>
      </c>
      <c r="B351" s="68">
        <v>31.0</v>
      </c>
      <c r="C351" s="71" t="s">
        <v>120</v>
      </c>
      <c r="D351" s="71" t="s">
        <v>121</v>
      </c>
      <c r="E351" s="71" t="s">
        <v>122</v>
      </c>
      <c r="F351" s="72">
        <v>7000.0</v>
      </c>
      <c r="G351" s="72">
        <v>7200.0</v>
      </c>
      <c r="H351" s="72">
        <v>900.0</v>
      </c>
      <c r="I351" s="72">
        <v>4800.0</v>
      </c>
      <c r="J351" s="72">
        <v>6200.0</v>
      </c>
      <c r="K351" s="69">
        <v>500.0</v>
      </c>
      <c r="L351" s="69">
        <v>19.97</v>
      </c>
      <c r="M351" s="68">
        <f t="shared" si="1"/>
        <v>13.94</v>
      </c>
    </row>
    <row r="352">
      <c r="A352" s="70"/>
      <c r="B352" s="70"/>
      <c r="C352" s="70"/>
      <c r="D352" s="70"/>
      <c r="E352" s="70"/>
      <c r="F352" s="66"/>
      <c r="G352" s="66"/>
      <c r="H352" s="66"/>
      <c r="I352" s="66"/>
      <c r="J352" s="66"/>
      <c r="K352" s="63">
        <v>1000.0</v>
      </c>
      <c r="L352" s="63">
        <v>23.53</v>
      </c>
      <c r="M352" s="66">
        <f t="shared" si="1"/>
        <v>32.85</v>
      </c>
    </row>
    <row r="353">
      <c r="A353" s="67"/>
      <c r="B353" s="67"/>
      <c r="C353" s="67"/>
      <c r="D353" s="67"/>
      <c r="E353" s="67"/>
      <c r="F353" s="68"/>
      <c r="G353" s="68"/>
      <c r="H353" s="68"/>
      <c r="I353" s="68"/>
      <c r="J353" s="68"/>
      <c r="K353" s="69">
        <v>1500.0</v>
      </c>
      <c r="L353" s="69">
        <v>26.5</v>
      </c>
      <c r="M353" s="68">
        <f t="shared" si="1"/>
        <v>55.5</v>
      </c>
    </row>
    <row r="354">
      <c r="A354" s="70"/>
      <c r="B354" s="70"/>
      <c r="C354" s="70"/>
      <c r="D354" s="70"/>
      <c r="E354" s="70"/>
      <c r="F354" s="66"/>
      <c r="G354" s="66"/>
      <c r="H354" s="66"/>
      <c r="I354" s="66"/>
      <c r="J354" s="66"/>
      <c r="K354" s="63">
        <v>2000.0</v>
      </c>
      <c r="L354" s="63">
        <v>29.2</v>
      </c>
      <c r="M354" s="66">
        <f t="shared" si="1"/>
        <v>81.54</v>
      </c>
    </row>
    <row r="355">
      <c r="A355" s="67"/>
      <c r="B355" s="67"/>
      <c r="C355" s="67"/>
      <c r="D355" s="67"/>
      <c r="E355" s="67"/>
      <c r="F355" s="68"/>
      <c r="G355" s="68"/>
      <c r="H355" s="68"/>
      <c r="I355" s="68"/>
      <c r="J355" s="68"/>
      <c r="K355" s="69">
        <v>2500.0</v>
      </c>
      <c r="L355" s="69">
        <v>32.5</v>
      </c>
      <c r="M355" s="68">
        <f t="shared" si="1"/>
        <v>113.45</v>
      </c>
    </row>
    <row r="356">
      <c r="A356" s="70"/>
      <c r="B356" s="70"/>
      <c r="C356" s="70"/>
      <c r="D356" s="70"/>
      <c r="E356" s="70"/>
      <c r="F356" s="66"/>
      <c r="G356" s="66"/>
      <c r="H356" s="66"/>
      <c r="I356" s="66"/>
      <c r="J356" s="66"/>
      <c r="K356" s="63">
        <v>3000.0</v>
      </c>
      <c r="L356" s="63">
        <v>35.0</v>
      </c>
      <c r="M356" s="66">
        <f t="shared" si="1"/>
        <v>146.61</v>
      </c>
    </row>
    <row r="357">
      <c r="A357" s="67"/>
      <c r="B357" s="67"/>
      <c r="C357" s="67"/>
      <c r="D357" s="67"/>
      <c r="E357" s="67"/>
      <c r="F357" s="68"/>
      <c r="G357" s="68"/>
      <c r="H357" s="68"/>
      <c r="I357" s="68"/>
      <c r="J357" s="68"/>
      <c r="K357" s="69">
        <v>3500.0</v>
      </c>
      <c r="L357" s="69">
        <v>35.7</v>
      </c>
      <c r="M357" s="68">
        <f t="shared" si="1"/>
        <v>174.46</v>
      </c>
    </row>
    <row r="358">
      <c r="A358" s="70"/>
      <c r="B358" s="70"/>
      <c r="C358" s="70"/>
      <c r="D358" s="70"/>
      <c r="E358" s="70"/>
      <c r="F358" s="66"/>
      <c r="G358" s="66"/>
      <c r="H358" s="66"/>
      <c r="I358" s="66"/>
      <c r="J358" s="66"/>
      <c r="K358" s="63">
        <v>4000.0</v>
      </c>
      <c r="L358" s="63">
        <v>36.3</v>
      </c>
      <c r="M358" s="66">
        <f t="shared" si="1"/>
        <v>202.74</v>
      </c>
    </row>
    <row r="359">
      <c r="A359" s="67"/>
      <c r="B359" s="67"/>
      <c r="C359" s="67"/>
      <c r="D359" s="67"/>
      <c r="E359" s="67"/>
      <c r="F359" s="68"/>
      <c r="G359" s="68"/>
      <c r="H359" s="68"/>
      <c r="I359" s="68"/>
      <c r="J359" s="68"/>
      <c r="K359" s="69">
        <v>4400.0</v>
      </c>
      <c r="L359" s="69">
        <v>36.75</v>
      </c>
      <c r="M359" s="68">
        <f t="shared" si="1"/>
        <v>225.77</v>
      </c>
    </row>
    <row r="360">
      <c r="A360" s="70"/>
      <c r="B360" s="70"/>
      <c r="C360" s="70"/>
      <c r="D360" s="70"/>
      <c r="E360" s="70"/>
      <c r="F360" s="66"/>
      <c r="G360" s="66"/>
      <c r="H360" s="66"/>
      <c r="I360" s="66"/>
      <c r="J360" s="66"/>
      <c r="K360" s="63">
        <v>4800.0</v>
      </c>
      <c r="L360" s="63">
        <v>37.0</v>
      </c>
      <c r="M360" s="66">
        <f t="shared" si="1"/>
        <v>247.98</v>
      </c>
    </row>
    <row r="361">
      <c r="A361" s="67"/>
      <c r="B361" s="67"/>
      <c r="C361" s="67"/>
      <c r="D361" s="67"/>
      <c r="E361" s="67"/>
      <c r="F361" s="68"/>
      <c r="G361" s="68"/>
      <c r="H361" s="68"/>
      <c r="I361" s="68"/>
      <c r="J361" s="68"/>
      <c r="K361" s="69">
        <v>5200.0</v>
      </c>
      <c r="L361" s="69">
        <v>36.09</v>
      </c>
      <c r="M361" s="68">
        <f t="shared" si="1"/>
        <v>262.03</v>
      </c>
    </row>
    <row r="362">
      <c r="A362" s="73"/>
      <c r="B362" s="73"/>
      <c r="C362" s="73"/>
      <c r="D362" s="73"/>
      <c r="E362" s="73"/>
      <c r="F362" s="66"/>
      <c r="G362" s="66"/>
      <c r="H362" s="66"/>
      <c r="I362" s="66"/>
      <c r="J362" s="66"/>
      <c r="K362" s="63">
        <v>5800.0</v>
      </c>
      <c r="L362" s="63">
        <v>34.11</v>
      </c>
      <c r="M362" s="66">
        <f t="shared" si="1"/>
        <v>276.23</v>
      </c>
    </row>
    <row r="363">
      <c r="A363" s="67"/>
      <c r="B363" s="67"/>
      <c r="C363" s="67"/>
      <c r="D363" s="67"/>
      <c r="E363" s="67"/>
      <c r="F363" s="68"/>
      <c r="G363" s="68"/>
      <c r="H363" s="68"/>
      <c r="I363" s="68"/>
      <c r="J363" s="68"/>
      <c r="K363" s="69">
        <v>6200.0</v>
      </c>
      <c r="L363" s="69">
        <v>32.3</v>
      </c>
      <c r="M363" s="68">
        <f t="shared" si="1"/>
        <v>279.61</v>
      </c>
    </row>
    <row r="364">
      <c r="A364" s="70"/>
      <c r="B364" s="70"/>
      <c r="C364" s="70"/>
      <c r="D364" s="70"/>
      <c r="E364" s="70"/>
      <c r="F364" s="66"/>
      <c r="G364" s="66"/>
      <c r="H364" s="66"/>
      <c r="I364" s="66"/>
      <c r="J364" s="66"/>
      <c r="K364" s="63">
        <v>6700.0</v>
      </c>
      <c r="L364" s="63">
        <v>29.5</v>
      </c>
      <c r="M364" s="66">
        <f t="shared" si="1"/>
        <v>275.97</v>
      </c>
    </row>
    <row r="365">
      <c r="A365" s="67"/>
      <c r="B365" s="67"/>
      <c r="C365" s="67"/>
      <c r="D365" s="67"/>
      <c r="E365" s="67"/>
      <c r="F365" s="68"/>
      <c r="G365" s="68"/>
      <c r="H365" s="68"/>
      <c r="I365" s="68"/>
      <c r="J365" s="68"/>
      <c r="K365" s="69">
        <v>7000.0</v>
      </c>
      <c r="L365" s="69">
        <v>27.7</v>
      </c>
      <c r="M365" s="68">
        <f t="shared" si="1"/>
        <v>270.73</v>
      </c>
    </row>
    <row r="366">
      <c r="A366" s="70"/>
      <c r="B366" s="70"/>
      <c r="C366" s="70"/>
      <c r="D366" s="70"/>
      <c r="E366" s="70"/>
      <c r="F366" s="66"/>
      <c r="G366" s="66"/>
      <c r="H366" s="66"/>
      <c r="I366" s="66"/>
      <c r="J366" s="66"/>
      <c r="K366" s="63">
        <v>7500.0</v>
      </c>
      <c r="L366" s="63">
        <v>23.5</v>
      </c>
      <c r="M366" s="66">
        <f t="shared" si="1"/>
        <v>246.09</v>
      </c>
    </row>
    <row r="367">
      <c r="A367" s="68">
        <v>25.0</v>
      </c>
      <c r="B367" s="68">
        <v>32.0</v>
      </c>
      <c r="C367" s="71" t="s">
        <v>123</v>
      </c>
      <c r="D367" s="71" t="s">
        <v>124</v>
      </c>
      <c r="E367" s="71" t="s">
        <v>125</v>
      </c>
      <c r="F367" s="72">
        <v>6500.0</v>
      </c>
      <c r="G367" s="72">
        <v>6700.0</v>
      </c>
      <c r="H367" s="72">
        <v>700.0</v>
      </c>
      <c r="I367" s="72">
        <v>3600.0</v>
      </c>
      <c r="J367" s="72">
        <v>5600.0</v>
      </c>
      <c r="K367" s="69">
        <v>500.0</v>
      </c>
      <c r="L367" s="69">
        <v>32.46</v>
      </c>
      <c r="M367" s="68">
        <f t="shared" si="1"/>
        <v>22.66</v>
      </c>
    </row>
    <row r="368">
      <c r="A368" s="70"/>
      <c r="B368" s="70"/>
      <c r="C368" s="70"/>
      <c r="D368" s="70"/>
      <c r="E368" s="70"/>
      <c r="F368" s="66"/>
      <c r="G368" s="66"/>
      <c r="H368" s="66"/>
      <c r="I368" s="66"/>
      <c r="J368" s="66"/>
      <c r="K368" s="63">
        <v>1000.0</v>
      </c>
      <c r="L368" s="63">
        <v>36.67</v>
      </c>
      <c r="M368" s="66">
        <f t="shared" si="1"/>
        <v>51.2</v>
      </c>
    </row>
    <row r="369">
      <c r="A369" s="67"/>
      <c r="B369" s="67"/>
      <c r="C369" s="67"/>
      <c r="D369" s="67"/>
      <c r="E369" s="67"/>
      <c r="F369" s="68"/>
      <c r="G369" s="68"/>
      <c r="H369" s="68"/>
      <c r="I369" s="68"/>
      <c r="J369" s="68"/>
      <c r="K369" s="69">
        <v>1500.0</v>
      </c>
      <c r="L369" s="69">
        <v>39.5</v>
      </c>
      <c r="M369" s="68">
        <f t="shared" si="1"/>
        <v>82.73</v>
      </c>
    </row>
    <row r="370">
      <c r="A370" s="70"/>
      <c r="B370" s="70"/>
      <c r="C370" s="70"/>
      <c r="D370" s="70"/>
      <c r="E370" s="70"/>
      <c r="F370" s="66"/>
      <c r="G370" s="66"/>
      <c r="H370" s="66"/>
      <c r="I370" s="66"/>
      <c r="J370" s="66"/>
      <c r="K370" s="63">
        <v>2000.0</v>
      </c>
      <c r="L370" s="63">
        <v>40.96</v>
      </c>
      <c r="M370" s="66">
        <f t="shared" si="1"/>
        <v>114.38</v>
      </c>
    </row>
    <row r="371">
      <c r="A371" s="67"/>
      <c r="B371" s="67"/>
      <c r="C371" s="67"/>
      <c r="D371" s="67"/>
      <c r="E371" s="67"/>
      <c r="F371" s="68"/>
      <c r="G371" s="68"/>
      <c r="H371" s="68"/>
      <c r="I371" s="68"/>
      <c r="J371" s="68"/>
      <c r="K371" s="69">
        <v>2500.0</v>
      </c>
      <c r="L371" s="69">
        <v>42.21</v>
      </c>
      <c r="M371" s="68">
        <f t="shared" si="1"/>
        <v>147.34</v>
      </c>
    </row>
    <row r="372">
      <c r="A372" s="70"/>
      <c r="B372" s="70"/>
      <c r="C372" s="70"/>
      <c r="D372" s="70"/>
      <c r="E372" s="70"/>
      <c r="F372" s="66"/>
      <c r="G372" s="66"/>
      <c r="H372" s="66"/>
      <c r="I372" s="66"/>
      <c r="J372" s="66"/>
      <c r="K372" s="63">
        <v>3000.0</v>
      </c>
      <c r="L372" s="63">
        <v>42.9</v>
      </c>
      <c r="M372" s="66">
        <f t="shared" si="1"/>
        <v>179.7</v>
      </c>
    </row>
    <row r="373">
      <c r="A373" s="67"/>
      <c r="B373" s="67"/>
      <c r="C373" s="67"/>
      <c r="D373" s="67"/>
      <c r="E373" s="67"/>
      <c r="F373" s="68"/>
      <c r="G373" s="68"/>
      <c r="H373" s="68"/>
      <c r="I373" s="68"/>
      <c r="J373" s="68"/>
      <c r="K373" s="69">
        <v>3600.0</v>
      </c>
      <c r="L373" s="69">
        <v>43.49</v>
      </c>
      <c r="M373" s="68">
        <f t="shared" si="1"/>
        <v>218.6</v>
      </c>
    </row>
    <row r="374">
      <c r="A374" s="70"/>
      <c r="B374" s="70"/>
      <c r="C374" s="70"/>
      <c r="D374" s="70"/>
      <c r="E374" s="70"/>
      <c r="F374" s="66"/>
      <c r="G374" s="66"/>
      <c r="H374" s="66"/>
      <c r="I374" s="66"/>
      <c r="J374" s="66"/>
      <c r="K374" s="63">
        <v>4000.0</v>
      </c>
      <c r="L374" s="63">
        <v>43.42</v>
      </c>
      <c r="M374" s="66">
        <f t="shared" si="1"/>
        <v>242.5</v>
      </c>
    </row>
    <row r="375">
      <c r="A375" s="67"/>
      <c r="B375" s="67"/>
      <c r="C375" s="67"/>
      <c r="D375" s="67"/>
      <c r="E375" s="67"/>
      <c r="F375" s="68"/>
      <c r="G375" s="68"/>
      <c r="H375" s="68"/>
      <c r="I375" s="68"/>
      <c r="J375" s="68"/>
      <c r="K375" s="69">
        <v>4500.0</v>
      </c>
      <c r="L375" s="69">
        <v>42.14</v>
      </c>
      <c r="M375" s="68">
        <f t="shared" si="1"/>
        <v>264.77</v>
      </c>
    </row>
    <row r="376">
      <c r="A376" s="70"/>
      <c r="B376" s="70"/>
      <c r="C376" s="70"/>
      <c r="D376" s="70"/>
      <c r="E376" s="70"/>
      <c r="F376" s="66"/>
      <c r="G376" s="66"/>
      <c r="H376" s="66"/>
      <c r="I376" s="66"/>
      <c r="J376" s="66"/>
      <c r="K376" s="63">
        <v>5000.0</v>
      </c>
      <c r="L376" s="63">
        <v>39.17</v>
      </c>
      <c r="M376" s="66">
        <f t="shared" si="1"/>
        <v>273.46</v>
      </c>
    </row>
    <row r="377">
      <c r="A377" s="67"/>
      <c r="B377" s="67"/>
      <c r="C377" s="67"/>
      <c r="D377" s="67"/>
      <c r="E377" s="67"/>
      <c r="F377" s="68"/>
      <c r="G377" s="68"/>
      <c r="H377" s="68"/>
      <c r="I377" s="68"/>
      <c r="J377" s="68"/>
      <c r="K377" s="69">
        <v>5600.0</v>
      </c>
      <c r="L377" s="69">
        <v>35.58</v>
      </c>
      <c r="M377" s="68">
        <f t="shared" si="1"/>
        <v>278.2</v>
      </c>
    </row>
    <row r="378">
      <c r="A378" s="70"/>
      <c r="B378" s="70"/>
      <c r="C378" s="70"/>
      <c r="D378" s="70"/>
      <c r="E378" s="70"/>
      <c r="F378" s="66"/>
      <c r="G378" s="66"/>
      <c r="H378" s="66"/>
      <c r="I378" s="66"/>
      <c r="J378" s="66"/>
      <c r="K378" s="63">
        <v>6000.0</v>
      </c>
      <c r="L378" s="63">
        <v>33.11</v>
      </c>
      <c r="M378" s="66">
        <f t="shared" si="1"/>
        <v>277.38</v>
      </c>
    </row>
    <row r="379">
      <c r="A379" s="67"/>
      <c r="B379" s="67"/>
      <c r="C379" s="67"/>
      <c r="D379" s="67"/>
      <c r="E379" s="67"/>
      <c r="F379" s="68"/>
      <c r="G379" s="68"/>
      <c r="H379" s="68"/>
      <c r="I379" s="68"/>
      <c r="J379" s="68"/>
      <c r="K379" s="69">
        <v>6500.0</v>
      </c>
      <c r="L379" s="69">
        <v>29.63</v>
      </c>
      <c r="M379" s="68">
        <f t="shared" si="1"/>
        <v>268.91</v>
      </c>
    </row>
    <row r="380">
      <c r="A380" s="70"/>
      <c r="B380" s="70"/>
      <c r="C380" s="70"/>
      <c r="D380" s="70"/>
      <c r="E380" s="70"/>
      <c r="F380" s="66"/>
      <c r="G380" s="66"/>
      <c r="H380" s="66"/>
      <c r="I380" s="66"/>
      <c r="J380" s="66"/>
      <c r="K380" s="63">
        <v>7000.0</v>
      </c>
      <c r="L380" s="63">
        <v>25.88</v>
      </c>
      <c r="M380" s="66">
        <f t="shared" si="1"/>
        <v>252.95</v>
      </c>
    </row>
    <row r="381">
      <c r="A381" s="68">
        <v>26.0</v>
      </c>
      <c r="B381" s="68">
        <v>35.0</v>
      </c>
      <c r="C381" s="71" t="s">
        <v>126</v>
      </c>
      <c r="D381" s="71" t="s">
        <v>127</v>
      </c>
      <c r="E381" s="71" t="s">
        <v>128</v>
      </c>
      <c r="F381" s="72">
        <v>6000.0</v>
      </c>
      <c r="G381" s="72">
        <v>6000.0</v>
      </c>
      <c r="H381" s="72">
        <v>0.0</v>
      </c>
      <c r="I381" s="72">
        <v>4000.0</v>
      </c>
      <c r="J381" s="72">
        <v>4000.0</v>
      </c>
      <c r="K381" s="69">
        <v>500.0</v>
      </c>
      <c r="L381" s="69">
        <v>12.6</v>
      </c>
      <c r="M381" s="68">
        <f t="shared" si="1"/>
        <v>8.8</v>
      </c>
    </row>
    <row r="382">
      <c r="A382" s="70"/>
      <c r="B382" s="70"/>
      <c r="C382" s="70"/>
      <c r="D382" s="70"/>
      <c r="E382" s="70"/>
      <c r="F382" s="66"/>
      <c r="G382" s="66"/>
      <c r="H382" s="66"/>
      <c r="I382" s="66"/>
      <c r="J382" s="66"/>
      <c r="K382" s="63">
        <v>1000.0</v>
      </c>
      <c r="L382" s="63">
        <v>14.05</v>
      </c>
      <c r="M382" s="66">
        <f t="shared" si="1"/>
        <v>19.62</v>
      </c>
    </row>
    <row r="383">
      <c r="A383" s="67"/>
      <c r="B383" s="67"/>
      <c r="C383" s="67"/>
      <c r="D383" s="67"/>
      <c r="E383" s="67"/>
      <c r="F383" s="68"/>
      <c r="G383" s="68"/>
      <c r="H383" s="68"/>
      <c r="I383" s="68"/>
      <c r="J383" s="68"/>
      <c r="K383" s="69">
        <v>1500.0</v>
      </c>
      <c r="L383" s="69">
        <v>14.45</v>
      </c>
      <c r="M383" s="68">
        <f t="shared" si="1"/>
        <v>30.26</v>
      </c>
    </row>
    <row r="384">
      <c r="A384" s="70"/>
      <c r="B384" s="70"/>
      <c r="C384" s="70"/>
      <c r="D384" s="70"/>
      <c r="E384" s="70"/>
      <c r="F384" s="66"/>
      <c r="G384" s="66"/>
      <c r="H384" s="66"/>
      <c r="I384" s="66"/>
      <c r="J384" s="66"/>
      <c r="K384" s="63">
        <v>2000.0</v>
      </c>
      <c r="L384" s="63">
        <v>14.07</v>
      </c>
      <c r="M384" s="66">
        <f t="shared" si="1"/>
        <v>39.29</v>
      </c>
    </row>
    <row r="385">
      <c r="A385" s="67"/>
      <c r="B385" s="67"/>
      <c r="C385" s="67"/>
      <c r="D385" s="67"/>
      <c r="E385" s="67"/>
      <c r="F385" s="68"/>
      <c r="G385" s="68"/>
      <c r="H385" s="68"/>
      <c r="I385" s="68"/>
      <c r="J385" s="68"/>
      <c r="K385" s="69">
        <v>2500.0</v>
      </c>
      <c r="L385" s="69">
        <v>13.1</v>
      </c>
      <c r="M385" s="68">
        <f t="shared" si="1"/>
        <v>45.73</v>
      </c>
    </row>
    <row r="386">
      <c r="A386" s="73"/>
      <c r="B386" s="73"/>
      <c r="C386" s="73"/>
      <c r="D386" s="73"/>
      <c r="E386" s="73"/>
      <c r="F386" s="66"/>
      <c r="G386" s="66"/>
      <c r="H386" s="66"/>
      <c r="I386" s="66"/>
      <c r="J386" s="66"/>
      <c r="K386" s="63">
        <v>3000.0</v>
      </c>
      <c r="L386" s="63">
        <v>12.55</v>
      </c>
      <c r="M386" s="66">
        <f t="shared" si="1"/>
        <v>52.57</v>
      </c>
    </row>
    <row r="387">
      <c r="A387" s="67"/>
      <c r="B387" s="67"/>
      <c r="C387" s="67"/>
      <c r="D387" s="67"/>
      <c r="E387" s="67"/>
      <c r="F387" s="68"/>
      <c r="G387" s="68"/>
      <c r="H387" s="68"/>
      <c r="I387" s="68"/>
      <c r="J387" s="68"/>
      <c r="K387" s="69">
        <v>3500.0</v>
      </c>
      <c r="L387" s="69">
        <v>12.21</v>
      </c>
      <c r="M387" s="68">
        <f t="shared" si="1"/>
        <v>59.67</v>
      </c>
    </row>
    <row r="388">
      <c r="A388" s="70"/>
      <c r="B388" s="70"/>
      <c r="C388" s="70"/>
      <c r="D388" s="70"/>
      <c r="E388" s="70"/>
      <c r="F388" s="66"/>
      <c r="G388" s="66"/>
      <c r="H388" s="66"/>
      <c r="I388" s="66"/>
      <c r="J388" s="66"/>
      <c r="K388" s="63">
        <v>4000.0</v>
      </c>
      <c r="L388" s="63">
        <v>11.75</v>
      </c>
      <c r="M388" s="66">
        <f t="shared" si="1"/>
        <v>65.62</v>
      </c>
    </row>
    <row r="389">
      <c r="A389" s="67"/>
      <c r="B389" s="67"/>
      <c r="C389" s="67"/>
      <c r="D389" s="67"/>
      <c r="E389" s="67"/>
      <c r="F389" s="68"/>
      <c r="G389" s="68"/>
      <c r="H389" s="68"/>
      <c r="I389" s="68"/>
      <c r="J389" s="68"/>
      <c r="K389" s="69">
        <v>4500.0</v>
      </c>
      <c r="L389" s="69">
        <v>11.5</v>
      </c>
      <c r="M389" s="68">
        <f t="shared" si="1"/>
        <v>72.26</v>
      </c>
    </row>
    <row r="390">
      <c r="A390" s="70"/>
      <c r="B390" s="70"/>
      <c r="C390" s="70"/>
      <c r="D390" s="70"/>
      <c r="E390" s="70"/>
      <c r="F390" s="66"/>
      <c r="G390" s="66"/>
      <c r="H390" s="66"/>
      <c r="I390" s="66"/>
      <c r="J390" s="66"/>
      <c r="K390" s="63">
        <v>5000.0</v>
      </c>
      <c r="L390" s="63">
        <v>11.3</v>
      </c>
      <c r="M390" s="66">
        <f t="shared" si="1"/>
        <v>78.89</v>
      </c>
    </row>
    <row r="391">
      <c r="A391" s="67"/>
      <c r="B391" s="67"/>
      <c r="C391" s="67"/>
      <c r="D391" s="67"/>
      <c r="E391" s="67"/>
      <c r="F391" s="68"/>
      <c r="G391" s="68"/>
      <c r="H391" s="68"/>
      <c r="I391" s="68"/>
      <c r="J391" s="68"/>
      <c r="K391" s="69">
        <v>5500.0</v>
      </c>
      <c r="L391" s="69">
        <v>11.1</v>
      </c>
      <c r="M391" s="68">
        <f t="shared" si="1"/>
        <v>85.24</v>
      </c>
    </row>
    <row r="392">
      <c r="A392" s="70"/>
      <c r="B392" s="70"/>
      <c r="C392" s="70"/>
      <c r="D392" s="70"/>
      <c r="E392" s="70"/>
      <c r="F392" s="66"/>
      <c r="G392" s="66"/>
      <c r="H392" s="66"/>
      <c r="I392" s="66"/>
      <c r="J392" s="66"/>
      <c r="K392" s="63">
        <v>6000.0</v>
      </c>
      <c r="L392" s="63">
        <v>9.9</v>
      </c>
      <c r="M392" s="66">
        <f t="shared" si="1"/>
        <v>82.94</v>
      </c>
    </row>
    <row r="393">
      <c r="A393" s="67"/>
      <c r="B393" s="67"/>
      <c r="C393" s="67"/>
      <c r="D393" s="67"/>
      <c r="E393" s="67"/>
      <c r="F393" s="68"/>
      <c r="G393" s="68"/>
      <c r="H393" s="68"/>
      <c r="I393" s="68"/>
      <c r="J393" s="68"/>
      <c r="K393" s="69">
        <v>6500.0</v>
      </c>
      <c r="L393" s="69">
        <v>8.05</v>
      </c>
      <c r="M393" s="68">
        <f t="shared" si="1"/>
        <v>73.06</v>
      </c>
    </row>
    <row r="394">
      <c r="A394" s="66">
        <v>27.0</v>
      </c>
      <c r="B394" s="66">
        <v>36.0</v>
      </c>
      <c r="C394" s="74" t="s">
        <v>129</v>
      </c>
      <c r="D394" s="74" t="s">
        <v>130</v>
      </c>
      <c r="E394" s="74" t="s">
        <v>131</v>
      </c>
      <c r="F394" s="65">
        <v>6200.0</v>
      </c>
      <c r="G394" s="65">
        <v>6200.0</v>
      </c>
      <c r="H394" s="65">
        <v>700.0</v>
      </c>
      <c r="I394" s="65">
        <v>3400.0</v>
      </c>
      <c r="J394" s="65">
        <v>5600.0</v>
      </c>
      <c r="K394" s="63">
        <v>500.0</v>
      </c>
      <c r="L394" s="63">
        <v>31.96</v>
      </c>
      <c r="M394" s="66">
        <f t="shared" si="1"/>
        <v>22.31</v>
      </c>
    </row>
    <row r="395">
      <c r="A395" s="67"/>
      <c r="B395" s="67"/>
      <c r="C395" s="67"/>
      <c r="D395" s="67"/>
      <c r="E395" s="67"/>
      <c r="F395" s="68"/>
      <c r="G395" s="68"/>
      <c r="H395" s="68"/>
      <c r="I395" s="68"/>
      <c r="J395" s="68"/>
      <c r="K395" s="69">
        <v>1000.0</v>
      </c>
      <c r="L395" s="69">
        <v>34.67</v>
      </c>
      <c r="M395" s="68">
        <f t="shared" si="1"/>
        <v>48.41</v>
      </c>
    </row>
    <row r="396">
      <c r="A396" s="70"/>
      <c r="B396" s="70"/>
      <c r="C396" s="70"/>
      <c r="D396" s="70"/>
      <c r="E396" s="70"/>
      <c r="F396" s="66"/>
      <c r="G396" s="66"/>
      <c r="H396" s="66"/>
      <c r="I396" s="66"/>
      <c r="J396" s="66"/>
      <c r="K396" s="63">
        <v>1500.0</v>
      </c>
      <c r="L396" s="63">
        <v>35.69</v>
      </c>
      <c r="M396" s="66">
        <f t="shared" si="1"/>
        <v>74.75</v>
      </c>
    </row>
    <row r="397">
      <c r="A397" s="67"/>
      <c r="B397" s="67"/>
      <c r="C397" s="67"/>
      <c r="D397" s="67"/>
      <c r="E397" s="67"/>
      <c r="F397" s="68"/>
      <c r="G397" s="68"/>
      <c r="H397" s="68"/>
      <c r="I397" s="68"/>
      <c r="J397" s="68"/>
      <c r="K397" s="69">
        <v>2000.0</v>
      </c>
      <c r="L397" s="69">
        <v>37.08</v>
      </c>
      <c r="M397" s="68">
        <f t="shared" si="1"/>
        <v>103.55</v>
      </c>
    </row>
    <row r="398">
      <c r="A398" s="70"/>
      <c r="B398" s="70"/>
      <c r="C398" s="70"/>
      <c r="D398" s="70"/>
      <c r="E398" s="70"/>
      <c r="F398" s="66"/>
      <c r="G398" s="66"/>
      <c r="H398" s="66"/>
      <c r="I398" s="66"/>
      <c r="J398" s="66"/>
      <c r="K398" s="63">
        <v>2500.0</v>
      </c>
      <c r="L398" s="63">
        <v>39.09</v>
      </c>
      <c r="M398" s="66">
        <f t="shared" si="1"/>
        <v>136.45</v>
      </c>
    </row>
    <row r="399">
      <c r="A399" s="67"/>
      <c r="B399" s="67"/>
      <c r="C399" s="67"/>
      <c r="D399" s="67"/>
      <c r="E399" s="67"/>
      <c r="F399" s="68"/>
      <c r="G399" s="68"/>
      <c r="H399" s="68"/>
      <c r="I399" s="68"/>
      <c r="J399" s="68"/>
      <c r="K399" s="69">
        <v>3000.0</v>
      </c>
      <c r="L399" s="69">
        <v>41.84</v>
      </c>
      <c r="M399" s="68">
        <f t="shared" si="1"/>
        <v>175.26</v>
      </c>
    </row>
    <row r="400">
      <c r="A400" s="70"/>
      <c r="B400" s="70"/>
      <c r="C400" s="70"/>
      <c r="D400" s="70"/>
      <c r="E400" s="70"/>
      <c r="F400" s="66"/>
      <c r="G400" s="66"/>
      <c r="H400" s="66"/>
      <c r="I400" s="66"/>
      <c r="J400" s="66"/>
      <c r="K400" s="63">
        <v>3400.0</v>
      </c>
      <c r="L400" s="63">
        <v>42.1</v>
      </c>
      <c r="M400" s="66">
        <f t="shared" si="1"/>
        <v>199.86</v>
      </c>
    </row>
    <row r="401">
      <c r="A401" s="67"/>
      <c r="B401" s="67"/>
      <c r="C401" s="67"/>
      <c r="D401" s="67"/>
      <c r="E401" s="67"/>
      <c r="F401" s="68"/>
      <c r="G401" s="68"/>
      <c r="H401" s="68"/>
      <c r="I401" s="68"/>
      <c r="J401" s="68"/>
      <c r="K401" s="69">
        <v>4000.0</v>
      </c>
      <c r="L401" s="69">
        <v>41.48</v>
      </c>
      <c r="M401" s="68">
        <f t="shared" si="1"/>
        <v>231.67</v>
      </c>
    </row>
    <row r="402">
      <c r="A402" s="70"/>
      <c r="B402" s="70"/>
      <c r="C402" s="70"/>
      <c r="D402" s="70"/>
      <c r="E402" s="70"/>
      <c r="F402" s="66"/>
      <c r="G402" s="66"/>
      <c r="H402" s="66"/>
      <c r="I402" s="66"/>
      <c r="J402" s="66"/>
      <c r="K402" s="63">
        <v>4500.0</v>
      </c>
      <c r="L402" s="63">
        <v>40.12</v>
      </c>
      <c r="M402" s="66">
        <f t="shared" si="1"/>
        <v>252.08</v>
      </c>
    </row>
    <row r="403">
      <c r="A403" s="67"/>
      <c r="B403" s="67"/>
      <c r="C403" s="67"/>
      <c r="D403" s="67"/>
      <c r="E403" s="67"/>
      <c r="F403" s="68"/>
      <c r="G403" s="68"/>
      <c r="H403" s="68"/>
      <c r="I403" s="68"/>
      <c r="J403" s="68"/>
      <c r="K403" s="69">
        <v>5000.0</v>
      </c>
      <c r="L403" s="69">
        <v>37.37</v>
      </c>
      <c r="M403" s="68">
        <f t="shared" si="1"/>
        <v>260.89</v>
      </c>
    </row>
    <row r="404">
      <c r="A404" s="70"/>
      <c r="B404" s="70"/>
      <c r="C404" s="70"/>
      <c r="D404" s="70"/>
      <c r="E404" s="70"/>
      <c r="F404" s="66"/>
      <c r="G404" s="66"/>
      <c r="H404" s="66"/>
      <c r="I404" s="66"/>
      <c r="J404" s="66"/>
      <c r="K404" s="63">
        <v>5600.0</v>
      </c>
      <c r="L404" s="63">
        <v>33.88</v>
      </c>
      <c r="M404" s="66">
        <f t="shared" si="1"/>
        <v>264.91</v>
      </c>
    </row>
    <row r="405">
      <c r="A405" s="67"/>
      <c r="B405" s="67"/>
      <c r="C405" s="67"/>
      <c r="D405" s="67"/>
      <c r="E405" s="67"/>
      <c r="F405" s="68"/>
      <c r="G405" s="68"/>
      <c r="H405" s="68"/>
      <c r="I405" s="68"/>
      <c r="J405" s="68"/>
      <c r="K405" s="69">
        <v>6000.0</v>
      </c>
      <c r="L405" s="69">
        <v>31.15</v>
      </c>
      <c r="M405" s="68">
        <f t="shared" si="1"/>
        <v>260.96</v>
      </c>
    </row>
    <row r="406">
      <c r="A406" s="70"/>
      <c r="B406" s="70"/>
      <c r="C406" s="70"/>
      <c r="D406" s="70"/>
      <c r="E406" s="70"/>
      <c r="F406" s="66"/>
      <c r="G406" s="66"/>
      <c r="H406" s="66"/>
      <c r="I406" s="66"/>
      <c r="J406" s="66"/>
      <c r="K406" s="63">
        <v>6500.0</v>
      </c>
      <c r="L406" s="63">
        <v>27.4</v>
      </c>
      <c r="M406" s="66">
        <f t="shared" si="1"/>
        <v>248.67</v>
      </c>
    </row>
    <row r="407">
      <c r="A407" s="68">
        <v>28.0</v>
      </c>
      <c r="B407" s="68">
        <v>37.0</v>
      </c>
      <c r="C407" s="71" t="s">
        <v>132</v>
      </c>
      <c r="D407" s="71" t="s">
        <v>133</v>
      </c>
      <c r="E407" s="71" t="s">
        <v>134</v>
      </c>
      <c r="F407" s="72">
        <v>7800.0</v>
      </c>
      <c r="G407" s="72">
        <v>8000.0</v>
      </c>
      <c r="H407" s="72">
        <v>700.0</v>
      </c>
      <c r="I407" s="72">
        <v>6400.0</v>
      </c>
      <c r="J407" s="72">
        <v>7600.0</v>
      </c>
      <c r="K407" s="69">
        <v>500.0</v>
      </c>
      <c r="L407" s="69">
        <v>11.1</v>
      </c>
      <c r="M407" s="68">
        <f t="shared" si="1"/>
        <v>7.75</v>
      </c>
    </row>
    <row r="408">
      <c r="A408" s="70"/>
      <c r="B408" s="70"/>
      <c r="C408" s="70"/>
      <c r="D408" s="70"/>
      <c r="E408" s="70"/>
      <c r="F408" s="66"/>
      <c r="G408" s="66"/>
      <c r="H408" s="66"/>
      <c r="I408" s="66"/>
      <c r="J408" s="66"/>
      <c r="K408" s="63">
        <v>1000.0</v>
      </c>
      <c r="L408" s="63">
        <v>13.5</v>
      </c>
      <c r="M408" s="66">
        <f t="shared" si="1"/>
        <v>18.85</v>
      </c>
    </row>
    <row r="409">
      <c r="A409" s="67"/>
      <c r="B409" s="67"/>
      <c r="C409" s="67"/>
      <c r="D409" s="67"/>
      <c r="E409" s="67"/>
      <c r="F409" s="68"/>
      <c r="G409" s="68"/>
      <c r="H409" s="68"/>
      <c r="I409" s="68"/>
      <c r="J409" s="68"/>
      <c r="K409" s="69">
        <v>1500.0</v>
      </c>
      <c r="L409" s="69">
        <v>15.38</v>
      </c>
      <c r="M409" s="68">
        <f t="shared" si="1"/>
        <v>32.21</v>
      </c>
    </row>
    <row r="410">
      <c r="A410" s="73"/>
      <c r="B410" s="73"/>
      <c r="C410" s="73"/>
      <c r="D410" s="73"/>
      <c r="E410" s="73"/>
      <c r="F410" s="66"/>
      <c r="G410" s="66"/>
      <c r="H410" s="66"/>
      <c r="I410" s="66"/>
      <c r="J410" s="66"/>
      <c r="K410" s="63">
        <v>2000.0</v>
      </c>
      <c r="L410" s="63">
        <v>16.8</v>
      </c>
      <c r="M410" s="66">
        <f t="shared" si="1"/>
        <v>46.91</v>
      </c>
    </row>
    <row r="411">
      <c r="A411" s="67"/>
      <c r="B411" s="67"/>
      <c r="C411" s="67"/>
      <c r="D411" s="67"/>
      <c r="E411" s="67"/>
      <c r="F411" s="68"/>
      <c r="G411" s="68"/>
      <c r="H411" s="68"/>
      <c r="I411" s="68"/>
      <c r="J411" s="68"/>
      <c r="K411" s="69">
        <v>2500.0</v>
      </c>
      <c r="L411" s="69">
        <v>17.7</v>
      </c>
      <c r="M411" s="68">
        <f t="shared" si="1"/>
        <v>61.78</v>
      </c>
    </row>
    <row r="412">
      <c r="A412" s="70"/>
      <c r="B412" s="70"/>
      <c r="C412" s="70"/>
      <c r="D412" s="70"/>
      <c r="E412" s="70"/>
      <c r="F412" s="66"/>
      <c r="G412" s="66"/>
      <c r="H412" s="66"/>
      <c r="I412" s="66"/>
      <c r="J412" s="66"/>
      <c r="K412" s="63">
        <v>3000.0</v>
      </c>
      <c r="L412" s="63">
        <v>18.4</v>
      </c>
      <c r="M412" s="66">
        <f t="shared" si="1"/>
        <v>77.07</v>
      </c>
    </row>
    <row r="413">
      <c r="A413" s="67"/>
      <c r="B413" s="67"/>
      <c r="C413" s="67"/>
      <c r="D413" s="67"/>
      <c r="E413" s="67"/>
      <c r="F413" s="68"/>
      <c r="G413" s="68"/>
      <c r="H413" s="68"/>
      <c r="I413" s="68"/>
      <c r="J413" s="68"/>
      <c r="K413" s="69">
        <v>3500.0</v>
      </c>
      <c r="L413" s="69">
        <v>19.1</v>
      </c>
      <c r="M413" s="68">
        <f t="shared" si="1"/>
        <v>93.34</v>
      </c>
    </row>
    <row r="414">
      <c r="A414" s="70"/>
      <c r="B414" s="70"/>
      <c r="C414" s="70"/>
      <c r="D414" s="70"/>
      <c r="E414" s="70"/>
      <c r="F414" s="66"/>
      <c r="G414" s="66"/>
      <c r="H414" s="66"/>
      <c r="I414" s="66"/>
      <c r="J414" s="66"/>
      <c r="K414" s="63">
        <v>4000.0</v>
      </c>
      <c r="L414" s="63">
        <v>19.8</v>
      </c>
      <c r="M414" s="66">
        <f t="shared" si="1"/>
        <v>110.58</v>
      </c>
    </row>
    <row r="415">
      <c r="A415" s="67"/>
      <c r="B415" s="67"/>
      <c r="C415" s="67"/>
      <c r="D415" s="67"/>
      <c r="E415" s="67"/>
      <c r="F415" s="68"/>
      <c r="G415" s="68"/>
      <c r="H415" s="68"/>
      <c r="I415" s="68"/>
      <c r="J415" s="68"/>
      <c r="K415" s="69">
        <v>4500.0</v>
      </c>
      <c r="L415" s="69">
        <v>20.23</v>
      </c>
      <c r="M415" s="68">
        <f t="shared" si="1"/>
        <v>127.11</v>
      </c>
    </row>
    <row r="416">
      <c r="A416" s="70"/>
      <c r="B416" s="70"/>
      <c r="C416" s="70"/>
      <c r="D416" s="70"/>
      <c r="E416" s="70"/>
      <c r="F416" s="66"/>
      <c r="G416" s="66"/>
      <c r="H416" s="66"/>
      <c r="I416" s="66"/>
      <c r="J416" s="66"/>
      <c r="K416" s="63">
        <v>5000.0</v>
      </c>
      <c r="L416" s="63">
        <v>20.52</v>
      </c>
      <c r="M416" s="66">
        <f t="shared" si="1"/>
        <v>143.26</v>
      </c>
    </row>
    <row r="417">
      <c r="A417" s="67"/>
      <c r="B417" s="67"/>
      <c r="C417" s="67"/>
      <c r="D417" s="67"/>
      <c r="E417" s="67"/>
      <c r="F417" s="68"/>
      <c r="G417" s="68"/>
      <c r="H417" s="68"/>
      <c r="I417" s="68"/>
      <c r="J417" s="68"/>
      <c r="K417" s="69">
        <v>5500.0</v>
      </c>
      <c r="L417" s="69">
        <v>20.9</v>
      </c>
      <c r="M417" s="68">
        <f t="shared" si="1"/>
        <v>160.5</v>
      </c>
    </row>
    <row r="418">
      <c r="A418" s="70"/>
      <c r="B418" s="70"/>
      <c r="C418" s="70"/>
      <c r="D418" s="70"/>
      <c r="E418" s="70"/>
      <c r="F418" s="66"/>
      <c r="G418" s="66"/>
      <c r="H418" s="66"/>
      <c r="I418" s="66"/>
      <c r="J418" s="66"/>
      <c r="K418" s="63">
        <v>6000.0</v>
      </c>
      <c r="L418" s="63">
        <v>20.8</v>
      </c>
      <c r="M418" s="66">
        <f t="shared" si="1"/>
        <v>174.25</v>
      </c>
    </row>
    <row r="419">
      <c r="A419" s="67"/>
      <c r="B419" s="67"/>
      <c r="C419" s="67"/>
      <c r="D419" s="67"/>
      <c r="E419" s="67"/>
      <c r="F419" s="68"/>
      <c r="G419" s="68"/>
      <c r="H419" s="68"/>
      <c r="I419" s="68"/>
      <c r="J419" s="68"/>
      <c r="K419" s="69">
        <v>6400.0</v>
      </c>
      <c r="L419" s="69">
        <v>21.02</v>
      </c>
      <c r="M419" s="68">
        <f t="shared" si="1"/>
        <v>187.84</v>
      </c>
    </row>
    <row r="420">
      <c r="A420" s="70"/>
      <c r="B420" s="70"/>
      <c r="C420" s="70"/>
      <c r="D420" s="70"/>
      <c r="E420" s="70"/>
      <c r="F420" s="66"/>
      <c r="G420" s="66"/>
      <c r="H420" s="66"/>
      <c r="I420" s="66"/>
      <c r="J420" s="66"/>
      <c r="K420" s="63">
        <v>7000.0</v>
      </c>
      <c r="L420" s="63">
        <v>20.4</v>
      </c>
      <c r="M420" s="66">
        <f t="shared" si="1"/>
        <v>199.39</v>
      </c>
    </row>
    <row r="421">
      <c r="A421" s="67"/>
      <c r="B421" s="67"/>
      <c r="C421" s="67"/>
      <c r="D421" s="67"/>
      <c r="E421" s="67"/>
      <c r="F421" s="68"/>
      <c r="G421" s="68"/>
      <c r="H421" s="68"/>
      <c r="I421" s="68"/>
      <c r="J421" s="68"/>
      <c r="K421" s="69">
        <v>7600.0</v>
      </c>
      <c r="L421" s="69">
        <v>18.8</v>
      </c>
      <c r="M421" s="68">
        <f t="shared" si="1"/>
        <v>199.5</v>
      </c>
    </row>
    <row r="422">
      <c r="A422" s="70"/>
      <c r="B422" s="70"/>
      <c r="C422" s="70"/>
      <c r="D422" s="70"/>
      <c r="E422" s="70"/>
      <c r="F422" s="66"/>
      <c r="G422" s="66"/>
      <c r="H422" s="66"/>
      <c r="I422" s="66"/>
      <c r="J422" s="66"/>
      <c r="K422" s="63">
        <v>8000.0</v>
      </c>
      <c r="L422" s="63">
        <v>17.4</v>
      </c>
      <c r="M422" s="66">
        <f t="shared" si="1"/>
        <v>194.36</v>
      </c>
    </row>
    <row r="423">
      <c r="A423" s="67"/>
      <c r="B423" s="67"/>
      <c r="C423" s="67"/>
      <c r="D423" s="67"/>
      <c r="E423" s="67"/>
      <c r="F423" s="68"/>
      <c r="G423" s="68"/>
      <c r="H423" s="68"/>
      <c r="I423" s="68"/>
      <c r="J423" s="68"/>
      <c r="K423" s="69">
        <v>8500.0</v>
      </c>
      <c r="L423" s="69">
        <v>14.93</v>
      </c>
      <c r="M423" s="68">
        <f t="shared" si="1"/>
        <v>177.19</v>
      </c>
    </row>
    <row r="424">
      <c r="A424" s="66">
        <v>29.0</v>
      </c>
      <c r="B424" s="66">
        <v>38.0</v>
      </c>
      <c r="C424" s="74" t="s">
        <v>135</v>
      </c>
      <c r="D424" s="74" t="s">
        <v>136</v>
      </c>
      <c r="E424" s="74" t="s">
        <v>137</v>
      </c>
      <c r="F424" s="65">
        <v>6000.0</v>
      </c>
      <c r="G424" s="65">
        <v>6000.0</v>
      </c>
      <c r="H424" s="65">
        <v>0.0</v>
      </c>
      <c r="I424" s="65">
        <v>4000.0</v>
      </c>
      <c r="J424" s="65">
        <v>5600.0</v>
      </c>
      <c r="K424" s="63">
        <v>500.0</v>
      </c>
      <c r="L424" s="63">
        <v>23.54</v>
      </c>
      <c r="M424" s="66">
        <f t="shared" si="1"/>
        <v>16.43</v>
      </c>
    </row>
    <row r="425">
      <c r="A425" s="67"/>
      <c r="B425" s="67"/>
      <c r="C425" s="67"/>
      <c r="D425" s="67"/>
      <c r="E425" s="67"/>
      <c r="F425" s="68"/>
      <c r="G425" s="68"/>
      <c r="H425" s="68"/>
      <c r="I425" s="68"/>
      <c r="J425" s="68"/>
      <c r="K425" s="69">
        <v>1000.0</v>
      </c>
      <c r="L425" s="69">
        <v>25.7</v>
      </c>
      <c r="M425" s="68">
        <f t="shared" si="1"/>
        <v>35.88</v>
      </c>
    </row>
    <row r="426">
      <c r="A426" s="70"/>
      <c r="B426" s="70"/>
      <c r="C426" s="70"/>
      <c r="D426" s="70"/>
      <c r="E426" s="70"/>
      <c r="F426" s="66"/>
      <c r="G426" s="66"/>
      <c r="H426" s="66"/>
      <c r="I426" s="66"/>
      <c r="J426" s="66"/>
      <c r="K426" s="63">
        <v>1500.0</v>
      </c>
      <c r="L426" s="63">
        <v>27.22</v>
      </c>
      <c r="M426" s="66">
        <f t="shared" si="1"/>
        <v>57.01</v>
      </c>
    </row>
    <row r="427">
      <c r="A427" s="67"/>
      <c r="B427" s="67"/>
      <c r="C427" s="67"/>
      <c r="D427" s="67"/>
      <c r="E427" s="67"/>
      <c r="F427" s="68"/>
      <c r="G427" s="68"/>
      <c r="H427" s="68"/>
      <c r="I427" s="68"/>
      <c r="J427" s="68"/>
      <c r="K427" s="69">
        <v>2000.0</v>
      </c>
      <c r="L427" s="69">
        <v>28.0</v>
      </c>
      <c r="M427" s="68">
        <f t="shared" si="1"/>
        <v>78.19</v>
      </c>
    </row>
    <row r="428">
      <c r="A428" s="70"/>
      <c r="B428" s="70"/>
      <c r="C428" s="70"/>
      <c r="D428" s="70"/>
      <c r="E428" s="70"/>
      <c r="F428" s="66"/>
      <c r="G428" s="66"/>
      <c r="H428" s="66"/>
      <c r="I428" s="66"/>
      <c r="J428" s="66"/>
      <c r="K428" s="63">
        <v>2500.0</v>
      </c>
      <c r="L428" s="63">
        <v>27.89</v>
      </c>
      <c r="M428" s="66">
        <f t="shared" si="1"/>
        <v>97.35</v>
      </c>
    </row>
    <row r="429">
      <c r="A429" s="67"/>
      <c r="B429" s="67"/>
      <c r="C429" s="67"/>
      <c r="D429" s="67"/>
      <c r="E429" s="67"/>
      <c r="F429" s="68"/>
      <c r="G429" s="68"/>
      <c r="H429" s="68"/>
      <c r="I429" s="68"/>
      <c r="J429" s="68"/>
      <c r="K429" s="69">
        <v>3000.0</v>
      </c>
      <c r="L429" s="69">
        <v>27.1</v>
      </c>
      <c r="M429" s="68">
        <f t="shared" si="1"/>
        <v>113.52</v>
      </c>
    </row>
    <row r="430">
      <c r="A430" s="70"/>
      <c r="B430" s="70"/>
      <c r="C430" s="70"/>
      <c r="D430" s="70"/>
      <c r="E430" s="70"/>
      <c r="F430" s="66"/>
      <c r="G430" s="66"/>
      <c r="H430" s="66"/>
      <c r="I430" s="66"/>
      <c r="J430" s="66"/>
      <c r="K430" s="63">
        <v>3500.0</v>
      </c>
      <c r="L430" s="63">
        <v>25.79</v>
      </c>
      <c r="M430" s="66">
        <f t="shared" si="1"/>
        <v>126.03</v>
      </c>
    </row>
    <row r="431">
      <c r="A431" s="67"/>
      <c r="B431" s="67"/>
      <c r="C431" s="67"/>
      <c r="D431" s="67"/>
      <c r="E431" s="67"/>
      <c r="F431" s="68"/>
      <c r="G431" s="68"/>
      <c r="H431" s="68"/>
      <c r="I431" s="68"/>
      <c r="J431" s="68"/>
      <c r="K431" s="69">
        <v>4000.0</v>
      </c>
      <c r="L431" s="69">
        <v>24.7</v>
      </c>
      <c r="M431" s="68">
        <f t="shared" si="1"/>
        <v>137.95</v>
      </c>
    </row>
    <row r="432">
      <c r="A432" s="70"/>
      <c r="B432" s="70"/>
      <c r="C432" s="70"/>
      <c r="D432" s="70"/>
      <c r="E432" s="70"/>
      <c r="F432" s="66"/>
      <c r="G432" s="66"/>
      <c r="H432" s="66"/>
      <c r="I432" s="66"/>
      <c r="J432" s="66"/>
      <c r="K432" s="63">
        <v>4500.0</v>
      </c>
      <c r="L432" s="63">
        <v>23.93</v>
      </c>
      <c r="M432" s="66">
        <f t="shared" si="1"/>
        <v>150.36</v>
      </c>
    </row>
    <row r="433">
      <c r="A433" s="67"/>
      <c r="B433" s="67"/>
      <c r="C433" s="67"/>
      <c r="D433" s="67"/>
      <c r="E433" s="67"/>
      <c r="F433" s="68"/>
      <c r="G433" s="68"/>
      <c r="H433" s="68"/>
      <c r="I433" s="68"/>
      <c r="J433" s="68"/>
      <c r="K433" s="69">
        <v>5000.0</v>
      </c>
      <c r="L433" s="69">
        <v>23.47</v>
      </c>
      <c r="M433" s="68">
        <f t="shared" si="1"/>
        <v>163.85</v>
      </c>
    </row>
    <row r="434">
      <c r="A434" s="73"/>
      <c r="B434" s="73"/>
      <c r="C434" s="73"/>
      <c r="D434" s="73"/>
      <c r="E434" s="73"/>
      <c r="F434" s="66"/>
      <c r="G434" s="66"/>
      <c r="H434" s="66"/>
      <c r="I434" s="66"/>
      <c r="J434" s="66"/>
      <c r="K434" s="63">
        <v>5600.0</v>
      </c>
      <c r="L434" s="63">
        <v>22.0</v>
      </c>
      <c r="M434" s="66">
        <f t="shared" si="1"/>
        <v>172.02</v>
      </c>
    </row>
    <row r="435">
      <c r="A435" s="67"/>
      <c r="B435" s="67"/>
      <c r="C435" s="67"/>
      <c r="D435" s="67"/>
      <c r="E435" s="67"/>
      <c r="F435" s="68"/>
      <c r="G435" s="68"/>
      <c r="H435" s="68"/>
      <c r="I435" s="68"/>
      <c r="J435" s="68"/>
      <c r="K435" s="69">
        <v>6000.0</v>
      </c>
      <c r="L435" s="69">
        <v>19.63</v>
      </c>
      <c r="M435" s="68">
        <f t="shared" si="1"/>
        <v>164.45</v>
      </c>
    </row>
    <row r="436">
      <c r="A436" s="66">
        <v>30.0</v>
      </c>
      <c r="B436" s="66">
        <v>39.0</v>
      </c>
      <c r="C436" s="74" t="s">
        <v>138</v>
      </c>
      <c r="D436" s="74" t="s">
        <v>139</v>
      </c>
      <c r="E436" s="74" t="s">
        <v>140</v>
      </c>
      <c r="F436" s="65">
        <v>6200.0</v>
      </c>
      <c r="G436" s="65">
        <v>6200.0</v>
      </c>
      <c r="H436" s="65">
        <v>600.0</v>
      </c>
      <c r="I436" s="65">
        <v>4200.0</v>
      </c>
      <c r="J436" s="65">
        <v>6000.0</v>
      </c>
      <c r="K436" s="63">
        <v>500.0</v>
      </c>
      <c r="L436" s="63">
        <v>13.08</v>
      </c>
      <c r="M436" s="66">
        <f t="shared" si="1"/>
        <v>9.13</v>
      </c>
    </row>
    <row r="437">
      <c r="A437" s="67"/>
      <c r="B437" s="67"/>
      <c r="C437" s="67"/>
      <c r="D437" s="67"/>
      <c r="E437" s="67"/>
      <c r="F437" s="68"/>
      <c r="G437" s="68"/>
      <c r="H437" s="68"/>
      <c r="I437" s="68"/>
      <c r="J437" s="68"/>
      <c r="K437" s="69">
        <v>1000.0</v>
      </c>
      <c r="L437" s="69">
        <v>14.3</v>
      </c>
      <c r="M437" s="68">
        <f t="shared" si="1"/>
        <v>19.97</v>
      </c>
    </row>
    <row r="438">
      <c r="A438" s="70"/>
      <c r="B438" s="70"/>
      <c r="C438" s="70"/>
      <c r="D438" s="70"/>
      <c r="E438" s="70"/>
      <c r="F438" s="66"/>
      <c r="G438" s="66"/>
      <c r="H438" s="66"/>
      <c r="I438" s="66"/>
      <c r="J438" s="66"/>
      <c r="K438" s="63">
        <v>1500.0</v>
      </c>
      <c r="L438" s="63">
        <v>15.08</v>
      </c>
      <c r="M438" s="66">
        <f t="shared" si="1"/>
        <v>31.58</v>
      </c>
    </row>
    <row r="439">
      <c r="A439" s="67"/>
      <c r="B439" s="67"/>
      <c r="C439" s="67"/>
      <c r="D439" s="67"/>
      <c r="E439" s="67"/>
      <c r="F439" s="68"/>
      <c r="G439" s="68"/>
      <c r="H439" s="68"/>
      <c r="I439" s="68"/>
      <c r="J439" s="68"/>
      <c r="K439" s="69">
        <v>2000.0</v>
      </c>
      <c r="L439" s="69">
        <v>15.7</v>
      </c>
      <c r="M439" s="68">
        <f t="shared" si="1"/>
        <v>43.84</v>
      </c>
    </row>
    <row r="440">
      <c r="A440" s="70"/>
      <c r="B440" s="70"/>
      <c r="C440" s="70"/>
      <c r="D440" s="70"/>
      <c r="E440" s="70"/>
      <c r="F440" s="66"/>
      <c r="G440" s="66"/>
      <c r="H440" s="66"/>
      <c r="I440" s="66"/>
      <c r="J440" s="66"/>
      <c r="K440" s="63">
        <v>2500.0</v>
      </c>
      <c r="L440" s="63">
        <v>15.91</v>
      </c>
      <c r="M440" s="66">
        <f t="shared" si="1"/>
        <v>55.54</v>
      </c>
    </row>
    <row r="441">
      <c r="A441" s="67"/>
      <c r="B441" s="67"/>
      <c r="C441" s="67"/>
      <c r="D441" s="67"/>
      <c r="E441" s="67"/>
      <c r="F441" s="68"/>
      <c r="G441" s="68"/>
      <c r="H441" s="68"/>
      <c r="I441" s="68"/>
      <c r="J441" s="68"/>
      <c r="K441" s="69">
        <v>3000.0</v>
      </c>
      <c r="L441" s="69">
        <v>16.11</v>
      </c>
      <c r="M441" s="68">
        <f t="shared" si="1"/>
        <v>67.48</v>
      </c>
    </row>
    <row r="442">
      <c r="A442" s="70"/>
      <c r="B442" s="70"/>
      <c r="C442" s="70"/>
      <c r="D442" s="70"/>
      <c r="E442" s="70"/>
      <c r="F442" s="66"/>
      <c r="G442" s="66"/>
      <c r="H442" s="66"/>
      <c r="I442" s="66"/>
      <c r="J442" s="66"/>
      <c r="K442" s="63">
        <v>3500.0</v>
      </c>
      <c r="L442" s="63">
        <v>16.77</v>
      </c>
      <c r="M442" s="66">
        <f t="shared" si="1"/>
        <v>81.95</v>
      </c>
    </row>
    <row r="443">
      <c r="A443" s="67"/>
      <c r="B443" s="67"/>
      <c r="C443" s="67"/>
      <c r="D443" s="67"/>
      <c r="E443" s="67"/>
      <c r="F443" s="68"/>
      <c r="G443" s="68"/>
      <c r="H443" s="68"/>
      <c r="I443" s="68"/>
      <c r="J443" s="68"/>
      <c r="K443" s="69">
        <v>4000.0</v>
      </c>
      <c r="L443" s="69">
        <v>16.99</v>
      </c>
      <c r="M443" s="68">
        <f t="shared" si="1"/>
        <v>94.89</v>
      </c>
    </row>
    <row r="444">
      <c r="A444" s="70"/>
      <c r="B444" s="70"/>
      <c r="C444" s="70"/>
      <c r="D444" s="70"/>
      <c r="E444" s="70"/>
      <c r="F444" s="66"/>
      <c r="G444" s="66"/>
      <c r="H444" s="66"/>
      <c r="I444" s="66"/>
      <c r="J444" s="66"/>
      <c r="K444" s="63">
        <v>4500.0</v>
      </c>
      <c r="L444" s="63">
        <v>16.75</v>
      </c>
      <c r="M444" s="66">
        <f t="shared" si="1"/>
        <v>105.24</v>
      </c>
    </row>
    <row r="445">
      <c r="A445" s="67"/>
      <c r="B445" s="67"/>
      <c r="C445" s="67"/>
      <c r="D445" s="67"/>
      <c r="E445" s="67"/>
      <c r="F445" s="68"/>
      <c r="G445" s="68"/>
      <c r="H445" s="68"/>
      <c r="I445" s="68"/>
      <c r="J445" s="68"/>
      <c r="K445" s="69">
        <v>5000.0</v>
      </c>
      <c r="L445" s="69">
        <v>16.52</v>
      </c>
      <c r="M445" s="68">
        <f t="shared" si="1"/>
        <v>115.33</v>
      </c>
    </row>
    <row r="446">
      <c r="A446" s="70"/>
      <c r="B446" s="70"/>
      <c r="C446" s="70"/>
      <c r="D446" s="70"/>
      <c r="E446" s="70"/>
      <c r="F446" s="66"/>
      <c r="G446" s="66"/>
      <c r="H446" s="66"/>
      <c r="I446" s="66"/>
      <c r="J446" s="66"/>
      <c r="K446" s="63">
        <v>5500.0</v>
      </c>
      <c r="L446" s="63">
        <v>16.02</v>
      </c>
      <c r="M446" s="66">
        <f t="shared" si="1"/>
        <v>123.02</v>
      </c>
    </row>
    <row r="447">
      <c r="A447" s="67"/>
      <c r="B447" s="67"/>
      <c r="C447" s="67"/>
      <c r="D447" s="67"/>
      <c r="E447" s="67"/>
      <c r="F447" s="68"/>
      <c r="G447" s="68"/>
      <c r="H447" s="68"/>
      <c r="I447" s="68"/>
      <c r="J447" s="68"/>
      <c r="K447" s="69">
        <v>6000.0</v>
      </c>
      <c r="L447" s="69">
        <v>15.29</v>
      </c>
      <c r="M447" s="68">
        <f t="shared" si="1"/>
        <v>128.09</v>
      </c>
    </row>
    <row r="448">
      <c r="A448" s="70"/>
      <c r="B448" s="70"/>
      <c r="C448" s="70"/>
      <c r="D448" s="70"/>
      <c r="E448" s="70"/>
      <c r="F448" s="66"/>
      <c r="G448" s="66"/>
      <c r="H448" s="66"/>
      <c r="I448" s="66"/>
      <c r="J448" s="66"/>
      <c r="K448" s="63">
        <v>6500.0</v>
      </c>
      <c r="L448" s="63">
        <v>14.34</v>
      </c>
      <c r="M448" s="66">
        <f t="shared" si="1"/>
        <v>130.15</v>
      </c>
    </row>
    <row r="449">
      <c r="A449" s="67"/>
      <c r="B449" s="67"/>
      <c r="C449" s="67"/>
      <c r="D449" s="67"/>
      <c r="E449" s="67"/>
      <c r="F449" s="68"/>
      <c r="G449" s="68"/>
      <c r="H449" s="68"/>
      <c r="I449" s="68"/>
      <c r="J449" s="68"/>
      <c r="K449" s="69">
        <v>7000.0</v>
      </c>
      <c r="L449" s="69">
        <v>12.9</v>
      </c>
      <c r="M449" s="68">
        <f t="shared" si="1"/>
        <v>126.08</v>
      </c>
    </row>
    <row r="450">
      <c r="A450" s="70"/>
      <c r="B450" s="70"/>
      <c r="C450" s="70"/>
      <c r="D450" s="70"/>
      <c r="E450" s="70"/>
      <c r="F450" s="66"/>
      <c r="G450" s="66"/>
      <c r="H450" s="66"/>
      <c r="I450" s="66"/>
      <c r="J450" s="66"/>
      <c r="K450" s="63">
        <v>7500.0</v>
      </c>
      <c r="L450" s="63">
        <v>10.6</v>
      </c>
      <c r="M450" s="66">
        <f t="shared" si="1"/>
        <v>111</v>
      </c>
    </row>
    <row r="451">
      <c r="A451" s="68">
        <v>31.0</v>
      </c>
      <c r="B451" s="68">
        <v>40.0</v>
      </c>
      <c r="C451" s="71" t="s">
        <v>141</v>
      </c>
      <c r="D451" s="71" t="s">
        <v>142</v>
      </c>
      <c r="E451" s="71" t="s">
        <v>143</v>
      </c>
      <c r="F451" s="72">
        <v>6500.0</v>
      </c>
      <c r="G451" s="72">
        <v>6500.0</v>
      </c>
      <c r="H451" s="72">
        <v>700.0</v>
      </c>
      <c r="I451" s="72">
        <v>4200.0</v>
      </c>
      <c r="J451" s="72">
        <v>6000.0</v>
      </c>
      <c r="K451" s="69">
        <v>500.0</v>
      </c>
      <c r="L451" s="69">
        <v>10.96</v>
      </c>
      <c r="M451" s="68">
        <f t="shared" si="1"/>
        <v>7.65</v>
      </c>
    </row>
    <row r="452">
      <c r="A452" s="70"/>
      <c r="B452" s="70"/>
      <c r="C452" s="70"/>
      <c r="D452" s="70"/>
      <c r="E452" s="70"/>
      <c r="F452" s="66"/>
      <c r="G452" s="66"/>
      <c r="H452" s="66"/>
      <c r="I452" s="66"/>
      <c r="J452" s="66"/>
      <c r="K452" s="63">
        <v>1000.0</v>
      </c>
      <c r="L452" s="63">
        <v>11.88</v>
      </c>
      <c r="M452" s="66">
        <f t="shared" si="1"/>
        <v>16.59</v>
      </c>
    </row>
    <row r="453">
      <c r="A453" s="67"/>
      <c r="B453" s="67"/>
      <c r="C453" s="67"/>
      <c r="D453" s="67"/>
      <c r="E453" s="67"/>
      <c r="F453" s="68"/>
      <c r="G453" s="68"/>
      <c r="H453" s="68"/>
      <c r="I453" s="68"/>
      <c r="J453" s="68"/>
      <c r="K453" s="69">
        <v>1500.0</v>
      </c>
      <c r="L453" s="69">
        <v>12.59</v>
      </c>
      <c r="M453" s="68">
        <f t="shared" si="1"/>
        <v>26.37</v>
      </c>
    </row>
    <row r="454">
      <c r="A454" s="70"/>
      <c r="B454" s="70"/>
      <c r="C454" s="70"/>
      <c r="D454" s="70"/>
      <c r="E454" s="70"/>
      <c r="F454" s="66"/>
      <c r="G454" s="66"/>
      <c r="H454" s="66"/>
      <c r="I454" s="66"/>
      <c r="J454" s="66"/>
      <c r="K454" s="63">
        <v>2000.0</v>
      </c>
      <c r="L454" s="63">
        <v>13.05</v>
      </c>
      <c r="M454" s="66">
        <f t="shared" si="1"/>
        <v>36.44</v>
      </c>
    </row>
    <row r="455">
      <c r="A455" s="67"/>
      <c r="B455" s="67"/>
      <c r="C455" s="67"/>
      <c r="D455" s="67"/>
      <c r="E455" s="67"/>
      <c r="F455" s="68"/>
      <c r="G455" s="68"/>
      <c r="H455" s="68"/>
      <c r="I455" s="68"/>
      <c r="J455" s="68"/>
      <c r="K455" s="69">
        <v>2500.0</v>
      </c>
      <c r="L455" s="69">
        <v>13.15</v>
      </c>
      <c r="M455" s="68">
        <f t="shared" si="1"/>
        <v>45.9</v>
      </c>
    </row>
    <row r="456">
      <c r="A456" s="70"/>
      <c r="B456" s="70"/>
      <c r="C456" s="70"/>
      <c r="D456" s="70"/>
      <c r="E456" s="70"/>
      <c r="F456" s="66"/>
      <c r="G456" s="66"/>
      <c r="H456" s="66"/>
      <c r="I456" s="66"/>
      <c r="J456" s="66"/>
      <c r="K456" s="63">
        <v>3000.0</v>
      </c>
      <c r="L456" s="63">
        <v>13.26</v>
      </c>
      <c r="M456" s="66">
        <f t="shared" si="1"/>
        <v>55.54</v>
      </c>
    </row>
    <row r="457">
      <c r="A457" s="67"/>
      <c r="B457" s="67"/>
      <c r="C457" s="67"/>
      <c r="D457" s="67"/>
      <c r="E457" s="67"/>
      <c r="F457" s="68"/>
      <c r="G457" s="68"/>
      <c r="H457" s="68"/>
      <c r="I457" s="68"/>
      <c r="J457" s="68"/>
      <c r="K457" s="69">
        <v>3500.0</v>
      </c>
      <c r="L457" s="69">
        <v>13.82</v>
      </c>
      <c r="M457" s="68">
        <f t="shared" si="1"/>
        <v>67.54</v>
      </c>
    </row>
    <row r="458">
      <c r="A458" s="73"/>
      <c r="B458" s="73"/>
      <c r="C458" s="73"/>
      <c r="D458" s="73"/>
      <c r="E458" s="73"/>
      <c r="F458" s="66"/>
      <c r="G458" s="66"/>
      <c r="H458" s="66"/>
      <c r="I458" s="66"/>
      <c r="J458" s="66"/>
      <c r="K458" s="63">
        <v>4200.0</v>
      </c>
      <c r="L458" s="63">
        <v>14.38</v>
      </c>
      <c r="M458" s="66">
        <f t="shared" si="1"/>
        <v>84.33</v>
      </c>
    </row>
    <row r="459">
      <c r="A459" s="67"/>
      <c r="B459" s="67"/>
      <c r="C459" s="67"/>
      <c r="D459" s="67"/>
      <c r="E459" s="67"/>
      <c r="F459" s="68"/>
      <c r="G459" s="68"/>
      <c r="H459" s="68"/>
      <c r="I459" s="68"/>
      <c r="J459" s="68"/>
      <c r="K459" s="69">
        <v>4700.0</v>
      </c>
      <c r="L459" s="69">
        <v>13.97</v>
      </c>
      <c r="M459" s="68">
        <f t="shared" si="1"/>
        <v>91.68</v>
      </c>
    </row>
    <row r="460">
      <c r="A460" s="70"/>
      <c r="B460" s="70"/>
      <c r="C460" s="70"/>
      <c r="D460" s="70"/>
      <c r="E460" s="70"/>
      <c r="F460" s="66"/>
      <c r="G460" s="66"/>
      <c r="H460" s="66"/>
      <c r="I460" s="66"/>
      <c r="J460" s="66"/>
      <c r="K460" s="63">
        <v>5000.0</v>
      </c>
      <c r="L460" s="63">
        <v>13.56</v>
      </c>
      <c r="M460" s="66">
        <f t="shared" si="1"/>
        <v>94.67</v>
      </c>
    </row>
    <row r="461">
      <c r="A461" s="67"/>
      <c r="B461" s="67"/>
      <c r="C461" s="67"/>
      <c r="D461" s="67"/>
      <c r="E461" s="67"/>
      <c r="F461" s="68"/>
      <c r="G461" s="68"/>
      <c r="H461" s="68"/>
      <c r="I461" s="68"/>
      <c r="J461" s="68"/>
      <c r="K461" s="69">
        <v>5500.0</v>
      </c>
      <c r="L461" s="69">
        <v>13.15</v>
      </c>
      <c r="M461" s="68">
        <f t="shared" si="1"/>
        <v>100.98</v>
      </c>
    </row>
    <row r="462">
      <c r="A462" s="70"/>
      <c r="B462" s="70"/>
      <c r="C462" s="70"/>
      <c r="D462" s="70"/>
      <c r="E462" s="70"/>
      <c r="F462" s="66"/>
      <c r="G462" s="66"/>
      <c r="H462" s="66"/>
      <c r="I462" s="66"/>
      <c r="J462" s="66"/>
      <c r="K462" s="63">
        <v>6000.0</v>
      </c>
      <c r="L462" s="63">
        <v>13.0</v>
      </c>
      <c r="M462" s="66">
        <f t="shared" si="1"/>
        <v>108.91</v>
      </c>
    </row>
    <row r="463">
      <c r="A463" s="67"/>
      <c r="B463" s="67"/>
      <c r="C463" s="67"/>
      <c r="D463" s="67"/>
      <c r="E463" s="67"/>
      <c r="F463" s="68"/>
      <c r="G463" s="68"/>
      <c r="H463" s="68"/>
      <c r="I463" s="68"/>
      <c r="J463" s="68"/>
      <c r="K463" s="69">
        <v>6500.0</v>
      </c>
      <c r="L463" s="69">
        <v>11.91</v>
      </c>
      <c r="M463" s="68">
        <f t="shared" si="1"/>
        <v>108.09</v>
      </c>
    </row>
    <row r="464">
      <c r="A464" s="70"/>
      <c r="B464" s="70"/>
      <c r="C464" s="70"/>
      <c r="D464" s="70"/>
      <c r="E464" s="70"/>
      <c r="F464" s="66"/>
      <c r="G464" s="66"/>
      <c r="H464" s="66"/>
      <c r="I464" s="66"/>
      <c r="J464" s="66"/>
      <c r="K464" s="63">
        <v>7000.0</v>
      </c>
      <c r="L464" s="63">
        <v>10.55</v>
      </c>
      <c r="M464" s="66">
        <f t="shared" si="1"/>
        <v>103.11</v>
      </c>
    </row>
    <row r="465">
      <c r="A465" s="68">
        <v>32.0</v>
      </c>
      <c r="B465" s="68">
        <v>42.0</v>
      </c>
      <c r="C465" s="71" t="s">
        <v>144</v>
      </c>
      <c r="D465" s="71" t="s">
        <v>145</v>
      </c>
      <c r="E465" s="71" t="s">
        <v>146</v>
      </c>
      <c r="F465" s="72">
        <v>6700.0</v>
      </c>
      <c r="G465" s="72">
        <v>7000.0</v>
      </c>
      <c r="H465" s="72">
        <v>700.0</v>
      </c>
      <c r="I465" s="72">
        <v>4800.0</v>
      </c>
      <c r="J465" s="72">
        <v>6000.0</v>
      </c>
      <c r="K465" s="69">
        <v>500.0</v>
      </c>
      <c r="L465" s="69">
        <v>24.14</v>
      </c>
      <c r="M465" s="68">
        <f t="shared" si="1"/>
        <v>16.85</v>
      </c>
    </row>
    <row r="466">
      <c r="A466" s="70"/>
      <c r="B466" s="70"/>
      <c r="C466" s="70"/>
      <c r="D466" s="70"/>
      <c r="E466" s="70"/>
      <c r="F466" s="66"/>
      <c r="G466" s="66"/>
      <c r="H466" s="66"/>
      <c r="I466" s="66"/>
      <c r="J466" s="66"/>
      <c r="K466" s="63">
        <v>1000.0</v>
      </c>
      <c r="L466" s="63">
        <v>27.25</v>
      </c>
      <c r="M466" s="66">
        <f t="shared" si="1"/>
        <v>38.05</v>
      </c>
    </row>
    <row r="467">
      <c r="A467" s="67"/>
      <c r="B467" s="67"/>
      <c r="C467" s="67"/>
      <c r="D467" s="67"/>
      <c r="E467" s="67"/>
      <c r="F467" s="68"/>
      <c r="G467" s="68"/>
      <c r="H467" s="68"/>
      <c r="I467" s="68"/>
      <c r="J467" s="68"/>
      <c r="K467" s="69">
        <v>1500.0</v>
      </c>
      <c r="L467" s="69">
        <v>29.57</v>
      </c>
      <c r="M467" s="68">
        <f t="shared" si="1"/>
        <v>61.93</v>
      </c>
    </row>
    <row r="468">
      <c r="A468" s="70"/>
      <c r="B468" s="70"/>
      <c r="C468" s="70"/>
      <c r="D468" s="70"/>
      <c r="E468" s="70"/>
      <c r="F468" s="66"/>
      <c r="G468" s="66"/>
      <c r="H468" s="66"/>
      <c r="I468" s="66"/>
      <c r="J468" s="66"/>
      <c r="K468" s="63">
        <v>2000.0</v>
      </c>
      <c r="L468" s="63">
        <v>31.36</v>
      </c>
      <c r="M468" s="66">
        <f t="shared" si="1"/>
        <v>87.57</v>
      </c>
    </row>
    <row r="469">
      <c r="A469" s="67"/>
      <c r="B469" s="67"/>
      <c r="C469" s="67"/>
      <c r="D469" s="67"/>
      <c r="E469" s="67"/>
      <c r="F469" s="68"/>
      <c r="G469" s="68"/>
      <c r="H469" s="68"/>
      <c r="I469" s="68"/>
      <c r="J469" s="68"/>
      <c r="K469" s="69">
        <v>2500.0</v>
      </c>
      <c r="L469" s="69">
        <v>33.14</v>
      </c>
      <c r="M469" s="68">
        <f t="shared" si="1"/>
        <v>115.68</v>
      </c>
    </row>
    <row r="470">
      <c r="A470" s="70"/>
      <c r="B470" s="70"/>
      <c r="C470" s="70"/>
      <c r="D470" s="70"/>
      <c r="E470" s="70"/>
      <c r="F470" s="66"/>
      <c r="G470" s="66"/>
      <c r="H470" s="66"/>
      <c r="I470" s="66"/>
      <c r="J470" s="66"/>
      <c r="K470" s="63">
        <v>3000.0</v>
      </c>
      <c r="L470" s="63">
        <v>33.82</v>
      </c>
      <c r="M470" s="66">
        <f t="shared" si="1"/>
        <v>141.66</v>
      </c>
    </row>
    <row r="471">
      <c r="A471" s="67"/>
      <c r="B471" s="67"/>
      <c r="C471" s="67"/>
      <c r="D471" s="67"/>
      <c r="E471" s="67"/>
      <c r="F471" s="68"/>
      <c r="G471" s="68"/>
      <c r="H471" s="68"/>
      <c r="I471" s="68"/>
      <c r="J471" s="68"/>
      <c r="K471" s="69">
        <v>3500.0</v>
      </c>
      <c r="L471" s="69">
        <v>34.22</v>
      </c>
      <c r="M471" s="68">
        <f t="shared" si="1"/>
        <v>167.23</v>
      </c>
    </row>
    <row r="472">
      <c r="A472" s="70"/>
      <c r="B472" s="70"/>
      <c r="C472" s="70"/>
      <c r="D472" s="70"/>
      <c r="E472" s="70"/>
      <c r="F472" s="66"/>
      <c r="G472" s="66"/>
      <c r="H472" s="66"/>
      <c r="I472" s="66"/>
      <c r="J472" s="66"/>
      <c r="K472" s="63">
        <v>4000.0</v>
      </c>
      <c r="L472" s="63">
        <v>35.18</v>
      </c>
      <c r="M472" s="66">
        <f t="shared" si="1"/>
        <v>196.48</v>
      </c>
    </row>
    <row r="473">
      <c r="A473" s="67"/>
      <c r="B473" s="67"/>
      <c r="C473" s="67"/>
      <c r="D473" s="67"/>
      <c r="E473" s="67"/>
      <c r="F473" s="68"/>
      <c r="G473" s="68"/>
      <c r="H473" s="68"/>
      <c r="I473" s="68"/>
      <c r="J473" s="68"/>
      <c r="K473" s="69">
        <v>4500.0</v>
      </c>
      <c r="L473" s="69">
        <v>35.69</v>
      </c>
      <c r="M473" s="68">
        <f t="shared" si="1"/>
        <v>224.25</v>
      </c>
    </row>
    <row r="474">
      <c r="A474" s="70"/>
      <c r="B474" s="70"/>
      <c r="C474" s="70"/>
      <c r="D474" s="70"/>
      <c r="E474" s="70"/>
      <c r="F474" s="66"/>
      <c r="G474" s="66"/>
      <c r="H474" s="66"/>
      <c r="I474" s="66"/>
      <c r="J474" s="66"/>
      <c r="K474" s="63">
        <v>5000.0</v>
      </c>
      <c r="L474" s="63">
        <v>36.0</v>
      </c>
      <c r="M474" s="66">
        <f t="shared" si="1"/>
        <v>251.33</v>
      </c>
    </row>
    <row r="475">
      <c r="A475" s="67"/>
      <c r="B475" s="67"/>
      <c r="C475" s="67"/>
      <c r="D475" s="67"/>
      <c r="E475" s="67"/>
      <c r="F475" s="68"/>
      <c r="G475" s="68"/>
      <c r="H475" s="68"/>
      <c r="I475" s="68"/>
      <c r="J475" s="68"/>
      <c r="K475" s="69">
        <v>5500.0</v>
      </c>
      <c r="L475" s="69">
        <v>34.62</v>
      </c>
      <c r="M475" s="68">
        <f t="shared" si="1"/>
        <v>265.86</v>
      </c>
    </row>
    <row r="476">
      <c r="A476" s="70"/>
      <c r="B476" s="70"/>
      <c r="C476" s="70"/>
      <c r="D476" s="70"/>
      <c r="E476" s="70"/>
      <c r="F476" s="66"/>
      <c r="G476" s="66"/>
      <c r="H476" s="66"/>
      <c r="I476" s="66"/>
      <c r="J476" s="66"/>
      <c r="K476" s="63">
        <v>6000.0</v>
      </c>
      <c r="L476" s="63">
        <v>32.35</v>
      </c>
      <c r="M476" s="66">
        <f t="shared" si="1"/>
        <v>271.01</v>
      </c>
    </row>
    <row r="477">
      <c r="A477" s="67"/>
      <c r="B477" s="67"/>
      <c r="C477" s="67"/>
      <c r="D477" s="67"/>
      <c r="E477" s="67"/>
      <c r="F477" s="68"/>
      <c r="G477" s="68"/>
      <c r="H477" s="68"/>
      <c r="I477" s="68"/>
      <c r="J477" s="68"/>
      <c r="K477" s="69">
        <v>6500.0</v>
      </c>
      <c r="L477" s="69">
        <v>29.57</v>
      </c>
      <c r="M477" s="68">
        <f t="shared" si="1"/>
        <v>268.37</v>
      </c>
    </row>
    <row r="478">
      <c r="A478" s="70"/>
      <c r="B478" s="70"/>
      <c r="C478" s="70"/>
      <c r="D478" s="70"/>
      <c r="E478" s="70"/>
      <c r="F478" s="66"/>
      <c r="G478" s="66"/>
      <c r="H478" s="66"/>
      <c r="I478" s="66"/>
      <c r="J478" s="66"/>
      <c r="K478" s="63">
        <v>7000.0</v>
      </c>
      <c r="L478" s="63">
        <v>25.9</v>
      </c>
      <c r="M478" s="66">
        <f t="shared" si="1"/>
        <v>253.14</v>
      </c>
    </row>
    <row r="479">
      <c r="A479" s="67"/>
      <c r="B479" s="67"/>
      <c r="C479" s="67"/>
      <c r="D479" s="67"/>
      <c r="E479" s="67"/>
      <c r="F479" s="68"/>
      <c r="G479" s="68"/>
      <c r="H479" s="68"/>
      <c r="I479" s="68"/>
      <c r="J479" s="68"/>
      <c r="K479" s="69">
        <v>7500.0</v>
      </c>
      <c r="L479" s="69">
        <v>21.5</v>
      </c>
      <c r="M479" s="68">
        <f t="shared" si="1"/>
        <v>225.15</v>
      </c>
    </row>
    <row r="480">
      <c r="A480" s="66">
        <v>33.0</v>
      </c>
      <c r="B480" s="66">
        <v>45.0</v>
      </c>
      <c r="C480" s="74" t="s">
        <v>147</v>
      </c>
      <c r="D480" s="74" t="s">
        <v>148</v>
      </c>
      <c r="E480" s="74" t="s">
        <v>149</v>
      </c>
      <c r="F480" s="65">
        <v>6600.0</v>
      </c>
      <c r="G480" s="65">
        <v>6600.0</v>
      </c>
      <c r="H480" s="65">
        <v>700.0</v>
      </c>
      <c r="I480" s="65">
        <v>3200.0</v>
      </c>
      <c r="J480" s="65">
        <v>6400.0</v>
      </c>
      <c r="K480" s="63">
        <v>500.0</v>
      </c>
      <c r="L480" s="63">
        <v>21.66</v>
      </c>
      <c r="M480" s="66">
        <f t="shared" si="1"/>
        <v>15.12</v>
      </c>
    </row>
    <row r="481">
      <c r="A481" s="67"/>
      <c r="B481" s="67"/>
      <c r="C481" s="67"/>
      <c r="D481" s="67"/>
      <c r="E481" s="67"/>
      <c r="F481" s="68"/>
      <c r="G481" s="68"/>
      <c r="H481" s="68"/>
      <c r="I481" s="68"/>
      <c r="J481" s="68"/>
      <c r="K481" s="69">
        <v>1000.0</v>
      </c>
      <c r="L481" s="69">
        <v>25.82</v>
      </c>
      <c r="M481" s="68">
        <f t="shared" si="1"/>
        <v>36.05</v>
      </c>
    </row>
    <row r="482">
      <c r="A482" s="73"/>
      <c r="B482" s="73"/>
      <c r="C482" s="73"/>
      <c r="D482" s="73"/>
      <c r="E482" s="73"/>
      <c r="F482" s="66"/>
      <c r="G482" s="66"/>
      <c r="H482" s="66"/>
      <c r="I482" s="66"/>
      <c r="J482" s="66"/>
      <c r="K482" s="63">
        <v>1500.0</v>
      </c>
      <c r="L482" s="63">
        <v>29.76</v>
      </c>
      <c r="M482" s="66">
        <f t="shared" si="1"/>
        <v>62.33</v>
      </c>
    </row>
    <row r="483">
      <c r="A483" s="67"/>
      <c r="B483" s="67"/>
      <c r="C483" s="67"/>
      <c r="D483" s="67"/>
      <c r="E483" s="67"/>
      <c r="F483" s="68"/>
      <c r="G483" s="68"/>
      <c r="H483" s="68"/>
      <c r="I483" s="68"/>
      <c r="J483" s="68"/>
      <c r="K483" s="69">
        <v>2000.0</v>
      </c>
      <c r="L483" s="69">
        <v>33.52</v>
      </c>
      <c r="M483" s="68">
        <f t="shared" si="1"/>
        <v>93.61</v>
      </c>
    </row>
    <row r="484">
      <c r="A484" s="70"/>
      <c r="B484" s="70"/>
      <c r="C484" s="70"/>
      <c r="D484" s="70"/>
      <c r="E484" s="70"/>
      <c r="F484" s="66"/>
      <c r="G484" s="66"/>
      <c r="H484" s="66"/>
      <c r="I484" s="66"/>
      <c r="J484" s="66"/>
      <c r="K484" s="63">
        <v>2800.0</v>
      </c>
      <c r="L484" s="63">
        <v>38.85</v>
      </c>
      <c r="M484" s="66">
        <f t="shared" si="1"/>
        <v>151.88</v>
      </c>
    </row>
    <row r="485">
      <c r="A485" s="67"/>
      <c r="B485" s="67"/>
      <c r="C485" s="67"/>
      <c r="D485" s="67"/>
      <c r="E485" s="67"/>
      <c r="F485" s="68"/>
      <c r="G485" s="68"/>
      <c r="H485" s="68"/>
      <c r="I485" s="68"/>
      <c r="J485" s="68"/>
      <c r="K485" s="69">
        <v>3200.0</v>
      </c>
      <c r="L485" s="69">
        <v>41.09</v>
      </c>
      <c r="M485" s="68">
        <f t="shared" si="1"/>
        <v>183.59</v>
      </c>
    </row>
    <row r="486">
      <c r="A486" s="70"/>
      <c r="B486" s="70"/>
      <c r="C486" s="70"/>
      <c r="D486" s="70"/>
      <c r="E486" s="70"/>
      <c r="F486" s="66"/>
      <c r="G486" s="66"/>
      <c r="H486" s="66"/>
      <c r="I486" s="66"/>
      <c r="J486" s="66"/>
      <c r="K486" s="63">
        <v>3500.0</v>
      </c>
      <c r="L486" s="63">
        <v>41.5</v>
      </c>
      <c r="M486" s="66">
        <f t="shared" si="1"/>
        <v>202.81</v>
      </c>
    </row>
    <row r="487">
      <c r="A487" s="67"/>
      <c r="B487" s="67"/>
      <c r="C487" s="67"/>
      <c r="D487" s="67"/>
      <c r="E487" s="67"/>
      <c r="F487" s="68"/>
      <c r="G487" s="68"/>
      <c r="H487" s="68"/>
      <c r="I487" s="68"/>
      <c r="J487" s="68"/>
      <c r="K487" s="69">
        <v>4000.0</v>
      </c>
      <c r="L487" s="69">
        <v>39.46</v>
      </c>
      <c r="M487" s="68">
        <f t="shared" si="1"/>
        <v>220.39</v>
      </c>
    </row>
    <row r="488">
      <c r="A488" s="70"/>
      <c r="B488" s="70"/>
      <c r="C488" s="70"/>
      <c r="D488" s="70"/>
      <c r="E488" s="70"/>
      <c r="F488" s="66"/>
      <c r="G488" s="66"/>
      <c r="H488" s="66"/>
      <c r="I488" s="66"/>
      <c r="J488" s="66"/>
      <c r="K488" s="63">
        <v>4500.0</v>
      </c>
      <c r="L488" s="63">
        <v>37.93</v>
      </c>
      <c r="M488" s="66">
        <f t="shared" si="1"/>
        <v>238.32</v>
      </c>
    </row>
    <row r="489">
      <c r="A489" s="67"/>
      <c r="B489" s="67"/>
      <c r="C489" s="67"/>
      <c r="D489" s="67"/>
      <c r="E489" s="67"/>
      <c r="F489" s="68"/>
      <c r="G489" s="68"/>
      <c r="H489" s="68"/>
      <c r="I489" s="68"/>
      <c r="J489" s="68"/>
      <c r="K489" s="69">
        <v>5000.0</v>
      </c>
      <c r="L489" s="69">
        <v>36.71</v>
      </c>
      <c r="M489" s="68">
        <f t="shared" si="1"/>
        <v>256.28</v>
      </c>
    </row>
    <row r="490">
      <c r="A490" s="70"/>
      <c r="B490" s="70"/>
      <c r="C490" s="70"/>
      <c r="D490" s="70"/>
      <c r="E490" s="70"/>
      <c r="F490" s="66"/>
      <c r="G490" s="66"/>
      <c r="H490" s="66"/>
      <c r="I490" s="66"/>
      <c r="J490" s="66"/>
      <c r="K490" s="63">
        <v>5500.0</v>
      </c>
      <c r="L490" s="63">
        <v>35.53</v>
      </c>
      <c r="M490" s="66">
        <f t="shared" si="1"/>
        <v>272.85</v>
      </c>
    </row>
    <row r="491">
      <c r="A491" s="67"/>
      <c r="B491" s="67"/>
      <c r="C491" s="67"/>
      <c r="D491" s="67"/>
      <c r="E491" s="67"/>
      <c r="F491" s="68"/>
      <c r="G491" s="68"/>
      <c r="H491" s="68"/>
      <c r="I491" s="68"/>
      <c r="J491" s="68"/>
      <c r="K491" s="69">
        <v>6000.0</v>
      </c>
      <c r="L491" s="69">
        <v>33.2</v>
      </c>
      <c r="M491" s="68">
        <f t="shared" si="1"/>
        <v>278.13</v>
      </c>
    </row>
    <row r="492">
      <c r="A492" s="70"/>
      <c r="B492" s="70"/>
      <c r="C492" s="70"/>
      <c r="D492" s="70"/>
      <c r="E492" s="70"/>
      <c r="F492" s="66"/>
      <c r="G492" s="66"/>
      <c r="H492" s="66"/>
      <c r="I492" s="66"/>
      <c r="J492" s="66"/>
      <c r="K492" s="63">
        <v>6400.0</v>
      </c>
      <c r="L492" s="63">
        <v>31.26</v>
      </c>
      <c r="M492" s="66">
        <f t="shared" si="1"/>
        <v>279.34</v>
      </c>
    </row>
    <row r="493">
      <c r="A493" s="67"/>
      <c r="B493" s="67"/>
      <c r="C493" s="67"/>
      <c r="D493" s="67"/>
      <c r="E493" s="67"/>
      <c r="F493" s="68"/>
      <c r="G493" s="68"/>
      <c r="H493" s="68"/>
      <c r="I493" s="68"/>
      <c r="J493" s="68"/>
      <c r="K493" s="69">
        <v>7000.0</v>
      </c>
      <c r="L493" s="69">
        <v>28.29</v>
      </c>
      <c r="M493" s="68">
        <f t="shared" si="1"/>
        <v>276.5</v>
      </c>
    </row>
    <row r="494">
      <c r="A494" s="70"/>
      <c r="B494" s="70"/>
      <c r="C494" s="70"/>
      <c r="D494" s="70"/>
      <c r="E494" s="70"/>
      <c r="F494" s="66"/>
      <c r="G494" s="66"/>
      <c r="H494" s="66"/>
      <c r="I494" s="66"/>
      <c r="J494" s="66"/>
      <c r="K494" s="63">
        <v>7500.0</v>
      </c>
      <c r="L494" s="63">
        <v>25.44</v>
      </c>
      <c r="M494" s="66">
        <f t="shared" si="1"/>
        <v>266.41</v>
      </c>
    </row>
    <row r="495">
      <c r="A495" s="67"/>
      <c r="B495" s="67"/>
      <c r="C495" s="67"/>
      <c r="D495" s="67"/>
      <c r="E495" s="67"/>
      <c r="F495" s="68"/>
      <c r="G495" s="68"/>
      <c r="H495" s="68"/>
      <c r="I495" s="68"/>
      <c r="J495" s="68"/>
      <c r="K495" s="69">
        <v>8000.0</v>
      </c>
      <c r="L495" s="69">
        <v>21.72</v>
      </c>
      <c r="M495" s="68">
        <f t="shared" si="1"/>
        <v>242.61</v>
      </c>
    </row>
    <row r="496">
      <c r="A496" s="66">
        <v>34.0</v>
      </c>
      <c r="B496" s="66">
        <v>46.0</v>
      </c>
      <c r="C496" s="74" t="s">
        <v>150</v>
      </c>
      <c r="D496" s="74" t="s">
        <v>151</v>
      </c>
      <c r="E496" s="74" t="s">
        <v>152</v>
      </c>
      <c r="F496" s="65">
        <v>6400.0</v>
      </c>
      <c r="G496" s="65">
        <v>6500.0</v>
      </c>
      <c r="H496" s="65">
        <v>700.0</v>
      </c>
      <c r="I496" s="65">
        <v>3600.0</v>
      </c>
      <c r="J496" s="65">
        <v>6000.0</v>
      </c>
      <c r="K496" s="63">
        <v>500.0</v>
      </c>
      <c r="L496" s="63">
        <v>32.27</v>
      </c>
      <c r="M496" s="66">
        <f t="shared" si="1"/>
        <v>22.53</v>
      </c>
    </row>
    <row r="497">
      <c r="A497" s="67"/>
      <c r="B497" s="67"/>
      <c r="C497" s="67"/>
      <c r="D497" s="67"/>
      <c r="E497" s="67"/>
      <c r="F497" s="68"/>
      <c r="G497" s="68"/>
      <c r="H497" s="68"/>
      <c r="I497" s="68"/>
      <c r="J497" s="68"/>
      <c r="K497" s="69">
        <v>1000.0</v>
      </c>
      <c r="L497" s="69">
        <v>35.6</v>
      </c>
      <c r="M497" s="68">
        <f t="shared" si="1"/>
        <v>49.71</v>
      </c>
    </row>
    <row r="498">
      <c r="A498" s="70"/>
      <c r="B498" s="70"/>
      <c r="C498" s="70"/>
      <c r="D498" s="70"/>
      <c r="E498" s="70"/>
      <c r="F498" s="66"/>
      <c r="G498" s="66"/>
      <c r="H498" s="66"/>
      <c r="I498" s="66"/>
      <c r="J498" s="66"/>
      <c r="K498" s="63">
        <v>1500.0</v>
      </c>
      <c r="L498" s="63">
        <v>37.73</v>
      </c>
      <c r="M498" s="66">
        <f t="shared" si="1"/>
        <v>79.02</v>
      </c>
    </row>
    <row r="499">
      <c r="A499" s="67"/>
      <c r="B499" s="67"/>
      <c r="C499" s="67"/>
      <c r="D499" s="67"/>
      <c r="E499" s="67"/>
      <c r="F499" s="68"/>
      <c r="G499" s="68"/>
      <c r="H499" s="68"/>
      <c r="I499" s="68"/>
      <c r="J499" s="68"/>
      <c r="K499" s="69">
        <v>2000.0</v>
      </c>
      <c r="L499" s="69">
        <v>39.79</v>
      </c>
      <c r="M499" s="68">
        <f t="shared" si="1"/>
        <v>111.11</v>
      </c>
    </row>
    <row r="500">
      <c r="A500" s="70"/>
      <c r="B500" s="70"/>
      <c r="C500" s="70"/>
      <c r="D500" s="70"/>
      <c r="E500" s="70"/>
      <c r="F500" s="66"/>
      <c r="G500" s="66"/>
      <c r="H500" s="66"/>
      <c r="I500" s="66"/>
      <c r="J500" s="66"/>
      <c r="K500" s="63">
        <v>2500.0</v>
      </c>
      <c r="L500" s="63">
        <v>41.32</v>
      </c>
      <c r="M500" s="66">
        <f t="shared" si="1"/>
        <v>144.23</v>
      </c>
    </row>
    <row r="501">
      <c r="A501" s="67"/>
      <c r="B501" s="67"/>
      <c r="C501" s="67"/>
      <c r="D501" s="67"/>
      <c r="E501" s="67"/>
      <c r="F501" s="68"/>
      <c r="G501" s="68"/>
      <c r="H501" s="68"/>
      <c r="I501" s="68"/>
      <c r="J501" s="68"/>
      <c r="K501" s="69">
        <v>3000.0</v>
      </c>
      <c r="L501" s="69">
        <v>42.67</v>
      </c>
      <c r="M501" s="68">
        <f t="shared" si="1"/>
        <v>178.73</v>
      </c>
    </row>
    <row r="502">
      <c r="A502" s="70"/>
      <c r="B502" s="70"/>
      <c r="C502" s="70"/>
      <c r="D502" s="70"/>
      <c r="E502" s="70"/>
      <c r="F502" s="66"/>
      <c r="G502" s="66"/>
      <c r="H502" s="66"/>
      <c r="I502" s="66"/>
      <c r="J502" s="66"/>
      <c r="K502" s="63">
        <v>3600.0</v>
      </c>
      <c r="L502" s="63">
        <v>43.24</v>
      </c>
      <c r="M502" s="66">
        <f t="shared" si="1"/>
        <v>217.35</v>
      </c>
    </row>
    <row r="503">
      <c r="A503" s="67"/>
      <c r="B503" s="67"/>
      <c r="C503" s="67"/>
      <c r="D503" s="67"/>
      <c r="E503" s="67"/>
      <c r="F503" s="68"/>
      <c r="G503" s="68"/>
      <c r="H503" s="68"/>
      <c r="I503" s="68"/>
      <c r="J503" s="68"/>
      <c r="K503" s="69">
        <v>4000.0</v>
      </c>
      <c r="L503" s="69">
        <v>43.26</v>
      </c>
      <c r="M503" s="68">
        <f t="shared" si="1"/>
        <v>241.61</v>
      </c>
    </row>
    <row r="504">
      <c r="A504" s="70"/>
      <c r="B504" s="70"/>
      <c r="C504" s="70"/>
      <c r="D504" s="70"/>
      <c r="E504" s="70"/>
      <c r="F504" s="66"/>
      <c r="G504" s="66"/>
      <c r="H504" s="66"/>
      <c r="I504" s="66"/>
      <c r="J504" s="66"/>
      <c r="K504" s="63">
        <v>4500.0</v>
      </c>
      <c r="L504" s="63">
        <v>41.52</v>
      </c>
      <c r="M504" s="66">
        <f t="shared" si="1"/>
        <v>260.88</v>
      </c>
    </row>
    <row r="505">
      <c r="A505" s="67"/>
      <c r="B505" s="67"/>
      <c r="C505" s="67"/>
      <c r="D505" s="67"/>
      <c r="E505" s="67"/>
      <c r="F505" s="68"/>
      <c r="G505" s="68"/>
      <c r="H505" s="68"/>
      <c r="I505" s="68"/>
      <c r="J505" s="68"/>
      <c r="K505" s="69">
        <v>5000.0</v>
      </c>
      <c r="L505" s="69">
        <v>38.35</v>
      </c>
      <c r="M505" s="68">
        <f t="shared" si="1"/>
        <v>267.73</v>
      </c>
    </row>
    <row r="506">
      <c r="A506" s="73"/>
      <c r="B506" s="73"/>
      <c r="C506" s="73"/>
      <c r="D506" s="73"/>
      <c r="E506" s="73"/>
      <c r="F506" s="66"/>
      <c r="G506" s="66"/>
      <c r="H506" s="66"/>
      <c r="I506" s="66"/>
      <c r="J506" s="66"/>
      <c r="K506" s="63">
        <v>5500.0</v>
      </c>
      <c r="L506" s="63">
        <v>34.64</v>
      </c>
      <c r="M506" s="66">
        <f t="shared" si="1"/>
        <v>266.02</v>
      </c>
    </row>
    <row r="507">
      <c r="A507" s="67"/>
      <c r="B507" s="67"/>
      <c r="C507" s="67"/>
      <c r="D507" s="67"/>
      <c r="E507" s="67"/>
      <c r="F507" s="68"/>
      <c r="G507" s="68"/>
      <c r="H507" s="68"/>
      <c r="I507" s="68"/>
      <c r="J507" s="68"/>
      <c r="K507" s="69">
        <v>6000.0</v>
      </c>
      <c r="L507" s="69">
        <v>31.22</v>
      </c>
      <c r="M507" s="68">
        <f t="shared" si="1"/>
        <v>261.55</v>
      </c>
    </row>
    <row r="508">
      <c r="A508" s="70"/>
      <c r="B508" s="70"/>
      <c r="C508" s="70"/>
      <c r="D508" s="70"/>
      <c r="E508" s="70"/>
      <c r="F508" s="66"/>
      <c r="G508" s="66"/>
      <c r="H508" s="66"/>
      <c r="I508" s="66"/>
      <c r="J508" s="66"/>
      <c r="K508" s="63">
        <v>6500.0</v>
      </c>
      <c r="L508" s="63">
        <v>27.18</v>
      </c>
      <c r="M508" s="66">
        <f t="shared" si="1"/>
        <v>246.68</v>
      </c>
    </row>
    <row r="509">
      <c r="A509" s="67"/>
      <c r="B509" s="67"/>
      <c r="C509" s="67"/>
      <c r="D509" s="67"/>
      <c r="E509" s="67"/>
      <c r="F509" s="68"/>
      <c r="G509" s="68"/>
      <c r="H509" s="68"/>
      <c r="I509" s="68"/>
      <c r="J509" s="68"/>
      <c r="K509" s="69">
        <v>7000.0</v>
      </c>
      <c r="L509" s="69">
        <v>22.5</v>
      </c>
      <c r="M509" s="68">
        <f t="shared" si="1"/>
        <v>219.91</v>
      </c>
    </row>
    <row r="510">
      <c r="A510" s="66">
        <v>35.0</v>
      </c>
      <c r="B510" s="66">
        <v>47.0</v>
      </c>
      <c r="C510" s="74" t="s">
        <v>153</v>
      </c>
      <c r="D510" s="74" t="s">
        <v>154</v>
      </c>
      <c r="E510" s="74" t="s">
        <v>155</v>
      </c>
      <c r="F510" s="65">
        <v>6000.0</v>
      </c>
      <c r="G510" s="65">
        <v>6000.0</v>
      </c>
      <c r="H510" s="65">
        <v>700.0</v>
      </c>
      <c r="I510" s="65">
        <v>4800.0</v>
      </c>
      <c r="J510" s="65">
        <v>5700.0</v>
      </c>
      <c r="K510" s="63">
        <v>500.0</v>
      </c>
      <c r="L510" s="63">
        <v>9.84</v>
      </c>
      <c r="M510" s="66">
        <f t="shared" si="1"/>
        <v>6.87</v>
      </c>
    </row>
    <row r="511">
      <c r="A511" s="67"/>
      <c r="B511" s="67"/>
      <c r="C511" s="67"/>
      <c r="D511" s="67"/>
      <c r="E511" s="67"/>
      <c r="F511" s="68"/>
      <c r="G511" s="68"/>
      <c r="H511" s="68"/>
      <c r="I511" s="68"/>
      <c r="J511" s="68"/>
      <c r="K511" s="69">
        <v>1000.0</v>
      </c>
      <c r="L511" s="69">
        <v>11.48</v>
      </c>
      <c r="M511" s="68">
        <f t="shared" si="1"/>
        <v>16.03</v>
      </c>
    </row>
    <row r="512">
      <c r="A512" s="70"/>
      <c r="B512" s="70"/>
      <c r="C512" s="70"/>
      <c r="D512" s="70"/>
      <c r="E512" s="70"/>
      <c r="F512" s="66"/>
      <c r="G512" s="66"/>
      <c r="H512" s="66"/>
      <c r="I512" s="66"/>
      <c r="J512" s="66"/>
      <c r="K512" s="63">
        <v>1500.0</v>
      </c>
      <c r="L512" s="63">
        <v>12.36</v>
      </c>
      <c r="M512" s="66">
        <f t="shared" si="1"/>
        <v>25.89</v>
      </c>
    </row>
    <row r="513">
      <c r="A513" s="67"/>
      <c r="B513" s="67"/>
      <c r="C513" s="67"/>
      <c r="D513" s="67"/>
      <c r="E513" s="67"/>
      <c r="F513" s="68"/>
      <c r="G513" s="68"/>
      <c r="H513" s="68"/>
      <c r="I513" s="68"/>
      <c r="J513" s="68"/>
      <c r="K513" s="69">
        <v>2000.0</v>
      </c>
      <c r="L513" s="69">
        <v>12.91</v>
      </c>
      <c r="M513" s="68">
        <f t="shared" si="1"/>
        <v>36.05</v>
      </c>
    </row>
    <row r="514">
      <c r="A514" s="70"/>
      <c r="B514" s="70"/>
      <c r="C514" s="70"/>
      <c r="D514" s="70"/>
      <c r="E514" s="70"/>
      <c r="F514" s="66"/>
      <c r="G514" s="66"/>
      <c r="H514" s="66"/>
      <c r="I514" s="66"/>
      <c r="J514" s="66"/>
      <c r="K514" s="63">
        <v>2500.0</v>
      </c>
      <c r="L514" s="63">
        <v>12.67</v>
      </c>
      <c r="M514" s="66">
        <f t="shared" si="1"/>
        <v>44.23</v>
      </c>
    </row>
    <row r="515">
      <c r="A515" s="67"/>
      <c r="B515" s="67"/>
      <c r="C515" s="67"/>
      <c r="D515" s="67"/>
      <c r="E515" s="67"/>
      <c r="F515" s="68"/>
      <c r="G515" s="68"/>
      <c r="H515" s="68"/>
      <c r="I515" s="68"/>
      <c r="J515" s="68"/>
      <c r="K515" s="69">
        <v>3000.0</v>
      </c>
      <c r="L515" s="69">
        <v>11.77</v>
      </c>
      <c r="M515" s="68">
        <f t="shared" si="1"/>
        <v>49.3</v>
      </c>
    </row>
    <row r="516">
      <c r="A516" s="70"/>
      <c r="B516" s="70"/>
      <c r="C516" s="70"/>
      <c r="D516" s="70"/>
      <c r="E516" s="70"/>
      <c r="F516" s="66"/>
      <c r="G516" s="66"/>
      <c r="H516" s="66"/>
      <c r="I516" s="66"/>
      <c r="J516" s="66"/>
      <c r="K516" s="63">
        <v>3500.0</v>
      </c>
      <c r="L516" s="63">
        <v>11.0</v>
      </c>
      <c r="M516" s="66">
        <f t="shared" si="1"/>
        <v>53.76</v>
      </c>
    </row>
    <row r="517">
      <c r="A517" s="67"/>
      <c r="B517" s="67"/>
      <c r="C517" s="67"/>
      <c r="D517" s="67"/>
      <c r="E517" s="67"/>
      <c r="F517" s="68"/>
      <c r="G517" s="68"/>
      <c r="H517" s="68"/>
      <c r="I517" s="68"/>
      <c r="J517" s="68"/>
      <c r="K517" s="69">
        <v>4000.0</v>
      </c>
      <c r="L517" s="69">
        <v>10.57</v>
      </c>
      <c r="M517" s="68">
        <f t="shared" si="1"/>
        <v>59.03</v>
      </c>
    </row>
    <row r="518">
      <c r="A518" s="70"/>
      <c r="B518" s="70"/>
      <c r="C518" s="70"/>
      <c r="D518" s="70"/>
      <c r="E518" s="70"/>
      <c r="F518" s="66"/>
      <c r="G518" s="66"/>
      <c r="H518" s="66"/>
      <c r="I518" s="66"/>
      <c r="J518" s="66"/>
      <c r="K518" s="63">
        <v>4500.0</v>
      </c>
      <c r="L518" s="63">
        <v>10.33</v>
      </c>
      <c r="M518" s="66">
        <f t="shared" si="1"/>
        <v>64.91</v>
      </c>
    </row>
    <row r="519">
      <c r="A519" s="67"/>
      <c r="B519" s="67"/>
      <c r="C519" s="67"/>
      <c r="D519" s="67"/>
      <c r="E519" s="67"/>
      <c r="F519" s="68"/>
      <c r="G519" s="68"/>
      <c r="H519" s="68"/>
      <c r="I519" s="68"/>
      <c r="J519" s="68"/>
      <c r="K519" s="69">
        <v>5000.0</v>
      </c>
      <c r="L519" s="69">
        <v>10.29</v>
      </c>
      <c r="M519" s="68">
        <f t="shared" si="1"/>
        <v>71.84</v>
      </c>
    </row>
    <row r="520">
      <c r="A520" s="70"/>
      <c r="B520" s="70"/>
      <c r="C520" s="70"/>
      <c r="D520" s="70"/>
      <c r="E520" s="70"/>
      <c r="F520" s="66"/>
      <c r="G520" s="66"/>
      <c r="H520" s="66"/>
      <c r="I520" s="66"/>
      <c r="J520" s="66"/>
      <c r="K520" s="63">
        <v>5500.0</v>
      </c>
      <c r="L520" s="63">
        <v>10.2</v>
      </c>
      <c r="M520" s="66">
        <f t="shared" si="1"/>
        <v>78.33</v>
      </c>
    </row>
    <row r="521">
      <c r="A521" s="67"/>
      <c r="B521" s="67"/>
      <c r="C521" s="67"/>
      <c r="D521" s="67"/>
      <c r="E521" s="67"/>
      <c r="F521" s="68"/>
      <c r="G521" s="68"/>
      <c r="H521" s="68"/>
      <c r="I521" s="68"/>
      <c r="J521" s="68"/>
      <c r="K521" s="69">
        <v>6000.0</v>
      </c>
      <c r="L521" s="69">
        <v>9.23</v>
      </c>
      <c r="M521" s="68">
        <f t="shared" si="1"/>
        <v>77.32</v>
      </c>
    </row>
    <row r="522">
      <c r="A522" s="70"/>
      <c r="B522" s="70"/>
      <c r="C522" s="70"/>
      <c r="D522" s="70"/>
      <c r="E522" s="70"/>
      <c r="F522" s="66"/>
      <c r="G522" s="66"/>
      <c r="H522" s="66"/>
      <c r="I522" s="66"/>
      <c r="J522" s="66"/>
      <c r="K522" s="63">
        <v>6500.0</v>
      </c>
      <c r="L522" s="63">
        <v>6.35</v>
      </c>
      <c r="M522" s="66">
        <f t="shared" si="1"/>
        <v>57.63</v>
      </c>
    </row>
    <row r="523">
      <c r="A523" s="68">
        <v>36.0</v>
      </c>
      <c r="B523" s="68">
        <v>48.0</v>
      </c>
      <c r="C523" s="71" t="s">
        <v>156</v>
      </c>
      <c r="D523" s="71" t="s">
        <v>157</v>
      </c>
      <c r="E523" s="71" t="s">
        <v>158</v>
      </c>
      <c r="F523" s="72">
        <v>8400.0</v>
      </c>
      <c r="G523" s="72">
        <v>8500.0</v>
      </c>
      <c r="H523" s="72">
        <v>700.0</v>
      </c>
      <c r="I523" s="72">
        <v>7000.0</v>
      </c>
      <c r="J523" s="72">
        <v>8000.0</v>
      </c>
      <c r="K523" s="69">
        <v>500.0</v>
      </c>
      <c r="L523" s="69">
        <v>13.9</v>
      </c>
      <c r="M523" s="68">
        <f t="shared" si="1"/>
        <v>9.7</v>
      </c>
    </row>
    <row r="524">
      <c r="A524" s="70"/>
      <c r="B524" s="70"/>
      <c r="C524" s="70"/>
      <c r="D524" s="70"/>
      <c r="E524" s="70"/>
      <c r="F524" s="66"/>
      <c r="G524" s="66"/>
      <c r="H524" s="66"/>
      <c r="I524" s="66"/>
      <c r="J524" s="66"/>
      <c r="K524" s="63">
        <v>1000.0</v>
      </c>
      <c r="L524" s="63">
        <v>15.75</v>
      </c>
      <c r="M524" s="66">
        <f t="shared" si="1"/>
        <v>21.99</v>
      </c>
    </row>
    <row r="525">
      <c r="A525" s="67"/>
      <c r="B525" s="67"/>
      <c r="C525" s="67"/>
      <c r="D525" s="67"/>
      <c r="E525" s="67"/>
      <c r="F525" s="68"/>
      <c r="G525" s="68"/>
      <c r="H525" s="68"/>
      <c r="I525" s="68"/>
      <c r="J525" s="68"/>
      <c r="K525" s="69">
        <v>1500.0</v>
      </c>
      <c r="L525" s="69">
        <v>17.05</v>
      </c>
      <c r="M525" s="68">
        <f t="shared" si="1"/>
        <v>35.71</v>
      </c>
    </row>
    <row r="526">
      <c r="A526" s="70"/>
      <c r="B526" s="70"/>
      <c r="C526" s="70"/>
      <c r="D526" s="70"/>
      <c r="E526" s="70"/>
      <c r="F526" s="66"/>
      <c r="G526" s="66"/>
      <c r="H526" s="66"/>
      <c r="I526" s="66"/>
      <c r="J526" s="66"/>
      <c r="K526" s="63">
        <v>2000.0</v>
      </c>
      <c r="L526" s="63">
        <v>18.12</v>
      </c>
      <c r="M526" s="66">
        <f t="shared" si="1"/>
        <v>50.6</v>
      </c>
    </row>
    <row r="527">
      <c r="A527" s="67"/>
      <c r="B527" s="67"/>
      <c r="C527" s="67"/>
      <c r="D527" s="67"/>
      <c r="E527" s="67"/>
      <c r="F527" s="68"/>
      <c r="G527" s="68"/>
      <c r="H527" s="68"/>
      <c r="I527" s="68"/>
      <c r="J527" s="68"/>
      <c r="K527" s="69">
        <v>2500.0</v>
      </c>
      <c r="L527" s="69">
        <v>19.17</v>
      </c>
      <c r="M527" s="68">
        <f t="shared" si="1"/>
        <v>66.92</v>
      </c>
    </row>
    <row r="528">
      <c r="A528" s="70"/>
      <c r="B528" s="70"/>
      <c r="C528" s="70"/>
      <c r="D528" s="70"/>
      <c r="E528" s="70"/>
      <c r="F528" s="66"/>
      <c r="G528" s="66"/>
      <c r="H528" s="66"/>
      <c r="I528" s="66"/>
      <c r="J528" s="66"/>
      <c r="K528" s="63">
        <v>3000.0</v>
      </c>
      <c r="L528" s="63">
        <v>19.37</v>
      </c>
      <c r="M528" s="66">
        <f t="shared" si="1"/>
        <v>81.14</v>
      </c>
    </row>
    <row r="529">
      <c r="A529" s="67"/>
      <c r="B529" s="67"/>
      <c r="C529" s="67"/>
      <c r="D529" s="67"/>
      <c r="E529" s="67"/>
      <c r="F529" s="68"/>
      <c r="G529" s="68"/>
      <c r="H529" s="68"/>
      <c r="I529" s="68"/>
      <c r="J529" s="68"/>
      <c r="K529" s="69">
        <v>3500.0</v>
      </c>
      <c r="L529" s="69">
        <v>18.97</v>
      </c>
      <c r="M529" s="68">
        <f t="shared" si="1"/>
        <v>92.7</v>
      </c>
    </row>
    <row r="530">
      <c r="A530" s="73"/>
      <c r="B530" s="73"/>
      <c r="C530" s="73"/>
      <c r="D530" s="73"/>
      <c r="E530" s="73"/>
      <c r="F530" s="66"/>
      <c r="G530" s="66"/>
      <c r="H530" s="66"/>
      <c r="I530" s="66"/>
      <c r="J530" s="66"/>
      <c r="K530" s="63">
        <v>4000.0</v>
      </c>
      <c r="L530" s="63">
        <v>18.86</v>
      </c>
      <c r="M530" s="66">
        <f t="shared" si="1"/>
        <v>105.33</v>
      </c>
    </row>
    <row r="531">
      <c r="A531" s="67"/>
      <c r="B531" s="67"/>
      <c r="C531" s="67"/>
      <c r="D531" s="67"/>
      <c r="E531" s="67"/>
      <c r="F531" s="68"/>
      <c r="G531" s="68"/>
      <c r="H531" s="68"/>
      <c r="I531" s="68"/>
      <c r="J531" s="68"/>
      <c r="K531" s="69">
        <v>4500.0</v>
      </c>
      <c r="L531" s="69">
        <v>18.97</v>
      </c>
      <c r="M531" s="68">
        <f t="shared" si="1"/>
        <v>119.19</v>
      </c>
    </row>
    <row r="532">
      <c r="A532" s="70"/>
      <c r="B532" s="70"/>
      <c r="C532" s="70"/>
      <c r="D532" s="70"/>
      <c r="E532" s="70"/>
      <c r="F532" s="66"/>
      <c r="G532" s="66"/>
      <c r="H532" s="66"/>
      <c r="I532" s="66"/>
      <c r="J532" s="66"/>
      <c r="K532" s="63">
        <v>5000.0</v>
      </c>
      <c r="L532" s="63">
        <v>19.17</v>
      </c>
      <c r="M532" s="66">
        <f t="shared" si="1"/>
        <v>133.83</v>
      </c>
    </row>
    <row r="533">
      <c r="A533" s="67"/>
      <c r="B533" s="67"/>
      <c r="C533" s="67"/>
      <c r="D533" s="67"/>
      <c r="E533" s="67"/>
      <c r="F533" s="68"/>
      <c r="G533" s="68"/>
      <c r="H533" s="68"/>
      <c r="I533" s="68"/>
      <c r="J533" s="68"/>
      <c r="K533" s="69">
        <v>5500.0</v>
      </c>
      <c r="L533" s="69">
        <v>19.58</v>
      </c>
      <c r="M533" s="68">
        <f t="shared" si="1"/>
        <v>150.36</v>
      </c>
    </row>
    <row r="534">
      <c r="A534" s="70"/>
      <c r="B534" s="70"/>
      <c r="C534" s="70"/>
      <c r="D534" s="70"/>
      <c r="E534" s="70"/>
      <c r="F534" s="66"/>
      <c r="G534" s="66"/>
      <c r="H534" s="66"/>
      <c r="I534" s="66"/>
      <c r="J534" s="66"/>
      <c r="K534" s="63">
        <v>6000.0</v>
      </c>
      <c r="L534" s="63">
        <v>20.5</v>
      </c>
      <c r="M534" s="66">
        <f t="shared" si="1"/>
        <v>171.74</v>
      </c>
    </row>
    <row r="535">
      <c r="A535" s="67"/>
      <c r="B535" s="67"/>
      <c r="C535" s="67"/>
      <c r="D535" s="67"/>
      <c r="E535" s="67"/>
      <c r="F535" s="68"/>
      <c r="G535" s="68"/>
      <c r="H535" s="68"/>
      <c r="I535" s="68"/>
      <c r="J535" s="68"/>
      <c r="K535" s="69">
        <v>6500.0</v>
      </c>
      <c r="L535" s="69">
        <v>20.9</v>
      </c>
      <c r="M535" s="68">
        <f t="shared" si="1"/>
        <v>189.68</v>
      </c>
    </row>
    <row r="536">
      <c r="A536" s="70"/>
      <c r="B536" s="70"/>
      <c r="C536" s="70"/>
      <c r="D536" s="70"/>
      <c r="E536" s="70"/>
      <c r="F536" s="66"/>
      <c r="G536" s="66"/>
      <c r="H536" s="66"/>
      <c r="I536" s="66"/>
      <c r="J536" s="66"/>
      <c r="K536" s="63">
        <v>7000.0</v>
      </c>
      <c r="L536" s="63">
        <v>21.11</v>
      </c>
      <c r="M536" s="66">
        <f t="shared" si="1"/>
        <v>206.33</v>
      </c>
    </row>
    <row r="537">
      <c r="A537" s="67"/>
      <c r="B537" s="67"/>
      <c r="C537" s="67"/>
      <c r="D537" s="67"/>
      <c r="E537" s="67"/>
      <c r="F537" s="68"/>
      <c r="G537" s="68"/>
      <c r="H537" s="68"/>
      <c r="I537" s="68"/>
      <c r="J537" s="68"/>
      <c r="K537" s="69">
        <v>7500.0</v>
      </c>
      <c r="L537" s="69">
        <v>20.6</v>
      </c>
      <c r="M537" s="68">
        <f t="shared" si="1"/>
        <v>215.72</v>
      </c>
    </row>
    <row r="538">
      <c r="A538" s="70"/>
      <c r="B538" s="70"/>
      <c r="C538" s="70"/>
      <c r="D538" s="70"/>
      <c r="E538" s="70"/>
      <c r="F538" s="66"/>
      <c r="G538" s="66"/>
      <c r="H538" s="66"/>
      <c r="I538" s="66"/>
      <c r="J538" s="66"/>
      <c r="K538" s="63">
        <v>8000.0</v>
      </c>
      <c r="L538" s="63">
        <v>19.63</v>
      </c>
      <c r="M538" s="66">
        <f t="shared" si="1"/>
        <v>219.27</v>
      </c>
    </row>
    <row r="539">
      <c r="A539" s="67"/>
      <c r="B539" s="67"/>
      <c r="C539" s="67"/>
      <c r="D539" s="67"/>
      <c r="E539" s="67"/>
      <c r="F539" s="68"/>
      <c r="G539" s="68"/>
      <c r="H539" s="68"/>
      <c r="I539" s="68"/>
      <c r="J539" s="68"/>
      <c r="K539" s="69">
        <v>8500.0</v>
      </c>
      <c r="L539" s="69">
        <v>18.15</v>
      </c>
      <c r="M539" s="68">
        <f t="shared" si="1"/>
        <v>215.41</v>
      </c>
    </row>
    <row r="540">
      <c r="A540" s="70"/>
      <c r="B540" s="70"/>
      <c r="C540" s="70"/>
      <c r="D540" s="70"/>
      <c r="E540" s="70"/>
      <c r="F540" s="66"/>
      <c r="G540" s="66"/>
      <c r="H540" s="66"/>
      <c r="I540" s="66"/>
      <c r="J540" s="66"/>
      <c r="K540" s="63">
        <v>9000.0</v>
      </c>
      <c r="L540" s="63">
        <v>15.5</v>
      </c>
      <c r="M540" s="66">
        <f t="shared" si="1"/>
        <v>194.78</v>
      </c>
    </row>
    <row r="541">
      <c r="A541" s="68">
        <v>37.0</v>
      </c>
      <c r="B541" s="68">
        <v>49.0</v>
      </c>
      <c r="C541" s="71" t="s">
        <v>159</v>
      </c>
      <c r="D541" s="71" t="s">
        <v>160</v>
      </c>
      <c r="E541" s="71" t="s">
        <v>161</v>
      </c>
      <c r="F541" s="72">
        <v>8400.0</v>
      </c>
      <c r="G541" s="72">
        <v>8400.0</v>
      </c>
      <c r="H541" s="72">
        <v>700.0</v>
      </c>
      <c r="I541" s="72">
        <v>7000.0</v>
      </c>
      <c r="J541" s="72">
        <v>8000.0</v>
      </c>
      <c r="K541" s="69">
        <v>500.0</v>
      </c>
      <c r="L541" s="69">
        <v>12.09</v>
      </c>
      <c r="M541" s="68">
        <f t="shared" si="1"/>
        <v>8.44</v>
      </c>
    </row>
    <row r="542">
      <c r="A542" s="70"/>
      <c r="B542" s="70"/>
      <c r="C542" s="70"/>
      <c r="D542" s="70"/>
      <c r="E542" s="70"/>
      <c r="F542" s="66"/>
      <c r="G542" s="66"/>
      <c r="H542" s="66"/>
      <c r="I542" s="66"/>
      <c r="J542" s="66"/>
      <c r="K542" s="63">
        <v>1000.0</v>
      </c>
      <c r="L542" s="63">
        <v>14.28</v>
      </c>
      <c r="M542" s="66">
        <f t="shared" si="1"/>
        <v>19.94</v>
      </c>
    </row>
    <row r="543">
      <c r="A543" s="67"/>
      <c r="B543" s="67"/>
      <c r="C543" s="67"/>
      <c r="D543" s="67"/>
      <c r="E543" s="67"/>
      <c r="F543" s="68"/>
      <c r="G543" s="68"/>
      <c r="H543" s="68"/>
      <c r="I543" s="68"/>
      <c r="J543" s="68"/>
      <c r="K543" s="69">
        <v>1500.0</v>
      </c>
      <c r="L543" s="69">
        <v>15.75</v>
      </c>
      <c r="M543" s="68">
        <f t="shared" si="1"/>
        <v>32.99</v>
      </c>
    </row>
    <row r="544">
      <c r="A544" s="70"/>
      <c r="B544" s="70"/>
      <c r="C544" s="70"/>
      <c r="D544" s="70"/>
      <c r="E544" s="70"/>
      <c r="F544" s="66"/>
      <c r="G544" s="66"/>
      <c r="H544" s="66"/>
      <c r="I544" s="66"/>
      <c r="J544" s="66"/>
      <c r="K544" s="63">
        <v>2000.0</v>
      </c>
      <c r="L544" s="63">
        <v>17.23</v>
      </c>
      <c r="M544" s="66">
        <f t="shared" si="1"/>
        <v>48.12</v>
      </c>
    </row>
    <row r="545">
      <c r="A545" s="67"/>
      <c r="B545" s="67"/>
      <c r="C545" s="67"/>
      <c r="D545" s="67"/>
      <c r="E545" s="67"/>
      <c r="F545" s="68"/>
      <c r="G545" s="68"/>
      <c r="H545" s="68"/>
      <c r="I545" s="68"/>
      <c r="J545" s="68"/>
      <c r="K545" s="69">
        <v>2500.0</v>
      </c>
      <c r="L545" s="69">
        <v>18.05</v>
      </c>
      <c r="M545" s="68">
        <f t="shared" si="1"/>
        <v>63.01</v>
      </c>
    </row>
    <row r="546">
      <c r="A546" s="70"/>
      <c r="B546" s="70"/>
      <c r="C546" s="70"/>
      <c r="D546" s="70"/>
      <c r="E546" s="70"/>
      <c r="F546" s="66"/>
      <c r="G546" s="66"/>
      <c r="H546" s="66"/>
      <c r="I546" s="66"/>
      <c r="J546" s="66"/>
      <c r="K546" s="63">
        <v>3000.0</v>
      </c>
      <c r="L546" s="63">
        <v>18.86</v>
      </c>
      <c r="M546" s="66">
        <f t="shared" si="1"/>
        <v>79</v>
      </c>
    </row>
    <row r="547">
      <c r="A547" s="67"/>
      <c r="B547" s="67"/>
      <c r="C547" s="67"/>
      <c r="D547" s="67"/>
      <c r="E547" s="67"/>
      <c r="F547" s="68"/>
      <c r="G547" s="68"/>
      <c r="H547" s="68"/>
      <c r="I547" s="68"/>
      <c r="J547" s="68"/>
      <c r="K547" s="69">
        <v>3500.0</v>
      </c>
      <c r="L547" s="69">
        <v>18.76</v>
      </c>
      <c r="M547" s="68">
        <f t="shared" si="1"/>
        <v>91.68</v>
      </c>
    </row>
    <row r="548">
      <c r="A548" s="70"/>
      <c r="B548" s="70"/>
      <c r="C548" s="70"/>
      <c r="D548" s="70"/>
      <c r="E548" s="70"/>
      <c r="F548" s="66"/>
      <c r="G548" s="66"/>
      <c r="H548" s="66"/>
      <c r="I548" s="66"/>
      <c r="J548" s="66"/>
      <c r="K548" s="63">
        <v>4000.0</v>
      </c>
      <c r="L548" s="63">
        <v>18.66</v>
      </c>
      <c r="M548" s="66">
        <f t="shared" si="1"/>
        <v>104.22</v>
      </c>
    </row>
    <row r="549">
      <c r="A549" s="67"/>
      <c r="B549" s="67"/>
      <c r="C549" s="67"/>
      <c r="D549" s="67"/>
      <c r="E549" s="67"/>
      <c r="F549" s="68"/>
      <c r="G549" s="68"/>
      <c r="H549" s="68"/>
      <c r="I549" s="68"/>
      <c r="J549" s="68"/>
      <c r="K549" s="69">
        <v>4500.0</v>
      </c>
      <c r="L549" s="69">
        <v>18.76</v>
      </c>
      <c r="M549" s="68">
        <f t="shared" si="1"/>
        <v>117.87</v>
      </c>
    </row>
    <row r="550">
      <c r="A550" s="70"/>
      <c r="B550" s="70"/>
      <c r="C550" s="70"/>
      <c r="D550" s="70"/>
      <c r="E550" s="70"/>
      <c r="F550" s="66"/>
      <c r="G550" s="66"/>
      <c r="H550" s="66"/>
      <c r="I550" s="66"/>
      <c r="J550" s="66"/>
      <c r="K550" s="63">
        <v>5000.0</v>
      </c>
      <c r="L550" s="63">
        <v>18.86</v>
      </c>
      <c r="M550" s="66">
        <f t="shared" si="1"/>
        <v>131.67</v>
      </c>
    </row>
    <row r="551">
      <c r="A551" s="67"/>
      <c r="B551" s="67"/>
      <c r="C551" s="67"/>
      <c r="D551" s="67"/>
      <c r="E551" s="67"/>
      <c r="F551" s="68"/>
      <c r="G551" s="68"/>
      <c r="H551" s="68"/>
      <c r="I551" s="68"/>
      <c r="J551" s="68"/>
      <c r="K551" s="69">
        <v>5500.0</v>
      </c>
      <c r="L551" s="69">
        <v>19.53</v>
      </c>
      <c r="M551" s="68">
        <f t="shared" si="1"/>
        <v>149.98</v>
      </c>
    </row>
    <row r="552">
      <c r="A552" s="70"/>
      <c r="B552" s="70"/>
      <c r="C552" s="70"/>
      <c r="D552" s="70"/>
      <c r="E552" s="70"/>
      <c r="F552" s="66"/>
      <c r="G552" s="66"/>
      <c r="H552" s="66"/>
      <c r="I552" s="66"/>
      <c r="J552" s="66"/>
      <c r="K552" s="63">
        <v>6000.0</v>
      </c>
      <c r="L552" s="63">
        <v>20.19</v>
      </c>
      <c r="M552" s="66">
        <f t="shared" si="1"/>
        <v>169.14</v>
      </c>
    </row>
    <row r="553">
      <c r="A553" s="67"/>
      <c r="B553" s="67"/>
      <c r="C553" s="67"/>
      <c r="D553" s="67"/>
      <c r="E553" s="67"/>
      <c r="F553" s="68"/>
      <c r="G553" s="68"/>
      <c r="H553" s="68"/>
      <c r="I553" s="68"/>
      <c r="J553" s="68"/>
      <c r="K553" s="69">
        <v>6500.0</v>
      </c>
      <c r="L553" s="69">
        <v>20.39</v>
      </c>
      <c r="M553" s="68">
        <f t="shared" si="1"/>
        <v>185.05</v>
      </c>
    </row>
    <row r="554">
      <c r="A554" s="73"/>
      <c r="B554" s="73"/>
      <c r="C554" s="73"/>
      <c r="D554" s="73"/>
      <c r="E554" s="73"/>
      <c r="F554" s="66"/>
      <c r="G554" s="66"/>
      <c r="H554" s="66"/>
      <c r="I554" s="66"/>
      <c r="J554" s="66"/>
      <c r="K554" s="63">
        <v>7000.0</v>
      </c>
      <c r="L554" s="63">
        <v>20.6</v>
      </c>
      <c r="M554" s="66">
        <f t="shared" si="1"/>
        <v>201.34</v>
      </c>
    </row>
    <row r="555">
      <c r="A555" s="67"/>
      <c r="B555" s="67"/>
      <c r="C555" s="67"/>
      <c r="D555" s="67"/>
      <c r="E555" s="67"/>
      <c r="F555" s="68"/>
      <c r="G555" s="68"/>
      <c r="H555" s="68"/>
      <c r="I555" s="68"/>
      <c r="J555" s="68"/>
      <c r="K555" s="69">
        <v>7500.0</v>
      </c>
      <c r="L555" s="69">
        <v>20.12</v>
      </c>
      <c r="M555" s="68">
        <f t="shared" si="1"/>
        <v>210.7</v>
      </c>
    </row>
    <row r="556">
      <c r="A556" s="70"/>
      <c r="B556" s="70"/>
      <c r="C556" s="70"/>
      <c r="D556" s="70"/>
      <c r="E556" s="70"/>
      <c r="F556" s="66"/>
      <c r="G556" s="66"/>
      <c r="H556" s="66"/>
      <c r="I556" s="66"/>
      <c r="J556" s="66"/>
      <c r="K556" s="63">
        <v>8000.0</v>
      </c>
      <c r="L556" s="63">
        <v>19.24</v>
      </c>
      <c r="M556" s="66">
        <f t="shared" si="1"/>
        <v>214.91</v>
      </c>
    </row>
    <row r="557">
      <c r="A557" s="67"/>
      <c r="B557" s="67"/>
      <c r="C557" s="67"/>
      <c r="D557" s="67"/>
      <c r="E557" s="67"/>
      <c r="F557" s="68"/>
      <c r="G557" s="68"/>
      <c r="H557" s="68"/>
      <c r="I557" s="68"/>
      <c r="J557" s="68"/>
      <c r="K557" s="69">
        <v>8500.0</v>
      </c>
      <c r="L557" s="69">
        <v>17.54</v>
      </c>
      <c r="M557" s="68">
        <f t="shared" si="1"/>
        <v>208.17</v>
      </c>
    </row>
    <row r="558">
      <c r="A558" s="66">
        <v>38.0</v>
      </c>
      <c r="B558" s="66">
        <v>50.0</v>
      </c>
      <c r="C558" s="74" t="s">
        <v>162</v>
      </c>
      <c r="D558" s="74" t="s">
        <v>163</v>
      </c>
      <c r="E558" s="74" t="s">
        <v>164</v>
      </c>
      <c r="F558" s="65">
        <v>8500.0</v>
      </c>
      <c r="G558" s="65">
        <v>9000.0</v>
      </c>
      <c r="H558" s="65">
        <v>700.0</v>
      </c>
      <c r="I558" s="65">
        <v>6200.0</v>
      </c>
      <c r="J558" s="65">
        <v>8000.0</v>
      </c>
      <c r="K558" s="63">
        <v>500.0</v>
      </c>
      <c r="L558" s="63">
        <v>11.2</v>
      </c>
      <c r="M558" s="66">
        <f t="shared" si="1"/>
        <v>7.82</v>
      </c>
    </row>
    <row r="559">
      <c r="A559" s="67"/>
      <c r="B559" s="67"/>
      <c r="C559" s="67"/>
      <c r="D559" s="67"/>
      <c r="E559" s="67"/>
      <c r="F559" s="68"/>
      <c r="G559" s="68"/>
      <c r="H559" s="68"/>
      <c r="I559" s="68"/>
      <c r="J559" s="68"/>
      <c r="K559" s="69">
        <v>1000.0</v>
      </c>
      <c r="L559" s="69">
        <v>13.0</v>
      </c>
      <c r="M559" s="68">
        <f t="shared" si="1"/>
        <v>18.15</v>
      </c>
    </row>
    <row r="560">
      <c r="A560" s="70"/>
      <c r="B560" s="70"/>
      <c r="C560" s="70"/>
      <c r="D560" s="70"/>
      <c r="E560" s="70"/>
      <c r="F560" s="66"/>
      <c r="G560" s="66"/>
      <c r="H560" s="66"/>
      <c r="I560" s="66"/>
      <c r="J560" s="66"/>
      <c r="K560" s="63">
        <v>1500.0</v>
      </c>
      <c r="L560" s="63">
        <v>14.56</v>
      </c>
      <c r="M560" s="66">
        <f t="shared" si="1"/>
        <v>30.49</v>
      </c>
    </row>
    <row r="561">
      <c r="A561" s="67"/>
      <c r="B561" s="67"/>
      <c r="C561" s="67"/>
      <c r="D561" s="67"/>
      <c r="E561" s="67"/>
      <c r="F561" s="68"/>
      <c r="G561" s="68"/>
      <c r="H561" s="68"/>
      <c r="I561" s="68"/>
      <c r="J561" s="68"/>
      <c r="K561" s="69">
        <v>2000.0</v>
      </c>
      <c r="L561" s="69">
        <v>15.97</v>
      </c>
      <c r="M561" s="68">
        <f t="shared" si="1"/>
        <v>44.6</v>
      </c>
    </row>
    <row r="562">
      <c r="A562" s="70"/>
      <c r="B562" s="70"/>
      <c r="C562" s="70"/>
      <c r="D562" s="70"/>
      <c r="E562" s="70"/>
      <c r="F562" s="66"/>
      <c r="G562" s="66"/>
      <c r="H562" s="66"/>
      <c r="I562" s="66"/>
      <c r="J562" s="66"/>
      <c r="K562" s="63">
        <v>2500.0</v>
      </c>
      <c r="L562" s="63">
        <v>16.67</v>
      </c>
      <c r="M562" s="66">
        <f t="shared" si="1"/>
        <v>58.19</v>
      </c>
    </row>
    <row r="563">
      <c r="A563" s="67"/>
      <c r="B563" s="67"/>
      <c r="C563" s="67"/>
      <c r="D563" s="67"/>
      <c r="E563" s="67"/>
      <c r="F563" s="68"/>
      <c r="G563" s="68"/>
      <c r="H563" s="68"/>
      <c r="I563" s="68"/>
      <c r="J563" s="68"/>
      <c r="K563" s="69">
        <v>3000.0</v>
      </c>
      <c r="L563" s="69">
        <v>17.3</v>
      </c>
      <c r="M563" s="68">
        <f t="shared" si="1"/>
        <v>72.47</v>
      </c>
    </row>
    <row r="564">
      <c r="A564" s="70"/>
      <c r="B564" s="70"/>
      <c r="C564" s="70"/>
      <c r="D564" s="70"/>
      <c r="E564" s="70"/>
      <c r="F564" s="66"/>
      <c r="G564" s="66"/>
      <c r="H564" s="66"/>
      <c r="I564" s="66"/>
      <c r="J564" s="66"/>
      <c r="K564" s="63">
        <v>3500.0</v>
      </c>
      <c r="L564" s="63">
        <v>17.05</v>
      </c>
      <c r="M564" s="66">
        <f t="shared" si="1"/>
        <v>83.32</v>
      </c>
    </row>
    <row r="565">
      <c r="A565" s="67"/>
      <c r="B565" s="67"/>
      <c r="C565" s="67"/>
      <c r="D565" s="67"/>
      <c r="E565" s="67"/>
      <c r="F565" s="68"/>
      <c r="G565" s="68"/>
      <c r="H565" s="68"/>
      <c r="I565" s="68"/>
      <c r="J565" s="68"/>
      <c r="K565" s="69">
        <v>4000.0</v>
      </c>
      <c r="L565" s="69">
        <v>16.63</v>
      </c>
      <c r="M565" s="68">
        <f t="shared" si="1"/>
        <v>92.88</v>
      </c>
    </row>
    <row r="566">
      <c r="A566" s="70"/>
      <c r="B566" s="70"/>
      <c r="C566" s="70"/>
      <c r="D566" s="70"/>
      <c r="E566" s="70"/>
      <c r="F566" s="66"/>
      <c r="G566" s="66"/>
      <c r="H566" s="66"/>
      <c r="I566" s="66"/>
      <c r="J566" s="66"/>
      <c r="K566" s="63">
        <v>4500.0</v>
      </c>
      <c r="L566" s="63">
        <v>16.5</v>
      </c>
      <c r="M566" s="66">
        <f t="shared" si="1"/>
        <v>103.67</v>
      </c>
    </row>
    <row r="567">
      <c r="A567" s="67"/>
      <c r="B567" s="67"/>
      <c r="C567" s="67"/>
      <c r="D567" s="67"/>
      <c r="E567" s="67"/>
      <c r="F567" s="68"/>
      <c r="G567" s="68"/>
      <c r="H567" s="68"/>
      <c r="I567" s="68"/>
      <c r="J567" s="68"/>
      <c r="K567" s="69">
        <v>5000.0</v>
      </c>
      <c r="L567" s="69">
        <v>16.7</v>
      </c>
      <c r="M567" s="68">
        <f t="shared" si="1"/>
        <v>116.59</v>
      </c>
    </row>
    <row r="568">
      <c r="A568" s="70"/>
      <c r="B568" s="70"/>
      <c r="C568" s="70"/>
      <c r="D568" s="70"/>
      <c r="E568" s="70"/>
      <c r="F568" s="66"/>
      <c r="G568" s="66"/>
      <c r="H568" s="66"/>
      <c r="I568" s="66"/>
      <c r="J568" s="66"/>
      <c r="K568" s="63">
        <v>5500.0</v>
      </c>
      <c r="L568" s="63">
        <v>17.5</v>
      </c>
      <c r="M568" s="66">
        <f t="shared" si="1"/>
        <v>134.39</v>
      </c>
    </row>
    <row r="569">
      <c r="A569" s="67"/>
      <c r="B569" s="67"/>
      <c r="C569" s="67"/>
      <c r="D569" s="67"/>
      <c r="E569" s="67"/>
      <c r="F569" s="68"/>
      <c r="G569" s="68"/>
      <c r="H569" s="68"/>
      <c r="I569" s="68"/>
      <c r="J569" s="68"/>
      <c r="K569" s="69">
        <v>6000.0</v>
      </c>
      <c r="L569" s="69">
        <v>18.8</v>
      </c>
      <c r="M569" s="68">
        <f t="shared" si="1"/>
        <v>157.5</v>
      </c>
    </row>
    <row r="570">
      <c r="A570" s="70"/>
      <c r="B570" s="70"/>
      <c r="C570" s="70"/>
      <c r="D570" s="70"/>
      <c r="E570" s="70"/>
      <c r="F570" s="66"/>
      <c r="G570" s="66"/>
      <c r="H570" s="66"/>
      <c r="I570" s="66"/>
      <c r="J570" s="66"/>
      <c r="K570" s="63">
        <v>6200.0</v>
      </c>
      <c r="L570" s="63">
        <v>19.0</v>
      </c>
      <c r="M570" s="66">
        <f t="shared" si="1"/>
        <v>164.48</v>
      </c>
    </row>
    <row r="571">
      <c r="A571" s="67"/>
      <c r="B571" s="67"/>
      <c r="C571" s="67"/>
      <c r="D571" s="67"/>
      <c r="E571" s="67"/>
      <c r="F571" s="68"/>
      <c r="G571" s="68"/>
      <c r="H571" s="68"/>
      <c r="I571" s="68"/>
      <c r="J571" s="68"/>
      <c r="K571" s="69">
        <v>6800.0</v>
      </c>
      <c r="L571" s="69">
        <v>19.21</v>
      </c>
      <c r="M571" s="68">
        <f t="shared" si="1"/>
        <v>182.39</v>
      </c>
    </row>
    <row r="572">
      <c r="A572" s="70"/>
      <c r="B572" s="70"/>
      <c r="C572" s="70"/>
      <c r="D572" s="70"/>
      <c r="E572" s="70"/>
      <c r="F572" s="66"/>
      <c r="G572" s="66"/>
      <c r="H572" s="66"/>
      <c r="I572" s="66"/>
      <c r="J572" s="66"/>
      <c r="K572" s="63">
        <v>7300.0</v>
      </c>
      <c r="L572" s="63">
        <v>19.15</v>
      </c>
      <c r="M572" s="66">
        <f t="shared" si="1"/>
        <v>195.19</v>
      </c>
    </row>
    <row r="573">
      <c r="A573" s="67"/>
      <c r="B573" s="67"/>
      <c r="C573" s="67"/>
      <c r="D573" s="67"/>
      <c r="E573" s="67"/>
      <c r="F573" s="68"/>
      <c r="G573" s="68"/>
      <c r="H573" s="68"/>
      <c r="I573" s="68"/>
      <c r="J573" s="68"/>
      <c r="K573" s="69">
        <v>8000.0</v>
      </c>
      <c r="L573" s="69">
        <v>18.8</v>
      </c>
      <c r="M573" s="68">
        <f t="shared" si="1"/>
        <v>210</v>
      </c>
    </row>
    <row r="574">
      <c r="A574" s="70"/>
      <c r="B574" s="70"/>
      <c r="C574" s="70"/>
      <c r="D574" s="70"/>
      <c r="E574" s="70"/>
      <c r="F574" s="66"/>
      <c r="G574" s="66"/>
      <c r="H574" s="66"/>
      <c r="I574" s="66"/>
      <c r="J574" s="66"/>
      <c r="K574" s="63">
        <v>8500.0</v>
      </c>
      <c r="L574" s="63">
        <v>17.66</v>
      </c>
      <c r="M574" s="66">
        <f t="shared" si="1"/>
        <v>209.59</v>
      </c>
    </row>
    <row r="575">
      <c r="A575" s="67"/>
      <c r="B575" s="67"/>
      <c r="C575" s="67"/>
      <c r="D575" s="67"/>
      <c r="E575" s="67"/>
      <c r="F575" s="68"/>
      <c r="G575" s="68"/>
      <c r="H575" s="68"/>
      <c r="I575" s="68"/>
      <c r="J575" s="68"/>
      <c r="K575" s="69">
        <v>9000.0</v>
      </c>
      <c r="L575" s="69">
        <v>16.25</v>
      </c>
      <c r="M575" s="68">
        <f t="shared" si="1"/>
        <v>204.2</v>
      </c>
    </row>
    <row r="576">
      <c r="A576" s="70"/>
      <c r="B576" s="70"/>
      <c r="C576" s="70"/>
      <c r="D576" s="70"/>
      <c r="E576" s="70"/>
      <c r="F576" s="66"/>
      <c r="G576" s="66"/>
      <c r="H576" s="66"/>
      <c r="I576" s="66"/>
      <c r="J576" s="66"/>
      <c r="K576" s="63">
        <v>9500.0</v>
      </c>
      <c r="L576" s="63">
        <v>14.2</v>
      </c>
      <c r="M576" s="66">
        <f t="shared" si="1"/>
        <v>188.36</v>
      </c>
    </row>
    <row r="577">
      <c r="A577" s="67"/>
      <c r="B577" s="67"/>
      <c r="C577" s="67"/>
      <c r="D577" s="67"/>
      <c r="E577" s="67"/>
      <c r="F577" s="68"/>
      <c r="G577" s="68"/>
      <c r="H577" s="68"/>
      <c r="I577" s="68"/>
      <c r="J577" s="68"/>
      <c r="K577" s="69">
        <v>10000.0</v>
      </c>
      <c r="L577" s="69">
        <v>11.5</v>
      </c>
      <c r="M577" s="68">
        <f t="shared" si="1"/>
        <v>160.57</v>
      </c>
    </row>
    <row r="578">
      <c r="A578" s="63">
        <v>39.0</v>
      </c>
      <c r="B578" s="63">
        <v>51.0</v>
      </c>
      <c r="C578" s="64" t="s">
        <v>165</v>
      </c>
      <c r="D578" s="64" t="s">
        <v>166</v>
      </c>
      <c r="E578" s="64" t="s">
        <v>167</v>
      </c>
      <c r="F578" s="65">
        <v>9000.0</v>
      </c>
      <c r="G578" s="65">
        <v>9000.0</v>
      </c>
      <c r="H578" s="65">
        <v>700.0</v>
      </c>
      <c r="I578" s="65">
        <v>7500.0</v>
      </c>
      <c r="J578" s="65">
        <v>8300.0</v>
      </c>
      <c r="K578" s="63">
        <v>500.0</v>
      </c>
      <c r="L578" s="63">
        <v>14.2</v>
      </c>
      <c r="M578" s="66">
        <f t="shared" si="1"/>
        <v>9.91</v>
      </c>
    </row>
    <row r="579">
      <c r="A579" s="67"/>
      <c r="B579" s="67"/>
      <c r="C579" s="67"/>
      <c r="D579" s="67"/>
      <c r="E579" s="67"/>
      <c r="F579" s="68"/>
      <c r="G579" s="68"/>
      <c r="H579" s="68"/>
      <c r="I579" s="68"/>
      <c r="J579" s="68"/>
      <c r="K579" s="69">
        <v>1000.0</v>
      </c>
      <c r="L579" s="69">
        <v>15.1</v>
      </c>
      <c r="M579" s="68">
        <f t="shared" si="1"/>
        <v>21.08</v>
      </c>
    </row>
    <row r="580">
      <c r="A580" s="70"/>
      <c r="B580" s="70"/>
      <c r="C580" s="70"/>
      <c r="D580" s="70"/>
      <c r="E580" s="70"/>
      <c r="F580" s="66"/>
      <c r="G580" s="66"/>
      <c r="H580" s="66"/>
      <c r="I580" s="66"/>
      <c r="J580" s="66"/>
      <c r="K580" s="63">
        <v>1500.0</v>
      </c>
      <c r="L580" s="63">
        <v>16.05</v>
      </c>
      <c r="M580" s="66">
        <f t="shared" si="1"/>
        <v>33.61</v>
      </c>
    </row>
    <row r="581">
      <c r="A581" s="67"/>
      <c r="B581" s="67"/>
      <c r="C581" s="67"/>
      <c r="D581" s="67"/>
      <c r="E581" s="67"/>
      <c r="F581" s="68"/>
      <c r="G581" s="68"/>
      <c r="H581" s="68"/>
      <c r="I581" s="68"/>
      <c r="J581" s="68"/>
      <c r="K581" s="69">
        <v>2000.0</v>
      </c>
      <c r="L581" s="69">
        <v>16.92</v>
      </c>
      <c r="M581" s="68">
        <f t="shared" si="1"/>
        <v>47.25</v>
      </c>
    </row>
    <row r="582">
      <c r="A582" s="70"/>
      <c r="B582" s="70"/>
      <c r="C582" s="70"/>
      <c r="D582" s="70"/>
      <c r="E582" s="70"/>
      <c r="F582" s="66"/>
      <c r="G582" s="66"/>
      <c r="H582" s="66"/>
      <c r="I582" s="66"/>
      <c r="J582" s="66"/>
      <c r="K582" s="63">
        <v>2500.0</v>
      </c>
      <c r="L582" s="63">
        <v>17.61</v>
      </c>
      <c r="M582" s="66">
        <f t="shared" si="1"/>
        <v>61.47</v>
      </c>
    </row>
    <row r="583">
      <c r="A583" s="67"/>
      <c r="B583" s="67"/>
      <c r="C583" s="67"/>
      <c r="D583" s="67"/>
      <c r="E583" s="67"/>
      <c r="F583" s="68"/>
      <c r="G583" s="68"/>
      <c r="H583" s="68"/>
      <c r="I583" s="68"/>
      <c r="J583" s="68"/>
      <c r="K583" s="69">
        <v>3000.0</v>
      </c>
      <c r="L583" s="69">
        <v>18.34</v>
      </c>
      <c r="M583" s="68">
        <f t="shared" si="1"/>
        <v>76.82</v>
      </c>
    </row>
    <row r="584">
      <c r="A584" s="70"/>
      <c r="B584" s="70"/>
      <c r="C584" s="70"/>
      <c r="D584" s="70"/>
      <c r="E584" s="70"/>
      <c r="F584" s="66"/>
      <c r="G584" s="66"/>
      <c r="H584" s="66"/>
      <c r="I584" s="66"/>
      <c r="J584" s="66"/>
      <c r="K584" s="63">
        <v>3500.0</v>
      </c>
      <c r="L584" s="63">
        <v>18.68</v>
      </c>
      <c r="M584" s="66">
        <f t="shared" si="1"/>
        <v>91.29</v>
      </c>
    </row>
    <row r="585">
      <c r="A585" s="67"/>
      <c r="B585" s="67"/>
      <c r="C585" s="67"/>
      <c r="D585" s="67"/>
      <c r="E585" s="67"/>
      <c r="F585" s="68"/>
      <c r="G585" s="68"/>
      <c r="H585" s="68"/>
      <c r="I585" s="68"/>
      <c r="J585" s="68"/>
      <c r="K585" s="69">
        <v>4000.0</v>
      </c>
      <c r="L585" s="69">
        <v>18.72</v>
      </c>
      <c r="M585" s="68">
        <f t="shared" si="1"/>
        <v>104.55</v>
      </c>
    </row>
    <row r="586">
      <c r="A586" s="70"/>
      <c r="B586" s="70"/>
      <c r="C586" s="70"/>
      <c r="D586" s="70"/>
      <c r="E586" s="70"/>
      <c r="F586" s="66"/>
      <c r="G586" s="66"/>
      <c r="H586" s="66"/>
      <c r="I586" s="66"/>
      <c r="J586" s="66"/>
      <c r="K586" s="63">
        <v>4500.0</v>
      </c>
      <c r="L586" s="63">
        <v>18.65</v>
      </c>
      <c r="M586" s="66">
        <f t="shared" si="1"/>
        <v>117.18</v>
      </c>
    </row>
    <row r="587">
      <c r="A587" s="67"/>
      <c r="B587" s="67"/>
      <c r="C587" s="67"/>
      <c r="D587" s="67"/>
      <c r="E587" s="67"/>
      <c r="F587" s="68"/>
      <c r="G587" s="68"/>
      <c r="H587" s="68"/>
      <c r="I587" s="68"/>
      <c r="J587" s="68"/>
      <c r="K587" s="69">
        <v>5000.0</v>
      </c>
      <c r="L587" s="69">
        <v>18.78</v>
      </c>
      <c r="M587" s="68">
        <f t="shared" si="1"/>
        <v>131.11</v>
      </c>
    </row>
    <row r="588">
      <c r="A588" s="70"/>
      <c r="B588" s="70"/>
      <c r="C588" s="70"/>
      <c r="D588" s="70"/>
      <c r="E588" s="70"/>
      <c r="F588" s="66"/>
      <c r="G588" s="66"/>
      <c r="H588" s="66"/>
      <c r="I588" s="66"/>
      <c r="J588" s="66"/>
      <c r="K588" s="63">
        <v>5500.0</v>
      </c>
      <c r="L588" s="63">
        <v>19.69</v>
      </c>
      <c r="M588" s="66">
        <f t="shared" si="1"/>
        <v>151.21</v>
      </c>
    </row>
    <row r="589">
      <c r="A589" s="67"/>
      <c r="B589" s="67"/>
      <c r="C589" s="67"/>
      <c r="D589" s="67"/>
      <c r="E589" s="67"/>
      <c r="F589" s="68"/>
      <c r="G589" s="68"/>
      <c r="H589" s="68"/>
      <c r="I589" s="68"/>
      <c r="J589" s="68"/>
      <c r="K589" s="69">
        <v>6000.0</v>
      </c>
      <c r="L589" s="69">
        <v>20.44</v>
      </c>
      <c r="M589" s="68">
        <f t="shared" si="1"/>
        <v>171.24</v>
      </c>
    </row>
    <row r="590">
      <c r="A590" s="70"/>
      <c r="B590" s="70"/>
      <c r="C590" s="70"/>
      <c r="D590" s="70"/>
      <c r="E590" s="70"/>
      <c r="F590" s="66"/>
      <c r="G590" s="66"/>
      <c r="H590" s="66"/>
      <c r="I590" s="66"/>
      <c r="J590" s="66"/>
      <c r="K590" s="63">
        <v>6500.0</v>
      </c>
      <c r="L590" s="63">
        <v>20.79</v>
      </c>
      <c r="M590" s="66">
        <f t="shared" si="1"/>
        <v>188.68</v>
      </c>
    </row>
    <row r="591">
      <c r="A591" s="67"/>
      <c r="B591" s="67"/>
      <c r="C591" s="67"/>
      <c r="D591" s="67"/>
      <c r="E591" s="67"/>
      <c r="F591" s="68"/>
      <c r="G591" s="68"/>
      <c r="H591" s="68"/>
      <c r="I591" s="68"/>
      <c r="J591" s="68"/>
      <c r="K591" s="69">
        <v>7000.0</v>
      </c>
      <c r="L591" s="69">
        <v>20.97</v>
      </c>
      <c r="M591" s="68">
        <f t="shared" si="1"/>
        <v>204.96</v>
      </c>
    </row>
    <row r="592">
      <c r="A592" s="70"/>
      <c r="B592" s="70"/>
      <c r="C592" s="70"/>
      <c r="D592" s="70"/>
      <c r="E592" s="70"/>
      <c r="F592" s="66"/>
      <c r="G592" s="66"/>
      <c r="H592" s="66"/>
      <c r="I592" s="66"/>
      <c r="J592" s="66"/>
      <c r="K592" s="63">
        <v>7500.0</v>
      </c>
      <c r="L592" s="63">
        <v>20.73</v>
      </c>
      <c r="M592" s="66">
        <f t="shared" si="1"/>
        <v>217.08</v>
      </c>
    </row>
    <row r="593">
      <c r="A593" s="67"/>
      <c r="B593" s="67"/>
      <c r="C593" s="67"/>
      <c r="D593" s="67"/>
      <c r="E593" s="67"/>
      <c r="F593" s="68"/>
      <c r="G593" s="68"/>
      <c r="H593" s="68"/>
      <c r="I593" s="68"/>
      <c r="J593" s="68"/>
      <c r="K593" s="69">
        <v>8000.0</v>
      </c>
      <c r="L593" s="69">
        <v>20.32</v>
      </c>
      <c r="M593" s="68">
        <f t="shared" si="1"/>
        <v>226.98</v>
      </c>
    </row>
    <row r="594">
      <c r="A594" s="70"/>
      <c r="B594" s="70"/>
      <c r="C594" s="70"/>
      <c r="D594" s="70"/>
      <c r="E594" s="70"/>
      <c r="F594" s="66"/>
      <c r="G594" s="66"/>
      <c r="H594" s="66"/>
      <c r="I594" s="66"/>
      <c r="J594" s="66"/>
      <c r="K594" s="63">
        <v>8300.0</v>
      </c>
      <c r="L594" s="63">
        <v>19.77</v>
      </c>
      <c r="M594" s="66">
        <f t="shared" si="1"/>
        <v>229.11</v>
      </c>
    </row>
    <row r="595">
      <c r="A595" s="67"/>
      <c r="B595" s="67"/>
      <c r="C595" s="67"/>
      <c r="D595" s="67"/>
      <c r="E595" s="67"/>
      <c r="F595" s="68"/>
      <c r="G595" s="68"/>
      <c r="H595" s="68"/>
      <c r="I595" s="68"/>
      <c r="J595" s="68"/>
      <c r="K595" s="69">
        <v>9000.0</v>
      </c>
      <c r="L595" s="69">
        <v>17.23</v>
      </c>
      <c r="M595" s="68">
        <f t="shared" si="1"/>
        <v>216.52</v>
      </c>
    </row>
    <row r="596">
      <c r="A596" s="70"/>
      <c r="B596" s="70"/>
      <c r="C596" s="70"/>
      <c r="D596" s="70"/>
      <c r="E596" s="70"/>
      <c r="F596" s="66"/>
      <c r="G596" s="66"/>
      <c r="H596" s="66"/>
      <c r="I596" s="66"/>
      <c r="J596" s="66"/>
      <c r="K596" s="63">
        <v>9500.0</v>
      </c>
      <c r="L596" s="63">
        <v>14.32</v>
      </c>
      <c r="M596" s="66">
        <f t="shared" si="1"/>
        <v>189.95</v>
      </c>
    </row>
    <row r="597">
      <c r="A597" s="68">
        <v>40.0</v>
      </c>
      <c r="B597" s="68">
        <v>52.0</v>
      </c>
      <c r="C597" s="71" t="s">
        <v>168</v>
      </c>
      <c r="D597" s="71" t="s">
        <v>169</v>
      </c>
      <c r="E597" s="71" t="s">
        <v>170</v>
      </c>
      <c r="F597" s="72">
        <v>6800.0</v>
      </c>
      <c r="G597" s="72">
        <v>6900.0</v>
      </c>
      <c r="H597" s="72">
        <v>700.0</v>
      </c>
      <c r="I597" s="72">
        <v>5000.0</v>
      </c>
      <c r="J597" s="72">
        <v>5800.0</v>
      </c>
      <c r="K597" s="69">
        <v>500.0</v>
      </c>
      <c r="L597" s="69">
        <v>16.87</v>
      </c>
      <c r="M597" s="68">
        <f t="shared" si="1"/>
        <v>11.78</v>
      </c>
    </row>
    <row r="598">
      <c r="A598" s="70"/>
      <c r="B598" s="70"/>
      <c r="C598" s="70"/>
      <c r="D598" s="70"/>
      <c r="E598" s="70"/>
      <c r="F598" s="66"/>
      <c r="G598" s="66"/>
      <c r="H598" s="66"/>
      <c r="I598" s="66"/>
      <c r="J598" s="66"/>
      <c r="K598" s="63">
        <v>1000.0</v>
      </c>
      <c r="L598" s="63">
        <v>20.84</v>
      </c>
      <c r="M598" s="66">
        <f t="shared" si="1"/>
        <v>29.1</v>
      </c>
    </row>
    <row r="599">
      <c r="A599" s="67"/>
      <c r="B599" s="67"/>
      <c r="C599" s="67"/>
      <c r="D599" s="67"/>
      <c r="E599" s="67"/>
      <c r="F599" s="68"/>
      <c r="G599" s="68"/>
      <c r="H599" s="68"/>
      <c r="I599" s="68"/>
      <c r="J599" s="68"/>
      <c r="K599" s="69">
        <v>1500.0</v>
      </c>
      <c r="L599" s="69">
        <v>23.26</v>
      </c>
      <c r="M599" s="68">
        <f t="shared" si="1"/>
        <v>48.72</v>
      </c>
    </row>
    <row r="600">
      <c r="A600" s="70"/>
      <c r="B600" s="70"/>
      <c r="C600" s="70"/>
      <c r="D600" s="70"/>
      <c r="E600" s="70"/>
      <c r="F600" s="66"/>
      <c r="G600" s="66"/>
      <c r="H600" s="66"/>
      <c r="I600" s="66"/>
      <c r="J600" s="66"/>
      <c r="K600" s="63">
        <v>2000.0</v>
      </c>
      <c r="L600" s="63">
        <v>24.47</v>
      </c>
      <c r="M600" s="66">
        <f t="shared" si="1"/>
        <v>68.33</v>
      </c>
    </row>
    <row r="601">
      <c r="A601" s="67"/>
      <c r="B601" s="67"/>
      <c r="C601" s="67"/>
      <c r="D601" s="67"/>
      <c r="E601" s="67"/>
      <c r="F601" s="68"/>
      <c r="G601" s="68"/>
      <c r="H601" s="68"/>
      <c r="I601" s="68"/>
      <c r="J601" s="68"/>
      <c r="K601" s="69">
        <v>2500.0</v>
      </c>
      <c r="L601" s="69">
        <v>24.98</v>
      </c>
      <c r="M601" s="68">
        <f t="shared" si="1"/>
        <v>87.2</v>
      </c>
    </row>
    <row r="602">
      <c r="A602" s="73"/>
      <c r="B602" s="73"/>
      <c r="C602" s="73"/>
      <c r="D602" s="73"/>
      <c r="E602" s="73"/>
      <c r="F602" s="66"/>
      <c r="G602" s="66"/>
      <c r="H602" s="66"/>
      <c r="I602" s="66"/>
      <c r="J602" s="66"/>
      <c r="K602" s="63">
        <v>3000.0</v>
      </c>
      <c r="L602" s="63">
        <v>25.49</v>
      </c>
      <c r="M602" s="66">
        <f t="shared" si="1"/>
        <v>106.77</v>
      </c>
    </row>
    <row r="603">
      <c r="A603" s="67"/>
      <c r="B603" s="67"/>
      <c r="C603" s="67"/>
      <c r="D603" s="67"/>
      <c r="E603" s="67"/>
      <c r="F603" s="68"/>
      <c r="G603" s="68"/>
      <c r="H603" s="68"/>
      <c r="I603" s="68"/>
      <c r="J603" s="68"/>
      <c r="K603" s="69">
        <v>3500.0</v>
      </c>
      <c r="L603" s="69">
        <v>26.0</v>
      </c>
      <c r="M603" s="68">
        <f t="shared" si="1"/>
        <v>127.06</v>
      </c>
    </row>
    <row r="604">
      <c r="A604" s="70"/>
      <c r="B604" s="70"/>
      <c r="C604" s="70"/>
      <c r="D604" s="70"/>
      <c r="E604" s="70"/>
      <c r="F604" s="66"/>
      <c r="G604" s="66"/>
      <c r="H604" s="66"/>
      <c r="I604" s="66"/>
      <c r="J604" s="66"/>
      <c r="K604" s="63">
        <v>4000.0</v>
      </c>
      <c r="L604" s="63">
        <v>26.51</v>
      </c>
      <c r="M604" s="66">
        <f t="shared" si="1"/>
        <v>148.06</v>
      </c>
    </row>
    <row r="605">
      <c r="A605" s="67"/>
      <c r="B605" s="67"/>
      <c r="C605" s="67"/>
      <c r="D605" s="67"/>
      <c r="E605" s="67"/>
      <c r="F605" s="68"/>
      <c r="G605" s="68"/>
      <c r="H605" s="68"/>
      <c r="I605" s="68"/>
      <c r="J605" s="68"/>
      <c r="K605" s="69">
        <v>4500.0</v>
      </c>
      <c r="L605" s="69">
        <v>27.02</v>
      </c>
      <c r="M605" s="68">
        <f t="shared" si="1"/>
        <v>169.77</v>
      </c>
    </row>
    <row r="606">
      <c r="A606" s="70"/>
      <c r="B606" s="70"/>
      <c r="C606" s="70"/>
      <c r="D606" s="70"/>
      <c r="E606" s="70"/>
      <c r="F606" s="66"/>
      <c r="G606" s="66"/>
      <c r="H606" s="66"/>
      <c r="I606" s="66"/>
      <c r="J606" s="66"/>
      <c r="K606" s="63">
        <v>5000.0</v>
      </c>
      <c r="L606" s="63">
        <v>27.53</v>
      </c>
      <c r="M606" s="66">
        <f t="shared" si="1"/>
        <v>192.19</v>
      </c>
    </row>
    <row r="607">
      <c r="A607" s="67"/>
      <c r="B607" s="67"/>
      <c r="C607" s="67"/>
      <c r="D607" s="67"/>
      <c r="E607" s="67"/>
      <c r="F607" s="68"/>
      <c r="G607" s="68"/>
      <c r="H607" s="68"/>
      <c r="I607" s="68"/>
      <c r="J607" s="68"/>
      <c r="K607" s="69">
        <v>5500.0</v>
      </c>
      <c r="L607" s="69">
        <v>26.37</v>
      </c>
      <c r="M607" s="68">
        <f t="shared" si="1"/>
        <v>202.51</v>
      </c>
    </row>
    <row r="608">
      <c r="A608" s="70"/>
      <c r="B608" s="70"/>
      <c r="C608" s="70"/>
      <c r="D608" s="70"/>
      <c r="E608" s="70"/>
      <c r="F608" s="66"/>
      <c r="G608" s="66"/>
      <c r="H608" s="66"/>
      <c r="I608" s="66"/>
      <c r="J608" s="66"/>
      <c r="K608" s="63">
        <v>6000.0</v>
      </c>
      <c r="L608" s="63">
        <v>25.02</v>
      </c>
      <c r="M608" s="66">
        <f t="shared" si="1"/>
        <v>209.61</v>
      </c>
    </row>
    <row r="609">
      <c r="A609" s="67"/>
      <c r="B609" s="67"/>
      <c r="C609" s="67"/>
      <c r="D609" s="67"/>
      <c r="E609" s="67"/>
      <c r="F609" s="68"/>
      <c r="G609" s="68"/>
      <c r="H609" s="68"/>
      <c r="I609" s="68"/>
      <c r="J609" s="68"/>
      <c r="K609" s="69">
        <v>6500.0</v>
      </c>
      <c r="L609" s="69">
        <v>22.67</v>
      </c>
      <c r="M609" s="68">
        <f t="shared" si="1"/>
        <v>205.75</v>
      </c>
    </row>
    <row r="610">
      <c r="A610" s="70"/>
      <c r="B610" s="70"/>
      <c r="C610" s="70"/>
      <c r="D610" s="70"/>
      <c r="E610" s="70"/>
      <c r="F610" s="66"/>
      <c r="G610" s="66"/>
      <c r="H610" s="66"/>
      <c r="I610" s="66"/>
      <c r="J610" s="66"/>
      <c r="K610" s="63">
        <v>7000.0</v>
      </c>
      <c r="L610" s="63">
        <v>18.3</v>
      </c>
      <c r="M610" s="66">
        <f t="shared" si="1"/>
        <v>178.86</v>
      </c>
    </row>
    <row r="611">
      <c r="A611" s="68">
        <v>41.0</v>
      </c>
      <c r="B611" s="68">
        <v>54.0</v>
      </c>
      <c r="C611" s="71" t="s">
        <v>171</v>
      </c>
      <c r="D611" s="71" t="s">
        <v>172</v>
      </c>
      <c r="E611" s="71" t="s">
        <v>173</v>
      </c>
      <c r="F611" s="72">
        <v>8000.0</v>
      </c>
      <c r="G611" s="72">
        <v>8200.0</v>
      </c>
      <c r="H611" s="72">
        <v>700.0</v>
      </c>
      <c r="I611" s="72">
        <v>5000.0</v>
      </c>
      <c r="J611" s="72">
        <v>6500.0</v>
      </c>
      <c r="K611" s="69">
        <v>500.0</v>
      </c>
      <c r="L611" s="69">
        <v>17.3</v>
      </c>
      <c r="M611" s="68">
        <f t="shared" si="1"/>
        <v>12.08</v>
      </c>
    </row>
    <row r="612">
      <c r="A612" s="70"/>
      <c r="B612" s="70"/>
      <c r="C612" s="70"/>
      <c r="D612" s="70"/>
      <c r="E612" s="70"/>
      <c r="F612" s="66"/>
      <c r="G612" s="66"/>
      <c r="H612" s="66"/>
      <c r="I612" s="66"/>
      <c r="J612" s="66"/>
      <c r="K612" s="63">
        <v>1000.0</v>
      </c>
      <c r="L612" s="63">
        <v>21.2</v>
      </c>
      <c r="M612" s="66">
        <f t="shared" si="1"/>
        <v>29.6</v>
      </c>
    </row>
    <row r="613">
      <c r="A613" s="67"/>
      <c r="B613" s="67"/>
      <c r="C613" s="67"/>
      <c r="D613" s="67"/>
      <c r="E613" s="67"/>
      <c r="F613" s="68"/>
      <c r="G613" s="68"/>
      <c r="H613" s="68"/>
      <c r="I613" s="68"/>
      <c r="J613" s="68"/>
      <c r="K613" s="69">
        <v>1500.0</v>
      </c>
      <c r="L613" s="69">
        <v>24.2</v>
      </c>
      <c r="M613" s="68">
        <f t="shared" si="1"/>
        <v>50.68</v>
      </c>
    </row>
    <row r="614">
      <c r="A614" s="70"/>
      <c r="B614" s="70"/>
      <c r="C614" s="70"/>
      <c r="D614" s="70"/>
      <c r="E614" s="70"/>
      <c r="F614" s="66"/>
      <c r="G614" s="66"/>
      <c r="H614" s="66"/>
      <c r="I614" s="66"/>
      <c r="J614" s="66"/>
      <c r="K614" s="63">
        <v>2000.0</v>
      </c>
      <c r="L614" s="63">
        <v>26.3</v>
      </c>
      <c r="M614" s="66">
        <f t="shared" si="1"/>
        <v>73.44</v>
      </c>
    </row>
    <row r="615">
      <c r="A615" s="67"/>
      <c r="B615" s="67"/>
      <c r="C615" s="67"/>
      <c r="D615" s="67"/>
      <c r="E615" s="67"/>
      <c r="F615" s="68"/>
      <c r="G615" s="68"/>
      <c r="H615" s="68"/>
      <c r="I615" s="68"/>
      <c r="J615" s="68"/>
      <c r="K615" s="69">
        <v>2500.0</v>
      </c>
      <c r="L615" s="69">
        <v>28.1</v>
      </c>
      <c r="M615" s="68">
        <f t="shared" si="1"/>
        <v>98.09</v>
      </c>
    </row>
    <row r="616">
      <c r="A616" s="70"/>
      <c r="B616" s="70"/>
      <c r="C616" s="70"/>
      <c r="D616" s="70"/>
      <c r="E616" s="70"/>
      <c r="F616" s="66"/>
      <c r="G616" s="66"/>
      <c r="H616" s="66"/>
      <c r="I616" s="66"/>
      <c r="J616" s="66"/>
      <c r="K616" s="63">
        <v>3000.0</v>
      </c>
      <c r="L616" s="63">
        <v>29.0</v>
      </c>
      <c r="M616" s="66">
        <f t="shared" si="1"/>
        <v>121.47</v>
      </c>
    </row>
    <row r="617">
      <c r="A617" s="67"/>
      <c r="B617" s="67"/>
      <c r="C617" s="67"/>
      <c r="D617" s="67"/>
      <c r="E617" s="67"/>
      <c r="F617" s="68"/>
      <c r="G617" s="68"/>
      <c r="H617" s="68"/>
      <c r="I617" s="68"/>
      <c r="J617" s="68"/>
      <c r="K617" s="69">
        <v>3500.0</v>
      </c>
      <c r="L617" s="69">
        <v>29.4</v>
      </c>
      <c r="M617" s="68">
        <f t="shared" si="1"/>
        <v>143.67</v>
      </c>
    </row>
    <row r="618">
      <c r="A618" s="70"/>
      <c r="B618" s="70"/>
      <c r="C618" s="70"/>
      <c r="D618" s="70"/>
      <c r="E618" s="70"/>
      <c r="F618" s="66"/>
      <c r="G618" s="66"/>
      <c r="H618" s="66"/>
      <c r="I618" s="66"/>
      <c r="J618" s="66"/>
      <c r="K618" s="63">
        <v>4000.0</v>
      </c>
      <c r="L618" s="63">
        <v>29.9</v>
      </c>
      <c r="M618" s="66">
        <f t="shared" si="1"/>
        <v>166.99</v>
      </c>
    </row>
    <row r="619">
      <c r="A619" s="67"/>
      <c r="B619" s="67"/>
      <c r="C619" s="67"/>
      <c r="D619" s="67"/>
      <c r="E619" s="67"/>
      <c r="F619" s="68"/>
      <c r="G619" s="68"/>
      <c r="H619" s="68"/>
      <c r="I619" s="68"/>
      <c r="J619" s="68"/>
      <c r="K619" s="69">
        <v>4500.0</v>
      </c>
      <c r="L619" s="69">
        <v>30.9</v>
      </c>
      <c r="M619" s="68">
        <f t="shared" si="1"/>
        <v>194.15</v>
      </c>
    </row>
    <row r="620">
      <c r="A620" s="70"/>
      <c r="B620" s="70"/>
      <c r="C620" s="70"/>
      <c r="D620" s="70"/>
      <c r="E620" s="70"/>
      <c r="F620" s="66"/>
      <c r="G620" s="66"/>
      <c r="H620" s="66"/>
      <c r="I620" s="66"/>
      <c r="J620" s="66"/>
      <c r="K620" s="63">
        <v>5000.0</v>
      </c>
      <c r="L620" s="63">
        <v>32.0</v>
      </c>
      <c r="M620" s="66">
        <f t="shared" si="1"/>
        <v>223.4</v>
      </c>
    </row>
    <row r="621">
      <c r="A621" s="67"/>
      <c r="B621" s="67"/>
      <c r="C621" s="67"/>
      <c r="D621" s="67"/>
      <c r="E621" s="67"/>
      <c r="F621" s="68"/>
      <c r="G621" s="68"/>
      <c r="H621" s="68"/>
      <c r="I621" s="68"/>
      <c r="J621" s="68"/>
      <c r="K621" s="69">
        <v>5500.0</v>
      </c>
      <c r="L621" s="69">
        <v>32.6</v>
      </c>
      <c r="M621" s="68">
        <f t="shared" si="1"/>
        <v>250.35</v>
      </c>
    </row>
    <row r="622">
      <c r="A622" s="70"/>
      <c r="B622" s="70"/>
      <c r="C622" s="70"/>
      <c r="D622" s="70"/>
      <c r="E622" s="70"/>
      <c r="F622" s="66"/>
      <c r="G622" s="66"/>
      <c r="H622" s="66"/>
      <c r="I622" s="66"/>
      <c r="J622" s="66"/>
      <c r="K622" s="63">
        <v>6000.0</v>
      </c>
      <c r="L622" s="63">
        <v>32.2</v>
      </c>
      <c r="M622" s="66">
        <f t="shared" si="1"/>
        <v>269.76</v>
      </c>
    </row>
    <row r="623">
      <c r="A623" s="67"/>
      <c r="B623" s="67"/>
      <c r="C623" s="67"/>
      <c r="D623" s="67"/>
      <c r="E623" s="67"/>
      <c r="F623" s="68"/>
      <c r="G623" s="68"/>
      <c r="H623" s="68"/>
      <c r="I623" s="68"/>
      <c r="J623" s="68"/>
      <c r="K623" s="69">
        <v>6500.0</v>
      </c>
      <c r="L623" s="69">
        <v>30.8</v>
      </c>
      <c r="M623" s="68">
        <f t="shared" si="1"/>
        <v>279.53</v>
      </c>
    </row>
    <row r="624">
      <c r="A624" s="70"/>
      <c r="B624" s="70"/>
      <c r="C624" s="70"/>
      <c r="D624" s="70"/>
      <c r="E624" s="70"/>
      <c r="F624" s="66"/>
      <c r="G624" s="66"/>
      <c r="H624" s="66"/>
      <c r="I624" s="66"/>
      <c r="J624" s="66"/>
      <c r="K624" s="63">
        <v>7000.0</v>
      </c>
      <c r="L624" s="63">
        <v>28.8</v>
      </c>
      <c r="M624" s="66">
        <f t="shared" si="1"/>
        <v>281.49</v>
      </c>
    </row>
    <row r="625">
      <c r="A625" s="67"/>
      <c r="B625" s="67"/>
      <c r="C625" s="67"/>
      <c r="D625" s="67"/>
      <c r="E625" s="67"/>
      <c r="F625" s="68"/>
      <c r="G625" s="68"/>
      <c r="H625" s="68"/>
      <c r="I625" s="68"/>
      <c r="J625" s="68"/>
      <c r="K625" s="69">
        <v>7500.0</v>
      </c>
      <c r="L625" s="69">
        <v>26.2</v>
      </c>
      <c r="M625" s="68">
        <f t="shared" si="1"/>
        <v>274.36</v>
      </c>
    </row>
    <row r="626">
      <c r="A626" s="73"/>
      <c r="B626" s="73"/>
      <c r="C626" s="73"/>
      <c r="D626" s="73"/>
      <c r="E626" s="73"/>
      <c r="F626" s="66"/>
      <c r="G626" s="66"/>
      <c r="H626" s="66"/>
      <c r="I626" s="66"/>
      <c r="J626" s="66"/>
      <c r="K626" s="63">
        <v>8000.0</v>
      </c>
      <c r="L626" s="63">
        <v>22.7</v>
      </c>
      <c r="M626" s="66">
        <f t="shared" si="1"/>
        <v>253.56</v>
      </c>
    </row>
    <row r="627">
      <c r="A627" s="67"/>
      <c r="B627" s="67"/>
      <c r="C627" s="67"/>
      <c r="D627" s="67"/>
      <c r="E627" s="67"/>
      <c r="F627" s="68"/>
      <c r="G627" s="68"/>
      <c r="H627" s="68"/>
      <c r="I627" s="68"/>
      <c r="J627" s="68"/>
      <c r="K627" s="69">
        <v>8500.0</v>
      </c>
      <c r="L627" s="69">
        <v>18.0</v>
      </c>
      <c r="M627" s="68">
        <f t="shared" si="1"/>
        <v>213.63</v>
      </c>
    </row>
    <row r="628">
      <c r="A628" s="66">
        <v>42.0</v>
      </c>
      <c r="B628" s="66">
        <v>56.0</v>
      </c>
      <c r="C628" s="74" t="s">
        <v>174</v>
      </c>
      <c r="D628" s="74" t="s">
        <v>175</v>
      </c>
      <c r="E628" s="74" t="s">
        <v>176</v>
      </c>
      <c r="F628" s="65">
        <v>7000.0</v>
      </c>
      <c r="G628" s="65">
        <v>7000.0</v>
      </c>
      <c r="H628" s="65">
        <v>700.0</v>
      </c>
      <c r="I628" s="65">
        <v>5000.0</v>
      </c>
      <c r="J628" s="65">
        <v>6500.0</v>
      </c>
      <c r="K628" s="63">
        <v>500.0</v>
      </c>
      <c r="L628" s="63">
        <v>24.34</v>
      </c>
      <c r="M628" s="66">
        <f t="shared" si="1"/>
        <v>16.99</v>
      </c>
    </row>
    <row r="629">
      <c r="A629" s="67"/>
      <c r="B629" s="67"/>
      <c r="C629" s="67"/>
      <c r="D629" s="67"/>
      <c r="E629" s="67"/>
      <c r="F629" s="68"/>
      <c r="G629" s="68"/>
      <c r="H629" s="68"/>
      <c r="I629" s="68"/>
      <c r="J629" s="68"/>
      <c r="K629" s="69">
        <v>1000.0</v>
      </c>
      <c r="L629" s="69">
        <v>26.38</v>
      </c>
      <c r="M629" s="68">
        <f t="shared" si="1"/>
        <v>36.83</v>
      </c>
    </row>
    <row r="630">
      <c r="A630" s="70"/>
      <c r="B630" s="70"/>
      <c r="C630" s="70"/>
      <c r="D630" s="70"/>
      <c r="E630" s="70"/>
      <c r="F630" s="66"/>
      <c r="G630" s="66"/>
      <c r="H630" s="66"/>
      <c r="I630" s="66"/>
      <c r="J630" s="66"/>
      <c r="K630" s="63">
        <v>1500.0</v>
      </c>
      <c r="L630" s="63">
        <v>27.71</v>
      </c>
      <c r="M630" s="66">
        <f t="shared" si="1"/>
        <v>58.04</v>
      </c>
    </row>
    <row r="631">
      <c r="A631" s="67"/>
      <c r="B631" s="67"/>
      <c r="C631" s="67"/>
      <c r="D631" s="67"/>
      <c r="E631" s="67"/>
      <c r="F631" s="68"/>
      <c r="G631" s="68"/>
      <c r="H631" s="68"/>
      <c r="I631" s="68"/>
      <c r="J631" s="68"/>
      <c r="K631" s="69">
        <v>2000.0</v>
      </c>
      <c r="L631" s="69">
        <v>28.55</v>
      </c>
      <c r="M631" s="68">
        <f t="shared" si="1"/>
        <v>79.73</v>
      </c>
    </row>
    <row r="632">
      <c r="A632" s="70"/>
      <c r="B632" s="70"/>
      <c r="C632" s="70"/>
      <c r="D632" s="70"/>
      <c r="E632" s="70"/>
      <c r="F632" s="66"/>
      <c r="G632" s="66"/>
      <c r="H632" s="66"/>
      <c r="I632" s="66"/>
      <c r="J632" s="66"/>
      <c r="K632" s="63">
        <v>2500.0</v>
      </c>
      <c r="L632" s="63">
        <v>29.06</v>
      </c>
      <c r="M632" s="66">
        <f t="shared" si="1"/>
        <v>101.44</v>
      </c>
    </row>
    <row r="633">
      <c r="A633" s="67"/>
      <c r="B633" s="67"/>
      <c r="C633" s="67"/>
      <c r="D633" s="67"/>
      <c r="E633" s="67"/>
      <c r="F633" s="68"/>
      <c r="G633" s="68"/>
      <c r="H633" s="68"/>
      <c r="I633" s="68"/>
      <c r="J633" s="68"/>
      <c r="K633" s="69">
        <v>3000.0</v>
      </c>
      <c r="L633" s="69">
        <v>29.97</v>
      </c>
      <c r="M633" s="68">
        <f t="shared" si="1"/>
        <v>125.54</v>
      </c>
    </row>
    <row r="634">
      <c r="A634" s="70"/>
      <c r="B634" s="70"/>
      <c r="C634" s="70"/>
      <c r="D634" s="70"/>
      <c r="E634" s="70"/>
      <c r="F634" s="66"/>
      <c r="G634" s="66"/>
      <c r="H634" s="66"/>
      <c r="I634" s="66"/>
      <c r="J634" s="66"/>
      <c r="K634" s="63">
        <v>3500.0</v>
      </c>
      <c r="L634" s="63">
        <v>31.81</v>
      </c>
      <c r="M634" s="66">
        <f t="shared" si="1"/>
        <v>155.45</v>
      </c>
    </row>
    <row r="635">
      <c r="A635" s="67"/>
      <c r="B635" s="67"/>
      <c r="C635" s="67"/>
      <c r="D635" s="67"/>
      <c r="E635" s="67"/>
      <c r="F635" s="68"/>
      <c r="G635" s="68"/>
      <c r="H635" s="68"/>
      <c r="I635" s="68"/>
      <c r="J635" s="68"/>
      <c r="K635" s="69">
        <v>4000.0</v>
      </c>
      <c r="L635" s="69">
        <v>33.45</v>
      </c>
      <c r="M635" s="68">
        <f t="shared" si="1"/>
        <v>186.82</v>
      </c>
    </row>
    <row r="636">
      <c r="A636" s="70"/>
      <c r="B636" s="70"/>
      <c r="C636" s="70"/>
      <c r="D636" s="70"/>
      <c r="E636" s="70"/>
      <c r="F636" s="66"/>
      <c r="G636" s="66"/>
      <c r="H636" s="66"/>
      <c r="I636" s="66"/>
      <c r="J636" s="66"/>
      <c r="K636" s="63">
        <v>4500.0</v>
      </c>
      <c r="L636" s="63">
        <v>34.31</v>
      </c>
      <c r="M636" s="66">
        <f t="shared" si="1"/>
        <v>215.58</v>
      </c>
    </row>
    <row r="637">
      <c r="A637" s="67"/>
      <c r="B637" s="67"/>
      <c r="C637" s="67"/>
      <c r="D637" s="67"/>
      <c r="E637" s="67"/>
      <c r="F637" s="68"/>
      <c r="G637" s="68"/>
      <c r="H637" s="68"/>
      <c r="I637" s="68"/>
      <c r="J637" s="68"/>
      <c r="K637" s="69">
        <v>5000.0</v>
      </c>
      <c r="L637" s="69">
        <v>34.98</v>
      </c>
      <c r="M637" s="68">
        <f t="shared" si="1"/>
        <v>244.21</v>
      </c>
    </row>
    <row r="638">
      <c r="A638" s="70"/>
      <c r="B638" s="70"/>
      <c r="C638" s="70"/>
      <c r="D638" s="70"/>
      <c r="E638" s="70"/>
      <c r="F638" s="66"/>
      <c r="G638" s="66"/>
      <c r="H638" s="66"/>
      <c r="I638" s="66"/>
      <c r="J638" s="66"/>
      <c r="K638" s="63">
        <v>5500.0</v>
      </c>
      <c r="L638" s="63">
        <v>34.57</v>
      </c>
      <c r="M638" s="66">
        <f t="shared" si="1"/>
        <v>265.48</v>
      </c>
    </row>
    <row r="639">
      <c r="A639" s="67"/>
      <c r="B639" s="67"/>
      <c r="C639" s="67"/>
      <c r="D639" s="67"/>
      <c r="E639" s="67"/>
      <c r="F639" s="68"/>
      <c r="G639" s="68"/>
      <c r="H639" s="68"/>
      <c r="I639" s="68"/>
      <c r="J639" s="68"/>
      <c r="K639" s="69">
        <v>6000.0</v>
      </c>
      <c r="L639" s="69">
        <v>33.21</v>
      </c>
      <c r="M639" s="68">
        <f t="shared" si="1"/>
        <v>278.22</v>
      </c>
    </row>
    <row r="640">
      <c r="A640" s="70"/>
      <c r="B640" s="70"/>
      <c r="C640" s="70"/>
      <c r="D640" s="70"/>
      <c r="E640" s="70"/>
      <c r="F640" s="66"/>
      <c r="G640" s="66"/>
      <c r="H640" s="66"/>
      <c r="I640" s="66"/>
      <c r="J640" s="66"/>
      <c r="K640" s="63">
        <v>6500.0</v>
      </c>
      <c r="L640" s="63">
        <v>30.79</v>
      </c>
      <c r="M640" s="66">
        <f t="shared" si="1"/>
        <v>279.44</v>
      </c>
    </row>
    <row r="641">
      <c r="A641" s="67"/>
      <c r="B641" s="67"/>
      <c r="C641" s="67"/>
      <c r="D641" s="67"/>
      <c r="E641" s="67"/>
      <c r="F641" s="68"/>
      <c r="G641" s="68"/>
      <c r="H641" s="68"/>
      <c r="I641" s="68"/>
      <c r="J641" s="68"/>
      <c r="K641" s="69">
        <v>7000.0</v>
      </c>
      <c r="L641" s="69">
        <v>28.04</v>
      </c>
      <c r="M641" s="68">
        <f t="shared" si="1"/>
        <v>274.06</v>
      </c>
    </row>
    <row r="642">
      <c r="A642" s="70"/>
      <c r="B642" s="70"/>
      <c r="C642" s="70"/>
      <c r="D642" s="70"/>
      <c r="E642" s="70"/>
      <c r="F642" s="66"/>
      <c r="G642" s="66"/>
      <c r="H642" s="66"/>
      <c r="I642" s="66"/>
      <c r="J642" s="66"/>
      <c r="K642" s="63">
        <v>7500.0</v>
      </c>
      <c r="L642" s="63">
        <v>24.47</v>
      </c>
      <c r="M642" s="66">
        <f t="shared" si="1"/>
        <v>256.25</v>
      </c>
    </row>
    <row r="643">
      <c r="A643" s="68">
        <v>43.0</v>
      </c>
      <c r="B643" s="68">
        <v>57.0</v>
      </c>
      <c r="C643" s="71" t="s">
        <v>177</v>
      </c>
      <c r="D643" s="71" t="s">
        <v>178</v>
      </c>
      <c r="E643" s="71" t="s">
        <v>179</v>
      </c>
      <c r="F643" s="72">
        <v>7000.0</v>
      </c>
      <c r="G643" s="72">
        <v>7100.0</v>
      </c>
      <c r="H643" s="72">
        <v>700.0</v>
      </c>
      <c r="I643" s="72">
        <v>5000.0</v>
      </c>
      <c r="J643" s="72">
        <v>6500.0</v>
      </c>
      <c r="K643" s="69">
        <v>500.0</v>
      </c>
      <c r="L643" s="69">
        <v>24.23</v>
      </c>
      <c r="M643" s="68">
        <f t="shared" si="1"/>
        <v>16.92</v>
      </c>
    </row>
    <row r="644">
      <c r="A644" s="70"/>
      <c r="B644" s="70"/>
      <c r="C644" s="70"/>
      <c r="D644" s="70"/>
      <c r="E644" s="70"/>
      <c r="F644" s="66"/>
      <c r="G644" s="66"/>
      <c r="H644" s="66"/>
      <c r="I644" s="66"/>
      <c r="J644" s="66"/>
      <c r="K644" s="63">
        <v>1000.0</v>
      </c>
      <c r="L644" s="63">
        <v>26.64</v>
      </c>
      <c r="M644" s="66">
        <f t="shared" si="1"/>
        <v>37.2</v>
      </c>
    </row>
    <row r="645">
      <c r="A645" s="67"/>
      <c r="B645" s="67"/>
      <c r="C645" s="67"/>
      <c r="D645" s="67"/>
      <c r="E645" s="67"/>
      <c r="F645" s="68"/>
      <c r="G645" s="68"/>
      <c r="H645" s="68"/>
      <c r="I645" s="68"/>
      <c r="J645" s="68"/>
      <c r="K645" s="69">
        <v>1500.0</v>
      </c>
      <c r="L645" s="69">
        <v>27.98</v>
      </c>
      <c r="M645" s="68">
        <f t="shared" si="1"/>
        <v>58.6</v>
      </c>
    </row>
    <row r="646">
      <c r="A646" s="70"/>
      <c r="B646" s="70"/>
      <c r="C646" s="70"/>
      <c r="D646" s="70"/>
      <c r="E646" s="70"/>
      <c r="F646" s="66"/>
      <c r="G646" s="66"/>
      <c r="H646" s="66"/>
      <c r="I646" s="66"/>
      <c r="J646" s="66"/>
      <c r="K646" s="63">
        <v>2000.0</v>
      </c>
      <c r="L646" s="63">
        <v>29.14</v>
      </c>
      <c r="M646" s="66">
        <f t="shared" si="1"/>
        <v>81.37</v>
      </c>
    </row>
    <row r="647">
      <c r="A647" s="67"/>
      <c r="B647" s="67"/>
      <c r="C647" s="67"/>
      <c r="D647" s="67"/>
      <c r="E647" s="67"/>
      <c r="F647" s="68"/>
      <c r="G647" s="68"/>
      <c r="H647" s="68"/>
      <c r="I647" s="68"/>
      <c r="J647" s="68"/>
      <c r="K647" s="69">
        <v>2500.0</v>
      </c>
      <c r="L647" s="69">
        <v>29.97</v>
      </c>
      <c r="M647" s="68">
        <f t="shared" si="1"/>
        <v>104.61</v>
      </c>
    </row>
    <row r="648">
      <c r="A648" s="70"/>
      <c r="B648" s="70"/>
      <c r="C648" s="70"/>
      <c r="D648" s="70"/>
      <c r="E648" s="70"/>
      <c r="F648" s="66"/>
      <c r="G648" s="66"/>
      <c r="H648" s="66"/>
      <c r="I648" s="66"/>
      <c r="J648" s="66"/>
      <c r="K648" s="63">
        <v>3000.0</v>
      </c>
      <c r="L648" s="63">
        <v>30.7</v>
      </c>
      <c r="M648" s="66">
        <f t="shared" si="1"/>
        <v>128.6</v>
      </c>
    </row>
    <row r="649">
      <c r="A649" s="67"/>
      <c r="B649" s="67"/>
      <c r="C649" s="67"/>
      <c r="D649" s="67"/>
      <c r="E649" s="67"/>
      <c r="F649" s="68"/>
      <c r="G649" s="68"/>
      <c r="H649" s="68"/>
      <c r="I649" s="68"/>
      <c r="J649" s="68"/>
      <c r="K649" s="69">
        <v>3500.0</v>
      </c>
      <c r="L649" s="69">
        <v>31.6</v>
      </c>
      <c r="M649" s="68">
        <f t="shared" si="1"/>
        <v>154.43</v>
      </c>
    </row>
    <row r="650">
      <c r="A650" s="73"/>
      <c r="B650" s="73"/>
      <c r="C650" s="73"/>
      <c r="D650" s="73"/>
      <c r="E650" s="73"/>
      <c r="F650" s="66"/>
      <c r="G650" s="66"/>
      <c r="H650" s="66"/>
      <c r="I650" s="66"/>
      <c r="J650" s="66"/>
      <c r="K650" s="63">
        <v>4000.0</v>
      </c>
      <c r="L650" s="63">
        <v>33.69</v>
      </c>
      <c r="M650" s="66">
        <f t="shared" si="1"/>
        <v>188.16</v>
      </c>
    </row>
    <row r="651">
      <c r="A651" s="67"/>
      <c r="B651" s="67"/>
      <c r="C651" s="67"/>
      <c r="D651" s="67"/>
      <c r="E651" s="67"/>
      <c r="F651" s="68"/>
      <c r="G651" s="68"/>
      <c r="H651" s="68"/>
      <c r="I651" s="68"/>
      <c r="J651" s="68"/>
      <c r="K651" s="69">
        <v>4500.0</v>
      </c>
      <c r="L651" s="69">
        <v>34.73</v>
      </c>
      <c r="M651" s="68">
        <f t="shared" si="1"/>
        <v>218.21</v>
      </c>
    </row>
    <row r="652">
      <c r="A652" s="70"/>
      <c r="B652" s="70"/>
      <c r="C652" s="70"/>
      <c r="D652" s="70"/>
      <c r="E652" s="70"/>
      <c r="F652" s="66"/>
      <c r="G652" s="66"/>
      <c r="H652" s="66"/>
      <c r="I652" s="66"/>
      <c r="J652" s="66"/>
      <c r="K652" s="63">
        <v>5000.0</v>
      </c>
      <c r="L652" s="63">
        <v>34.98</v>
      </c>
      <c r="M652" s="66">
        <f t="shared" si="1"/>
        <v>244.21</v>
      </c>
    </row>
    <row r="653">
      <c r="A653" s="67"/>
      <c r="B653" s="67"/>
      <c r="C653" s="67"/>
      <c r="D653" s="67"/>
      <c r="E653" s="67"/>
      <c r="F653" s="68"/>
      <c r="G653" s="68"/>
      <c r="H653" s="68"/>
      <c r="I653" s="68"/>
      <c r="J653" s="68"/>
      <c r="K653" s="69">
        <v>5500.0</v>
      </c>
      <c r="L653" s="69">
        <v>34.26</v>
      </c>
      <c r="M653" s="68">
        <f t="shared" si="1"/>
        <v>263.1</v>
      </c>
    </row>
    <row r="654">
      <c r="A654" s="70"/>
      <c r="B654" s="70"/>
      <c r="C654" s="70"/>
      <c r="D654" s="70"/>
      <c r="E654" s="70"/>
      <c r="F654" s="66"/>
      <c r="G654" s="66"/>
      <c r="H654" s="66"/>
      <c r="I654" s="66"/>
      <c r="J654" s="66"/>
      <c r="K654" s="63">
        <v>6000.0</v>
      </c>
      <c r="L654" s="63">
        <v>32.63</v>
      </c>
      <c r="M654" s="66">
        <f t="shared" si="1"/>
        <v>273.36</v>
      </c>
    </row>
    <row r="655">
      <c r="A655" s="67"/>
      <c r="B655" s="67"/>
      <c r="C655" s="67"/>
      <c r="D655" s="67"/>
      <c r="E655" s="67"/>
      <c r="F655" s="68"/>
      <c r="G655" s="68"/>
      <c r="H655" s="68"/>
      <c r="I655" s="68"/>
      <c r="J655" s="68"/>
      <c r="K655" s="69">
        <v>6500.0</v>
      </c>
      <c r="L655" s="69">
        <v>30.8</v>
      </c>
      <c r="M655" s="68">
        <f t="shared" si="1"/>
        <v>279.53</v>
      </c>
    </row>
    <row r="656">
      <c r="A656" s="70"/>
      <c r="B656" s="70"/>
      <c r="C656" s="70"/>
      <c r="D656" s="70"/>
      <c r="E656" s="70"/>
      <c r="F656" s="66"/>
      <c r="G656" s="66"/>
      <c r="H656" s="66"/>
      <c r="I656" s="66"/>
      <c r="J656" s="66"/>
      <c r="K656" s="63">
        <v>7000.0</v>
      </c>
      <c r="L656" s="63">
        <v>28.29</v>
      </c>
      <c r="M656" s="66">
        <f t="shared" si="1"/>
        <v>276.5</v>
      </c>
    </row>
    <row r="657">
      <c r="A657" s="67"/>
      <c r="B657" s="67"/>
      <c r="C657" s="67"/>
      <c r="D657" s="67"/>
      <c r="E657" s="67"/>
      <c r="F657" s="68"/>
      <c r="G657" s="68"/>
      <c r="H657" s="68"/>
      <c r="I657" s="68"/>
      <c r="J657" s="68"/>
      <c r="K657" s="69">
        <v>7500.0</v>
      </c>
      <c r="L657" s="69">
        <v>25.49</v>
      </c>
      <c r="M657" s="68">
        <f t="shared" si="1"/>
        <v>266.93</v>
      </c>
    </row>
    <row r="658">
      <c r="A658" s="66">
        <v>44.0</v>
      </c>
      <c r="B658" s="66">
        <v>58.0</v>
      </c>
      <c r="C658" s="74" t="s">
        <v>180</v>
      </c>
      <c r="D658" s="74" t="s">
        <v>181</v>
      </c>
      <c r="E658" s="74" t="s">
        <v>182</v>
      </c>
      <c r="F658" s="65">
        <v>6600.0</v>
      </c>
      <c r="G658" s="65">
        <v>7000.0</v>
      </c>
      <c r="H658" s="65">
        <v>750.0</v>
      </c>
      <c r="I658" s="65">
        <v>3500.0</v>
      </c>
      <c r="J658" s="65">
        <v>5500.0</v>
      </c>
      <c r="K658" s="63">
        <v>500.0</v>
      </c>
      <c r="L658" s="63">
        <v>16.09</v>
      </c>
      <c r="M658" s="66">
        <f t="shared" si="1"/>
        <v>11.23</v>
      </c>
    </row>
    <row r="659">
      <c r="A659" s="67"/>
      <c r="B659" s="67"/>
      <c r="C659" s="67"/>
      <c r="D659" s="67"/>
      <c r="E659" s="67"/>
      <c r="F659" s="68"/>
      <c r="G659" s="68"/>
      <c r="H659" s="68"/>
      <c r="I659" s="68"/>
      <c r="J659" s="68"/>
      <c r="K659" s="69">
        <v>1000.0</v>
      </c>
      <c r="L659" s="69">
        <v>19.48</v>
      </c>
      <c r="M659" s="68">
        <f t="shared" si="1"/>
        <v>27.2</v>
      </c>
    </row>
    <row r="660">
      <c r="A660" s="70"/>
      <c r="B660" s="70"/>
      <c r="C660" s="70"/>
      <c r="D660" s="70"/>
      <c r="E660" s="70"/>
      <c r="F660" s="66"/>
      <c r="G660" s="66"/>
      <c r="H660" s="66"/>
      <c r="I660" s="66"/>
      <c r="J660" s="66"/>
      <c r="K660" s="63">
        <v>1500.0</v>
      </c>
      <c r="L660" s="63">
        <v>22.56</v>
      </c>
      <c r="M660" s="66">
        <f t="shared" si="1"/>
        <v>47.25</v>
      </c>
    </row>
    <row r="661">
      <c r="A661" s="67"/>
      <c r="B661" s="67"/>
      <c r="C661" s="67"/>
      <c r="D661" s="67"/>
      <c r="E661" s="67"/>
      <c r="F661" s="68"/>
      <c r="G661" s="68"/>
      <c r="H661" s="68"/>
      <c r="I661" s="68"/>
      <c r="J661" s="68"/>
      <c r="K661" s="69">
        <v>2000.0</v>
      </c>
      <c r="L661" s="69">
        <v>25.49</v>
      </c>
      <c r="M661" s="68">
        <f t="shared" si="1"/>
        <v>71.18</v>
      </c>
    </row>
    <row r="662">
      <c r="A662" s="70"/>
      <c r="B662" s="70"/>
      <c r="C662" s="70"/>
      <c r="D662" s="70"/>
      <c r="E662" s="70"/>
      <c r="F662" s="66"/>
      <c r="G662" s="66"/>
      <c r="H662" s="66"/>
      <c r="I662" s="66"/>
      <c r="J662" s="66"/>
      <c r="K662" s="63">
        <v>2500.0</v>
      </c>
      <c r="L662" s="63">
        <v>27.3</v>
      </c>
      <c r="M662" s="66">
        <f t="shared" si="1"/>
        <v>95.29</v>
      </c>
    </row>
    <row r="663">
      <c r="A663" s="67"/>
      <c r="B663" s="67"/>
      <c r="C663" s="67"/>
      <c r="D663" s="67"/>
      <c r="E663" s="67"/>
      <c r="F663" s="68"/>
      <c r="G663" s="68"/>
      <c r="H663" s="68"/>
      <c r="I663" s="68"/>
      <c r="J663" s="68"/>
      <c r="K663" s="69">
        <v>3000.0</v>
      </c>
      <c r="L663" s="69">
        <v>28.38</v>
      </c>
      <c r="M663" s="68">
        <f t="shared" si="1"/>
        <v>118.88</v>
      </c>
    </row>
    <row r="664">
      <c r="A664" s="70"/>
      <c r="B664" s="70"/>
      <c r="C664" s="70"/>
      <c r="D664" s="70"/>
      <c r="E664" s="70"/>
      <c r="F664" s="66"/>
      <c r="G664" s="66"/>
      <c r="H664" s="66"/>
      <c r="I664" s="66"/>
      <c r="J664" s="66"/>
      <c r="K664" s="63">
        <v>3500.0</v>
      </c>
      <c r="L664" s="63">
        <v>28.91</v>
      </c>
      <c r="M664" s="66">
        <f t="shared" si="1"/>
        <v>141.28</v>
      </c>
    </row>
    <row r="665">
      <c r="A665" s="67"/>
      <c r="B665" s="67"/>
      <c r="C665" s="67"/>
      <c r="D665" s="67"/>
      <c r="E665" s="67"/>
      <c r="F665" s="68"/>
      <c r="G665" s="68"/>
      <c r="H665" s="68"/>
      <c r="I665" s="68"/>
      <c r="J665" s="68"/>
      <c r="K665" s="69">
        <v>4000.0</v>
      </c>
      <c r="L665" s="69">
        <v>29.07</v>
      </c>
      <c r="M665" s="68">
        <f t="shared" si="1"/>
        <v>162.36</v>
      </c>
    </row>
    <row r="666">
      <c r="A666" s="70"/>
      <c r="B666" s="70"/>
      <c r="C666" s="70"/>
      <c r="D666" s="70"/>
      <c r="E666" s="70"/>
      <c r="F666" s="66"/>
      <c r="G666" s="66"/>
      <c r="H666" s="66"/>
      <c r="I666" s="66"/>
      <c r="J666" s="66"/>
      <c r="K666" s="63">
        <v>4500.0</v>
      </c>
      <c r="L666" s="63">
        <v>28.89</v>
      </c>
      <c r="M666" s="66">
        <f t="shared" si="1"/>
        <v>181.52</v>
      </c>
    </row>
    <row r="667">
      <c r="A667" s="67"/>
      <c r="B667" s="67"/>
      <c r="C667" s="67"/>
      <c r="D667" s="67"/>
      <c r="E667" s="67"/>
      <c r="F667" s="68"/>
      <c r="G667" s="68"/>
      <c r="H667" s="68"/>
      <c r="I667" s="68"/>
      <c r="J667" s="68"/>
      <c r="K667" s="69">
        <v>5000.0</v>
      </c>
      <c r="L667" s="69">
        <v>27.67</v>
      </c>
      <c r="M667" s="68">
        <f t="shared" si="1"/>
        <v>193.17</v>
      </c>
    </row>
    <row r="668">
      <c r="A668" s="70"/>
      <c r="B668" s="70"/>
      <c r="C668" s="70"/>
      <c r="D668" s="70"/>
      <c r="E668" s="70"/>
      <c r="F668" s="66"/>
      <c r="G668" s="66"/>
      <c r="H668" s="66"/>
      <c r="I668" s="66"/>
      <c r="J668" s="66"/>
      <c r="K668" s="63">
        <v>5500.0</v>
      </c>
      <c r="L668" s="63">
        <v>25.35</v>
      </c>
      <c r="M668" s="66">
        <f t="shared" si="1"/>
        <v>194.67</v>
      </c>
    </row>
    <row r="669">
      <c r="A669" s="67"/>
      <c r="B669" s="67"/>
      <c r="C669" s="67"/>
      <c r="D669" s="67"/>
      <c r="E669" s="67"/>
      <c r="F669" s="68"/>
      <c r="G669" s="68"/>
      <c r="H669" s="68"/>
      <c r="I669" s="68"/>
      <c r="J669" s="68"/>
      <c r="K669" s="69">
        <v>6000.0</v>
      </c>
      <c r="L669" s="69">
        <v>22.58</v>
      </c>
      <c r="M669" s="68">
        <f t="shared" si="1"/>
        <v>189.17</v>
      </c>
    </row>
    <row r="670">
      <c r="A670" s="70"/>
      <c r="B670" s="70"/>
      <c r="C670" s="70"/>
      <c r="D670" s="70"/>
      <c r="E670" s="70"/>
      <c r="F670" s="66"/>
      <c r="G670" s="66"/>
      <c r="H670" s="66"/>
      <c r="I670" s="66"/>
      <c r="J670" s="66"/>
      <c r="K670" s="63">
        <v>6500.0</v>
      </c>
      <c r="L670" s="63">
        <v>19.65</v>
      </c>
      <c r="M670" s="66">
        <f t="shared" si="1"/>
        <v>178.34</v>
      </c>
    </row>
    <row r="671">
      <c r="A671" s="67"/>
      <c r="B671" s="67"/>
      <c r="C671" s="67"/>
      <c r="D671" s="67"/>
      <c r="E671" s="67"/>
      <c r="F671" s="68"/>
      <c r="G671" s="68"/>
      <c r="H671" s="68"/>
      <c r="I671" s="68"/>
      <c r="J671" s="68"/>
      <c r="K671" s="69">
        <v>7000.0</v>
      </c>
      <c r="L671" s="69">
        <v>16.0</v>
      </c>
      <c r="M671" s="68">
        <f t="shared" si="1"/>
        <v>156.38</v>
      </c>
    </row>
    <row r="672">
      <c r="A672" s="66">
        <v>45.0</v>
      </c>
      <c r="B672" s="66">
        <v>60.0</v>
      </c>
      <c r="C672" s="74" t="s">
        <v>183</v>
      </c>
      <c r="D672" s="74" t="s">
        <v>184</v>
      </c>
      <c r="E672" s="74" t="s">
        <v>185</v>
      </c>
      <c r="F672" s="65">
        <v>8000.0</v>
      </c>
      <c r="G672" s="65">
        <v>8000.0</v>
      </c>
      <c r="H672" s="65">
        <v>700.0</v>
      </c>
      <c r="I672" s="65">
        <v>4400.0</v>
      </c>
      <c r="J672" s="65">
        <v>6400.0</v>
      </c>
      <c r="K672" s="63">
        <v>500.0</v>
      </c>
      <c r="L672" s="63">
        <v>18.75</v>
      </c>
      <c r="M672" s="66">
        <f t="shared" si="1"/>
        <v>13.09</v>
      </c>
    </row>
    <row r="673">
      <c r="A673" s="67"/>
      <c r="B673" s="67"/>
      <c r="C673" s="67"/>
      <c r="D673" s="67"/>
      <c r="E673" s="67"/>
      <c r="F673" s="68"/>
      <c r="G673" s="68"/>
      <c r="H673" s="68"/>
      <c r="I673" s="68"/>
      <c r="J673" s="68"/>
      <c r="K673" s="69">
        <v>1000.0</v>
      </c>
      <c r="L673" s="69">
        <v>21.9</v>
      </c>
      <c r="M673" s="68">
        <f t="shared" si="1"/>
        <v>30.58</v>
      </c>
    </row>
    <row r="674">
      <c r="A674" s="73"/>
      <c r="B674" s="73"/>
      <c r="C674" s="73"/>
      <c r="D674" s="73"/>
      <c r="E674" s="73"/>
      <c r="F674" s="66"/>
      <c r="G674" s="66"/>
      <c r="H674" s="66"/>
      <c r="I674" s="66"/>
      <c r="J674" s="66"/>
      <c r="K674" s="63">
        <v>1500.0</v>
      </c>
      <c r="L674" s="63">
        <v>23.75</v>
      </c>
      <c r="M674" s="66">
        <f t="shared" si="1"/>
        <v>49.74</v>
      </c>
    </row>
    <row r="675">
      <c r="A675" s="67"/>
      <c r="B675" s="67"/>
      <c r="C675" s="67"/>
      <c r="D675" s="67"/>
      <c r="E675" s="67"/>
      <c r="F675" s="68"/>
      <c r="G675" s="68"/>
      <c r="H675" s="68"/>
      <c r="I675" s="68"/>
      <c r="J675" s="68"/>
      <c r="K675" s="69">
        <v>2000.0</v>
      </c>
      <c r="L675" s="69">
        <v>26.39</v>
      </c>
      <c r="M675" s="68">
        <f t="shared" si="1"/>
        <v>73.69</v>
      </c>
    </row>
    <row r="676">
      <c r="A676" s="70"/>
      <c r="B676" s="70"/>
      <c r="C676" s="70"/>
      <c r="D676" s="70"/>
      <c r="E676" s="70"/>
      <c r="F676" s="66"/>
      <c r="G676" s="66"/>
      <c r="H676" s="66"/>
      <c r="I676" s="66"/>
      <c r="J676" s="66"/>
      <c r="K676" s="63">
        <v>2500.0</v>
      </c>
      <c r="L676" s="63">
        <v>32.4</v>
      </c>
      <c r="M676" s="66">
        <f t="shared" si="1"/>
        <v>113.1</v>
      </c>
    </row>
    <row r="677">
      <c r="A677" s="67"/>
      <c r="B677" s="67"/>
      <c r="C677" s="67"/>
      <c r="D677" s="67"/>
      <c r="E677" s="67"/>
      <c r="F677" s="68"/>
      <c r="G677" s="68"/>
      <c r="H677" s="68"/>
      <c r="I677" s="68"/>
      <c r="J677" s="68"/>
      <c r="K677" s="69">
        <v>3000.0</v>
      </c>
      <c r="L677" s="69">
        <v>35.7</v>
      </c>
      <c r="M677" s="68">
        <f t="shared" si="1"/>
        <v>149.54</v>
      </c>
    </row>
    <row r="678">
      <c r="A678" s="70"/>
      <c r="B678" s="70"/>
      <c r="C678" s="70"/>
      <c r="D678" s="70"/>
      <c r="E678" s="70"/>
      <c r="F678" s="66"/>
      <c r="G678" s="66"/>
      <c r="H678" s="66"/>
      <c r="I678" s="66"/>
      <c r="J678" s="66"/>
      <c r="K678" s="63">
        <v>3500.0</v>
      </c>
      <c r="L678" s="63">
        <v>37.94</v>
      </c>
      <c r="M678" s="66">
        <f t="shared" si="1"/>
        <v>185.41</v>
      </c>
    </row>
    <row r="679">
      <c r="A679" s="67"/>
      <c r="B679" s="67"/>
      <c r="C679" s="67"/>
      <c r="D679" s="67"/>
      <c r="E679" s="67"/>
      <c r="F679" s="68"/>
      <c r="G679" s="68"/>
      <c r="H679" s="68"/>
      <c r="I679" s="68"/>
      <c r="J679" s="68"/>
      <c r="K679" s="69">
        <v>4000.0</v>
      </c>
      <c r="L679" s="69">
        <v>38.8</v>
      </c>
      <c r="M679" s="68">
        <f t="shared" si="1"/>
        <v>216.7</v>
      </c>
    </row>
    <row r="680">
      <c r="A680" s="70"/>
      <c r="B680" s="70"/>
      <c r="C680" s="70"/>
      <c r="D680" s="70"/>
      <c r="E680" s="70"/>
      <c r="F680" s="66"/>
      <c r="G680" s="66"/>
      <c r="H680" s="66"/>
      <c r="I680" s="66"/>
      <c r="J680" s="66"/>
      <c r="K680" s="63">
        <v>4400.0</v>
      </c>
      <c r="L680" s="63">
        <v>39.2</v>
      </c>
      <c r="M680" s="66">
        <f t="shared" si="1"/>
        <v>240.83</v>
      </c>
    </row>
    <row r="681">
      <c r="A681" s="67"/>
      <c r="B681" s="67"/>
      <c r="C681" s="67"/>
      <c r="D681" s="67"/>
      <c r="E681" s="67"/>
      <c r="F681" s="68"/>
      <c r="G681" s="68"/>
      <c r="H681" s="68"/>
      <c r="I681" s="68"/>
      <c r="J681" s="68"/>
      <c r="K681" s="69">
        <v>5000.0</v>
      </c>
      <c r="L681" s="69">
        <v>38.75</v>
      </c>
      <c r="M681" s="68">
        <f t="shared" si="1"/>
        <v>270.52</v>
      </c>
    </row>
    <row r="682">
      <c r="A682" s="70"/>
      <c r="B682" s="70"/>
      <c r="C682" s="70"/>
      <c r="D682" s="70"/>
      <c r="E682" s="70"/>
      <c r="F682" s="66"/>
      <c r="G682" s="66"/>
      <c r="H682" s="66"/>
      <c r="I682" s="66"/>
      <c r="J682" s="66"/>
      <c r="K682" s="63">
        <v>5500.0</v>
      </c>
      <c r="L682" s="63">
        <v>37.55</v>
      </c>
      <c r="M682" s="66">
        <f t="shared" si="1"/>
        <v>288.36</v>
      </c>
    </row>
    <row r="683">
      <c r="A683" s="67"/>
      <c r="B683" s="67"/>
      <c r="C683" s="67"/>
      <c r="D683" s="67"/>
      <c r="E683" s="67"/>
      <c r="F683" s="68"/>
      <c r="G683" s="68"/>
      <c r="H683" s="68"/>
      <c r="I683" s="68"/>
      <c r="J683" s="68"/>
      <c r="K683" s="69">
        <v>6000.0</v>
      </c>
      <c r="L683" s="69">
        <v>35.64</v>
      </c>
      <c r="M683" s="68">
        <f t="shared" si="1"/>
        <v>298.58</v>
      </c>
    </row>
    <row r="684">
      <c r="A684" s="70"/>
      <c r="B684" s="70"/>
      <c r="C684" s="70"/>
      <c r="D684" s="70"/>
      <c r="E684" s="70"/>
      <c r="F684" s="66"/>
      <c r="G684" s="66"/>
      <c r="H684" s="66"/>
      <c r="I684" s="66"/>
      <c r="J684" s="66"/>
      <c r="K684" s="63">
        <v>6400.0</v>
      </c>
      <c r="L684" s="63">
        <v>33.6</v>
      </c>
      <c r="M684" s="66">
        <f t="shared" si="1"/>
        <v>300.25</v>
      </c>
    </row>
    <row r="685">
      <c r="A685" s="67"/>
      <c r="B685" s="67"/>
      <c r="C685" s="67"/>
      <c r="D685" s="67"/>
      <c r="E685" s="67"/>
      <c r="F685" s="68"/>
      <c r="G685" s="68"/>
      <c r="H685" s="68"/>
      <c r="I685" s="68"/>
      <c r="J685" s="68"/>
      <c r="K685" s="69">
        <v>7000.0</v>
      </c>
      <c r="L685" s="69">
        <v>30.54</v>
      </c>
      <c r="M685" s="68">
        <f t="shared" si="1"/>
        <v>298.49</v>
      </c>
    </row>
    <row r="686">
      <c r="A686" s="70"/>
      <c r="B686" s="70"/>
      <c r="C686" s="70"/>
      <c r="D686" s="70"/>
      <c r="E686" s="70"/>
      <c r="F686" s="66"/>
      <c r="G686" s="66"/>
      <c r="H686" s="66"/>
      <c r="I686" s="66"/>
      <c r="J686" s="66"/>
      <c r="K686" s="63">
        <v>7500.0</v>
      </c>
      <c r="L686" s="63">
        <v>27.5</v>
      </c>
      <c r="M686" s="66">
        <f t="shared" si="1"/>
        <v>287.98</v>
      </c>
    </row>
    <row r="687">
      <c r="A687" s="67"/>
      <c r="B687" s="67"/>
      <c r="C687" s="67"/>
      <c r="D687" s="67"/>
      <c r="E687" s="67"/>
      <c r="F687" s="68"/>
      <c r="G687" s="68"/>
      <c r="H687" s="68"/>
      <c r="I687" s="68"/>
      <c r="J687" s="68"/>
      <c r="K687" s="69">
        <v>8000.0</v>
      </c>
      <c r="L687" s="69">
        <v>23.7</v>
      </c>
      <c r="M687" s="68">
        <f t="shared" si="1"/>
        <v>264.73</v>
      </c>
    </row>
    <row r="688">
      <c r="A688" s="66">
        <v>46.0</v>
      </c>
      <c r="B688" s="66">
        <v>61.0</v>
      </c>
      <c r="C688" s="74" t="s">
        <v>186</v>
      </c>
      <c r="D688" s="74" t="s">
        <v>187</v>
      </c>
      <c r="E688" s="74" t="s">
        <v>188</v>
      </c>
      <c r="F688" s="65">
        <v>8500.0</v>
      </c>
      <c r="G688" s="65">
        <v>9000.0</v>
      </c>
      <c r="H688" s="65">
        <v>800.0</v>
      </c>
      <c r="I688" s="65">
        <v>4800.0</v>
      </c>
      <c r="J688" s="65">
        <v>7200.0</v>
      </c>
      <c r="K688" s="63">
        <v>500.0</v>
      </c>
      <c r="L688" s="63">
        <v>4.55</v>
      </c>
      <c r="M688" s="66">
        <f t="shared" si="1"/>
        <v>3.18</v>
      </c>
    </row>
    <row r="689">
      <c r="A689" s="67"/>
      <c r="B689" s="67"/>
      <c r="C689" s="67"/>
      <c r="D689" s="67"/>
      <c r="E689" s="67"/>
      <c r="F689" s="68"/>
      <c r="G689" s="68"/>
      <c r="H689" s="68"/>
      <c r="I689" s="68"/>
      <c r="J689" s="68"/>
      <c r="K689" s="69">
        <v>1000.0</v>
      </c>
      <c r="L689" s="69">
        <v>5.3</v>
      </c>
      <c r="M689" s="68">
        <f t="shared" si="1"/>
        <v>7.4</v>
      </c>
    </row>
    <row r="690">
      <c r="A690" s="70"/>
      <c r="B690" s="70"/>
      <c r="C690" s="70"/>
      <c r="D690" s="70"/>
      <c r="E690" s="70"/>
      <c r="F690" s="66"/>
      <c r="G690" s="66"/>
      <c r="H690" s="66"/>
      <c r="I690" s="66"/>
      <c r="J690" s="66"/>
      <c r="K690" s="63">
        <v>1500.0</v>
      </c>
      <c r="L690" s="63">
        <v>5.7</v>
      </c>
      <c r="M690" s="66">
        <f t="shared" si="1"/>
        <v>11.94</v>
      </c>
    </row>
    <row r="691">
      <c r="A691" s="67"/>
      <c r="B691" s="67"/>
      <c r="C691" s="67"/>
      <c r="D691" s="67"/>
      <c r="E691" s="67"/>
      <c r="F691" s="68"/>
      <c r="G691" s="68"/>
      <c r="H691" s="68"/>
      <c r="I691" s="68"/>
      <c r="J691" s="68"/>
      <c r="K691" s="69">
        <v>2000.0</v>
      </c>
      <c r="L691" s="69">
        <v>6.25</v>
      </c>
      <c r="M691" s="68">
        <f t="shared" si="1"/>
        <v>17.45</v>
      </c>
    </row>
    <row r="692">
      <c r="A692" s="70"/>
      <c r="B692" s="70"/>
      <c r="C692" s="70"/>
      <c r="D692" s="70"/>
      <c r="E692" s="70"/>
      <c r="F692" s="66"/>
      <c r="G692" s="66"/>
      <c r="H692" s="66"/>
      <c r="I692" s="66"/>
      <c r="J692" s="66"/>
      <c r="K692" s="63">
        <v>2500.0</v>
      </c>
      <c r="L692" s="63">
        <v>6.7</v>
      </c>
      <c r="M692" s="66">
        <f t="shared" si="1"/>
        <v>23.39</v>
      </c>
    </row>
    <row r="693">
      <c r="A693" s="67"/>
      <c r="B693" s="67"/>
      <c r="C693" s="67"/>
      <c r="D693" s="67"/>
      <c r="E693" s="67"/>
      <c r="F693" s="68"/>
      <c r="G693" s="68"/>
      <c r="H693" s="68"/>
      <c r="I693" s="68"/>
      <c r="J693" s="68"/>
      <c r="K693" s="69">
        <v>3000.0</v>
      </c>
      <c r="L693" s="69">
        <v>7.55</v>
      </c>
      <c r="M693" s="68">
        <f t="shared" si="1"/>
        <v>31.63</v>
      </c>
    </row>
    <row r="694">
      <c r="A694" s="70"/>
      <c r="B694" s="70"/>
      <c r="C694" s="70"/>
      <c r="D694" s="70"/>
      <c r="E694" s="70"/>
      <c r="F694" s="66"/>
      <c r="G694" s="66"/>
      <c r="H694" s="66"/>
      <c r="I694" s="66"/>
      <c r="J694" s="66"/>
      <c r="K694" s="63">
        <v>3500.0</v>
      </c>
      <c r="L694" s="63">
        <v>9.8</v>
      </c>
      <c r="M694" s="66">
        <f t="shared" si="1"/>
        <v>47.89</v>
      </c>
    </row>
    <row r="695">
      <c r="A695" s="67"/>
      <c r="B695" s="67"/>
      <c r="C695" s="67"/>
      <c r="D695" s="67"/>
      <c r="E695" s="67"/>
      <c r="F695" s="68"/>
      <c r="G695" s="68"/>
      <c r="H695" s="68"/>
      <c r="I695" s="68"/>
      <c r="J695" s="68"/>
      <c r="K695" s="69">
        <v>4000.0</v>
      </c>
      <c r="L695" s="69">
        <v>11.9</v>
      </c>
      <c r="M695" s="68">
        <f t="shared" si="1"/>
        <v>66.46</v>
      </c>
    </row>
    <row r="696">
      <c r="A696" s="70"/>
      <c r="B696" s="70"/>
      <c r="C696" s="70"/>
      <c r="D696" s="70"/>
      <c r="E696" s="70"/>
      <c r="F696" s="66"/>
      <c r="G696" s="66"/>
      <c r="H696" s="66"/>
      <c r="I696" s="66"/>
      <c r="J696" s="66"/>
      <c r="K696" s="63">
        <v>4200.0</v>
      </c>
      <c r="L696" s="63">
        <v>12.65</v>
      </c>
      <c r="M696" s="66">
        <f t="shared" si="1"/>
        <v>74.18</v>
      </c>
    </row>
    <row r="697">
      <c r="A697" s="67"/>
      <c r="B697" s="67"/>
      <c r="C697" s="67"/>
      <c r="D697" s="67"/>
      <c r="E697" s="67"/>
      <c r="F697" s="68"/>
      <c r="G697" s="68"/>
      <c r="H697" s="68"/>
      <c r="I697" s="68"/>
      <c r="J697" s="68"/>
      <c r="K697" s="69">
        <v>4800.0</v>
      </c>
      <c r="L697" s="69">
        <v>13.0</v>
      </c>
      <c r="M697" s="68">
        <f t="shared" si="1"/>
        <v>87.13</v>
      </c>
    </row>
    <row r="698">
      <c r="A698" s="73"/>
      <c r="B698" s="73"/>
      <c r="C698" s="73"/>
      <c r="D698" s="73"/>
      <c r="E698" s="73"/>
      <c r="F698" s="66"/>
      <c r="G698" s="66"/>
      <c r="H698" s="66"/>
      <c r="I698" s="66"/>
      <c r="J698" s="66"/>
      <c r="K698" s="63">
        <v>5500.0</v>
      </c>
      <c r="L698" s="63">
        <v>12.85</v>
      </c>
      <c r="M698" s="66">
        <f t="shared" si="1"/>
        <v>98.68</v>
      </c>
    </row>
    <row r="699">
      <c r="A699" s="67"/>
      <c r="B699" s="67"/>
      <c r="C699" s="67"/>
      <c r="D699" s="67"/>
      <c r="E699" s="67"/>
      <c r="F699" s="68"/>
      <c r="G699" s="68"/>
      <c r="H699" s="68"/>
      <c r="I699" s="68"/>
      <c r="J699" s="68"/>
      <c r="K699" s="69">
        <v>6000.0</v>
      </c>
      <c r="L699" s="69">
        <v>12.65</v>
      </c>
      <c r="M699" s="68">
        <f t="shared" si="1"/>
        <v>105.98</v>
      </c>
    </row>
    <row r="700">
      <c r="A700" s="70"/>
      <c r="B700" s="70"/>
      <c r="C700" s="70"/>
      <c r="D700" s="70"/>
      <c r="E700" s="70"/>
      <c r="F700" s="66"/>
      <c r="G700" s="66"/>
      <c r="H700" s="66"/>
      <c r="I700" s="66"/>
      <c r="J700" s="66"/>
      <c r="K700" s="63">
        <v>6800.0</v>
      </c>
      <c r="L700" s="63">
        <v>12.3</v>
      </c>
      <c r="M700" s="66">
        <f t="shared" si="1"/>
        <v>116.78</v>
      </c>
    </row>
    <row r="701">
      <c r="A701" s="67"/>
      <c r="B701" s="67"/>
      <c r="C701" s="67"/>
      <c r="D701" s="67"/>
      <c r="E701" s="67"/>
      <c r="F701" s="68"/>
      <c r="G701" s="68"/>
      <c r="H701" s="68"/>
      <c r="I701" s="68"/>
      <c r="J701" s="68"/>
      <c r="K701" s="69">
        <v>7200.0</v>
      </c>
      <c r="L701" s="69">
        <v>12.0</v>
      </c>
      <c r="M701" s="68">
        <f t="shared" si="1"/>
        <v>120.64</v>
      </c>
    </row>
    <row r="702">
      <c r="A702" s="70"/>
      <c r="B702" s="70"/>
      <c r="C702" s="70"/>
      <c r="D702" s="70"/>
      <c r="E702" s="70"/>
      <c r="F702" s="66"/>
      <c r="G702" s="66"/>
      <c r="H702" s="66"/>
      <c r="I702" s="66"/>
      <c r="J702" s="66"/>
      <c r="K702" s="63">
        <v>7500.0</v>
      </c>
      <c r="L702" s="63">
        <v>11.4</v>
      </c>
      <c r="M702" s="66">
        <f t="shared" si="1"/>
        <v>119.38</v>
      </c>
    </row>
    <row r="703">
      <c r="A703" s="67"/>
      <c r="B703" s="67"/>
      <c r="C703" s="67"/>
      <c r="D703" s="67"/>
      <c r="E703" s="67"/>
      <c r="F703" s="68"/>
      <c r="G703" s="68"/>
      <c r="H703" s="68"/>
      <c r="I703" s="68"/>
      <c r="J703" s="68"/>
      <c r="K703" s="69">
        <v>8000.0</v>
      </c>
      <c r="L703" s="69">
        <v>10.1</v>
      </c>
      <c r="M703" s="68">
        <f t="shared" si="1"/>
        <v>112.82</v>
      </c>
    </row>
    <row r="704">
      <c r="A704" s="70"/>
      <c r="B704" s="70"/>
      <c r="C704" s="70"/>
      <c r="D704" s="70"/>
      <c r="E704" s="70"/>
      <c r="F704" s="66"/>
      <c r="G704" s="66"/>
      <c r="H704" s="66"/>
      <c r="I704" s="66"/>
      <c r="J704" s="66"/>
      <c r="K704" s="63">
        <v>8500.0</v>
      </c>
      <c r="L704" s="63">
        <v>8.55</v>
      </c>
      <c r="M704" s="66">
        <f t="shared" si="1"/>
        <v>101.47</v>
      </c>
    </row>
    <row r="705">
      <c r="A705" s="67"/>
      <c r="B705" s="67"/>
      <c r="C705" s="67"/>
      <c r="D705" s="67"/>
      <c r="E705" s="67"/>
      <c r="F705" s="68"/>
      <c r="G705" s="68"/>
      <c r="H705" s="68"/>
      <c r="I705" s="68"/>
      <c r="J705" s="68"/>
      <c r="K705" s="69">
        <v>9000.0</v>
      </c>
      <c r="L705" s="69">
        <v>7.0</v>
      </c>
      <c r="M705" s="68">
        <f t="shared" si="1"/>
        <v>87.96</v>
      </c>
    </row>
    <row r="706">
      <c r="A706" s="66">
        <v>47.0</v>
      </c>
      <c r="B706" s="66">
        <v>63.0</v>
      </c>
      <c r="C706" s="74" t="s">
        <v>189</v>
      </c>
      <c r="D706" s="74" t="s">
        <v>190</v>
      </c>
      <c r="E706" s="74" t="s">
        <v>191</v>
      </c>
      <c r="F706" s="65">
        <v>6000.0</v>
      </c>
      <c r="G706" s="65">
        <v>6000.0</v>
      </c>
      <c r="H706" s="65">
        <v>700.0</v>
      </c>
      <c r="I706" s="65">
        <v>2800.0</v>
      </c>
      <c r="J706" s="65">
        <v>5500.0</v>
      </c>
      <c r="K706" s="63">
        <v>500.0</v>
      </c>
      <c r="L706" s="63">
        <v>36.75</v>
      </c>
      <c r="M706" s="66">
        <f t="shared" si="1"/>
        <v>25.66</v>
      </c>
    </row>
    <row r="707">
      <c r="A707" s="67"/>
      <c r="B707" s="67"/>
      <c r="C707" s="67"/>
      <c r="D707" s="67"/>
      <c r="E707" s="67"/>
      <c r="F707" s="68"/>
      <c r="G707" s="68"/>
      <c r="H707" s="68"/>
      <c r="I707" s="68"/>
      <c r="J707" s="68"/>
      <c r="K707" s="69">
        <v>1000.0</v>
      </c>
      <c r="L707" s="69">
        <v>41.38</v>
      </c>
      <c r="M707" s="68">
        <f t="shared" si="1"/>
        <v>57.78</v>
      </c>
    </row>
    <row r="708">
      <c r="A708" s="70"/>
      <c r="B708" s="70"/>
      <c r="C708" s="70"/>
      <c r="D708" s="70"/>
      <c r="E708" s="70"/>
      <c r="F708" s="66"/>
      <c r="G708" s="66"/>
      <c r="H708" s="66"/>
      <c r="I708" s="66"/>
      <c r="J708" s="66"/>
      <c r="K708" s="63">
        <v>1500.0</v>
      </c>
      <c r="L708" s="63">
        <v>43.75</v>
      </c>
      <c r="M708" s="66">
        <f t="shared" si="1"/>
        <v>91.63</v>
      </c>
    </row>
    <row r="709">
      <c r="A709" s="67"/>
      <c r="B709" s="67"/>
      <c r="C709" s="67"/>
      <c r="D709" s="67"/>
      <c r="E709" s="67"/>
      <c r="F709" s="68"/>
      <c r="G709" s="68"/>
      <c r="H709" s="68"/>
      <c r="I709" s="68"/>
      <c r="J709" s="68"/>
      <c r="K709" s="69">
        <v>2300.0</v>
      </c>
      <c r="L709" s="69">
        <v>45.75</v>
      </c>
      <c r="M709" s="68">
        <f t="shared" si="1"/>
        <v>146.92</v>
      </c>
    </row>
    <row r="710">
      <c r="A710" s="70"/>
      <c r="B710" s="70"/>
      <c r="C710" s="70"/>
      <c r="D710" s="70"/>
      <c r="E710" s="70"/>
      <c r="F710" s="66"/>
      <c r="G710" s="66"/>
      <c r="H710" s="66"/>
      <c r="I710" s="66"/>
      <c r="J710" s="66"/>
      <c r="K710" s="63">
        <v>2800.0</v>
      </c>
      <c r="L710" s="63">
        <v>46.5</v>
      </c>
      <c r="M710" s="66">
        <f t="shared" si="1"/>
        <v>181.79</v>
      </c>
    </row>
    <row r="711">
      <c r="A711" s="67"/>
      <c r="B711" s="67"/>
      <c r="C711" s="67"/>
      <c r="D711" s="67"/>
      <c r="E711" s="67"/>
      <c r="F711" s="68"/>
      <c r="G711" s="68"/>
      <c r="H711" s="68"/>
      <c r="I711" s="68"/>
      <c r="J711" s="68"/>
      <c r="K711" s="69">
        <v>3200.0</v>
      </c>
      <c r="L711" s="69">
        <v>46.13</v>
      </c>
      <c r="M711" s="68">
        <f t="shared" si="1"/>
        <v>206.11</v>
      </c>
    </row>
    <row r="712">
      <c r="A712" s="70"/>
      <c r="B712" s="70"/>
      <c r="C712" s="70"/>
      <c r="D712" s="70"/>
      <c r="E712" s="70"/>
      <c r="F712" s="66"/>
      <c r="G712" s="66"/>
      <c r="H712" s="66"/>
      <c r="I712" s="66"/>
      <c r="J712" s="66"/>
      <c r="K712" s="63">
        <v>3500.0</v>
      </c>
      <c r="L712" s="63">
        <v>45.88</v>
      </c>
      <c r="M712" s="66">
        <f t="shared" si="1"/>
        <v>224.21</v>
      </c>
    </row>
    <row r="713">
      <c r="A713" s="67"/>
      <c r="B713" s="67"/>
      <c r="C713" s="67"/>
      <c r="D713" s="67"/>
      <c r="E713" s="67"/>
      <c r="F713" s="68"/>
      <c r="G713" s="68"/>
      <c r="H713" s="68"/>
      <c r="I713" s="68"/>
      <c r="J713" s="68"/>
      <c r="K713" s="69">
        <v>4000.0</v>
      </c>
      <c r="L713" s="69">
        <v>45.0</v>
      </c>
      <c r="M713" s="68">
        <f t="shared" si="1"/>
        <v>251.33</v>
      </c>
    </row>
    <row r="714">
      <c r="A714" s="70"/>
      <c r="B714" s="70"/>
      <c r="C714" s="70"/>
      <c r="D714" s="70"/>
      <c r="E714" s="70"/>
      <c r="F714" s="66"/>
      <c r="G714" s="66"/>
      <c r="H714" s="66"/>
      <c r="I714" s="66"/>
      <c r="J714" s="66"/>
      <c r="K714" s="63">
        <v>4500.0</v>
      </c>
      <c r="L714" s="63">
        <v>43.75</v>
      </c>
      <c r="M714" s="66">
        <f t="shared" si="1"/>
        <v>274.89</v>
      </c>
    </row>
    <row r="715">
      <c r="A715" s="67"/>
      <c r="B715" s="67"/>
      <c r="C715" s="67"/>
      <c r="D715" s="67"/>
      <c r="E715" s="67"/>
      <c r="F715" s="68"/>
      <c r="G715" s="68"/>
      <c r="H715" s="68"/>
      <c r="I715" s="68"/>
      <c r="J715" s="68"/>
      <c r="K715" s="69">
        <v>5000.0</v>
      </c>
      <c r="L715" s="69">
        <v>41.5</v>
      </c>
      <c r="M715" s="68">
        <f t="shared" si="1"/>
        <v>289.72</v>
      </c>
    </row>
    <row r="716">
      <c r="A716" s="70"/>
      <c r="B716" s="70"/>
      <c r="C716" s="70"/>
      <c r="D716" s="70"/>
      <c r="E716" s="70"/>
      <c r="F716" s="66"/>
      <c r="G716" s="66"/>
      <c r="H716" s="66"/>
      <c r="I716" s="66"/>
      <c r="J716" s="66"/>
      <c r="K716" s="63">
        <v>5500.0</v>
      </c>
      <c r="L716" s="63">
        <v>38.3</v>
      </c>
      <c r="M716" s="66">
        <f t="shared" si="1"/>
        <v>294.12</v>
      </c>
    </row>
    <row r="717">
      <c r="A717" s="67"/>
      <c r="B717" s="67"/>
      <c r="C717" s="67"/>
      <c r="D717" s="67"/>
      <c r="E717" s="67"/>
      <c r="F717" s="68"/>
      <c r="G717" s="68"/>
      <c r="H717" s="68"/>
      <c r="I717" s="68"/>
      <c r="J717" s="68"/>
      <c r="K717" s="69">
        <v>6000.0</v>
      </c>
      <c r="L717" s="69">
        <v>31.38</v>
      </c>
      <c r="M717" s="68">
        <f t="shared" si="1"/>
        <v>262.89</v>
      </c>
    </row>
    <row r="718">
      <c r="A718" s="66">
        <v>48.0</v>
      </c>
      <c r="B718" s="66">
        <v>64.0</v>
      </c>
      <c r="C718" s="74" t="s">
        <v>192</v>
      </c>
      <c r="D718" s="74" t="s">
        <v>193</v>
      </c>
      <c r="E718" s="74" t="s">
        <v>194</v>
      </c>
      <c r="F718" s="65">
        <v>6000.0</v>
      </c>
      <c r="G718" s="65">
        <v>6500.0</v>
      </c>
      <c r="H718" s="65">
        <v>700.0</v>
      </c>
      <c r="I718" s="65">
        <v>4400.0</v>
      </c>
      <c r="J718" s="65">
        <v>6100.0</v>
      </c>
      <c r="K718" s="63">
        <v>500.0</v>
      </c>
      <c r="L718" s="63">
        <v>37.38</v>
      </c>
      <c r="M718" s="66">
        <f t="shared" si="1"/>
        <v>26.1</v>
      </c>
    </row>
    <row r="719">
      <c r="A719" s="67"/>
      <c r="B719" s="67"/>
      <c r="C719" s="67"/>
      <c r="D719" s="67"/>
      <c r="E719" s="67"/>
      <c r="F719" s="68"/>
      <c r="G719" s="68"/>
      <c r="H719" s="68"/>
      <c r="I719" s="68"/>
      <c r="J719" s="68"/>
      <c r="K719" s="69">
        <v>1000.0</v>
      </c>
      <c r="L719" s="69">
        <v>41.5</v>
      </c>
      <c r="M719" s="68">
        <f t="shared" si="1"/>
        <v>57.94</v>
      </c>
    </row>
    <row r="720">
      <c r="A720" s="70"/>
      <c r="B720" s="70"/>
      <c r="C720" s="70"/>
      <c r="D720" s="70"/>
      <c r="E720" s="70"/>
      <c r="F720" s="66"/>
      <c r="G720" s="66"/>
      <c r="H720" s="66"/>
      <c r="I720" s="66"/>
      <c r="J720" s="66"/>
      <c r="K720" s="63">
        <v>1500.0</v>
      </c>
      <c r="L720" s="63">
        <v>43.25</v>
      </c>
      <c r="M720" s="66">
        <f t="shared" si="1"/>
        <v>90.58</v>
      </c>
    </row>
    <row r="721">
      <c r="A721" s="67"/>
      <c r="B721" s="67"/>
      <c r="C721" s="67"/>
      <c r="D721" s="67"/>
      <c r="E721" s="67"/>
      <c r="F721" s="68"/>
      <c r="G721" s="68"/>
      <c r="H721" s="68"/>
      <c r="I721" s="68"/>
      <c r="J721" s="68"/>
      <c r="K721" s="69">
        <v>2000.0</v>
      </c>
      <c r="L721" s="69">
        <v>43.88</v>
      </c>
      <c r="M721" s="68">
        <f t="shared" si="1"/>
        <v>122.54</v>
      </c>
    </row>
    <row r="722">
      <c r="A722" s="73"/>
      <c r="B722" s="73"/>
      <c r="C722" s="73"/>
      <c r="D722" s="73"/>
      <c r="E722" s="73"/>
      <c r="F722" s="66"/>
      <c r="G722" s="66"/>
      <c r="H722" s="66"/>
      <c r="I722" s="66"/>
      <c r="J722" s="66"/>
      <c r="K722" s="63">
        <v>2500.0</v>
      </c>
      <c r="L722" s="63">
        <v>44.5</v>
      </c>
      <c r="M722" s="66">
        <f t="shared" si="1"/>
        <v>155.33</v>
      </c>
    </row>
    <row r="723">
      <c r="A723" s="67"/>
      <c r="B723" s="67"/>
      <c r="C723" s="67"/>
      <c r="D723" s="67"/>
      <c r="E723" s="67"/>
      <c r="F723" s="68"/>
      <c r="G723" s="68"/>
      <c r="H723" s="68"/>
      <c r="I723" s="68"/>
      <c r="J723" s="68"/>
      <c r="K723" s="69">
        <v>3000.0</v>
      </c>
      <c r="L723" s="69">
        <v>45.0</v>
      </c>
      <c r="M723" s="68">
        <f t="shared" si="1"/>
        <v>188.49</v>
      </c>
    </row>
    <row r="724">
      <c r="A724" s="70"/>
      <c r="B724" s="70"/>
      <c r="C724" s="70"/>
      <c r="D724" s="70"/>
      <c r="E724" s="70"/>
      <c r="F724" s="66"/>
      <c r="G724" s="66"/>
      <c r="H724" s="66"/>
      <c r="I724" s="66"/>
      <c r="J724" s="66"/>
      <c r="K724" s="63">
        <v>3500.0</v>
      </c>
      <c r="L724" s="63">
        <v>45.38</v>
      </c>
      <c r="M724" s="66">
        <f t="shared" si="1"/>
        <v>221.77</v>
      </c>
    </row>
    <row r="725">
      <c r="A725" s="67"/>
      <c r="B725" s="67"/>
      <c r="C725" s="67"/>
      <c r="D725" s="67"/>
      <c r="E725" s="67"/>
      <c r="F725" s="68"/>
      <c r="G725" s="68"/>
      <c r="H725" s="68"/>
      <c r="I725" s="68"/>
      <c r="J725" s="68"/>
      <c r="K725" s="69">
        <v>4000.0</v>
      </c>
      <c r="L725" s="69">
        <v>45.75</v>
      </c>
      <c r="M725" s="68">
        <f t="shared" si="1"/>
        <v>255.52</v>
      </c>
    </row>
    <row r="726">
      <c r="A726" s="70"/>
      <c r="B726" s="70"/>
      <c r="C726" s="70"/>
      <c r="D726" s="70"/>
      <c r="E726" s="70"/>
      <c r="F726" s="66"/>
      <c r="G726" s="66"/>
      <c r="H726" s="66"/>
      <c r="I726" s="66"/>
      <c r="J726" s="66"/>
      <c r="K726" s="63">
        <v>4400.0</v>
      </c>
      <c r="L726" s="63">
        <v>45.9</v>
      </c>
      <c r="M726" s="66">
        <f t="shared" si="1"/>
        <v>281.99</v>
      </c>
    </row>
    <row r="727">
      <c r="A727" s="67"/>
      <c r="B727" s="67"/>
      <c r="C727" s="67"/>
      <c r="D727" s="67"/>
      <c r="E727" s="67"/>
      <c r="F727" s="68"/>
      <c r="G727" s="68"/>
      <c r="H727" s="68"/>
      <c r="I727" s="68"/>
      <c r="J727" s="68"/>
      <c r="K727" s="69">
        <v>5000.0</v>
      </c>
      <c r="L727" s="69">
        <v>45.38</v>
      </c>
      <c r="M727" s="68">
        <f t="shared" si="1"/>
        <v>316.81</v>
      </c>
    </row>
    <row r="728">
      <c r="A728" s="70"/>
      <c r="B728" s="70"/>
      <c r="C728" s="70"/>
      <c r="D728" s="70"/>
      <c r="E728" s="70"/>
      <c r="F728" s="66"/>
      <c r="G728" s="66"/>
      <c r="H728" s="66"/>
      <c r="I728" s="66"/>
      <c r="J728" s="66"/>
      <c r="K728" s="63">
        <v>5500.0</v>
      </c>
      <c r="L728" s="63">
        <v>44.38</v>
      </c>
      <c r="M728" s="66">
        <f t="shared" si="1"/>
        <v>340.81</v>
      </c>
    </row>
    <row r="729">
      <c r="A729" s="67"/>
      <c r="B729" s="67"/>
      <c r="C729" s="67"/>
      <c r="D729" s="67"/>
      <c r="E729" s="67"/>
      <c r="F729" s="68"/>
      <c r="G729" s="68"/>
      <c r="H729" s="68"/>
      <c r="I729" s="68"/>
      <c r="J729" s="68"/>
      <c r="K729" s="69">
        <v>6100.0</v>
      </c>
      <c r="L729" s="69">
        <v>41.3</v>
      </c>
      <c r="M729" s="68">
        <f t="shared" si="1"/>
        <v>351.76</v>
      </c>
    </row>
    <row r="730">
      <c r="A730" s="70"/>
      <c r="B730" s="70"/>
      <c r="C730" s="70"/>
      <c r="D730" s="70"/>
      <c r="E730" s="70"/>
      <c r="F730" s="66"/>
      <c r="G730" s="66"/>
      <c r="H730" s="66"/>
      <c r="I730" s="66"/>
      <c r="J730" s="66"/>
      <c r="K730" s="63">
        <v>6500.0</v>
      </c>
      <c r="L730" s="63">
        <v>37.63</v>
      </c>
      <c r="M730" s="66">
        <f t="shared" si="1"/>
        <v>341.52</v>
      </c>
    </row>
    <row r="731">
      <c r="A731" s="67"/>
      <c r="B731" s="67"/>
      <c r="C731" s="67"/>
      <c r="D731" s="67"/>
      <c r="E731" s="67"/>
      <c r="F731" s="68"/>
      <c r="G731" s="68"/>
      <c r="H731" s="68"/>
      <c r="I731" s="68"/>
      <c r="J731" s="68"/>
      <c r="K731" s="69">
        <v>7000.0</v>
      </c>
      <c r="L731" s="69">
        <v>32.5</v>
      </c>
      <c r="M731" s="68">
        <f t="shared" si="1"/>
        <v>317.65</v>
      </c>
    </row>
    <row r="732">
      <c r="A732" s="66">
        <v>49.0</v>
      </c>
      <c r="B732" s="66">
        <v>66.0</v>
      </c>
      <c r="C732" s="74" t="s">
        <v>195</v>
      </c>
      <c r="D732" s="74" t="s">
        <v>196</v>
      </c>
      <c r="E732" s="74" t="s">
        <v>197</v>
      </c>
      <c r="F732" s="65">
        <v>5800.0</v>
      </c>
      <c r="G732" s="65">
        <v>6000.0</v>
      </c>
      <c r="H732" s="65">
        <v>500.0</v>
      </c>
      <c r="I732" s="65">
        <v>1800.0</v>
      </c>
      <c r="J732" s="65">
        <v>5000.0</v>
      </c>
      <c r="K732" s="63">
        <v>500.0</v>
      </c>
      <c r="L732" s="63">
        <v>57.6</v>
      </c>
      <c r="M732" s="66">
        <f t="shared" si="1"/>
        <v>40.21</v>
      </c>
    </row>
    <row r="733">
      <c r="A733" s="67"/>
      <c r="B733" s="67"/>
      <c r="C733" s="67"/>
      <c r="D733" s="67"/>
      <c r="E733" s="67"/>
      <c r="F733" s="68"/>
      <c r="G733" s="68"/>
      <c r="H733" s="68"/>
      <c r="I733" s="68"/>
      <c r="J733" s="68"/>
      <c r="K733" s="69">
        <v>1000.0</v>
      </c>
      <c r="L733" s="69">
        <v>72.23</v>
      </c>
      <c r="M733" s="68">
        <f t="shared" si="1"/>
        <v>100.85</v>
      </c>
    </row>
    <row r="734">
      <c r="A734" s="70"/>
      <c r="B734" s="70"/>
      <c r="C734" s="70"/>
      <c r="D734" s="70"/>
      <c r="E734" s="70"/>
      <c r="F734" s="66"/>
      <c r="G734" s="66"/>
      <c r="H734" s="66"/>
      <c r="I734" s="66"/>
      <c r="J734" s="66"/>
      <c r="K734" s="63">
        <v>1300.0</v>
      </c>
      <c r="L734" s="63">
        <v>75.65</v>
      </c>
      <c r="M734" s="66">
        <f t="shared" si="1"/>
        <v>137.31</v>
      </c>
    </row>
    <row r="735">
      <c r="A735" s="67"/>
      <c r="B735" s="67"/>
      <c r="C735" s="67"/>
      <c r="D735" s="67"/>
      <c r="E735" s="67"/>
      <c r="F735" s="68"/>
      <c r="G735" s="68"/>
      <c r="H735" s="68"/>
      <c r="I735" s="68"/>
      <c r="J735" s="68"/>
      <c r="K735" s="69">
        <v>1800.0</v>
      </c>
      <c r="L735" s="69">
        <v>76.95</v>
      </c>
      <c r="M735" s="68">
        <f t="shared" si="1"/>
        <v>193.4</v>
      </c>
    </row>
    <row r="736">
      <c r="A736" s="70"/>
      <c r="B736" s="70"/>
      <c r="C736" s="70"/>
      <c r="D736" s="70"/>
      <c r="E736" s="70"/>
      <c r="F736" s="66"/>
      <c r="G736" s="66"/>
      <c r="H736" s="66"/>
      <c r="I736" s="66"/>
      <c r="J736" s="66"/>
      <c r="K736" s="63">
        <v>2200.0</v>
      </c>
      <c r="L736" s="63">
        <v>76.95</v>
      </c>
      <c r="M736" s="66">
        <f t="shared" si="1"/>
        <v>236.37</v>
      </c>
    </row>
    <row r="737">
      <c r="A737" s="67"/>
      <c r="B737" s="67"/>
      <c r="C737" s="67"/>
      <c r="D737" s="67"/>
      <c r="E737" s="67"/>
      <c r="F737" s="68"/>
      <c r="G737" s="68"/>
      <c r="H737" s="68"/>
      <c r="I737" s="68"/>
      <c r="J737" s="68"/>
      <c r="K737" s="69">
        <v>3000.0</v>
      </c>
      <c r="L737" s="69">
        <v>76.95</v>
      </c>
      <c r="M737" s="68">
        <f t="shared" si="1"/>
        <v>322.33</v>
      </c>
    </row>
    <row r="738">
      <c r="A738" s="70"/>
      <c r="B738" s="70"/>
      <c r="C738" s="70"/>
      <c r="D738" s="70"/>
      <c r="E738" s="70"/>
      <c r="F738" s="66"/>
      <c r="G738" s="66"/>
      <c r="H738" s="66"/>
      <c r="I738" s="66"/>
      <c r="J738" s="66"/>
      <c r="K738" s="63">
        <v>3500.0</v>
      </c>
      <c r="L738" s="63">
        <v>76.55</v>
      </c>
      <c r="M738" s="66">
        <f t="shared" si="1"/>
        <v>374.09</v>
      </c>
    </row>
    <row r="739">
      <c r="A739" s="67"/>
      <c r="B739" s="67"/>
      <c r="C739" s="67"/>
      <c r="D739" s="67"/>
      <c r="E739" s="67"/>
      <c r="F739" s="68"/>
      <c r="G739" s="68"/>
      <c r="H739" s="68"/>
      <c r="I739" s="68"/>
      <c r="J739" s="68"/>
      <c r="K739" s="69">
        <v>4000.0</v>
      </c>
      <c r="L739" s="69">
        <v>75.07</v>
      </c>
      <c r="M739" s="68">
        <f t="shared" si="1"/>
        <v>419.27</v>
      </c>
    </row>
    <row r="740">
      <c r="A740" s="70"/>
      <c r="B740" s="70"/>
      <c r="C740" s="70"/>
      <c r="D740" s="70"/>
      <c r="E740" s="70"/>
      <c r="F740" s="66"/>
      <c r="G740" s="66"/>
      <c r="H740" s="66"/>
      <c r="I740" s="66"/>
      <c r="J740" s="66"/>
      <c r="K740" s="63">
        <v>4500.0</v>
      </c>
      <c r="L740" s="63">
        <v>72.87</v>
      </c>
      <c r="M740" s="66">
        <f t="shared" si="1"/>
        <v>457.85</v>
      </c>
    </row>
    <row r="741">
      <c r="A741" s="67"/>
      <c r="B741" s="67"/>
      <c r="C741" s="67"/>
      <c r="D741" s="67"/>
      <c r="E741" s="67"/>
      <c r="F741" s="68"/>
      <c r="G741" s="68"/>
      <c r="H741" s="68"/>
      <c r="I741" s="68"/>
      <c r="J741" s="68"/>
      <c r="K741" s="69">
        <v>5000.0</v>
      </c>
      <c r="L741" s="69">
        <v>68.65</v>
      </c>
      <c r="M741" s="68">
        <f t="shared" si="1"/>
        <v>479.27</v>
      </c>
    </row>
    <row r="742">
      <c r="A742" s="70"/>
      <c r="B742" s="70"/>
      <c r="C742" s="70"/>
      <c r="D742" s="70"/>
      <c r="E742" s="70"/>
      <c r="F742" s="66"/>
      <c r="G742" s="66"/>
      <c r="H742" s="66"/>
      <c r="I742" s="66"/>
      <c r="J742" s="66"/>
      <c r="K742" s="63">
        <v>5500.0</v>
      </c>
      <c r="L742" s="63">
        <v>61.08</v>
      </c>
      <c r="M742" s="66">
        <f t="shared" si="1"/>
        <v>469.06</v>
      </c>
    </row>
    <row r="743">
      <c r="A743" s="67"/>
      <c r="B743" s="67"/>
      <c r="C743" s="67"/>
      <c r="D743" s="67"/>
      <c r="E743" s="67"/>
      <c r="F743" s="68"/>
      <c r="G743" s="68"/>
      <c r="H743" s="68"/>
      <c r="I743" s="68"/>
      <c r="J743" s="68"/>
      <c r="K743" s="69">
        <v>6000.0</v>
      </c>
      <c r="L743" s="69">
        <v>50.01</v>
      </c>
      <c r="M743" s="68">
        <f t="shared" si="1"/>
        <v>418.96</v>
      </c>
    </row>
    <row r="744">
      <c r="A744" s="66">
        <v>50.0</v>
      </c>
      <c r="B744" s="66">
        <v>67.0</v>
      </c>
      <c r="C744" s="74" t="s">
        <v>198</v>
      </c>
      <c r="D744" s="74" t="s">
        <v>199</v>
      </c>
      <c r="E744" s="74" t="s">
        <v>200</v>
      </c>
      <c r="F744" s="65">
        <v>6000.0</v>
      </c>
      <c r="G744" s="65">
        <v>6000.0</v>
      </c>
      <c r="H744" s="65">
        <v>700.0</v>
      </c>
      <c r="I744" s="65">
        <v>3150.0</v>
      </c>
      <c r="J744" s="65">
        <v>5500.0</v>
      </c>
      <c r="K744" s="63">
        <v>500.0</v>
      </c>
      <c r="L744" s="63">
        <v>27.4</v>
      </c>
      <c r="M744" s="66">
        <f t="shared" si="1"/>
        <v>19.13</v>
      </c>
    </row>
    <row r="745">
      <c r="A745" s="67"/>
      <c r="B745" s="67"/>
      <c r="C745" s="67"/>
      <c r="D745" s="67"/>
      <c r="E745" s="67"/>
      <c r="F745" s="68"/>
      <c r="G745" s="68"/>
      <c r="H745" s="68"/>
      <c r="I745" s="68"/>
      <c r="J745" s="68"/>
      <c r="K745" s="69">
        <v>1000.0</v>
      </c>
      <c r="L745" s="69">
        <v>35.8</v>
      </c>
      <c r="M745" s="68">
        <f t="shared" si="1"/>
        <v>49.99</v>
      </c>
    </row>
    <row r="746">
      <c r="A746" s="73"/>
      <c r="B746" s="73"/>
      <c r="C746" s="73"/>
      <c r="D746" s="73"/>
      <c r="E746" s="73"/>
      <c r="F746" s="66"/>
      <c r="G746" s="66"/>
      <c r="H746" s="66"/>
      <c r="I746" s="66"/>
      <c r="J746" s="66"/>
      <c r="K746" s="63">
        <v>1500.0</v>
      </c>
      <c r="L746" s="63">
        <v>42.8</v>
      </c>
      <c r="M746" s="66">
        <f t="shared" si="1"/>
        <v>89.64</v>
      </c>
    </row>
    <row r="747">
      <c r="A747" s="67"/>
      <c r="B747" s="67"/>
      <c r="C747" s="67"/>
      <c r="D747" s="67"/>
      <c r="E747" s="67"/>
      <c r="F747" s="68"/>
      <c r="G747" s="68"/>
      <c r="H747" s="68"/>
      <c r="I747" s="68"/>
      <c r="J747" s="68"/>
      <c r="K747" s="69">
        <v>2000.0</v>
      </c>
      <c r="L747" s="69">
        <v>48.2</v>
      </c>
      <c r="M747" s="68">
        <f t="shared" si="1"/>
        <v>134.6</v>
      </c>
    </row>
    <row r="748">
      <c r="A748" s="70"/>
      <c r="B748" s="70"/>
      <c r="C748" s="70"/>
      <c r="D748" s="70"/>
      <c r="E748" s="70"/>
      <c r="F748" s="66"/>
      <c r="G748" s="66"/>
      <c r="H748" s="66"/>
      <c r="I748" s="66"/>
      <c r="J748" s="66"/>
      <c r="K748" s="63">
        <v>2500.0</v>
      </c>
      <c r="L748" s="63">
        <v>50.25</v>
      </c>
      <c r="M748" s="66">
        <f t="shared" si="1"/>
        <v>175.4</v>
      </c>
    </row>
    <row r="749">
      <c r="A749" s="67"/>
      <c r="B749" s="67"/>
      <c r="C749" s="67"/>
      <c r="D749" s="67"/>
      <c r="E749" s="67"/>
      <c r="F749" s="68"/>
      <c r="G749" s="68"/>
      <c r="H749" s="68"/>
      <c r="I749" s="68"/>
      <c r="J749" s="68"/>
      <c r="K749" s="69">
        <v>2750.0</v>
      </c>
      <c r="L749" s="69">
        <v>50.55</v>
      </c>
      <c r="M749" s="68">
        <f t="shared" si="1"/>
        <v>194.1</v>
      </c>
    </row>
    <row r="750">
      <c r="A750" s="70"/>
      <c r="B750" s="70"/>
      <c r="C750" s="70"/>
      <c r="D750" s="70"/>
      <c r="E750" s="70"/>
      <c r="F750" s="66"/>
      <c r="G750" s="66"/>
      <c r="H750" s="66"/>
      <c r="I750" s="66"/>
      <c r="J750" s="66"/>
      <c r="K750" s="63">
        <v>3150.0</v>
      </c>
      <c r="L750" s="63">
        <v>51.0</v>
      </c>
      <c r="M750" s="66">
        <f t="shared" si="1"/>
        <v>224.31</v>
      </c>
    </row>
    <row r="751">
      <c r="A751" s="67"/>
      <c r="B751" s="67"/>
      <c r="C751" s="67"/>
      <c r="D751" s="67"/>
      <c r="E751" s="67"/>
      <c r="F751" s="68"/>
      <c r="G751" s="68"/>
      <c r="H751" s="68"/>
      <c r="I751" s="68"/>
      <c r="J751" s="68"/>
      <c r="K751" s="69">
        <v>4000.0</v>
      </c>
      <c r="L751" s="69">
        <v>50.25</v>
      </c>
      <c r="M751" s="68">
        <f t="shared" si="1"/>
        <v>280.65</v>
      </c>
    </row>
    <row r="752">
      <c r="A752" s="70"/>
      <c r="B752" s="70"/>
      <c r="C752" s="70"/>
      <c r="D752" s="70"/>
      <c r="E752" s="70"/>
      <c r="F752" s="66"/>
      <c r="G752" s="66"/>
      <c r="H752" s="66"/>
      <c r="I752" s="66"/>
      <c r="J752" s="66"/>
      <c r="K752" s="63">
        <v>4500.0</v>
      </c>
      <c r="L752" s="63">
        <v>48.35</v>
      </c>
      <c r="M752" s="66">
        <f t="shared" si="1"/>
        <v>303.79</v>
      </c>
    </row>
    <row r="753">
      <c r="A753" s="67"/>
      <c r="B753" s="67"/>
      <c r="C753" s="67"/>
      <c r="D753" s="67"/>
      <c r="E753" s="67"/>
      <c r="F753" s="68"/>
      <c r="G753" s="68"/>
      <c r="H753" s="68"/>
      <c r="I753" s="68"/>
      <c r="J753" s="68"/>
      <c r="K753" s="69">
        <v>5000.0</v>
      </c>
      <c r="L753" s="69">
        <v>45.25</v>
      </c>
      <c r="M753" s="68">
        <f t="shared" si="1"/>
        <v>315.9</v>
      </c>
    </row>
    <row r="754">
      <c r="A754" s="70"/>
      <c r="B754" s="70"/>
      <c r="C754" s="70"/>
      <c r="D754" s="70"/>
      <c r="E754" s="70"/>
      <c r="F754" s="66"/>
      <c r="G754" s="66"/>
      <c r="H754" s="66"/>
      <c r="I754" s="66"/>
      <c r="J754" s="66"/>
      <c r="K754" s="63">
        <v>5500.0</v>
      </c>
      <c r="L754" s="63">
        <v>41.35</v>
      </c>
      <c r="M754" s="66">
        <f t="shared" si="1"/>
        <v>317.54</v>
      </c>
    </row>
    <row r="755">
      <c r="A755" s="67"/>
      <c r="B755" s="67"/>
      <c r="C755" s="67"/>
      <c r="D755" s="67"/>
      <c r="E755" s="67"/>
      <c r="F755" s="68"/>
      <c r="G755" s="68"/>
      <c r="H755" s="68"/>
      <c r="I755" s="68"/>
      <c r="J755" s="68"/>
      <c r="K755" s="69">
        <v>6100.0</v>
      </c>
      <c r="L755" s="69">
        <v>35.75</v>
      </c>
      <c r="M755" s="68">
        <f t="shared" si="1"/>
        <v>304.49</v>
      </c>
    </row>
    <row r="756">
      <c r="A756" s="70"/>
      <c r="B756" s="70"/>
      <c r="C756" s="70"/>
      <c r="D756" s="70"/>
      <c r="E756" s="70"/>
      <c r="F756" s="66"/>
      <c r="G756" s="66"/>
      <c r="H756" s="66"/>
      <c r="I756" s="66"/>
      <c r="J756" s="66"/>
      <c r="K756" s="63">
        <v>6500.0</v>
      </c>
      <c r="L756" s="63">
        <v>31.1</v>
      </c>
      <c r="M756" s="66">
        <f t="shared" si="1"/>
        <v>282.25</v>
      </c>
    </row>
    <row r="757">
      <c r="A757" s="67"/>
      <c r="B757" s="67"/>
      <c r="C757" s="67"/>
      <c r="D757" s="67"/>
      <c r="E757" s="67"/>
      <c r="F757" s="68"/>
      <c r="G757" s="68"/>
      <c r="H757" s="68"/>
      <c r="I757" s="68"/>
      <c r="J757" s="68"/>
      <c r="K757" s="69">
        <v>7000.0</v>
      </c>
      <c r="L757" s="69">
        <v>24.65</v>
      </c>
      <c r="M757" s="68">
        <f t="shared" si="1"/>
        <v>240.92</v>
      </c>
    </row>
    <row r="758">
      <c r="A758" s="66">
        <v>51.0</v>
      </c>
      <c r="B758" s="66">
        <v>69.0</v>
      </c>
      <c r="C758" s="74" t="s">
        <v>201</v>
      </c>
      <c r="D758" s="74" t="s">
        <v>202</v>
      </c>
      <c r="E758" s="74" t="s">
        <v>203</v>
      </c>
      <c r="F758" s="65">
        <v>6000.0</v>
      </c>
      <c r="G758" s="65">
        <v>6200.0</v>
      </c>
      <c r="H758" s="65">
        <v>700.0</v>
      </c>
      <c r="I758" s="65">
        <v>2700.0</v>
      </c>
      <c r="J758" s="65">
        <v>5600.0</v>
      </c>
      <c r="K758" s="63">
        <v>500.0</v>
      </c>
      <c r="L758" s="63">
        <v>35.25</v>
      </c>
      <c r="M758" s="66">
        <f t="shared" si="1"/>
        <v>24.61</v>
      </c>
    </row>
    <row r="759">
      <c r="A759" s="67"/>
      <c r="B759" s="67"/>
      <c r="C759" s="67"/>
      <c r="D759" s="67"/>
      <c r="E759" s="67"/>
      <c r="F759" s="68"/>
      <c r="G759" s="68"/>
      <c r="H759" s="68"/>
      <c r="I759" s="68"/>
      <c r="J759" s="68"/>
      <c r="K759" s="69">
        <v>1000.0</v>
      </c>
      <c r="L759" s="69">
        <v>40.13</v>
      </c>
      <c r="M759" s="68">
        <f t="shared" si="1"/>
        <v>56.03</v>
      </c>
    </row>
    <row r="760">
      <c r="A760" s="70"/>
      <c r="B760" s="70"/>
      <c r="C760" s="70"/>
      <c r="D760" s="70"/>
      <c r="E760" s="70"/>
      <c r="F760" s="66"/>
      <c r="G760" s="66"/>
      <c r="H760" s="66"/>
      <c r="I760" s="66"/>
      <c r="J760" s="66"/>
      <c r="K760" s="63">
        <v>1500.0</v>
      </c>
      <c r="L760" s="63">
        <v>43.5</v>
      </c>
      <c r="M760" s="66">
        <f t="shared" si="1"/>
        <v>91.11</v>
      </c>
    </row>
    <row r="761">
      <c r="A761" s="67"/>
      <c r="B761" s="67"/>
      <c r="C761" s="67"/>
      <c r="D761" s="67"/>
      <c r="E761" s="67"/>
      <c r="F761" s="68"/>
      <c r="G761" s="68"/>
      <c r="H761" s="68"/>
      <c r="I761" s="68"/>
      <c r="J761" s="68"/>
      <c r="K761" s="69">
        <v>2000.0</v>
      </c>
      <c r="L761" s="69">
        <v>45.88</v>
      </c>
      <c r="M761" s="68">
        <f t="shared" si="1"/>
        <v>128.12</v>
      </c>
    </row>
    <row r="762">
      <c r="A762" s="70"/>
      <c r="B762" s="70"/>
      <c r="C762" s="70"/>
      <c r="D762" s="70"/>
      <c r="E762" s="70"/>
      <c r="F762" s="66"/>
      <c r="G762" s="66"/>
      <c r="H762" s="66"/>
      <c r="I762" s="66"/>
      <c r="J762" s="66"/>
      <c r="K762" s="63">
        <v>2700.0</v>
      </c>
      <c r="L762" s="63">
        <v>46.9</v>
      </c>
      <c r="M762" s="66">
        <f t="shared" si="1"/>
        <v>176.81</v>
      </c>
    </row>
    <row r="763">
      <c r="A763" s="67"/>
      <c r="B763" s="67"/>
      <c r="C763" s="67"/>
      <c r="D763" s="67"/>
      <c r="E763" s="67"/>
      <c r="F763" s="68"/>
      <c r="G763" s="68"/>
      <c r="H763" s="68"/>
      <c r="I763" s="68"/>
      <c r="J763" s="68"/>
      <c r="K763" s="69">
        <v>3000.0</v>
      </c>
      <c r="L763" s="69">
        <v>46.75</v>
      </c>
      <c r="M763" s="68">
        <f t="shared" si="1"/>
        <v>195.83</v>
      </c>
    </row>
    <row r="764">
      <c r="A764" s="70"/>
      <c r="B764" s="70"/>
      <c r="C764" s="70"/>
      <c r="D764" s="70"/>
      <c r="E764" s="70"/>
      <c r="F764" s="66"/>
      <c r="G764" s="66"/>
      <c r="H764" s="66"/>
      <c r="I764" s="66"/>
      <c r="J764" s="66"/>
      <c r="K764" s="63">
        <v>3500.0</v>
      </c>
      <c r="L764" s="63">
        <v>46.5</v>
      </c>
      <c r="M764" s="66">
        <f t="shared" si="1"/>
        <v>227.24</v>
      </c>
    </row>
    <row r="765">
      <c r="A765" s="67"/>
      <c r="B765" s="67"/>
      <c r="C765" s="67"/>
      <c r="D765" s="67"/>
      <c r="E765" s="67"/>
      <c r="F765" s="68"/>
      <c r="G765" s="68"/>
      <c r="H765" s="68"/>
      <c r="I765" s="68"/>
      <c r="J765" s="68"/>
      <c r="K765" s="69">
        <v>4000.0</v>
      </c>
      <c r="L765" s="69">
        <v>46.13</v>
      </c>
      <c r="M765" s="68">
        <f t="shared" si="1"/>
        <v>257.64</v>
      </c>
    </row>
    <row r="766">
      <c r="A766" s="70"/>
      <c r="B766" s="70"/>
      <c r="C766" s="70"/>
      <c r="D766" s="70"/>
      <c r="E766" s="70"/>
      <c r="F766" s="66"/>
      <c r="G766" s="66"/>
      <c r="H766" s="66"/>
      <c r="I766" s="66"/>
      <c r="J766" s="66"/>
      <c r="K766" s="63">
        <v>4500.0</v>
      </c>
      <c r="L766" s="63">
        <v>45.0</v>
      </c>
      <c r="M766" s="66">
        <f t="shared" si="1"/>
        <v>282.74</v>
      </c>
    </row>
    <row r="767">
      <c r="A767" s="67"/>
      <c r="B767" s="67"/>
      <c r="C767" s="67"/>
      <c r="D767" s="67"/>
      <c r="E767" s="67"/>
      <c r="F767" s="68"/>
      <c r="G767" s="68"/>
      <c r="H767" s="68"/>
      <c r="I767" s="68"/>
      <c r="J767" s="68"/>
      <c r="K767" s="69">
        <v>5000.0</v>
      </c>
      <c r="L767" s="69">
        <v>43.13</v>
      </c>
      <c r="M767" s="68">
        <f t="shared" si="1"/>
        <v>301.1</v>
      </c>
    </row>
    <row r="768">
      <c r="A768" s="70"/>
      <c r="B768" s="70"/>
      <c r="C768" s="70"/>
      <c r="D768" s="70"/>
      <c r="E768" s="70"/>
      <c r="F768" s="66"/>
      <c r="G768" s="66"/>
      <c r="H768" s="66"/>
      <c r="I768" s="66"/>
      <c r="J768" s="66"/>
      <c r="K768" s="63">
        <v>5600.0</v>
      </c>
      <c r="L768" s="63">
        <v>39.0</v>
      </c>
      <c r="M768" s="66">
        <f t="shared" si="1"/>
        <v>304.94</v>
      </c>
    </row>
    <row r="769">
      <c r="A769" s="67"/>
      <c r="B769" s="67"/>
      <c r="C769" s="67"/>
      <c r="D769" s="67"/>
      <c r="E769" s="67"/>
      <c r="F769" s="68"/>
      <c r="G769" s="68"/>
      <c r="H769" s="68"/>
      <c r="I769" s="68"/>
      <c r="J769" s="68"/>
      <c r="K769" s="69">
        <v>6000.0</v>
      </c>
      <c r="L769" s="69">
        <v>35.25</v>
      </c>
      <c r="M769" s="68">
        <f t="shared" si="1"/>
        <v>295.31</v>
      </c>
    </row>
    <row r="770">
      <c r="A770" s="73"/>
      <c r="B770" s="73"/>
      <c r="C770" s="73"/>
      <c r="D770" s="73"/>
      <c r="E770" s="73"/>
      <c r="F770" s="66"/>
      <c r="G770" s="66"/>
      <c r="H770" s="66"/>
      <c r="I770" s="66"/>
      <c r="J770" s="66"/>
      <c r="K770" s="63">
        <v>6500.0</v>
      </c>
      <c r="L770" s="63">
        <v>29.5</v>
      </c>
      <c r="M770" s="66">
        <f t="shared" si="1"/>
        <v>267.73</v>
      </c>
    </row>
    <row r="771">
      <c r="A771" s="68">
        <v>52.0</v>
      </c>
      <c r="B771" s="68">
        <v>79.0</v>
      </c>
      <c r="C771" s="71" t="s">
        <v>204</v>
      </c>
      <c r="D771" s="71" t="s">
        <v>205</v>
      </c>
      <c r="E771" s="71" t="s">
        <v>206</v>
      </c>
      <c r="F771" s="72">
        <v>5800.0</v>
      </c>
      <c r="G771" s="72">
        <v>6000.0</v>
      </c>
      <c r="H771" s="72">
        <v>700.0</v>
      </c>
      <c r="I771" s="72">
        <v>3800.0</v>
      </c>
      <c r="J771" s="72">
        <v>5000.0</v>
      </c>
      <c r="K771" s="69">
        <v>500.0</v>
      </c>
      <c r="L771" s="69">
        <v>9.05</v>
      </c>
      <c r="M771" s="68">
        <f t="shared" si="1"/>
        <v>6.32</v>
      </c>
    </row>
    <row r="772">
      <c r="A772" s="70"/>
      <c r="B772" s="70"/>
      <c r="C772" s="70"/>
      <c r="D772" s="70"/>
      <c r="E772" s="70"/>
      <c r="F772" s="66"/>
      <c r="G772" s="66"/>
      <c r="H772" s="66"/>
      <c r="I772" s="66"/>
      <c r="J772" s="66"/>
      <c r="K772" s="63">
        <v>1000.0</v>
      </c>
      <c r="L772" s="63">
        <v>10.71</v>
      </c>
      <c r="M772" s="66">
        <f t="shared" si="1"/>
        <v>14.95</v>
      </c>
    </row>
    <row r="773">
      <c r="A773" s="67"/>
      <c r="B773" s="67"/>
      <c r="C773" s="67"/>
      <c r="D773" s="67"/>
      <c r="E773" s="67"/>
      <c r="F773" s="68"/>
      <c r="G773" s="68"/>
      <c r="H773" s="68"/>
      <c r="I773" s="68"/>
      <c r="J773" s="68"/>
      <c r="K773" s="69">
        <v>1500.0</v>
      </c>
      <c r="L773" s="69">
        <v>11.22</v>
      </c>
      <c r="M773" s="68">
        <f t="shared" si="1"/>
        <v>23.5</v>
      </c>
    </row>
    <row r="774">
      <c r="A774" s="70"/>
      <c r="B774" s="70"/>
      <c r="C774" s="70"/>
      <c r="D774" s="70"/>
      <c r="E774" s="70"/>
      <c r="F774" s="66"/>
      <c r="G774" s="66"/>
      <c r="H774" s="66"/>
      <c r="I774" s="66"/>
      <c r="J774" s="66"/>
      <c r="K774" s="63">
        <v>2000.0</v>
      </c>
      <c r="L774" s="63">
        <v>11.59</v>
      </c>
      <c r="M774" s="66">
        <f t="shared" si="1"/>
        <v>32.37</v>
      </c>
    </row>
    <row r="775">
      <c r="A775" s="67"/>
      <c r="B775" s="67"/>
      <c r="C775" s="67"/>
      <c r="D775" s="67"/>
      <c r="E775" s="67"/>
      <c r="F775" s="68"/>
      <c r="G775" s="68"/>
      <c r="H775" s="68"/>
      <c r="I775" s="68"/>
      <c r="J775" s="68"/>
      <c r="K775" s="69">
        <v>2500.0</v>
      </c>
      <c r="L775" s="69">
        <v>12.24</v>
      </c>
      <c r="M775" s="68">
        <f t="shared" si="1"/>
        <v>42.73</v>
      </c>
    </row>
    <row r="776">
      <c r="A776" s="70"/>
      <c r="B776" s="70"/>
      <c r="C776" s="70"/>
      <c r="D776" s="70"/>
      <c r="E776" s="70"/>
      <c r="F776" s="66"/>
      <c r="G776" s="66"/>
      <c r="H776" s="66"/>
      <c r="I776" s="66"/>
      <c r="J776" s="66"/>
      <c r="K776" s="63">
        <v>3000.0</v>
      </c>
      <c r="L776" s="63">
        <v>12.75</v>
      </c>
      <c r="M776" s="66">
        <f t="shared" si="1"/>
        <v>53.41</v>
      </c>
    </row>
    <row r="777">
      <c r="A777" s="67"/>
      <c r="B777" s="67"/>
      <c r="C777" s="67"/>
      <c r="D777" s="67"/>
      <c r="E777" s="67"/>
      <c r="F777" s="68"/>
      <c r="G777" s="68"/>
      <c r="H777" s="68"/>
      <c r="I777" s="68"/>
      <c r="J777" s="68"/>
      <c r="K777" s="69">
        <v>3800.0</v>
      </c>
      <c r="L777" s="69">
        <v>12.8</v>
      </c>
      <c r="M777" s="68">
        <f t="shared" si="1"/>
        <v>67.91</v>
      </c>
    </row>
    <row r="778">
      <c r="A778" s="70"/>
      <c r="B778" s="70"/>
      <c r="C778" s="70"/>
      <c r="D778" s="70"/>
      <c r="E778" s="70"/>
      <c r="F778" s="66"/>
      <c r="G778" s="66"/>
      <c r="H778" s="66"/>
      <c r="I778" s="66"/>
      <c r="J778" s="66"/>
      <c r="K778" s="63">
        <v>4000.0</v>
      </c>
      <c r="L778" s="63">
        <v>12.85</v>
      </c>
      <c r="M778" s="66">
        <f t="shared" si="1"/>
        <v>71.77</v>
      </c>
    </row>
    <row r="779">
      <c r="A779" s="67"/>
      <c r="B779" s="67"/>
      <c r="C779" s="67"/>
      <c r="D779" s="67"/>
      <c r="E779" s="67"/>
      <c r="F779" s="68"/>
      <c r="G779" s="68"/>
      <c r="H779" s="68"/>
      <c r="I779" s="68"/>
      <c r="J779" s="68"/>
      <c r="K779" s="69">
        <v>4500.0</v>
      </c>
      <c r="L779" s="69">
        <v>11.83</v>
      </c>
      <c r="M779" s="68">
        <f t="shared" si="1"/>
        <v>74.33</v>
      </c>
    </row>
    <row r="780">
      <c r="A780" s="70"/>
      <c r="B780" s="70"/>
      <c r="C780" s="70"/>
      <c r="D780" s="70"/>
      <c r="E780" s="70"/>
      <c r="F780" s="66"/>
      <c r="G780" s="66"/>
      <c r="H780" s="66"/>
      <c r="I780" s="66"/>
      <c r="J780" s="66"/>
      <c r="K780" s="63">
        <v>5000.0</v>
      </c>
      <c r="L780" s="63">
        <v>10.71</v>
      </c>
      <c r="M780" s="66">
        <f t="shared" si="1"/>
        <v>74.77</v>
      </c>
    </row>
    <row r="781">
      <c r="A781" s="67"/>
      <c r="B781" s="67"/>
      <c r="C781" s="67"/>
      <c r="D781" s="67"/>
      <c r="E781" s="67"/>
      <c r="F781" s="68"/>
      <c r="G781" s="68"/>
      <c r="H781" s="68"/>
      <c r="I781" s="68"/>
      <c r="J781" s="68"/>
      <c r="K781" s="69">
        <v>5500.0</v>
      </c>
      <c r="L781" s="69">
        <v>9.53</v>
      </c>
      <c r="M781" s="68">
        <f t="shared" si="1"/>
        <v>73.18</v>
      </c>
    </row>
    <row r="782">
      <c r="A782" s="70"/>
      <c r="B782" s="70"/>
      <c r="C782" s="70"/>
      <c r="D782" s="70"/>
      <c r="E782" s="70"/>
      <c r="F782" s="66"/>
      <c r="G782" s="66"/>
      <c r="H782" s="66"/>
      <c r="I782" s="66"/>
      <c r="J782" s="66"/>
      <c r="K782" s="63">
        <v>6000.0</v>
      </c>
      <c r="L782" s="63">
        <v>8.35</v>
      </c>
      <c r="M782" s="66">
        <f t="shared" si="1"/>
        <v>69.95</v>
      </c>
    </row>
    <row r="783">
      <c r="A783" s="67"/>
      <c r="B783" s="67"/>
      <c r="C783" s="67"/>
      <c r="D783" s="67"/>
      <c r="E783" s="67"/>
      <c r="F783" s="68"/>
      <c r="G783" s="68"/>
      <c r="H783" s="68"/>
      <c r="I783" s="68"/>
      <c r="J783" s="68"/>
      <c r="K783" s="69">
        <v>6500.0</v>
      </c>
      <c r="L783" s="69">
        <v>7.25</v>
      </c>
      <c r="M783" s="68">
        <f t="shared" si="1"/>
        <v>65.8</v>
      </c>
    </row>
    <row r="784">
      <c r="A784" s="70"/>
      <c r="B784" s="70"/>
      <c r="C784" s="70"/>
      <c r="D784" s="70"/>
      <c r="E784" s="70"/>
      <c r="F784" s="66"/>
      <c r="G784" s="66"/>
      <c r="H784" s="66"/>
      <c r="I784" s="66"/>
      <c r="J784" s="66"/>
      <c r="K784" s="63">
        <v>7000.0</v>
      </c>
      <c r="L784" s="63">
        <v>5.45</v>
      </c>
      <c r="M784" s="66">
        <f t="shared" si="1"/>
        <v>53.27</v>
      </c>
    </row>
    <row r="785">
      <c r="A785" s="68">
        <v>53.0</v>
      </c>
      <c r="B785" s="68">
        <v>82.0</v>
      </c>
      <c r="C785" s="71" t="s">
        <v>207</v>
      </c>
      <c r="D785" s="71" t="s">
        <v>208</v>
      </c>
      <c r="E785" s="71" t="s">
        <v>209</v>
      </c>
      <c r="F785" s="72">
        <v>6500.0</v>
      </c>
      <c r="G785" s="72">
        <v>6500.0</v>
      </c>
      <c r="H785" s="72">
        <v>700.0</v>
      </c>
      <c r="I785" s="72">
        <v>1800.0</v>
      </c>
      <c r="J785" s="72">
        <v>5800.0</v>
      </c>
      <c r="K785" s="69">
        <v>500.0</v>
      </c>
      <c r="L785" s="69">
        <v>23.94</v>
      </c>
      <c r="M785" s="68">
        <f t="shared" si="1"/>
        <v>16.71</v>
      </c>
    </row>
    <row r="786">
      <c r="A786" s="70"/>
      <c r="B786" s="70"/>
      <c r="C786" s="70"/>
      <c r="D786" s="70"/>
      <c r="E786" s="70"/>
      <c r="F786" s="66"/>
      <c r="G786" s="66"/>
      <c r="H786" s="66"/>
      <c r="I786" s="66"/>
      <c r="J786" s="66"/>
      <c r="K786" s="63">
        <v>1000.0</v>
      </c>
      <c r="L786" s="63">
        <v>31.87</v>
      </c>
      <c r="M786" s="66">
        <f t="shared" si="1"/>
        <v>44.5</v>
      </c>
    </row>
    <row r="787">
      <c r="A787" s="67"/>
      <c r="B787" s="67"/>
      <c r="C787" s="67"/>
      <c r="D787" s="67"/>
      <c r="E787" s="67"/>
      <c r="F787" s="68"/>
      <c r="G787" s="68"/>
      <c r="H787" s="68"/>
      <c r="I787" s="68"/>
      <c r="J787" s="68"/>
      <c r="K787" s="69">
        <v>1500.0</v>
      </c>
      <c r="L787" s="69">
        <v>34.78</v>
      </c>
      <c r="M787" s="68">
        <f t="shared" si="1"/>
        <v>72.84</v>
      </c>
    </row>
    <row r="788">
      <c r="A788" s="70"/>
      <c r="B788" s="70"/>
      <c r="C788" s="70"/>
      <c r="D788" s="70"/>
      <c r="E788" s="70"/>
      <c r="F788" s="66"/>
      <c r="G788" s="66"/>
      <c r="H788" s="66"/>
      <c r="I788" s="66"/>
      <c r="J788" s="66"/>
      <c r="K788" s="63">
        <v>2000.0</v>
      </c>
      <c r="L788" s="63">
        <v>35.69</v>
      </c>
      <c r="M788" s="66">
        <f t="shared" si="1"/>
        <v>99.66</v>
      </c>
    </row>
    <row r="789">
      <c r="A789" s="67"/>
      <c r="B789" s="67"/>
      <c r="C789" s="67"/>
      <c r="D789" s="67"/>
      <c r="E789" s="67"/>
      <c r="F789" s="68"/>
      <c r="G789" s="68"/>
      <c r="H789" s="68"/>
      <c r="I789" s="68"/>
      <c r="J789" s="68"/>
      <c r="K789" s="69">
        <v>2500.0</v>
      </c>
      <c r="L789" s="69">
        <v>35.69</v>
      </c>
      <c r="M789" s="68">
        <f t="shared" si="1"/>
        <v>124.58</v>
      </c>
    </row>
    <row r="790">
      <c r="A790" s="70"/>
      <c r="B790" s="70"/>
      <c r="C790" s="70"/>
      <c r="D790" s="70"/>
      <c r="E790" s="70"/>
      <c r="F790" s="66"/>
      <c r="G790" s="66"/>
      <c r="H790" s="66"/>
      <c r="I790" s="66"/>
      <c r="J790" s="66"/>
      <c r="K790" s="63">
        <v>3000.0</v>
      </c>
      <c r="L790" s="63">
        <v>35.69</v>
      </c>
      <c r="M790" s="66">
        <f t="shared" si="1"/>
        <v>149.5</v>
      </c>
    </row>
    <row r="791">
      <c r="A791" s="67"/>
      <c r="B791" s="67"/>
      <c r="C791" s="67"/>
      <c r="D791" s="67"/>
      <c r="E791" s="67"/>
      <c r="F791" s="68"/>
      <c r="G791" s="68"/>
      <c r="H791" s="68"/>
      <c r="I791" s="68"/>
      <c r="J791" s="68"/>
      <c r="K791" s="69">
        <v>3500.0</v>
      </c>
      <c r="L791" s="69">
        <v>35.69</v>
      </c>
      <c r="M791" s="68">
        <f t="shared" si="1"/>
        <v>174.41</v>
      </c>
    </row>
    <row r="792">
      <c r="A792" s="70"/>
      <c r="B792" s="70"/>
      <c r="C792" s="70"/>
      <c r="D792" s="70"/>
      <c r="E792" s="70"/>
      <c r="F792" s="66"/>
      <c r="G792" s="66"/>
      <c r="H792" s="66"/>
      <c r="I792" s="66"/>
      <c r="J792" s="66"/>
      <c r="K792" s="63">
        <v>4000.0</v>
      </c>
      <c r="L792" s="63">
        <v>35.69</v>
      </c>
      <c r="M792" s="66">
        <f t="shared" si="1"/>
        <v>199.33</v>
      </c>
    </row>
    <row r="793">
      <c r="A793" s="67"/>
      <c r="B793" s="67"/>
      <c r="C793" s="67"/>
      <c r="D793" s="67"/>
      <c r="E793" s="67"/>
      <c r="F793" s="68"/>
      <c r="G793" s="68"/>
      <c r="H793" s="68"/>
      <c r="I793" s="68"/>
      <c r="J793" s="68"/>
      <c r="K793" s="69">
        <v>4500.0</v>
      </c>
      <c r="L793" s="69">
        <v>35.69</v>
      </c>
      <c r="M793" s="68">
        <f t="shared" si="1"/>
        <v>224.25</v>
      </c>
    </row>
    <row r="794">
      <c r="A794" s="73"/>
      <c r="B794" s="73"/>
      <c r="C794" s="73"/>
      <c r="D794" s="73"/>
      <c r="E794" s="73"/>
      <c r="F794" s="66"/>
      <c r="G794" s="66"/>
      <c r="H794" s="66"/>
      <c r="I794" s="66"/>
      <c r="J794" s="66"/>
      <c r="K794" s="63">
        <v>5000.0</v>
      </c>
      <c r="L794" s="63">
        <v>35.29</v>
      </c>
      <c r="M794" s="66">
        <f t="shared" si="1"/>
        <v>246.37</v>
      </c>
    </row>
    <row r="795">
      <c r="A795" s="67"/>
      <c r="B795" s="67"/>
      <c r="C795" s="67"/>
      <c r="D795" s="67"/>
      <c r="E795" s="67"/>
      <c r="F795" s="68"/>
      <c r="G795" s="68"/>
      <c r="H795" s="68"/>
      <c r="I795" s="68"/>
      <c r="J795" s="68"/>
      <c r="K795" s="69">
        <v>5500.0</v>
      </c>
      <c r="L795" s="69">
        <v>32.43</v>
      </c>
      <c r="M795" s="68">
        <f t="shared" si="1"/>
        <v>249.04</v>
      </c>
    </row>
    <row r="796">
      <c r="A796" s="70"/>
      <c r="B796" s="70"/>
      <c r="C796" s="70"/>
      <c r="D796" s="70"/>
      <c r="E796" s="70"/>
      <c r="F796" s="66"/>
      <c r="G796" s="66"/>
      <c r="H796" s="66"/>
      <c r="I796" s="66"/>
      <c r="J796" s="66"/>
      <c r="K796" s="63">
        <v>6000.0</v>
      </c>
      <c r="L796" s="63">
        <v>29.78</v>
      </c>
      <c r="M796" s="66">
        <f t="shared" si="1"/>
        <v>249.48</v>
      </c>
    </row>
    <row r="797">
      <c r="A797" s="67"/>
      <c r="B797" s="67"/>
      <c r="C797" s="67"/>
      <c r="D797" s="67"/>
      <c r="E797" s="67"/>
      <c r="F797" s="68"/>
      <c r="G797" s="68"/>
      <c r="H797" s="68"/>
      <c r="I797" s="68"/>
      <c r="J797" s="68"/>
      <c r="K797" s="69">
        <v>6500.0</v>
      </c>
      <c r="L797" s="69">
        <v>26.41</v>
      </c>
      <c r="M797" s="68">
        <f t="shared" si="1"/>
        <v>239.69</v>
      </c>
    </row>
    <row r="798">
      <c r="A798" s="70"/>
      <c r="B798" s="70"/>
      <c r="C798" s="70"/>
      <c r="D798" s="70"/>
      <c r="E798" s="70"/>
      <c r="F798" s="66"/>
      <c r="G798" s="66"/>
      <c r="H798" s="66"/>
      <c r="I798" s="66"/>
      <c r="J798" s="66"/>
      <c r="K798" s="63">
        <v>7000.0</v>
      </c>
      <c r="L798" s="63">
        <v>22.6</v>
      </c>
      <c r="M798" s="66">
        <f t="shared" si="1"/>
        <v>220.89</v>
      </c>
    </row>
    <row r="799">
      <c r="A799" s="67"/>
      <c r="B799" s="67"/>
      <c r="C799" s="67"/>
      <c r="D799" s="67"/>
      <c r="E799" s="67"/>
      <c r="F799" s="68"/>
      <c r="G799" s="68"/>
      <c r="H799" s="68"/>
      <c r="I799" s="68"/>
      <c r="J799" s="68"/>
      <c r="K799" s="69">
        <v>7500.0</v>
      </c>
      <c r="L799" s="69">
        <v>18.1</v>
      </c>
      <c r="M799" s="68">
        <f t="shared" si="1"/>
        <v>189.54</v>
      </c>
    </row>
    <row r="800">
      <c r="A800" s="66">
        <v>54.0</v>
      </c>
      <c r="B800" s="66">
        <v>83.0</v>
      </c>
      <c r="C800" s="74" t="s">
        <v>210</v>
      </c>
      <c r="D800" s="74" t="s">
        <v>211</v>
      </c>
      <c r="E800" s="74" t="s">
        <v>212</v>
      </c>
      <c r="F800" s="65">
        <v>6600.0</v>
      </c>
      <c r="G800" s="65">
        <v>6600.0</v>
      </c>
      <c r="H800" s="65">
        <v>700.0</v>
      </c>
      <c r="I800" s="65">
        <v>2200.0</v>
      </c>
      <c r="J800" s="65">
        <v>5900.0</v>
      </c>
      <c r="K800" s="63">
        <v>500.0</v>
      </c>
      <c r="L800" s="63">
        <v>16.7</v>
      </c>
      <c r="M800" s="66">
        <f t="shared" si="1"/>
        <v>11.66</v>
      </c>
    </row>
    <row r="801">
      <c r="A801" s="67"/>
      <c r="B801" s="67"/>
      <c r="C801" s="67"/>
      <c r="D801" s="67"/>
      <c r="E801" s="67"/>
      <c r="F801" s="68"/>
      <c r="G801" s="68"/>
      <c r="H801" s="68"/>
      <c r="I801" s="68"/>
      <c r="J801" s="68"/>
      <c r="K801" s="69">
        <v>1000.0</v>
      </c>
      <c r="L801" s="69">
        <v>19.62</v>
      </c>
      <c r="M801" s="68">
        <f t="shared" si="1"/>
        <v>27.39</v>
      </c>
    </row>
    <row r="802">
      <c r="A802" s="70"/>
      <c r="B802" s="70"/>
      <c r="C802" s="70"/>
      <c r="D802" s="70"/>
      <c r="E802" s="70"/>
      <c r="F802" s="66"/>
      <c r="G802" s="66"/>
      <c r="H802" s="66"/>
      <c r="I802" s="66"/>
      <c r="J802" s="66"/>
      <c r="K802" s="63">
        <v>1500.0</v>
      </c>
      <c r="L802" s="63">
        <v>22.8</v>
      </c>
      <c r="M802" s="66">
        <f t="shared" si="1"/>
        <v>47.75</v>
      </c>
    </row>
    <row r="803">
      <c r="A803" s="67"/>
      <c r="B803" s="67"/>
      <c r="C803" s="67"/>
      <c r="D803" s="67"/>
      <c r="E803" s="67"/>
      <c r="F803" s="68"/>
      <c r="G803" s="68"/>
      <c r="H803" s="68"/>
      <c r="I803" s="68"/>
      <c r="J803" s="68"/>
      <c r="K803" s="69">
        <v>2200.0</v>
      </c>
      <c r="L803" s="69">
        <v>27.0</v>
      </c>
      <c r="M803" s="68">
        <f t="shared" si="1"/>
        <v>82.94</v>
      </c>
    </row>
    <row r="804">
      <c r="A804" s="70"/>
      <c r="B804" s="70"/>
      <c r="C804" s="70"/>
      <c r="D804" s="70"/>
      <c r="E804" s="70"/>
      <c r="F804" s="66"/>
      <c r="G804" s="66"/>
      <c r="H804" s="66"/>
      <c r="I804" s="66"/>
      <c r="J804" s="66"/>
      <c r="K804" s="63">
        <v>2500.0</v>
      </c>
      <c r="L804" s="63">
        <v>27.0</v>
      </c>
      <c r="M804" s="66">
        <f t="shared" si="1"/>
        <v>94.25</v>
      </c>
    </row>
    <row r="805">
      <c r="A805" s="67"/>
      <c r="B805" s="67"/>
      <c r="C805" s="67"/>
      <c r="D805" s="67"/>
      <c r="E805" s="67"/>
      <c r="F805" s="68"/>
      <c r="G805" s="68"/>
      <c r="H805" s="68"/>
      <c r="I805" s="68"/>
      <c r="J805" s="68"/>
      <c r="K805" s="69">
        <v>3000.0</v>
      </c>
      <c r="L805" s="69">
        <v>27.0</v>
      </c>
      <c r="M805" s="68">
        <f t="shared" si="1"/>
        <v>113.1</v>
      </c>
    </row>
    <row r="806">
      <c r="A806" s="70"/>
      <c r="B806" s="70"/>
      <c r="C806" s="70"/>
      <c r="D806" s="70"/>
      <c r="E806" s="70"/>
      <c r="F806" s="66"/>
      <c r="G806" s="66"/>
      <c r="H806" s="66"/>
      <c r="I806" s="66"/>
      <c r="J806" s="66"/>
      <c r="K806" s="63">
        <v>3500.0</v>
      </c>
      <c r="L806" s="63">
        <v>27.0</v>
      </c>
      <c r="M806" s="66">
        <f t="shared" si="1"/>
        <v>131.95</v>
      </c>
    </row>
    <row r="807">
      <c r="A807" s="67"/>
      <c r="B807" s="67"/>
      <c r="C807" s="67"/>
      <c r="D807" s="67"/>
      <c r="E807" s="67"/>
      <c r="F807" s="68"/>
      <c r="G807" s="68"/>
      <c r="H807" s="68"/>
      <c r="I807" s="68"/>
      <c r="J807" s="68"/>
      <c r="K807" s="69">
        <v>4000.0</v>
      </c>
      <c r="L807" s="69">
        <v>27.0</v>
      </c>
      <c r="M807" s="68">
        <f t="shared" si="1"/>
        <v>150.8</v>
      </c>
    </row>
    <row r="808">
      <c r="A808" s="70"/>
      <c r="B808" s="70"/>
      <c r="C808" s="70"/>
      <c r="D808" s="70"/>
      <c r="E808" s="70"/>
      <c r="F808" s="66"/>
      <c r="G808" s="66"/>
      <c r="H808" s="66"/>
      <c r="I808" s="66"/>
      <c r="J808" s="66"/>
      <c r="K808" s="63">
        <v>4500.0</v>
      </c>
      <c r="L808" s="63">
        <v>27.0</v>
      </c>
      <c r="M808" s="66">
        <f t="shared" si="1"/>
        <v>169.65</v>
      </c>
    </row>
    <row r="809">
      <c r="A809" s="67"/>
      <c r="B809" s="67"/>
      <c r="C809" s="67"/>
      <c r="D809" s="67"/>
      <c r="E809" s="67"/>
      <c r="F809" s="68"/>
      <c r="G809" s="68"/>
      <c r="H809" s="68"/>
      <c r="I809" s="68"/>
      <c r="J809" s="68"/>
      <c r="K809" s="69">
        <v>5000.0</v>
      </c>
      <c r="L809" s="69">
        <v>27.0</v>
      </c>
      <c r="M809" s="68">
        <f t="shared" si="1"/>
        <v>188.49</v>
      </c>
    </row>
    <row r="810">
      <c r="A810" s="70"/>
      <c r="B810" s="70"/>
      <c r="C810" s="70"/>
      <c r="D810" s="70"/>
      <c r="E810" s="70"/>
      <c r="F810" s="66"/>
      <c r="G810" s="66"/>
      <c r="H810" s="66"/>
      <c r="I810" s="66"/>
      <c r="J810" s="66"/>
      <c r="K810" s="63">
        <v>5500.0</v>
      </c>
      <c r="L810" s="63">
        <v>27.0</v>
      </c>
      <c r="M810" s="66">
        <f t="shared" si="1"/>
        <v>207.34</v>
      </c>
    </row>
    <row r="811">
      <c r="A811" s="67"/>
      <c r="B811" s="67"/>
      <c r="C811" s="67"/>
      <c r="D811" s="67"/>
      <c r="E811" s="67"/>
      <c r="F811" s="68"/>
      <c r="G811" s="68"/>
      <c r="H811" s="68"/>
      <c r="I811" s="68"/>
      <c r="J811" s="68"/>
      <c r="K811" s="69">
        <v>5900.0</v>
      </c>
      <c r="L811" s="69">
        <v>26.8</v>
      </c>
      <c r="M811" s="68">
        <f t="shared" si="1"/>
        <v>220.78</v>
      </c>
    </row>
    <row r="812">
      <c r="A812" s="70"/>
      <c r="B812" s="70"/>
      <c r="C812" s="70"/>
      <c r="D812" s="70"/>
      <c r="E812" s="70"/>
      <c r="F812" s="66"/>
      <c r="G812" s="66"/>
      <c r="H812" s="66"/>
      <c r="I812" s="66"/>
      <c r="J812" s="66"/>
      <c r="K812" s="63">
        <v>6500.0</v>
      </c>
      <c r="L812" s="63">
        <v>23.74</v>
      </c>
      <c r="M812" s="66">
        <f t="shared" si="1"/>
        <v>215.46</v>
      </c>
    </row>
    <row r="813">
      <c r="A813" s="67"/>
      <c r="B813" s="67"/>
      <c r="C813" s="67"/>
      <c r="D813" s="67"/>
      <c r="E813" s="67"/>
      <c r="F813" s="68"/>
      <c r="G813" s="68"/>
      <c r="H813" s="68"/>
      <c r="I813" s="68"/>
      <c r="J813" s="68"/>
      <c r="K813" s="69">
        <v>7000.0</v>
      </c>
      <c r="L813" s="69">
        <v>19.88</v>
      </c>
      <c r="M813" s="68">
        <f t="shared" si="1"/>
        <v>194.3</v>
      </c>
    </row>
    <row r="814">
      <c r="A814" s="66">
        <v>55.0</v>
      </c>
      <c r="B814" s="66">
        <v>84.0</v>
      </c>
      <c r="C814" s="74" t="s">
        <v>213</v>
      </c>
      <c r="D814" s="74" t="s">
        <v>214</v>
      </c>
      <c r="E814" s="74" t="s">
        <v>215</v>
      </c>
      <c r="F814" s="65">
        <v>6500.0</v>
      </c>
      <c r="G814" s="65">
        <v>6500.0</v>
      </c>
      <c r="H814" s="65">
        <v>700.0</v>
      </c>
      <c r="I814" s="65">
        <v>3200.0</v>
      </c>
      <c r="J814" s="65">
        <v>6300.0</v>
      </c>
      <c r="K814" s="63">
        <v>500.0</v>
      </c>
      <c r="L814" s="63">
        <v>18.31</v>
      </c>
      <c r="M814" s="66">
        <f t="shared" si="1"/>
        <v>12.78</v>
      </c>
    </row>
    <row r="815">
      <c r="A815" s="67"/>
      <c r="B815" s="67"/>
      <c r="C815" s="67"/>
      <c r="D815" s="67"/>
      <c r="E815" s="67"/>
      <c r="F815" s="68"/>
      <c r="G815" s="68"/>
      <c r="H815" s="68"/>
      <c r="I815" s="68"/>
      <c r="J815" s="68"/>
      <c r="K815" s="69">
        <v>1000.0</v>
      </c>
      <c r="L815" s="69">
        <v>21.41</v>
      </c>
      <c r="M815" s="68">
        <f t="shared" si="1"/>
        <v>29.89</v>
      </c>
    </row>
    <row r="816">
      <c r="A816" s="70"/>
      <c r="B816" s="70"/>
      <c r="C816" s="70"/>
      <c r="D816" s="70"/>
      <c r="E816" s="70"/>
      <c r="F816" s="66"/>
      <c r="G816" s="66"/>
      <c r="H816" s="66"/>
      <c r="I816" s="66"/>
      <c r="J816" s="66"/>
      <c r="K816" s="63">
        <v>1500.0</v>
      </c>
      <c r="L816" s="63">
        <v>23.96</v>
      </c>
      <c r="M816" s="66">
        <f t="shared" si="1"/>
        <v>50.18</v>
      </c>
    </row>
    <row r="817">
      <c r="A817" s="67"/>
      <c r="B817" s="67"/>
      <c r="C817" s="67"/>
      <c r="D817" s="67"/>
      <c r="E817" s="67"/>
      <c r="F817" s="68"/>
      <c r="G817" s="68"/>
      <c r="H817" s="68"/>
      <c r="I817" s="68"/>
      <c r="J817" s="68"/>
      <c r="K817" s="69">
        <v>2000.0</v>
      </c>
      <c r="L817" s="69">
        <v>26.51</v>
      </c>
      <c r="M817" s="68">
        <f t="shared" si="1"/>
        <v>74.03</v>
      </c>
    </row>
    <row r="818">
      <c r="A818" s="73"/>
      <c r="B818" s="73"/>
      <c r="C818" s="73"/>
      <c r="D818" s="73"/>
      <c r="E818" s="73"/>
      <c r="F818" s="66"/>
      <c r="G818" s="66"/>
      <c r="H818" s="66"/>
      <c r="I818" s="66"/>
      <c r="J818" s="66"/>
      <c r="K818" s="63">
        <v>2500.0</v>
      </c>
      <c r="L818" s="63">
        <v>28.55</v>
      </c>
      <c r="M818" s="66">
        <f t="shared" si="1"/>
        <v>99.66</v>
      </c>
    </row>
    <row r="819">
      <c r="A819" s="67"/>
      <c r="B819" s="67"/>
      <c r="C819" s="67"/>
      <c r="D819" s="67"/>
      <c r="E819" s="67"/>
      <c r="F819" s="68"/>
      <c r="G819" s="68"/>
      <c r="H819" s="68"/>
      <c r="I819" s="68"/>
      <c r="J819" s="68"/>
      <c r="K819" s="69">
        <v>3200.0</v>
      </c>
      <c r="L819" s="69">
        <v>30.59</v>
      </c>
      <c r="M819" s="68">
        <f t="shared" si="1"/>
        <v>136.68</v>
      </c>
    </row>
    <row r="820">
      <c r="A820" s="70"/>
      <c r="B820" s="70"/>
      <c r="C820" s="70"/>
      <c r="D820" s="70"/>
      <c r="E820" s="70"/>
      <c r="F820" s="66"/>
      <c r="G820" s="66"/>
      <c r="H820" s="66"/>
      <c r="I820" s="66"/>
      <c r="J820" s="66"/>
      <c r="K820" s="63">
        <v>3500.0</v>
      </c>
      <c r="L820" s="63">
        <v>30.27</v>
      </c>
      <c r="M820" s="66">
        <f t="shared" si="1"/>
        <v>147.93</v>
      </c>
    </row>
    <row r="821">
      <c r="A821" s="67"/>
      <c r="B821" s="67"/>
      <c r="C821" s="67"/>
      <c r="D821" s="67"/>
      <c r="E821" s="67"/>
      <c r="F821" s="68"/>
      <c r="G821" s="68"/>
      <c r="H821" s="68"/>
      <c r="I821" s="68"/>
      <c r="J821" s="68"/>
      <c r="K821" s="69">
        <v>4000.0</v>
      </c>
      <c r="L821" s="69">
        <v>29.05</v>
      </c>
      <c r="M821" s="68">
        <f t="shared" si="1"/>
        <v>162.25</v>
      </c>
    </row>
    <row r="822">
      <c r="A822" s="70"/>
      <c r="B822" s="70"/>
      <c r="C822" s="70"/>
      <c r="D822" s="70"/>
      <c r="E822" s="70"/>
      <c r="F822" s="66"/>
      <c r="G822" s="66"/>
      <c r="H822" s="66"/>
      <c r="I822" s="66"/>
      <c r="J822" s="66"/>
      <c r="K822" s="63">
        <v>4500.0</v>
      </c>
      <c r="L822" s="63">
        <v>28.3</v>
      </c>
      <c r="M822" s="66">
        <f t="shared" si="1"/>
        <v>177.81</v>
      </c>
    </row>
    <row r="823">
      <c r="A823" s="67"/>
      <c r="B823" s="67"/>
      <c r="C823" s="67"/>
      <c r="D823" s="67"/>
      <c r="E823" s="67"/>
      <c r="F823" s="68"/>
      <c r="G823" s="68"/>
      <c r="H823" s="68"/>
      <c r="I823" s="68"/>
      <c r="J823" s="68"/>
      <c r="K823" s="69">
        <v>5000.0</v>
      </c>
      <c r="L823" s="69">
        <v>28.04</v>
      </c>
      <c r="M823" s="68">
        <f t="shared" si="1"/>
        <v>195.76</v>
      </c>
    </row>
    <row r="824">
      <c r="A824" s="70"/>
      <c r="B824" s="70"/>
      <c r="C824" s="70"/>
      <c r="D824" s="70"/>
      <c r="E824" s="70"/>
      <c r="F824" s="66"/>
      <c r="G824" s="66"/>
      <c r="H824" s="66"/>
      <c r="I824" s="66"/>
      <c r="J824" s="66"/>
      <c r="K824" s="63">
        <v>5500.0</v>
      </c>
      <c r="L824" s="63">
        <v>27.47</v>
      </c>
      <c r="M824" s="66">
        <f t="shared" si="1"/>
        <v>210.95</v>
      </c>
    </row>
    <row r="825">
      <c r="A825" s="67"/>
      <c r="B825" s="67"/>
      <c r="C825" s="67"/>
      <c r="D825" s="67"/>
      <c r="E825" s="67"/>
      <c r="F825" s="68"/>
      <c r="G825" s="68"/>
      <c r="H825" s="68"/>
      <c r="I825" s="68"/>
      <c r="J825" s="68"/>
      <c r="K825" s="69">
        <v>6000.0</v>
      </c>
      <c r="L825" s="69">
        <v>25.99</v>
      </c>
      <c r="M825" s="68">
        <f t="shared" si="1"/>
        <v>217.73</v>
      </c>
    </row>
    <row r="826">
      <c r="A826" s="70"/>
      <c r="B826" s="70"/>
      <c r="C826" s="70"/>
      <c r="D826" s="70"/>
      <c r="E826" s="70"/>
      <c r="F826" s="66"/>
      <c r="G826" s="66"/>
      <c r="H826" s="66"/>
      <c r="I826" s="66"/>
      <c r="J826" s="66"/>
      <c r="K826" s="63">
        <v>6300.0</v>
      </c>
      <c r="L826" s="63">
        <v>24.97</v>
      </c>
      <c r="M826" s="66">
        <f t="shared" si="1"/>
        <v>219.65</v>
      </c>
    </row>
    <row r="827">
      <c r="A827" s="67"/>
      <c r="B827" s="67"/>
      <c r="C827" s="67"/>
      <c r="D827" s="67"/>
      <c r="E827" s="67"/>
      <c r="F827" s="68"/>
      <c r="G827" s="68"/>
      <c r="H827" s="68"/>
      <c r="I827" s="68"/>
      <c r="J827" s="68"/>
      <c r="K827" s="69">
        <v>7000.0</v>
      </c>
      <c r="L827" s="69">
        <v>20.8</v>
      </c>
      <c r="M827" s="68">
        <f t="shared" si="1"/>
        <v>203.3</v>
      </c>
    </row>
    <row r="828">
      <c r="A828" s="66">
        <v>56.0</v>
      </c>
      <c r="B828" s="66">
        <v>85.0</v>
      </c>
      <c r="C828" s="74" t="s">
        <v>216</v>
      </c>
      <c r="D828" s="74" t="s">
        <v>217</v>
      </c>
      <c r="E828" s="74" t="s">
        <v>218</v>
      </c>
      <c r="F828" s="65">
        <v>6600.0</v>
      </c>
      <c r="G828" s="65">
        <v>6800.0</v>
      </c>
      <c r="H828" s="65">
        <v>700.0</v>
      </c>
      <c r="I828" s="65">
        <v>4600.0</v>
      </c>
      <c r="J828" s="65">
        <v>6000.0</v>
      </c>
      <c r="K828" s="63">
        <v>500.0</v>
      </c>
      <c r="L828" s="63">
        <v>12.15</v>
      </c>
      <c r="M828" s="66">
        <f t="shared" si="1"/>
        <v>8.48</v>
      </c>
    </row>
    <row r="829">
      <c r="A829" s="67"/>
      <c r="B829" s="67"/>
      <c r="C829" s="67"/>
      <c r="D829" s="67"/>
      <c r="E829" s="67"/>
      <c r="F829" s="68"/>
      <c r="G829" s="68"/>
      <c r="H829" s="68"/>
      <c r="I829" s="68"/>
      <c r="J829" s="68"/>
      <c r="K829" s="69">
        <v>1000.0</v>
      </c>
      <c r="L829" s="69">
        <v>12.9</v>
      </c>
      <c r="M829" s="68">
        <f t="shared" si="1"/>
        <v>18.01</v>
      </c>
    </row>
    <row r="830">
      <c r="A830" s="70"/>
      <c r="B830" s="70"/>
      <c r="C830" s="70"/>
      <c r="D830" s="70"/>
      <c r="E830" s="70"/>
      <c r="F830" s="66"/>
      <c r="G830" s="66"/>
      <c r="H830" s="66"/>
      <c r="I830" s="66"/>
      <c r="J830" s="66"/>
      <c r="K830" s="63">
        <v>1500.0</v>
      </c>
      <c r="L830" s="63">
        <v>13.4</v>
      </c>
      <c r="M830" s="66">
        <f t="shared" si="1"/>
        <v>28.06</v>
      </c>
    </row>
    <row r="831">
      <c r="A831" s="67"/>
      <c r="B831" s="67"/>
      <c r="C831" s="67"/>
      <c r="D831" s="67"/>
      <c r="E831" s="67"/>
      <c r="F831" s="68"/>
      <c r="G831" s="68"/>
      <c r="H831" s="68"/>
      <c r="I831" s="68"/>
      <c r="J831" s="68"/>
      <c r="K831" s="69">
        <v>2000.0</v>
      </c>
      <c r="L831" s="69">
        <v>13.8</v>
      </c>
      <c r="M831" s="68">
        <f t="shared" si="1"/>
        <v>38.54</v>
      </c>
    </row>
    <row r="832">
      <c r="A832" s="70"/>
      <c r="B832" s="70"/>
      <c r="C832" s="70"/>
      <c r="D832" s="70"/>
      <c r="E832" s="70"/>
      <c r="F832" s="66"/>
      <c r="G832" s="66"/>
      <c r="H832" s="66"/>
      <c r="I832" s="66"/>
      <c r="J832" s="66"/>
      <c r="K832" s="63">
        <v>2500.0</v>
      </c>
      <c r="L832" s="63">
        <v>14.25</v>
      </c>
      <c r="M832" s="66">
        <f t="shared" si="1"/>
        <v>49.74</v>
      </c>
    </row>
    <row r="833">
      <c r="A833" s="67"/>
      <c r="B833" s="67"/>
      <c r="C833" s="67"/>
      <c r="D833" s="67"/>
      <c r="E833" s="67"/>
      <c r="F833" s="68"/>
      <c r="G833" s="68"/>
      <c r="H833" s="68"/>
      <c r="I833" s="68"/>
      <c r="J833" s="68"/>
      <c r="K833" s="69">
        <v>3000.0</v>
      </c>
      <c r="L833" s="69">
        <v>15.05</v>
      </c>
      <c r="M833" s="68">
        <f t="shared" si="1"/>
        <v>63.04</v>
      </c>
    </row>
    <row r="834">
      <c r="A834" s="70"/>
      <c r="B834" s="70"/>
      <c r="C834" s="70"/>
      <c r="D834" s="70"/>
      <c r="E834" s="70"/>
      <c r="F834" s="66"/>
      <c r="G834" s="66"/>
      <c r="H834" s="66"/>
      <c r="I834" s="66"/>
      <c r="J834" s="66"/>
      <c r="K834" s="63">
        <v>3500.0</v>
      </c>
      <c r="L834" s="63">
        <v>16.05</v>
      </c>
      <c r="M834" s="66">
        <f t="shared" si="1"/>
        <v>78.43</v>
      </c>
    </row>
    <row r="835">
      <c r="A835" s="67"/>
      <c r="B835" s="67"/>
      <c r="C835" s="67"/>
      <c r="D835" s="67"/>
      <c r="E835" s="67"/>
      <c r="F835" s="68"/>
      <c r="G835" s="68"/>
      <c r="H835" s="68"/>
      <c r="I835" s="68"/>
      <c r="J835" s="68"/>
      <c r="K835" s="69">
        <v>4000.0</v>
      </c>
      <c r="L835" s="69">
        <v>16.7</v>
      </c>
      <c r="M835" s="68">
        <f t="shared" si="1"/>
        <v>93.27</v>
      </c>
    </row>
    <row r="836">
      <c r="A836" s="70"/>
      <c r="B836" s="70"/>
      <c r="C836" s="70"/>
      <c r="D836" s="70"/>
      <c r="E836" s="70"/>
      <c r="F836" s="66"/>
      <c r="G836" s="66"/>
      <c r="H836" s="66"/>
      <c r="I836" s="66"/>
      <c r="J836" s="66"/>
      <c r="K836" s="63">
        <v>4600.0</v>
      </c>
      <c r="L836" s="63">
        <v>16.8</v>
      </c>
      <c r="M836" s="66">
        <f t="shared" si="1"/>
        <v>107.9</v>
      </c>
    </row>
    <row r="837">
      <c r="A837" s="67"/>
      <c r="B837" s="67"/>
      <c r="C837" s="67"/>
      <c r="D837" s="67"/>
      <c r="E837" s="67"/>
      <c r="F837" s="68"/>
      <c r="G837" s="68"/>
      <c r="H837" s="68"/>
      <c r="I837" s="68"/>
      <c r="J837" s="68"/>
      <c r="K837" s="69">
        <v>5000.0</v>
      </c>
      <c r="L837" s="69">
        <v>16.4</v>
      </c>
      <c r="M837" s="68">
        <f t="shared" si="1"/>
        <v>114.49</v>
      </c>
    </row>
    <row r="838">
      <c r="A838" s="70"/>
      <c r="B838" s="70"/>
      <c r="C838" s="70"/>
      <c r="D838" s="70"/>
      <c r="E838" s="70"/>
      <c r="F838" s="66"/>
      <c r="G838" s="66"/>
      <c r="H838" s="66"/>
      <c r="I838" s="66"/>
      <c r="J838" s="66"/>
      <c r="K838" s="63">
        <v>5500.0</v>
      </c>
      <c r="L838" s="63">
        <v>15.9</v>
      </c>
      <c r="M838" s="66">
        <f t="shared" si="1"/>
        <v>122.1</v>
      </c>
    </row>
    <row r="839">
      <c r="A839" s="67"/>
      <c r="B839" s="67"/>
      <c r="C839" s="67"/>
      <c r="D839" s="67"/>
      <c r="E839" s="67"/>
      <c r="F839" s="68"/>
      <c r="G839" s="68"/>
      <c r="H839" s="68"/>
      <c r="I839" s="68"/>
      <c r="J839" s="68"/>
      <c r="K839" s="69">
        <v>6000.0</v>
      </c>
      <c r="L839" s="69">
        <v>14.9</v>
      </c>
      <c r="M839" s="68">
        <f t="shared" si="1"/>
        <v>124.83</v>
      </c>
    </row>
    <row r="840">
      <c r="A840" s="70"/>
      <c r="B840" s="70"/>
      <c r="C840" s="70"/>
      <c r="D840" s="70"/>
      <c r="E840" s="70"/>
      <c r="F840" s="66"/>
      <c r="G840" s="66"/>
      <c r="H840" s="66"/>
      <c r="I840" s="66"/>
      <c r="J840" s="66"/>
      <c r="K840" s="63">
        <v>6500.0</v>
      </c>
      <c r="L840" s="63">
        <v>13.4</v>
      </c>
      <c r="M840" s="66">
        <f t="shared" si="1"/>
        <v>121.61</v>
      </c>
    </row>
    <row r="841">
      <c r="A841" s="67"/>
      <c r="B841" s="67"/>
      <c r="C841" s="67"/>
      <c r="D841" s="67"/>
      <c r="E841" s="67"/>
      <c r="F841" s="68"/>
      <c r="G841" s="68"/>
      <c r="H841" s="68"/>
      <c r="I841" s="68"/>
      <c r="J841" s="68"/>
      <c r="K841" s="69">
        <v>7000.0</v>
      </c>
      <c r="L841" s="69">
        <v>10.45</v>
      </c>
      <c r="M841" s="68">
        <f t="shared" si="1"/>
        <v>102.14</v>
      </c>
    </row>
    <row r="842">
      <c r="A842" s="63">
        <v>57.0</v>
      </c>
      <c r="B842" s="63">
        <v>86.0</v>
      </c>
      <c r="C842" s="64" t="s">
        <v>219</v>
      </c>
      <c r="D842" s="64" t="s">
        <v>220</v>
      </c>
      <c r="E842" s="64" t="s">
        <v>221</v>
      </c>
      <c r="F842" s="65">
        <v>6750.0</v>
      </c>
      <c r="G842" s="65">
        <v>7200.0</v>
      </c>
      <c r="H842" s="65">
        <v>700.0</v>
      </c>
      <c r="I842" s="65">
        <v>4000.0</v>
      </c>
      <c r="J842" s="65">
        <v>6000.0</v>
      </c>
      <c r="K842" s="63">
        <v>500.0</v>
      </c>
      <c r="L842" s="63">
        <v>11.62</v>
      </c>
      <c r="M842" s="66">
        <f t="shared" si="1"/>
        <v>8.11</v>
      </c>
    </row>
    <row r="843">
      <c r="A843" s="67"/>
      <c r="B843" s="67"/>
      <c r="C843" s="67"/>
      <c r="D843" s="67"/>
      <c r="E843" s="67"/>
      <c r="F843" s="68"/>
      <c r="G843" s="68"/>
      <c r="H843" s="68"/>
      <c r="I843" s="68"/>
      <c r="J843" s="68"/>
      <c r="K843" s="69">
        <v>1000.0</v>
      </c>
      <c r="L843" s="69">
        <v>13.97</v>
      </c>
      <c r="M843" s="68">
        <f t="shared" si="1"/>
        <v>19.51</v>
      </c>
    </row>
    <row r="844">
      <c r="A844" s="70"/>
      <c r="B844" s="70"/>
      <c r="C844" s="70"/>
      <c r="D844" s="70"/>
      <c r="E844" s="70"/>
      <c r="F844" s="66"/>
      <c r="G844" s="66"/>
      <c r="H844" s="66"/>
      <c r="I844" s="66"/>
      <c r="J844" s="66"/>
      <c r="K844" s="63">
        <v>1500.0</v>
      </c>
      <c r="L844" s="63">
        <v>15.7</v>
      </c>
      <c r="M844" s="66">
        <f t="shared" si="1"/>
        <v>32.88</v>
      </c>
    </row>
    <row r="845">
      <c r="A845" s="67"/>
      <c r="B845" s="67"/>
      <c r="C845" s="67"/>
      <c r="D845" s="67"/>
      <c r="E845" s="67"/>
      <c r="F845" s="68"/>
      <c r="G845" s="68"/>
      <c r="H845" s="68"/>
      <c r="I845" s="68"/>
      <c r="J845" s="68"/>
      <c r="K845" s="69">
        <v>2000.0</v>
      </c>
      <c r="L845" s="69">
        <v>17.44</v>
      </c>
      <c r="M845" s="68">
        <f t="shared" si="1"/>
        <v>48.7</v>
      </c>
    </row>
    <row r="846">
      <c r="A846" s="70"/>
      <c r="B846" s="70"/>
      <c r="C846" s="70"/>
      <c r="D846" s="70"/>
      <c r="E846" s="70"/>
      <c r="F846" s="66"/>
      <c r="G846" s="66"/>
      <c r="H846" s="66"/>
      <c r="I846" s="66"/>
      <c r="J846" s="66"/>
      <c r="K846" s="63">
        <v>2500.0</v>
      </c>
      <c r="L846" s="63">
        <v>19.07</v>
      </c>
      <c r="M846" s="66">
        <f t="shared" si="1"/>
        <v>66.57</v>
      </c>
    </row>
    <row r="847">
      <c r="A847" s="67"/>
      <c r="B847" s="67"/>
      <c r="C847" s="67"/>
      <c r="D847" s="67"/>
      <c r="E847" s="67"/>
      <c r="F847" s="68"/>
      <c r="G847" s="68"/>
      <c r="H847" s="68"/>
      <c r="I847" s="68"/>
      <c r="J847" s="68"/>
      <c r="K847" s="69">
        <v>3000.0</v>
      </c>
      <c r="L847" s="69">
        <v>20.5</v>
      </c>
      <c r="M847" s="68">
        <f t="shared" si="1"/>
        <v>85.87</v>
      </c>
    </row>
    <row r="848">
      <c r="A848" s="70"/>
      <c r="B848" s="70"/>
      <c r="C848" s="70"/>
      <c r="D848" s="70"/>
      <c r="E848" s="70"/>
      <c r="F848" s="66"/>
      <c r="G848" s="66"/>
      <c r="H848" s="66"/>
      <c r="I848" s="66"/>
      <c r="J848" s="66"/>
      <c r="K848" s="63">
        <v>3500.0</v>
      </c>
      <c r="L848" s="63">
        <v>21.62</v>
      </c>
      <c r="M848" s="66">
        <f t="shared" si="1"/>
        <v>105.65</v>
      </c>
    </row>
    <row r="849">
      <c r="A849" s="67"/>
      <c r="B849" s="67"/>
      <c r="C849" s="67"/>
      <c r="D849" s="67"/>
      <c r="E849" s="67"/>
      <c r="F849" s="68"/>
      <c r="G849" s="68"/>
      <c r="H849" s="68"/>
      <c r="I849" s="68"/>
      <c r="J849" s="68"/>
      <c r="K849" s="69">
        <v>4000.0</v>
      </c>
      <c r="L849" s="69">
        <v>22.33</v>
      </c>
      <c r="M849" s="68">
        <f t="shared" si="1"/>
        <v>124.71</v>
      </c>
    </row>
    <row r="850">
      <c r="A850" s="70"/>
      <c r="B850" s="70"/>
      <c r="C850" s="70"/>
      <c r="D850" s="70"/>
      <c r="E850" s="70"/>
      <c r="F850" s="66"/>
      <c r="G850" s="66"/>
      <c r="H850" s="66"/>
      <c r="I850" s="66"/>
      <c r="J850" s="66"/>
      <c r="K850" s="63">
        <v>4500.0</v>
      </c>
      <c r="L850" s="63">
        <v>22.13</v>
      </c>
      <c r="M850" s="66">
        <f t="shared" si="1"/>
        <v>139.05</v>
      </c>
    </row>
    <row r="851">
      <c r="A851" s="67"/>
      <c r="B851" s="67"/>
      <c r="C851" s="67"/>
      <c r="D851" s="67"/>
      <c r="E851" s="67"/>
      <c r="F851" s="68"/>
      <c r="G851" s="68"/>
      <c r="H851" s="68"/>
      <c r="I851" s="68"/>
      <c r="J851" s="68"/>
      <c r="K851" s="69">
        <v>5000.0</v>
      </c>
      <c r="L851" s="69">
        <v>21.31</v>
      </c>
      <c r="M851" s="68">
        <f t="shared" si="1"/>
        <v>148.77</v>
      </c>
    </row>
    <row r="852">
      <c r="A852" s="70"/>
      <c r="B852" s="70"/>
      <c r="C852" s="70"/>
      <c r="D852" s="70"/>
      <c r="E852" s="70"/>
      <c r="F852" s="66"/>
      <c r="G852" s="66"/>
      <c r="H852" s="66"/>
      <c r="I852" s="66"/>
      <c r="J852" s="66"/>
      <c r="K852" s="63">
        <v>5500.0</v>
      </c>
      <c r="L852" s="63">
        <v>20.39</v>
      </c>
      <c r="M852" s="66">
        <f t="shared" si="1"/>
        <v>156.58</v>
      </c>
    </row>
    <row r="853">
      <c r="A853" s="67"/>
      <c r="B853" s="67"/>
      <c r="C853" s="67"/>
      <c r="D853" s="67"/>
      <c r="E853" s="67"/>
      <c r="F853" s="68"/>
      <c r="G853" s="68"/>
      <c r="H853" s="68"/>
      <c r="I853" s="68"/>
      <c r="J853" s="68"/>
      <c r="K853" s="69">
        <v>6000.0</v>
      </c>
      <c r="L853" s="69">
        <v>19.48</v>
      </c>
      <c r="M853" s="68">
        <f t="shared" si="1"/>
        <v>163.19</v>
      </c>
    </row>
    <row r="854">
      <c r="A854" s="70"/>
      <c r="B854" s="70"/>
      <c r="C854" s="70"/>
      <c r="D854" s="70"/>
      <c r="E854" s="70"/>
      <c r="F854" s="66"/>
      <c r="G854" s="66"/>
      <c r="H854" s="66"/>
      <c r="I854" s="66"/>
      <c r="J854" s="66"/>
      <c r="K854" s="63">
        <v>6500.0</v>
      </c>
      <c r="L854" s="63">
        <v>17.85</v>
      </c>
      <c r="M854" s="66">
        <f t="shared" si="1"/>
        <v>162</v>
      </c>
    </row>
    <row r="855">
      <c r="A855" s="67"/>
      <c r="B855" s="67"/>
      <c r="C855" s="67"/>
      <c r="D855" s="67"/>
      <c r="E855" s="67"/>
      <c r="F855" s="68"/>
      <c r="G855" s="68"/>
      <c r="H855" s="68"/>
      <c r="I855" s="68"/>
      <c r="J855" s="68"/>
      <c r="K855" s="69">
        <v>7000.0</v>
      </c>
      <c r="L855" s="69">
        <v>16.21</v>
      </c>
      <c r="M855" s="68">
        <f t="shared" si="1"/>
        <v>158.43</v>
      </c>
    </row>
    <row r="856">
      <c r="A856" s="70"/>
      <c r="B856" s="70"/>
      <c r="C856" s="70"/>
      <c r="D856" s="70"/>
      <c r="E856" s="70"/>
      <c r="F856" s="66"/>
      <c r="G856" s="66"/>
      <c r="H856" s="66"/>
      <c r="I856" s="66"/>
      <c r="J856" s="66"/>
      <c r="K856" s="63">
        <v>7500.0</v>
      </c>
      <c r="L856" s="63">
        <v>14.32</v>
      </c>
      <c r="M856" s="66">
        <f t="shared" si="1"/>
        <v>149.96</v>
      </c>
    </row>
    <row r="857">
      <c r="A857" s="68">
        <v>58.0</v>
      </c>
      <c r="B857" s="68">
        <v>87.0</v>
      </c>
      <c r="C857" s="71" t="s">
        <v>222</v>
      </c>
      <c r="D857" s="71" t="s">
        <v>223</v>
      </c>
      <c r="E857" s="71" t="s">
        <v>224</v>
      </c>
      <c r="F857" s="72">
        <v>6000.0</v>
      </c>
      <c r="G857" s="72">
        <v>6000.0</v>
      </c>
      <c r="H857" s="72">
        <v>700.0</v>
      </c>
      <c r="I857" s="72">
        <v>4000.0</v>
      </c>
      <c r="J857" s="72">
        <v>5200.0</v>
      </c>
      <c r="K857" s="69">
        <v>500.0</v>
      </c>
      <c r="L857" s="69">
        <v>30.75</v>
      </c>
      <c r="M857" s="68">
        <f t="shared" si="1"/>
        <v>21.47</v>
      </c>
    </row>
    <row r="858">
      <c r="A858" s="70"/>
      <c r="B858" s="70"/>
      <c r="C858" s="70"/>
      <c r="D858" s="70"/>
      <c r="E858" s="70"/>
      <c r="F858" s="66"/>
      <c r="G858" s="66"/>
      <c r="H858" s="66"/>
      <c r="I858" s="66"/>
      <c r="J858" s="66"/>
      <c r="K858" s="63">
        <v>1000.0</v>
      </c>
      <c r="L858" s="63">
        <v>34.0</v>
      </c>
      <c r="M858" s="66">
        <f t="shared" si="1"/>
        <v>47.47</v>
      </c>
    </row>
    <row r="859">
      <c r="A859" s="67"/>
      <c r="B859" s="67"/>
      <c r="C859" s="67"/>
      <c r="D859" s="67"/>
      <c r="E859" s="67"/>
      <c r="F859" s="68"/>
      <c r="G859" s="68"/>
      <c r="H859" s="68"/>
      <c r="I859" s="68"/>
      <c r="J859" s="68"/>
      <c r="K859" s="69">
        <v>1500.0</v>
      </c>
      <c r="L859" s="69">
        <v>36.88</v>
      </c>
      <c r="M859" s="68">
        <f t="shared" si="1"/>
        <v>77.24</v>
      </c>
    </row>
    <row r="860">
      <c r="A860" s="70"/>
      <c r="B860" s="70"/>
      <c r="C860" s="70"/>
      <c r="D860" s="70"/>
      <c r="E860" s="70"/>
      <c r="F860" s="66"/>
      <c r="G860" s="66"/>
      <c r="H860" s="66"/>
      <c r="I860" s="66"/>
      <c r="J860" s="66"/>
      <c r="K860" s="63">
        <v>2000.0</v>
      </c>
      <c r="L860" s="63">
        <v>38.75</v>
      </c>
      <c r="M860" s="66">
        <f t="shared" si="1"/>
        <v>108.21</v>
      </c>
    </row>
    <row r="861">
      <c r="A861" s="67"/>
      <c r="B861" s="67"/>
      <c r="C861" s="67"/>
      <c r="D861" s="67"/>
      <c r="E861" s="67"/>
      <c r="F861" s="68"/>
      <c r="G861" s="68"/>
      <c r="H861" s="68"/>
      <c r="I861" s="68"/>
      <c r="J861" s="68"/>
      <c r="K861" s="69">
        <v>2500.0</v>
      </c>
      <c r="L861" s="69">
        <v>39.88</v>
      </c>
      <c r="M861" s="68">
        <f t="shared" si="1"/>
        <v>139.21</v>
      </c>
    </row>
    <row r="862">
      <c r="A862" s="70"/>
      <c r="B862" s="70"/>
      <c r="C862" s="70"/>
      <c r="D862" s="70"/>
      <c r="E862" s="70"/>
      <c r="F862" s="66"/>
      <c r="G862" s="66"/>
      <c r="H862" s="66"/>
      <c r="I862" s="66"/>
      <c r="J862" s="66"/>
      <c r="K862" s="63">
        <v>3000.0</v>
      </c>
      <c r="L862" s="63">
        <v>40.88</v>
      </c>
      <c r="M862" s="66">
        <f t="shared" si="1"/>
        <v>171.24</v>
      </c>
    </row>
    <row r="863">
      <c r="A863" s="67"/>
      <c r="B863" s="67"/>
      <c r="C863" s="67"/>
      <c r="D863" s="67"/>
      <c r="E863" s="67"/>
      <c r="F863" s="68"/>
      <c r="G863" s="68"/>
      <c r="H863" s="68"/>
      <c r="I863" s="68"/>
      <c r="J863" s="68"/>
      <c r="K863" s="69">
        <v>3500.0</v>
      </c>
      <c r="L863" s="69">
        <v>41.63</v>
      </c>
      <c r="M863" s="68">
        <f t="shared" si="1"/>
        <v>203.44</v>
      </c>
    </row>
    <row r="864">
      <c r="A864" s="70"/>
      <c r="B864" s="70"/>
      <c r="C864" s="70"/>
      <c r="D864" s="70"/>
      <c r="E864" s="70"/>
      <c r="F864" s="66"/>
      <c r="G864" s="66"/>
      <c r="H864" s="66"/>
      <c r="I864" s="66"/>
      <c r="J864" s="66"/>
      <c r="K864" s="63">
        <v>4000.0</v>
      </c>
      <c r="L864" s="63">
        <v>41.97</v>
      </c>
      <c r="M864" s="66">
        <f t="shared" si="1"/>
        <v>234.4</v>
      </c>
    </row>
    <row r="865">
      <c r="A865" s="67"/>
      <c r="B865" s="67"/>
      <c r="C865" s="67"/>
      <c r="D865" s="67"/>
      <c r="E865" s="67"/>
      <c r="F865" s="68"/>
      <c r="G865" s="68"/>
      <c r="H865" s="68"/>
      <c r="I865" s="68"/>
      <c r="J865" s="68"/>
      <c r="K865" s="69">
        <v>4500.0</v>
      </c>
      <c r="L865" s="69">
        <v>41.13</v>
      </c>
      <c r="M865" s="68">
        <f t="shared" si="1"/>
        <v>258.43</v>
      </c>
    </row>
    <row r="866">
      <c r="A866" s="73"/>
      <c r="B866" s="73"/>
      <c r="C866" s="73"/>
      <c r="D866" s="73"/>
      <c r="E866" s="73"/>
      <c r="F866" s="66"/>
      <c r="G866" s="66"/>
      <c r="H866" s="66"/>
      <c r="I866" s="66"/>
      <c r="J866" s="66"/>
      <c r="K866" s="63">
        <v>5200.0</v>
      </c>
      <c r="L866" s="63">
        <v>38.6</v>
      </c>
      <c r="M866" s="66">
        <f t="shared" si="1"/>
        <v>280.26</v>
      </c>
    </row>
    <row r="867">
      <c r="A867" s="67"/>
      <c r="B867" s="67"/>
      <c r="C867" s="67"/>
      <c r="D867" s="67"/>
      <c r="E867" s="67"/>
      <c r="F867" s="68"/>
      <c r="G867" s="68"/>
      <c r="H867" s="68"/>
      <c r="I867" s="68"/>
      <c r="J867" s="68"/>
      <c r="K867" s="69">
        <v>5600.0</v>
      </c>
      <c r="L867" s="69">
        <v>36.38</v>
      </c>
      <c r="M867" s="68">
        <f t="shared" si="1"/>
        <v>284.46</v>
      </c>
    </row>
    <row r="868">
      <c r="A868" s="70"/>
      <c r="B868" s="70"/>
      <c r="C868" s="70"/>
      <c r="D868" s="70"/>
      <c r="E868" s="70"/>
      <c r="F868" s="66"/>
      <c r="G868" s="66"/>
      <c r="H868" s="66"/>
      <c r="I868" s="66"/>
      <c r="J868" s="66"/>
      <c r="K868" s="63">
        <v>6000.0</v>
      </c>
      <c r="L868" s="63">
        <v>32.38</v>
      </c>
      <c r="M868" s="66">
        <f t="shared" si="1"/>
        <v>271.27</v>
      </c>
    </row>
    <row r="869">
      <c r="A869" s="68">
        <v>59.0</v>
      </c>
      <c r="B869" s="68">
        <v>88.0</v>
      </c>
      <c r="C869" s="71" t="s">
        <v>225</v>
      </c>
      <c r="D869" s="71" t="s">
        <v>226</v>
      </c>
      <c r="E869" s="71" t="s">
        <v>227</v>
      </c>
      <c r="F869" s="72">
        <v>7000.0</v>
      </c>
      <c r="G869" s="72">
        <v>7200.0</v>
      </c>
      <c r="H869" s="72">
        <v>700.0</v>
      </c>
      <c r="I869" s="72">
        <v>3000.0</v>
      </c>
      <c r="J869" s="72">
        <v>6800.0</v>
      </c>
      <c r="K869" s="69">
        <v>500.0</v>
      </c>
      <c r="L869" s="69">
        <v>15.81</v>
      </c>
      <c r="M869" s="68">
        <f t="shared" si="1"/>
        <v>11.04</v>
      </c>
    </row>
    <row r="870">
      <c r="A870" s="70"/>
      <c r="B870" s="70"/>
      <c r="C870" s="70"/>
      <c r="D870" s="70"/>
      <c r="E870" s="70"/>
      <c r="F870" s="66"/>
      <c r="G870" s="66"/>
      <c r="H870" s="66"/>
      <c r="I870" s="66"/>
      <c r="J870" s="66"/>
      <c r="K870" s="63">
        <v>1000.0</v>
      </c>
      <c r="L870" s="63">
        <v>18.86</v>
      </c>
      <c r="M870" s="66">
        <f t="shared" si="1"/>
        <v>26.33</v>
      </c>
    </row>
    <row r="871">
      <c r="A871" s="67"/>
      <c r="B871" s="67"/>
      <c r="C871" s="67"/>
      <c r="D871" s="67"/>
      <c r="E871" s="67"/>
      <c r="F871" s="68"/>
      <c r="G871" s="68"/>
      <c r="H871" s="68"/>
      <c r="I871" s="68"/>
      <c r="J871" s="68"/>
      <c r="K871" s="69">
        <v>1500.0</v>
      </c>
      <c r="L871" s="69">
        <v>20.39</v>
      </c>
      <c r="M871" s="68">
        <f t="shared" si="1"/>
        <v>42.7</v>
      </c>
    </row>
    <row r="872">
      <c r="A872" s="70"/>
      <c r="B872" s="70"/>
      <c r="C872" s="70"/>
      <c r="D872" s="70"/>
      <c r="E872" s="70"/>
      <c r="F872" s="66"/>
      <c r="G872" s="66"/>
      <c r="H872" s="66"/>
      <c r="I872" s="66"/>
      <c r="J872" s="66"/>
      <c r="K872" s="63">
        <v>2000.0</v>
      </c>
      <c r="L872" s="63">
        <v>21.92</v>
      </c>
      <c r="M872" s="66">
        <f t="shared" si="1"/>
        <v>61.21</v>
      </c>
    </row>
    <row r="873">
      <c r="A873" s="67"/>
      <c r="B873" s="67"/>
      <c r="C873" s="67"/>
      <c r="D873" s="67"/>
      <c r="E873" s="67"/>
      <c r="F873" s="68"/>
      <c r="G873" s="68"/>
      <c r="H873" s="68"/>
      <c r="I873" s="68"/>
      <c r="J873" s="68"/>
      <c r="K873" s="69">
        <v>2500.0</v>
      </c>
      <c r="L873" s="69">
        <v>22.94</v>
      </c>
      <c r="M873" s="68">
        <f t="shared" si="1"/>
        <v>80.08</v>
      </c>
    </row>
    <row r="874">
      <c r="A874" s="70"/>
      <c r="B874" s="70"/>
      <c r="C874" s="70"/>
      <c r="D874" s="70"/>
      <c r="E874" s="70"/>
      <c r="F874" s="66"/>
      <c r="G874" s="66"/>
      <c r="H874" s="66"/>
      <c r="I874" s="66"/>
      <c r="J874" s="66"/>
      <c r="K874" s="63">
        <v>3000.0</v>
      </c>
      <c r="L874" s="63">
        <v>24.88</v>
      </c>
      <c r="M874" s="66">
        <f t="shared" si="1"/>
        <v>104.22</v>
      </c>
    </row>
    <row r="875">
      <c r="A875" s="67"/>
      <c r="B875" s="67"/>
      <c r="C875" s="67"/>
      <c r="D875" s="67"/>
      <c r="E875" s="67"/>
      <c r="F875" s="68"/>
      <c r="G875" s="68"/>
      <c r="H875" s="68"/>
      <c r="I875" s="68"/>
      <c r="J875" s="68"/>
      <c r="K875" s="69">
        <v>3500.0</v>
      </c>
      <c r="L875" s="69">
        <v>24.75</v>
      </c>
      <c r="M875" s="68">
        <f t="shared" si="1"/>
        <v>120.95</v>
      </c>
    </row>
    <row r="876">
      <c r="A876" s="70"/>
      <c r="B876" s="70"/>
      <c r="C876" s="70"/>
      <c r="D876" s="70"/>
      <c r="E876" s="70"/>
      <c r="F876" s="66"/>
      <c r="G876" s="66"/>
      <c r="H876" s="66"/>
      <c r="I876" s="66"/>
      <c r="J876" s="66"/>
      <c r="K876" s="63">
        <v>4000.0</v>
      </c>
      <c r="L876" s="63">
        <v>24.61</v>
      </c>
      <c r="M876" s="66">
        <f t="shared" si="1"/>
        <v>137.45</v>
      </c>
    </row>
    <row r="877">
      <c r="A877" s="67"/>
      <c r="B877" s="67"/>
      <c r="C877" s="67"/>
      <c r="D877" s="67"/>
      <c r="E877" s="67"/>
      <c r="F877" s="68"/>
      <c r="G877" s="68"/>
      <c r="H877" s="68"/>
      <c r="I877" s="68"/>
      <c r="J877" s="68"/>
      <c r="K877" s="69">
        <v>4500.0</v>
      </c>
      <c r="L877" s="69">
        <v>24.47</v>
      </c>
      <c r="M877" s="68">
        <f t="shared" si="1"/>
        <v>153.75</v>
      </c>
    </row>
    <row r="878">
      <c r="A878" s="70"/>
      <c r="B878" s="70"/>
      <c r="C878" s="70"/>
      <c r="D878" s="70"/>
      <c r="E878" s="70"/>
      <c r="F878" s="66"/>
      <c r="G878" s="66"/>
      <c r="H878" s="66"/>
      <c r="I878" s="66"/>
      <c r="J878" s="66"/>
      <c r="K878" s="63">
        <v>5000.0</v>
      </c>
      <c r="L878" s="63">
        <v>23.45</v>
      </c>
      <c r="M878" s="66">
        <f t="shared" si="1"/>
        <v>163.71</v>
      </c>
    </row>
    <row r="879">
      <c r="A879" s="67"/>
      <c r="B879" s="67"/>
      <c r="C879" s="67"/>
      <c r="D879" s="67"/>
      <c r="E879" s="67"/>
      <c r="F879" s="68"/>
      <c r="G879" s="68"/>
      <c r="H879" s="68"/>
      <c r="I879" s="68"/>
      <c r="J879" s="68"/>
      <c r="K879" s="69">
        <v>5500.0</v>
      </c>
      <c r="L879" s="69">
        <v>22.33</v>
      </c>
      <c r="M879" s="68">
        <f t="shared" si="1"/>
        <v>171.48</v>
      </c>
    </row>
    <row r="880">
      <c r="A880" s="70"/>
      <c r="B880" s="70"/>
      <c r="C880" s="70"/>
      <c r="D880" s="70"/>
      <c r="E880" s="70"/>
      <c r="F880" s="66"/>
      <c r="G880" s="66"/>
      <c r="H880" s="66"/>
      <c r="I880" s="66"/>
      <c r="J880" s="66"/>
      <c r="K880" s="63">
        <v>6000.0</v>
      </c>
      <c r="L880" s="63">
        <v>21.21</v>
      </c>
      <c r="M880" s="66">
        <f t="shared" si="1"/>
        <v>177.69</v>
      </c>
    </row>
    <row r="881">
      <c r="A881" s="67"/>
      <c r="B881" s="67"/>
      <c r="C881" s="67"/>
      <c r="D881" s="67"/>
      <c r="E881" s="67"/>
      <c r="F881" s="68"/>
      <c r="G881" s="68"/>
      <c r="H881" s="68"/>
      <c r="I881" s="68"/>
      <c r="J881" s="68"/>
      <c r="K881" s="69">
        <v>6500.0</v>
      </c>
      <c r="L881" s="69">
        <v>20.6</v>
      </c>
      <c r="M881" s="68">
        <f t="shared" si="1"/>
        <v>186.96</v>
      </c>
    </row>
    <row r="882">
      <c r="A882" s="70"/>
      <c r="B882" s="70"/>
      <c r="C882" s="70"/>
      <c r="D882" s="70"/>
      <c r="E882" s="70"/>
      <c r="F882" s="66"/>
      <c r="G882" s="66"/>
      <c r="H882" s="66"/>
      <c r="I882" s="66"/>
      <c r="J882" s="66"/>
      <c r="K882" s="63">
        <v>7000.0</v>
      </c>
      <c r="L882" s="63">
        <v>19.88</v>
      </c>
      <c r="M882" s="66">
        <f t="shared" si="1"/>
        <v>194.3</v>
      </c>
    </row>
    <row r="883">
      <c r="A883" s="67"/>
      <c r="B883" s="67"/>
      <c r="C883" s="67"/>
      <c r="D883" s="67"/>
      <c r="E883" s="67"/>
      <c r="F883" s="68"/>
      <c r="G883" s="68"/>
      <c r="H883" s="68"/>
      <c r="I883" s="68"/>
      <c r="J883" s="68"/>
      <c r="K883" s="69">
        <v>7500.0</v>
      </c>
      <c r="L883" s="69">
        <v>18.45</v>
      </c>
      <c r="M883" s="68">
        <f t="shared" si="1"/>
        <v>193.21</v>
      </c>
    </row>
    <row r="884">
      <c r="A884" s="70"/>
      <c r="B884" s="70"/>
      <c r="C884" s="70"/>
      <c r="D884" s="70"/>
      <c r="E884" s="70"/>
      <c r="F884" s="66"/>
      <c r="G884" s="66"/>
      <c r="H884" s="66"/>
      <c r="I884" s="66"/>
      <c r="J884" s="66"/>
      <c r="K884" s="63">
        <v>8000.0</v>
      </c>
      <c r="L884" s="63">
        <v>16.35</v>
      </c>
      <c r="M884" s="66">
        <f t="shared" si="1"/>
        <v>182.63</v>
      </c>
    </row>
    <row r="885">
      <c r="A885" s="68">
        <v>60.0</v>
      </c>
      <c r="B885" s="68">
        <v>89.0</v>
      </c>
      <c r="C885" s="71" t="s">
        <v>228</v>
      </c>
      <c r="D885" s="71" t="s">
        <v>229</v>
      </c>
      <c r="E885" s="71" t="s">
        <v>230</v>
      </c>
      <c r="F885" s="72">
        <v>6500.0</v>
      </c>
      <c r="G885" s="72">
        <v>6700.0</v>
      </c>
      <c r="H885" s="72">
        <v>700.0</v>
      </c>
      <c r="I885" s="72">
        <v>3500.0</v>
      </c>
      <c r="J885" s="72">
        <v>6100.0</v>
      </c>
      <c r="K885" s="69">
        <v>500.0</v>
      </c>
      <c r="L885" s="69">
        <v>32.81</v>
      </c>
      <c r="M885" s="68">
        <f t="shared" si="1"/>
        <v>22.91</v>
      </c>
    </row>
    <row r="886">
      <c r="A886" s="70"/>
      <c r="B886" s="70"/>
      <c r="C886" s="70"/>
      <c r="D886" s="70"/>
      <c r="E886" s="70"/>
      <c r="F886" s="66"/>
      <c r="G886" s="66"/>
      <c r="H886" s="66"/>
      <c r="I886" s="66"/>
      <c r="J886" s="66"/>
      <c r="K886" s="63">
        <v>1000.0</v>
      </c>
      <c r="L886" s="63">
        <v>39.38</v>
      </c>
      <c r="M886" s="66">
        <f t="shared" si="1"/>
        <v>54.98</v>
      </c>
    </row>
    <row r="887">
      <c r="A887" s="67"/>
      <c r="B887" s="67"/>
      <c r="C887" s="67"/>
      <c r="D887" s="67"/>
      <c r="E887" s="67"/>
      <c r="F887" s="68"/>
      <c r="G887" s="68"/>
      <c r="H887" s="68"/>
      <c r="I887" s="68"/>
      <c r="J887" s="68"/>
      <c r="K887" s="69">
        <v>1500.0</v>
      </c>
      <c r="L887" s="69">
        <v>44.3</v>
      </c>
      <c r="M887" s="68">
        <f t="shared" si="1"/>
        <v>92.78</v>
      </c>
    </row>
    <row r="888">
      <c r="A888" s="70"/>
      <c r="B888" s="70"/>
      <c r="C888" s="70"/>
      <c r="D888" s="70"/>
      <c r="E888" s="70"/>
      <c r="F888" s="66"/>
      <c r="G888" s="66"/>
      <c r="H888" s="66"/>
      <c r="I888" s="66"/>
      <c r="J888" s="66"/>
      <c r="K888" s="63">
        <v>2000.0</v>
      </c>
      <c r="L888" s="63">
        <v>49.01</v>
      </c>
      <c r="M888" s="66">
        <f t="shared" si="1"/>
        <v>136.86</v>
      </c>
    </row>
    <row r="889">
      <c r="A889" s="67"/>
      <c r="B889" s="67"/>
      <c r="C889" s="67"/>
      <c r="D889" s="67"/>
      <c r="E889" s="67"/>
      <c r="F889" s="68"/>
      <c r="G889" s="68"/>
      <c r="H889" s="68"/>
      <c r="I889" s="68"/>
      <c r="J889" s="68"/>
      <c r="K889" s="69">
        <v>2500.0</v>
      </c>
      <c r="L889" s="69">
        <v>51.91</v>
      </c>
      <c r="M889" s="68">
        <f t="shared" si="1"/>
        <v>181.2</v>
      </c>
    </row>
    <row r="890">
      <c r="A890" s="73"/>
      <c r="B890" s="73"/>
      <c r="C890" s="73"/>
      <c r="D890" s="73"/>
      <c r="E890" s="73"/>
      <c r="F890" s="66"/>
      <c r="G890" s="66"/>
      <c r="H890" s="66"/>
      <c r="I890" s="66"/>
      <c r="J890" s="66"/>
      <c r="K890" s="63">
        <v>3000.0</v>
      </c>
      <c r="L890" s="63">
        <v>52.73</v>
      </c>
      <c r="M890" s="66">
        <f t="shared" si="1"/>
        <v>220.87</v>
      </c>
    </row>
    <row r="891">
      <c r="A891" s="67"/>
      <c r="B891" s="67"/>
      <c r="C891" s="67"/>
      <c r="D891" s="67"/>
      <c r="E891" s="67"/>
      <c r="F891" s="68"/>
      <c r="G891" s="68"/>
      <c r="H891" s="68"/>
      <c r="I891" s="68"/>
      <c r="J891" s="68"/>
      <c r="K891" s="69">
        <v>3500.0</v>
      </c>
      <c r="L891" s="69">
        <v>53.24</v>
      </c>
      <c r="M891" s="68">
        <f t="shared" si="1"/>
        <v>260.18</v>
      </c>
    </row>
    <row r="892">
      <c r="A892" s="70"/>
      <c r="B892" s="70"/>
      <c r="C892" s="70"/>
      <c r="D892" s="70"/>
      <c r="E892" s="70"/>
      <c r="F892" s="66"/>
      <c r="G892" s="66"/>
      <c r="H892" s="66"/>
      <c r="I892" s="66"/>
      <c r="J892" s="66"/>
      <c r="K892" s="63">
        <v>4000.0</v>
      </c>
      <c r="L892" s="63">
        <v>53.18</v>
      </c>
      <c r="M892" s="66">
        <f t="shared" si="1"/>
        <v>297.01</v>
      </c>
    </row>
    <row r="893">
      <c r="A893" s="67"/>
      <c r="B893" s="67"/>
      <c r="C893" s="67"/>
      <c r="D893" s="67"/>
      <c r="E893" s="67"/>
      <c r="F893" s="68"/>
      <c r="G893" s="68"/>
      <c r="H893" s="68"/>
      <c r="I893" s="68"/>
      <c r="J893" s="68"/>
      <c r="K893" s="69">
        <v>4500.0</v>
      </c>
      <c r="L893" s="69">
        <v>52.21</v>
      </c>
      <c r="M893" s="68">
        <f t="shared" si="1"/>
        <v>328.04</v>
      </c>
    </row>
    <row r="894">
      <c r="A894" s="70"/>
      <c r="B894" s="70"/>
      <c r="C894" s="70"/>
      <c r="D894" s="70"/>
      <c r="E894" s="70"/>
      <c r="F894" s="66"/>
      <c r="G894" s="66"/>
      <c r="H894" s="66"/>
      <c r="I894" s="66"/>
      <c r="J894" s="66"/>
      <c r="K894" s="63">
        <v>5000.0</v>
      </c>
      <c r="L894" s="63">
        <v>50.82</v>
      </c>
      <c r="M894" s="66">
        <f t="shared" si="1"/>
        <v>354.79</v>
      </c>
    </row>
    <row r="895">
      <c r="A895" s="67"/>
      <c r="B895" s="67"/>
      <c r="C895" s="67"/>
      <c r="D895" s="67"/>
      <c r="E895" s="67"/>
      <c r="F895" s="68"/>
      <c r="G895" s="68"/>
      <c r="H895" s="68"/>
      <c r="I895" s="68"/>
      <c r="J895" s="68"/>
      <c r="K895" s="69">
        <v>5500.0</v>
      </c>
      <c r="L895" s="69">
        <v>48.68</v>
      </c>
      <c r="M895" s="68">
        <f t="shared" si="1"/>
        <v>373.83</v>
      </c>
    </row>
    <row r="896">
      <c r="A896" s="70"/>
      <c r="B896" s="70"/>
      <c r="C896" s="70"/>
      <c r="D896" s="70"/>
      <c r="E896" s="70"/>
      <c r="F896" s="66"/>
      <c r="G896" s="66"/>
      <c r="H896" s="66"/>
      <c r="I896" s="66"/>
      <c r="J896" s="66"/>
      <c r="K896" s="63">
        <v>6000.0</v>
      </c>
      <c r="L896" s="63">
        <v>46.15</v>
      </c>
      <c r="M896" s="66">
        <f t="shared" si="1"/>
        <v>386.62</v>
      </c>
    </row>
    <row r="897">
      <c r="A897" s="67"/>
      <c r="B897" s="67"/>
      <c r="C897" s="67"/>
      <c r="D897" s="67"/>
      <c r="E897" s="67"/>
      <c r="F897" s="68"/>
      <c r="G897" s="68"/>
      <c r="H897" s="68"/>
      <c r="I897" s="68"/>
      <c r="J897" s="68"/>
      <c r="K897" s="69">
        <v>6500.0</v>
      </c>
      <c r="L897" s="69">
        <v>41.4</v>
      </c>
      <c r="M897" s="68">
        <f t="shared" si="1"/>
        <v>375.73</v>
      </c>
    </row>
    <row r="898">
      <c r="A898" s="70"/>
      <c r="B898" s="70"/>
      <c r="C898" s="70"/>
      <c r="D898" s="70"/>
      <c r="E898" s="70"/>
      <c r="F898" s="66"/>
      <c r="G898" s="66"/>
      <c r="H898" s="66"/>
      <c r="I898" s="66"/>
      <c r="J898" s="66"/>
      <c r="K898" s="63">
        <v>7000.0</v>
      </c>
      <c r="L898" s="63">
        <v>35.85</v>
      </c>
      <c r="M898" s="66">
        <f t="shared" si="1"/>
        <v>350.39</v>
      </c>
    </row>
    <row r="899">
      <c r="A899" s="68">
        <v>61.0</v>
      </c>
      <c r="B899" s="68">
        <v>90.0</v>
      </c>
      <c r="C899" s="71" t="s">
        <v>231</v>
      </c>
      <c r="D899" s="71" t="s">
        <v>232</v>
      </c>
      <c r="E899" s="71" t="s">
        <v>233</v>
      </c>
      <c r="F899" s="72">
        <v>6800.0</v>
      </c>
      <c r="G899" s="72">
        <v>7000.0</v>
      </c>
      <c r="H899" s="72">
        <v>700.0</v>
      </c>
      <c r="I899" s="72">
        <v>3600.0</v>
      </c>
      <c r="J899" s="72">
        <v>6150.0</v>
      </c>
      <c r="K899" s="69">
        <v>500.0</v>
      </c>
      <c r="L899" s="69">
        <v>30.59</v>
      </c>
      <c r="M899" s="68">
        <f t="shared" si="1"/>
        <v>21.36</v>
      </c>
    </row>
    <row r="900">
      <c r="A900" s="70"/>
      <c r="B900" s="70"/>
      <c r="C900" s="70"/>
      <c r="D900" s="70"/>
      <c r="E900" s="70"/>
      <c r="F900" s="66"/>
      <c r="G900" s="66"/>
      <c r="H900" s="66"/>
      <c r="I900" s="66"/>
      <c r="J900" s="66"/>
      <c r="K900" s="63">
        <v>1000.0</v>
      </c>
      <c r="L900" s="63">
        <v>35.63</v>
      </c>
      <c r="M900" s="66">
        <f t="shared" si="1"/>
        <v>49.75</v>
      </c>
    </row>
    <row r="901">
      <c r="A901" s="67"/>
      <c r="B901" s="67"/>
      <c r="C901" s="67"/>
      <c r="D901" s="67"/>
      <c r="E901" s="67"/>
      <c r="F901" s="68"/>
      <c r="G901" s="68"/>
      <c r="H901" s="68"/>
      <c r="I901" s="68"/>
      <c r="J901" s="68"/>
      <c r="K901" s="69">
        <v>1500.0</v>
      </c>
      <c r="L901" s="69">
        <v>40.62</v>
      </c>
      <c r="M901" s="68">
        <f t="shared" si="1"/>
        <v>85.07</v>
      </c>
    </row>
    <row r="902">
      <c r="A902" s="70"/>
      <c r="B902" s="70"/>
      <c r="C902" s="70"/>
      <c r="D902" s="70"/>
      <c r="E902" s="70"/>
      <c r="F902" s="66"/>
      <c r="G902" s="66"/>
      <c r="H902" s="66"/>
      <c r="I902" s="66"/>
      <c r="J902" s="66"/>
      <c r="K902" s="63">
        <v>2000.0</v>
      </c>
      <c r="L902" s="63">
        <v>45.26</v>
      </c>
      <c r="M902" s="66">
        <f t="shared" si="1"/>
        <v>126.39</v>
      </c>
    </row>
    <row r="903">
      <c r="A903" s="67"/>
      <c r="B903" s="67"/>
      <c r="C903" s="67"/>
      <c r="D903" s="67"/>
      <c r="E903" s="67"/>
      <c r="F903" s="68"/>
      <c r="G903" s="68"/>
      <c r="H903" s="68"/>
      <c r="I903" s="68"/>
      <c r="J903" s="68"/>
      <c r="K903" s="69">
        <v>2500.0</v>
      </c>
      <c r="L903" s="69">
        <v>47.6</v>
      </c>
      <c r="M903" s="68">
        <f t="shared" si="1"/>
        <v>166.15</v>
      </c>
    </row>
    <row r="904">
      <c r="A904" s="70"/>
      <c r="B904" s="70"/>
      <c r="C904" s="70"/>
      <c r="D904" s="70"/>
      <c r="E904" s="70"/>
      <c r="F904" s="66"/>
      <c r="G904" s="66"/>
      <c r="H904" s="66"/>
      <c r="I904" s="66"/>
      <c r="J904" s="66"/>
      <c r="K904" s="63">
        <v>3000.0</v>
      </c>
      <c r="L904" s="63">
        <v>48.8</v>
      </c>
      <c r="M904" s="66">
        <f t="shared" si="1"/>
        <v>204.41</v>
      </c>
    </row>
    <row r="905">
      <c r="A905" s="67"/>
      <c r="B905" s="67"/>
      <c r="C905" s="67"/>
      <c r="D905" s="67"/>
      <c r="E905" s="67"/>
      <c r="F905" s="68"/>
      <c r="G905" s="68"/>
      <c r="H905" s="68"/>
      <c r="I905" s="68"/>
      <c r="J905" s="68"/>
      <c r="K905" s="69">
        <v>3500.0</v>
      </c>
      <c r="L905" s="69">
        <v>49.94</v>
      </c>
      <c r="M905" s="68">
        <f t="shared" si="1"/>
        <v>244.05</v>
      </c>
    </row>
    <row r="906">
      <c r="A906" s="70"/>
      <c r="B906" s="70"/>
      <c r="C906" s="70"/>
      <c r="D906" s="70"/>
      <c r="E906" s="70"/>
      <c r="F906" s="66"/>
      <c r="G906" s="66"/>
      <c r="H906" s="66"/>
      <c r="I906" s="66"/>
      <c r="J906" s="66"/>
      <c r="K906" s="63">
        <v>4000.0</v>
      </c>
      <c r="L906" s="63">
        <v>49.53</v>
      </c>
      <c r="M906" s="66">
        <f t="shared" si="1"/>
        <v>276.63</v>
      </c>
    </row>
    <row r="907">
      <c r="A907" s="67"/>
      <c r="B907" s="67"/>
      <c r="C907" s="67"/>
      <c r="D907" s="67"/>
      <c r="E907" s="67"/>
      <c r="F907" s="68"/>
      <c r="G907" s="68"/>
      <c r="H907" s="68"/>
      <c r="I907" s="68"/>
      <c r="J907" s="68"/>
      <c r="K907" s="69">
        <v>4500.0</v>
      </c>
      <c r="L907" s="69">
        <v>48.56</v>
      </c>
      <c r="M907" s="68">
        <f t="shared" si="1"/>
        <v>305.11</v>
      </c>
    </row>
    <row r="908">
      <c r="A908" s="70"/>
      <c r="B908" s="70"/>
      <c r="C908" s="70"/>
      <c r="D908" s="70"/>
      <c r="E908" s="70"/>
      <c r="F908" s="66"/>
      <c r="G908" s="66"/>
      <c r="H908" s="66"/>
      <c r="I908" s="66"/>
      <c r="J908" s="66"/>
      <c r="K908" s="63">
        <v>5000.0</v>
      </c>
      <c r="L908" s="63">
        <v>46.94</v>
      </c>
      <c r="M908" s="66">
        <f t="shared" si="1"/>
        <v>327.7</v>
      </c>
    </row>
    <row r="909">
      <c r="A909" s="67"/>
      <c r="B909" s="67"/>
      <c r="C909" s="67"/>
      <c r="D909" s="67"/>
      <c r="E909" s="67"/>
      <c r="F909" s="68"/>
      <c r="G909" s="68"/>
      <c r="H909" s="68"/>
      <c r="I909" s="68"/>
      <c r="J909" s="68"/>
      <c r="K909" s="69">
        <v>5500.0</v>
      </c>
      <c r="L909" s="69">
        <v>44.41</v>
      </c>
      <c r="M909" s="68">
        <f t="shared" si="1"/>
        <v>341.04</v>
      </c>
    </row>
    <row r="910">
      <c r="A910" s="70"/>
      <c r="B910" s="70"/>
      <c r="C910" s="70"/>
      <c r="D910" s="70"/>
      <c r="E910" s="70"/>
      <c r="F910" s="66"/>
      <c r="G910" s="66"/>
      <c r="H910" s="66"/>
      <c r="I910" s="66"/>
      <c r="J910" s="66"/>
      <c r="K910" s="63">
        <v>6000.0</v>
      </c>
      <c r="L910" s="63">
        <v>40.72</v>
      </c>
      <c r="M910" s="66">
        <f t="shared" si="1"/>
        <v>341.13</v>
      </c>
    </row>
    <row r="911">
      <c r="A911" s="67"/>
      <c r="B911" s="67"/>
      <c r="C911" s="67"/>
      <c r="D911" s="67"/>
      <c r="E911" s="67"/>
      <c r="F911" s="68"/>
      <c r="G911" s="68"/>
      <c r="H911" s="68"/>
      <c r="I911" s="68"/>
      <c r="J911" s="68"/>
      <c r="K911" s="69">
        <v>6500.0</v>
      </c>
      <c r="L911" s="69">
        <v>36.8</v>
      </c>
      <c r="M911" s="68">
        <f t="shared" si="1"/>
        <v>333.98</v>
      </c>
    </row>
    <row r="912">
      <c r="A912" s="70"/>
      <c r="B912" s="70"/>
      <c r="C912" s="70"/>
      <c r="D912" s="70"/>
      <c r="E912" s="70"/>
      <c r="F912" s="66"/>
      <c r="G912" s="66"/>
      <c r="H912" s="66"/>
      <c r="I912" s="66"/>
      <c r="J912" s="66"/>
      <c r="K912" s="63">
        <v>7000.0</v>
      </c>
      <c r="L912" s="63">
        <v>31.78</v>
      </c>
      <c r="M912" s="66">
        <f t="shared" si="1"/>
        <v>310.61</v>
      </c>
    </row>
    <row r="913">
      <c r="A913" s="67"/>
      <c r="B913" s="67"/>
      <c r="C913" s="67"/>
      <c r="D913" s="67"/>
      <c r="E913" s="67"/>
      <c r="F913" s="68"/>
      <c r="G913" s="68"/>
      <c r="H913" s="68"/>
      <c r="I913" s="68"/>
      <c r="J913" s="68"/>
      <c r="K913" s="69">
        <v>7500.0</v>
      </c>
      <c r="L913" s="69">
        <v>25.65</v>
      </c>
      <c r="M913" s="68">
        <f t="shared" si="1"/>
        <v>268.61</v>
      </c>
    </row>
    <row r="914">
      <c r="A914" s="63">
        <v>62.0</v>
      </c>
      <c r="B914" s="63">
        <v>91.0</v>
      </c>
      <c r="C914" s="64" t="s">
        <v>234</v>
      </c>
      <c r="D914" s="64" t="s">
        <v>235</v>
      </c>
      <c r="E914" s="64" t="s">
        <v>236</v>
      </c>
      <c r="F914" s="65">
        <v>6500.0</v>
      </c>
      <c r="G914" s="65">
        <v>6500.0</v>
      </c>
      <c r="H914" s="65">
        <v>700.0</v>
      </c>
      <c r="I914" s="65">
        <v>4500.0</v>
      </c>
      <c r="J914" s="65">
        <v>6200.0</v>
      </c>
      <c r="K914" s="63">
        <v>500.0</v>
      </c>
      <c r="L914" s="63">
        <v>19.64</v>
      </c>
      <c r="M914" s="66">
        <f t="shared" si="1"/>
        <v>13.71</v>
      </c>
    </row>
    <row r="915">
      <c r="A915" s="67"/>
      <c r="B915" s="67"/>
      <c r="C915" s="67"/>
      <c r="D915" s="67"/>
      <c r="E915" s="67"/>
      <c r="F915" s="68"/>
      <c r="G915" s="68"/>
      <c r="H915" s="68"/>
      <c r="I915" s="68"/>
      <c r="J915" s="68"/>
      <c r="K915" s="69">
        <v>1000.0</v>
      </c>
      <c r="L915" s="69">
        <v>20.56</v>
      </c>
      <c r="M915" s="68">
        <f t="shared" si="1"/>
        <v>28.71</v>
      </c>
    </row>
    <row r="916">
      <c r="A916" s="70"/>
      <c r="B916" s="70"/>
      <c r="C916" s="70"/>
      <c r="D916" s="70"/>
      <c r="E916" s="70"/>
      <c r="F916" s="66"/>
      <c r="G916" s="66"/>
      <c r="H916" s="66"/>
      <c r="I916" s="66"/>
      <c r="J916" s="66"/>
      <c r="K916" s="63">
        <v>1500.0</v>
      </c>
      <c r="L916" s="63">
        <v>21.46</v>
      </c>
      <c r="M916" s="66">
        <f t="shared" si="1"/>
        <v>44.95</v>
      </c>
    </row>
    <row r="917">
      <c r="A917" s="67"/>
      <c r="B917" s="67"/>
      <c r="C917" s="67"/>
      <c r="D917" s="67"/>
      <c r="E917" s="67"/>
      <c r="F917" s="68"/>
      <c r="G917" s="68"/>
      <c r="H917" s="68"/>
      <c r="I917" s="68"/>
      <c r="J917" s="68"/>
      <c r="K917" s="69">
        <v>2000.0</v>
      </c>
      <c r="L917" s="69">
        <v>22.39</v>
      </c>
      <c r="M917" s="68">
        <f t="shared" si="1"/>
        <v>62.52</v>
      </c>
    </row>
    <row r="918">
      <c r="A918" s="70"/>
      <c r="B918" s="70"/>
      <c r="C918" s="70"/>
      <c r="D918" s="70"/>
      <c r="E918" s="70"/>
      <c r="F918" s="66"/>
      <c r="G918" s="66"/>
      <c r="H918" s="66"/>
      <c r="I918" s="66"/>
      <c r="J918" s="66"/>
      <c r="K918" s="63">
        <v>2500.0</v>
      </c>
      <c r="L918" s="63">
        <v>23.33</v>
      </c>
      <c r="M918" s="66">
        <f t="shared" si="1"/>
        <v>81.44</v>
      </c>
    </row>
    <row r="919">
      <c r="A919" s="67"/>
      <c r="B919" s="67"/>
      <c r="C919" s="67"/>
      <c r="D919" s="67"/>
      <c r="E919" s="67"/>
      <c r="F919" s="68"/>
      <c r="G919" s="68"/>
      <c r="H919" s="68"/>
      <c r="I919" s="68"/>
      <c r="J919" s="68"/>
      <c r="K919" s="69">
        <v>3000.0</v>
      </c>
      <c r="L919" s="69">
        <v>24.0</v>
      </c>
      <c r="M919" s="68">
        <f t="shared" si="1"/>
        <v>100.53</v>
      </c>
    </row>
    <row r="920">
      <c r="A920" s="70"/>
      <c r="B920" s="70"/>
      <c r="C920" s="70"/>
      <c r="D920" s="70"/>
      <c r="E920" s="70"/>
      <c r="F920" s="66"/>
      <c r="G920" s="66"/>
      <c r="H920" s="66"/>
      <c r="I920" s="66"/>
      <c r="J920" s="66"/>
      <c r="K920" s="63">
        <v>3500.0</v>
      </c>
      <c r="L920" s="63">
        <v>24.54</v>
      </c>
      <c r="M920" s="66">
        <f t="shared" si="1"/>
        <v>119.92</v>
      </c>
    </row>
    <row r="921">
      <c r="A921" s="67"/>
      <c r="B921" s="67"/>
      <c r="C921" s="67"/>
      <c r="D921" s="67"/>
      <c r="E921" s="67"/>
      <c r="F921" s="68"/>
      <c r="G921" s="68"/>
      <c r="H921" s="68"/>
      <c r="I921" s="68"/>
      <c r="J921" s="68"/>
      <c r="K921" s="69">
        <v>4000.0</v>
      </c>
      <c r="L921" s="69">
        <v>24.83</v>
      </c>
      <c r="M921" s="68">
        <f t="shared" si="1"/>
        <v>138.68</v>
      </c>
    </row>
    <row r="922">
      <c r="A922" s="70"/>
      <c r="B922" s="70"/>
      <c r="C922" s="70"/>
      <c r="D922" s="70"/>
      <c r="E922" s="70"/>
      <c r="F922" s="66"/>
      <c r="G922" s="66"/>
      <c r="H922" s="66"/>
      <c r="I922" s="66"/>
      <c r="J922" s="66"/>
      <c r="K922" s="63">
        <v>4500.0</v>
      </c>
      <c r="L922" s="63">
        <v>25.0</v>
      </c>
      <c r="M922" s="66">
        <f t="shared" si="1"/>
        <v>157.08</v>
      </c>
    </row>
    <row r="923">
      <c r="A923" s="67"/>
      <c r="B923" s="67"/>
      <c r="C923" s="67"/>
      <c r="D923" s="67"/>
      <c r="E923" s="67"/>
      <c r="F923" s="68"/>
      <c r="G923" s="68"/>
      <c r="H923" s="68"/>
      <c r="I923" s="68"/>
      <c r="J923" s="68"/>
      <c r="K923" s="69">
        <v>5000.0</v>
      </c>
      <c r="L923" s="69">
        <v>24.92</v>
      </c>
      <c r="M923" s="68">
        <f t="shared" si="1"/>
        <v>173.97</v>
      </c>
    </row>
    <row r="924">
      <c r="A924" s="70"/>
      <c r="B924" s="70"/>
      <c r="C924" s="70"/>
      <c r="D924" s="70"/>
      <c r="E924" s="70"/>
      <c r="F924" s="66"/>
      <c r="G924" s="66"/>
      <c r="H924" s="66"/>
      <c r="I924" s="66"/>
      <c r="J924" s="66"/>
      <c r="K924" s="63">
        <v>5500.0</v>
      </c>
      <c r="L924" s="63">
        <v>24.77</v>
      </c>
      <c r="M924" s="66">
        <f t="shared" si="1"/>
        <v>190.22</v>
      </c>
    </row>
    <row r="925">
      <c r="A925" s="67"/>
      <c r="B925" s="67"/>
      <c r="C925" s="67"/>
      <c r="D925" s="67"/>
      <c r="E925" s="67"/>
      <c r="F925" s="68"/>
      <c r="G925" s="68"/>
      <c r="H925" s="68"/>
      <c r="I925" s="68"/>
      <c r="J925" s="68"/>
      <c r="K925" s="69">
        <v>6000.0</v>
      </c>
      <c r="L925" s="69">
        <v>24.43</v>
      </c>
      <c r="M925" s="68">
        <f t="shared" si="1"/>
        <v>204.66</v>
      </c>
    </row>
    <row r="926">
      <c r="A926" s="70"/>
      <c r="B926" s="70"/>
      <c r="C926" s="70"/>
      <c r="D926" s="70"/>
      <c r="E926" s="70"/>
      <c r="F926" s="66"/>
      <c r="G926" s="66"/>
      <c r="H926" s="66"/>
      <c r="I926" s="66"/>
      <c r="J926" s="66"/>
      <c r="K926" s="63">
        <v>6500.0</v>
      </c>
      <c r="L926" s="63">
        <v>22.19</v>
      </c>
      <c r="M926" s="66">
        <f t="shared" si="1"/>
        <v>201.39</v>
      </c>
    </row>
    <row r="927">
      <c r="A927" s="67"/>
      <c r="B927" s="67"/>
      <c r="C927" s="67"/>
      <c r="D927" s="67"/>
      <c r="E927" s="67"/>
      <c r="F927" s="68"/>
      <c r="G927" s="68"/>
      <c r="H927" s="68"/>
      <c r="I927" s="68"/>
      <c r="J927" s="68"/>
      <c r="K927" s="69">
        <v>7000.0</v>
      </c>
      <c r="L927" s="69">
        <v>19.06</v>
      </c>
      <c r="M927" s="68">
        <f t="shared" si="1"/>
        <v>186.29</v>
      </c>
    </row>
    <row r="928">
      <c r="A928" s="66">
        <v>63.0</v>
      </c>
      <c r="B928" s="66">
        <v>92.0</v>
      </c>
      <c r="C928" s="74" t="s">
        <v>237</v>
      </c>
      <c r="D928" s="74" t="s">
        <v>238</v>
      </c>
      <c r="E928" s="74" t="s">
        <v>239</v>
      </c>
      <c r="F928" s="65">
        <v>6600.0</v>
      </c>
      <c r="G928" s="65">
        <v>6800.0</v>
      </c>
      <c r="H928" s="65">
        <v>700.0</v>
      </c>
      <c r="I928" s="65">
        <v>4300.0</v>
      </c>
      <c r="J928" s="65">
        <v>5300.0</v>
      </c>
      <c r="K928" s="63">
        <v>500.0</v>
      </c>
      <c r="L928" s="63">
        <v>10.6</v>
      </c>
      <c r="M928" s="66">
        <f t="shared" si="1"/>
        <v>7.4</v>
      </c>
    </row>
    <row r="929">
      <c r="A929" s="67"/>
      <c r="B929" s="67"/>
      <c r="C929" s="67"/>
      <c r="D929" s="67"/>
      <c r="E929" s="67"/>
      <c r="F929" s="68"/>
      <c r="G929" s="68"/>
      <c r="H929" s="68"/>
      <c r="I929" s="68"/>
      <c r="J929" s="68"/>
      <c r="K929" s="69">
        <v>1000.0</v>
      </c>
      <c r="L929" s="69">
        <v>12.6</v>
      </c>
      <c r="M929" s="68">
        <f t="shared" si="1"/>
        <v>17.59</v>
      </c>
    </row>
    <row r="930">
      <c r="A930" s="70"/>
      <c r="B930" s="70"/>
      <c r="C930" s="70"/>
      <c r="D930" s="70"/>
      <c r="E930" s="70"/>
      <c r="F930" s="66"/>
      <c r="G930" s="66"/>
      <c r="H930" s="66"/>
      <c r="I930" s="66"/>
      <c r="J930" s="66"/>
      <c r="K930" s="63">
        <v>1500.0</v>
      </c>
      <c r="L930" s="63">
        <v>13.55</v>
      </c>
      <c r="M930" s="66">
        <f t="shared" si="1"/>
        <v>28.38</v>
      </c>
    </row>
    <row r="931">
      <c r="A931" s="67"/>
      <c r="B931" s="67"/>
      <c r="C931" s="67"/>
      <c r="D931" s="67"/>
      <c r="E931" s="67"/>
      <c r="F931" s="68"/>
      <c r="G931" s="68"/>
      <c r="H931" s="68"/>
      <c r="I931" s="68"/>
      <c r="J931" s="68"/>
      <c r="K931" s="69">
        <v>2000.0</v>
      </c>
      <c r="L931" s="69">
        <v>14.2</v>
      </c>
      <c r="M931" s="68">
        <f t="shared" si="1"/>
        <v>39.65</v>
      </c>
    </row>
    <row r="932">
      <c r="A932" s="70"/>
      <c r="B932" s="70"/>
      <c r="C932" s="70"/>
      <c r="D932" s="70"/>
      <c r="E932" s="70"/>
      <c r="F932" s="66"/>
      <c r="G932" s="66"/>
      <c r="H932" s="66"/>
      <c r="I932" s="66"/>
      <c r="J932" s="66"/>
      <c r="K932" s="63">
        <v>2500.0</v>
      </c>
      <c r="L932" s="63">
        <v>15.05</v>
      </c>
      <c r="M932" s="66">
        <f t="shared" si="1"/>
        <v>52.53</v>
      </c>
    </row>
    <row r="933">
      <c r="A933" s="67"/>
      <c r="B933" s="67"/>
      <c r="C933" s="67"/>
      <c r="D933" s="67"/>
      <c r="E933" s="67"/>
      <c r="F933" s="68"/>
      <c r="G933" s="68"/>
      <c r="H933" s="68"/>
      <c r="I933" s="68"/>
      <c r="J933" s="68"/>
      <c r="K933" s="69">
        <v>3000.0</v>
      </c>
      <c r="L933" s="69">
        <v>16.2</v>
      </c>
      <c r="M933" s="68">
        <f t="shared" si="1"/>
        <v>67.86</v>
      </c>
    </row>
    <row r="934">
      <c r="A934" s="70"/>
      <c r="B934" s="70"/>
      <c r="C934" s="70"/>
      <c r="D934" s="70"/>
      <c r="E934" s="70"/>
      <c r="F934" s="66"/>
      <c r="G934" s="66"/>
      <c r="H934" s="66"/>
      <c r="I934" s="66"/>
      <c r="J934" s="66"/>
      <c r="K934" s="63">
        <v>3500.0</v>
      </c>
      <c r="L934" s="63">
        <v>17.55</v>
      </c>
      <c r="M934" s="66">
        <f t="shared" si="1"/>
        <v>85.77</v>
      </c>
    </row>
    <row r="935">
      <c r="A935" s="67"/>
      <c r="B935" s="67"/>
      <c r="C935" s="67"/>
      <c r="D935" s="67"/>
      <c r="E935" s="67"/>
      <c r="F935" s="68"/>
      <c r="G935" s="68"/>
      <c r="H935" s="68"/>
      <c r="I935" s="68"/>
      <c r="J935" s="68"/>
      <c r="K935" s="69">
        <v>3900.0</v>
      </c>
      <c r="L935" s="69">
        <v>18.1</v>
      </c>
      <c r="M935" s="68">
        <f t="shared" si="1"/>
        <v>98.56</v>
      </c>
    </row>
    <row r="936">
      <c r="A936" s="70"/>
      <c r="B936" s="70"/>
      <c r="C936" s="70"/>
      <c r="D936" s="70"/>
      <c r="E936" s="70"/>
      <c r="F936" s="66"/>
      <c r="G936" s="66"/>
      <c r="H936" s="66"/>
      <c r="I936" s="66"/>
      <c r="J936" s="66"/>
      <c r="K936" s="63">
        <v>4300.0</v>
      </c>
      <c r="L936" s="63">
        <v>18.2</v>
      </c>
      <c r="M936" s="66">
        <f t="shared" si="1"/>
        <v>109.27</v>
      </c>
    </row>
    <row r="937">
      <c r="A937" s="67"/>
      <c r="B937" s="67"/>
      <c r="C937" s="67"/>
      <c r="D937" s="67"/>
      <c r="E937" s="67"/>
      <c r="F937" s="68"/>
      <c r="G937" s="68"/>
      <c r="H937" s="68"/>
      <c r="I937" s="68"/>
      <c r="J937" s="68"/>
      <c r="K937" s="69">
        <v>4900.0</v>
      </c>
      <c r="L937" s="69">
        <v>17.6</v>
      </c>
      <c r="M937" s="68">
        <f t="shared" si="1"/>
        <v>120.41</v>
      </c>
    </row>
    <row r="938">
      <c r="A938" s="73"/>
      <c r="B938" s="73"/>
      <c r="C938" s="73"/>
      <c r="D938" s="73"/>
      <c r="E938" s="73"/>
      <c r="F938" s="66"/>
      <c r="G938" s="66"/>
      <c r="H938" s="66"/>
      <c r="I938" s="66"/>
      <c r="J938" s="66"/>
      <c r="K938" s="63">
        <v>5300.0</v>
      </c>
      <c r="L938" s="63">
        <v>16.55</v>
      </c>
      <c r="M938" s="66">
        <f t="shared" si="1"/>
        <v>122.47</v>
      </c>
    </row>
    <row r="939">
      <c r="A939" s="67"/>
      <c r="B939" s="67"/>
      <c r="C939" s="67"/>
      <c r="D939" s="67"/>
      <c r="E939" s="67"/>
      <c r="F939" s="68"/>
      <c r="G939" s="68"/>
      <c r="H939" s="68"/>
      <c r="I939" s="68"/>
      <c r="J939" s="68"/>
      <c r="K939" s="69">
        <v>6000.0</v>
      </c>
      <c r="L939" s="69">
        <v>14.45</v>
      </c>
      <c r="M939" s="68">
        <f t="shared" si="1"/>
        <v>121.06</v>
      </c>
    </row>
    <row r="940">
      <c r="A940" s="70"/>
      <c r="B940" s="70"/>
      <c r="C940" s="70"/>
      <c r="D940" s="70"/>
      <c r="E940" s="70"/>
      <c r="F940" s="66"/>
      <c r="G940" s="66"/>
      <c r="H940" s="66"/>
      <c r="I940" s="66"/>
      <c r="J940" s="66"/>
      <c r="K940" s="63">
        <v>6500.0</v>
      </c>
      <c r="L940" s="63">
        <v>12.3</v>
      </c>
      <c r="M940" s="66">
        <f t="shared" si="1"/>
        <v>111.63</v>
      </c>
    </row>
    <row r="941">
      <c r="A941" s="67"/>
      <c r="B941" s="67"/>
      <c r="C941" s="67"/>
      <c r="D941" s="67"/>
      <c r="E941" s="67"/>
      <c r="F941" s="68"/>
      <c r="G941" s="68"/>
      <c r="H941" s="68"/>
      <c r="I941" s="68"/>
      <c r="J941" s="68"/>
      <c r="K941" s="69">
        <v>7000.0</v>
      </c>
      <c r="L941" s="69">
        <v>8.95</v>
      </c>
      <c r="M941" s="68">
        <f t="shared" si="1"/>
        <v>87.48</v>
      </c>
    </row>
    <row r="942">
      <c r="A942" s="66">
        <v>64.0</v>
      </c>
      <c r="B942" s="66">
        <v>95.0</v>
      </c>
      <c r="C942" s="74" t="s">
        <v>240</v>
      </c>
      <c r="D942" s="74" t="s">
        <v>241</v>
      </c>
      <c r="E942" s="74" t="s">
        <v>242</v>
      </c>
      <c r="F942" s="65">
        <v>7000.0</v>
      </c>
      <c r="G942" s="65">
        <v>7000.0</v>
      </c>
      <c r="H942" s="65">
        <v>700.0</v>
      </c>
      <c r="I942" s="65">
        <v>4800.0</v>
      </c>
      <c r="J942" s="65">
        <v>6200.0</v>
      </c>
      <c r="K942" s="63">
        <v>500.0</v>
      </c>
      <c r="L942" s="63">
        <v>21.0</v>
      </c>
      <c r="M942" s="66">
        <f t="shared" si="1"/>
        <v>14.66</v>
      </c>
    </row>
    <row r="943">
      <c r="A943" s="67"/>
      <c r="B943" s="67"/>
      <c r="C943" s="67"/>
      <c r="D943" s="67"/>
      <c r="E943" s="67"/>
      <c r="F943" s="68"/>
      <c r="G943" s="68"/>
      <c r="H943" s="68"/>
      <c r="I943" s="68"/>
      <c r="J943" s="68"/>
      <c r="K943" s="69">
        <v>1000.0</v>
      </c>
      <c r="L943" s="69">
        <v>23.4</v>
      </c>
      <c r="M943" s="68">
        <f t="shared" si="1"/>
        <v>32.67</v>
      </c>
    </row>
    <row r="944">
      <c r="A944" s="70"/>
      <c r="B944" s="70"/>
      <c r="C944" s="70"/>
      <c r="D944" s="70"/>
      <c r="E944" s="70"/>
      <c r="F944" s="66"/>
      <c r="G944" s="66"/>
      <c r="H944" s="66"/>
      <c r="I944" s="66"/>
      <c r="J944" s="66"/>
      <c r="K944" s="63">
        <v>1500.0</v>
      </c>
      <c r="L944" s="63">
        <v>25.1</v>
      </c>
      <c r="M944" s="66">
        <f t="shared" si="1"/>
        <v>52.57</v>
      </c>
    </row>
    <row r="945">
      <c r="A945" s="67"/>
      <c r="B945" s="67"/>
      <c r="C945" s="67"/>
      <c r="D945" s="67"/>
      <c r="E945" s="67"/>
      <c r="F945" s="68"/>
      <c r="G945" s="68"/>
      <c r="H945" s="68"/>
      <c r="I945" s="68"/>
      <c r="J945" s="68"/>
      <c r="K945" s="69">
        <v>2000.0</v>
      </c>
      <c r="L945" s="69">
        <v>25.9</v>
      </c>
      <c r="M945" s="68">
        <f t="shared" si="1"/>
        <v>72.33</v>
      </c>
    </row>
    <row r="946">
      <c r="A946" s="70"/>
      <c r="B946" s="70"/>
      <c r="C946" s="70"/>
      <c r="D946" s="70"/>
      <c r="E946" s="70"/>
      <c r="F946" s="66"/>
      <c r="G946" s="66"/>
      <c r="H946" s="66"/>
      <c r="I946" s="66"/>
      <c r="J946" s="66"/>
      <c r="K946" s="63">
        <v>2600.0</v>
      </c>
      <c r="L946" s="63">
        <v>26.8</v>
      </c>
      <c r="M946" s="66">
        <f t="shared" si="1"/>
        <v>97.29</v>
      </c>
    </row>
    <row r="947">
      <c r="A947" s="67"/>
      <c r="B947" s="67"/>
      <c r="C947" s="67"/>
      <c r="D947" s="67"/>
      <c r="E947" s="67"/>
      <c r="F947" s="68"/>
      <c r="G947" s="68"/>
      <c r="H947" s="68"/>
      <c r="I947" s="68"/>
      <c r="J947" s="68"/>
      <c r="K947" s="69">
        <v>3200.0</v>
      </c>
      <c r="L947" s="69">
        <v>27.9</v>
      </c>
      <c r="M947" s="68">
        <f t="shared" si="1"/>
        <v>124.66</v>
      </c>
    </row>
    <row r="948">
      <c r="A948" s="70"/>
      <c r="B948" s="70"/>
      <c r="C948" s="70"/>
      <c r="D948" s="70"/>
      <c r="E948" s="70"/>
      <c r="F948" s="66"/>
      <c r="G948" s="66"/>
      <c r="H948" s="66"/>
      <c r="I948" s="66"/>
      <c r="J948" s="66"/>
      <c r="K948" s="63">
        <v>3800.0</v>
      </c>
      <c r="L948" s="63">
        <v>29.3</v>
      </c>
      <c r="M948" s="66">
        <f t="shared" si="1"/>
        <v>155.46</v>
      </c>
    </row>
    <row r="949">
      <c r="A949" s="67"/>
      <c r="B949" s="67"/>
      <c r="C949" s="67"/>
      <c r="D949" s="67"/>
      <c r="E949" s="67"/>
      <c r="F949" s="68"/>
      <c r="G949" s="68"/>
      <c r="H949" s="68"/>
      <c r="I949" s="68"/>
      <c r="J949" s="68"/>
      <c r="K949" s="69">
        <v>4300.0</v>
      </c>
      <c r="L949" s="69">
        <v>30.1</v>
      </c>
      <c r="M949" s="68">
        <f t="shared" si="1"/>
        <v>180.72</v>
      </c>
    </row>
    <row r="950">
      <c r="A950" s="70"/>
      <c r="B950" s="70"/>
      <c r="C950" s="70"/>
      <c r="D950" s="70"/>
      <c r="E950" s="70"/>
      <c r="F950" s="66"/>
      <c r="G950" s="66"/>
      <c r="H950" s="66"/>
      <c r="I950" s="66"/>
      <c r="J950" s="66"/>
      <c r="K950" s="63">
        <v>4800.0</v>
      </c>
      <c r="L950" s="63">
        <v>30.6</v>
      </c>
      <c r="M950" s="66">
        <f t="shared" si="1"/>
        <v>205.08</v>
      </c>
    </row>
    <row r="951">
      <c r="A951" s="67"/>
      <c r="B951" s="67"/>
      <c r="C951" s="67"/>
      <c r="D951" s="67"/>
      <c r="E951" s="67"/>
      <c r="F951" s="68"/>
      <c r="G951" s="68"/>
      <c r="H951" s="68"/>
      <c r="I951" s="68"/>
      <c r="J951" s="68"/>
      <c r="K951" s="69">
        <v>5100.0</v>
      </c>
      <c r="L951" s="69">
        <v>30.5</v>
      </c>
      <c r="M951" s="68">
        <f t="shared" si="1"/>
        <v>217.19</v>
      </c>
    </row>
    <row r="952">
      <c r="A952" s="70"/>
      <c r="B952" s="70"/>
      <c r="C952" s="70"/>
      <c r="D952" s="70"/>
      <c r="E952" s="70"/>
      <c r="F952" s="66"/>
      <c r="G952" s="66"/>
      <c r="H952" s="66"/>
      <c r="I952" s="66"/>
      <c r="J952" s="66"/>
      <c r="K952" s="63">
        <v>5400.0</v>
      </c>
      <c r="L952" s="63">
        <v>30.2</v>
      </c>
      <c r="M952" s="66">
        <f t="shared" si="1"/>
        <v>227.7</v>
      </c>
    </row>
    <row r="953">
      <c r="A953" s="67"/>
      <c r="B953" s="67"/>
      <c r="C953" s="67"/>
      <c r="D953" s="67"/>
      <c r="E953" s="67"/>
      <c r="F953" s="68"/>
      <c r="G953" s="68"/>
      <c r="H953" s="68"/>
      <c r="I953" s="68"/>
      <c r="J953" s="68"/>
      <c r="K953" s="69">
        <v>6200.0</v>
      </c>
      <c r="L953" s="69">
        <v>28.8</v>
      </c>
      <c r="M953" s="68">
        <f t="shared" si="1"/>
        <v>249.32</v>
      </c>
    </row>
    <row r="954">
      <c r="A954" s="70"/>
      <c r="B954" s="70"/>
      <c r="C954" s="70"/>
      <c r="D954" s="70"/>
      <c r="E954" s="70"/>
      <c r="F954" s="66"/>
      <c r="G954" s="66"/>
      <c r="H954" s="66"/>
      <c r="I954" s="66"/>
      <c r="J954" s="66"/>
      <c r="K954" s="63">
        <v>6500.0</v>
      </c>
      <c r="L954" s="63">
        <v>27.3</v>
      </c>
      <c r="M954" s="66">
        <f t="shared" si="1"/>
        <v>247.77</v>
      </c>
    </row>
    <row r="955">
      <c r="A955" s="67"/>
      <c r="B955" s="67"/>
      <c r="C955" s="67"/>
      <c r="D955" s="67"/>
      <c r="E955" s="67"/>
      <c r="F955" s="68"/>
      <c r="G955" s="68"/>
      <c r="H955" s="68"/>
      <c r="I955" s="68"/>
      <c r="J955" s="68"/>
      <c r="K955" s="69">
        <v>7000.0</v>
      </c>
      <c r="L955" s="69">
        <v>24.0</v>
      </c>
      <c r="M955" s="68">
        <f t="shared" si="1"/>
        <v>234.57</v>
      </c>
    </row>
    <row r="956">
      <c r="A956" s="70"/>
      <c r="B956" s="70"/>
      <c r="C956" s="70"/>
      <c r="D956" s="70"/>
      <c r="E956" s="70"/>
      <c r="F956" s="66"/>
      <c r="G956" s="66"/>
      <c r="H956" s="66"/>
      <c r="I956" s="66"/>
      <c r="J956" s="66"/>
      <c r="K956" s="63">
        <v>7500.0</v>
      </c>
      <c r="L956" s="63">
        <v>16.6</v>
      </c>
      <c r="M956" s="66">
        <f t="shared" si="1"/>
        <v>173.83</v>
      </c>
    </row>
    <row r="957">
      <c r="A957" s="68">
        <v>65.0</v>
      </c>
      <c r="B957" s="68">
        <v>97.0</v>
      </c>
      <c r="C957" s="71" t="s">
        <v>243</v>
      </c>
      <c r="D957" s="71" t="s">
        <v>244</v>
      </c>
      <c r="E957" s="71" t="s">
        <v>245</v>
      </c>
      <c r="F957" s="72">
        <v>7000.0</v>
      </c>
      <c r="G957" s="72">
        <v>7200.0</v>
      </c>
      <c r="H957" s="72">
        <v>800.0</v>
      </c>
      <c r="I957" s="72">
        <v>4800.0</v>
      </c>
      <c r="J957" s="72">
        <v>6200.0</v>
      </c>
      <c r="K957" s="69">
        <v>500.0</v>
      </c>
      <c r="L957" s="69">
        <v>22.2</v>
      </c>
      <c r="M957" s="68">
        <f t="shared" si="1"/>
        <v>15.5</v>
      </c>
    </row>
    <row r="958">
      <c r="A958" s="70"/>
      <c r="B958" s="70"/>
      <c r="C958" s="70"/>
      <c r="D958" s="70"/>
      <c r="E958" s="70"/>
      <c r="F958" s="66"/>
      <c r="G958" s="66"/>
      <c r="H958" s="66"/>
      <c r="I958" s="66"/>
      <c r="J958" s="66"/>
      <c r="K958" s="63">
        <v>1000.0</v>
      </c>
      <c r="L958" s="63">
        <v>24.15</v>
      </c>
      <c r="M958" s="66">
        <f t="shared" si="1"/>
        <v>33.72</v>
      </c>
    </row>
    <row r="959">
      <c r="A959" s="67"/>
      <c r="B959" s="67"/>
      <c r="C959" s="67"/>
      <c r="D959" s="67"/>
      <c r="E959" s="67"/>
      <c r="F959" s="68"/>
      <c r="G959" s="68"/>
      <c r="H959" s="68"/>
      <c r="I959" s="68"/>
      <c r="J959" s="68"/>
      <c r="K959" s="69">
        <v>1500.0</v>
      </c>
      <c r="L959" s="69">
        <v>25.43</v>
      </c>
      <c r="M959" s="68">
        <f t="shared" si="1"/>
        <v>53.26</v>
      </c>
    </row>
    <row r="960">
      <c r="A960" s="70"/>
      <c r="B960" s="70"/>
      <c r="C960" s="70"/>
      <c r="D960" s="70"/>
      <c r="E960" s="70"/>
      <c r="F960" s="66"/>
      <c r="G960" s="66"/>
      <c r="H960" s="66"/>
      <c r="I960" s="66"/>
      <c r="J960" s="66"/>
      <c r="K960" s="63">
        <v>2000.0</v>
      </c>
      <c r="L960" s="63">
        <v>26.25</v>
      </c>
      <c r="M960" s="66">
        <f t="shared" si="1"/>
        <v>73.3</v>
      </c>
    </row>
    <row r="961">
      <c r="A961" s="67"/>
      <c r="B961" s="67"/>
      <c r="C961" s="67"/>
      <c r="D961" s="67"/>
      <c r="E961" s="67"/>
      <c r="F961" s="68"/>
      <c r="G961" s="68"/>
      <c r="H961" s="68"/>
      <c r="I961" s="68"/>
      <c r="J961" s="68"/>
      <c r="K961" s="69">
        <v>2500.0</v>
      </c>
      <c r="L961" s="69">
        <v>26.85</v>
      </c>
      <c r="M961" s="68">
        <f t="shared" si="1"/>
        <v>93.72</v>
      </c>
    </row>
    <row r="962">
      <c r="A962" s="73"/>
      <c r="B962" s="73"/>
      <c r="C962" s="73"/>
      <c r="D962" s="73"/>
      <c r="E962" s="73"/>
      <c r="F962" s="66"/>
      <c r="G962" s="66"/>
      <c r="H962" s="66"/>
      <c r="I962" s="66"/>
      <c r="J962" s="66"/>
      <c r="K962" s="63">
        <v>3000.0</v>
      </c>
      <c r="L962" s="63">
        <v>27.23</v>
      </c>
      <c r="M962" s="66">
        <f t="shared" si="1"/>
        <v>114.06</v>
      </c>
    </row>
    <row r="963">
      <c r="A963" s="67"/>
      <c r="B963" s="67"/>
      <c r="C963" s="67"/>
      <c r="D963" s="67"/>
      <c r="E963" s="67"/>
      <c r="F963" s="68"/>
      <c r="G963" s="68"/>
      <c r="H963" s="68"/>
      <c r="I963" s="68"/>
      <c r="J963" s="68"/>
      <c r="K963" s="69">
        <v>3500.0</v>
      </c>
      <c r="L963" s="69">
        <v>27.68</v>
      </c>
      <c r="M963" s="68">
        <f t="shared" si="1"/>
        <v>135.27</v>
      </c>
    </row>
    <row r="964">
      <c r="A964" s="70"/>
      <c r="B964" s="70"/>
      <c r="C964" s="70"/>
      <c r="D964" s="70"/>
      <c r="E964" s="70"/>
      <c r="F964" s="66"/>
      <c r="G964" s="66"/>
      <c r="H964" s="66"/>
      <c r="I964" s="66"/>
      <c r="J964" s="66"/>
      <c r="K964" s="63">
        <v>4100.0</v>
      </c>
      <c r="L964" s="63">
        <v>28.8</v>
      </c>
      <c r="M964" s="66">
        <f t="shared" si="1"/>
        <v>164.87</v>
      </c>
    </row>
    <row r="965">
      <c r="A965" s="67"/>
      <c r="B965" s="67"/>
      <c r="C965" s="67"/>
      <c r="D965" s="67"/>
      <c r="E965" s="67"/>
      <c r="F965" s="68"/>
      <c r="G965" s="68"/>
      <c r="H965" s="68"/>
      <c r="I965" s="68"/>
      <c r="J965" s="68"/>
      <c r="K965" s="69">
        <v>4800.0</v>
      </c>
      <c r="L965" s="69">
        <v>29.4</v>
      </c>
      <c r="M965" s="68">
        <f t="shared" si="1"/>
        <v>197.04</v>
      </c>
    </row>
    <row r="966">
      <c r="A966" s="70"/>
      <c r="B966" s="70"/>
      <c r="C966" s="70"/>
      <c r="D966" s="70"/>
      <c r="E966" s="70"/>
      <c r="F966" s="66"/>
      <c r="G966" s="66"/>
      <c r="H966" s="66"/>
      <c r="I966" s="66"/>
      <c r="J966" s="66"/>
      <c r="K966" s="63">
        <v>5100.0</v>
      </c>
      <c r="L966" s="63">
        <v>29.33</v>
      </c>
      <c r="M966" s="66">
        <f t="shared" si="1"/>
        <v>208.86</v>
      </c>
    </row>
    <row r="967">
      <c r="A967" s="67"/>
      <c r="B967" s="67"/>
      <c r="C967" s="67"/>
      <c r="D967" s="67"/>
      <c r="E967" s="67"/>
      <c r="F967" s="68"/>
      <c r="G967" s="68"/>
      <c r="H967" s="68"/>
      <c r="I967" s="68"/>
      <c r="J967" s="68"/>
      <c r="K967" s="69">
        <v>5600.0</v>
      </c>
      <c r="L967" s="69">
        <v>29.03</v>
      </c>
      <c r="M967" s="68">
        <f t="shared" si="1"/>
        <v>226.99</v>
      </c>
    </row>
    <row r="968">
      <c r="A968" s="70"/>
      <c r="B968" s="70"/>
      <c r="C968" s="70"/>
      <c r="D968" s="70"/>
      <c r="E968" s="70"/>
      <c r="F968" s="66"/>
      <c r="G968" s="66"/>
      <c r="H968" s="66"/>
      <c r="I968" s="66"/>
      <c r="J968" s="66"/>
      <c r="K968" s="63">
        <v>6200.0</v>
      </c>
      <c r="L968" s="63">
        <v>27.7</v>
      </c>
      <c r="M968" s="66">
        <f t="shared" si="1"/>
        <v>239.79</v>
      </c>
    </row>
    <row r="969">
      <c r="A969" s="67"/>
      <c r="B969" s="67"/>
      <c r="C969" s="67"/>
      <c r="D969" s="67"/>
      <c r="E969" s="67"/>
      <c r="F969" s="68"/>
      <c r="G969" s="68"/>
      <c r="H969" s="68"/>
      <c r="I969" s="68"/>
      <c r="J969" s="68"/>
      <c r="K969" s="69">
        <v>6600.0</v>
      </c>
      <c r="L969" s="69">
        <v>25.95</v>
      </c>
      <c r="M969" s="68">
        <f t="shared" si="1"/>
        <v>239.14</v>
      </c>
    </row>
    <row r="970">
      <c r="A970" s="70"/>
      <c r="B970" s="70"/>
      <c r="C970" s="70"/>
      <c r="D970" s="70"/>
      <c r="E970" s="70"/>
      <c r="F970" s="66"/>
      <c r="G970" s="66"/>
      <c r="H970" s="66"/>
      <c r="I970" s="66"/>
      <c r="J970" s="66"/>
      <c r="K970" s="63">
        <v>7000.0</v>
      </c>
      <c r="L970" s="63">
        <v>24.0</v>
      </c>
      <c r="M970" s="66">
        <f t="shared" si="1"/>
        <v>234.57</v>
      </c>
    </row>
    <row r="971">
      <c r="A971" s="67"/>
      <c r="B971" s="67"/>
      <c r="C971" s="67"/>
      <c r="D971" s="67"/>
      <c r="E971" s="67"/>
      <c r="F971" s="68"/>
      <c r="G971" s="68"/>
      <c r="H971" s="68"/>
      <c r="I971" s="68"/>
      <c r="J971" s="68"/>
      <c r="K971" s="69">
        <v>7500.0</v>
      </c>
      <c r="L971" s="69">
        <v>21.08</v>
      </c>
      <c r="M971" s="68">
        <f t="shared" si="1"/>
        <v>220.75</v>
      </c>
    </row>
    <row r="972">
      <c r="A972" s="66">
        <v>66.0</v>
      </c>
      <c r="B972" s="66">
        <v>98.0</v>
      </c>
      <c r="C972" s="74" t="s">
        <v>246</v>
      </c>
      <c r="D972" s="74" t="s">
        <v>247</v>
      </c>
      <c r="E972" s="74" t="s">
        <v>248</v>
      </c>
      <c r="F972" s="65">
        <v>7300.0</v>
      </c>
      <c r="G972" s="65">
        <v>7500.0</v>
      </c>
      <c r="H972" s="65">
        <v>800.0</v>
      </c>
      <c r="I972" s="65">
        <v>5200.0</v>
      </c>
      <c r="J972" s="65">
        <v>6600.0</v>
      </c>
      <c r="K972" s="63">
        <v>500.0</v>
      </c>
      <c r="L972" s="63">
        <v>8.84</v>
      </c>
      <c r="M972" s="66">
        <f t="shared" si="1"/>
        <v>6.17</v>
      </c>
    </row>
    <row r="973">
      <c r="A973" s="67"/>
      <c r="B973" s="67"/>
      <c r="C973" s="67"/>
      <c r="D973" s="67"/>
      <c r="E973" s="67"/>
      <c r="F973" s="68"/>
      <c r="G973" s="68"/>
      <c r="H973" s="68"/>
      <c r="I973" s="68"/>
      <c r="J973" s="68"/>
      <c r="K973" s="69">
        <v>1000.0</v>
      </c>
      <c r="L973" s="69">
        <v>9.89</v>
      </c>
      <c r="M973" s="68">
        <f t="shared" si="1"/>
        <v>13.81</v>
      </c>
    </row>
    <row r="974">
      <c r="A974" s="70"/>
      <c r="B974" s="70"/>
      <c r="C974" s="70"/>
      <c r="D974" s="70"/>
      <c r="E974" s="70"/>
      <c r="F974" s="66"/>
      <c r="G974" s="66"/>
      <c r="H974" s="66"/>
      <c r="I974" s="66"/>
      <c r="J974" s="66"/>
      <c r="K974" s="63">
        <v>1500.0</v>
      </c>
      <c r="L974" s="63">
        <v>10.55</v>
      </c>
      <c r="M974" s="66">
        <f t="shared" si="1"/>
        <v>22.1</v>
      </c>
    </row>
    <row r="975">
      <c r="A975" s="67"/>
      <c r="B975" s="67"/>
      <c r="C975" s="67"/>
      <c r="D975" s="67"/>
      <c r="E975" s="67"/>
      <c r="F975" s="68"/>
      <c r="G975" s="68"/>
      <c r="H975" s="68"/>
      <c r="I975" s="68"/>
      <c r="J975" s="68"/>
      <c r="K975" s="69">
        <v>2000.0</v>
      </c>
      <c r="L975" s="69">
        <v>11.22</v>
      </c>
      <c r="M975" s="68">
        <f t="shared" si="1"/>
        <v>31.33</v>
      </c>
    </row>
    <row r="976">
      <c r="A976" s="70"/>
      <c r="B976" s="70"/>
      <c r="C976" s="70"/>
      <c r="D976" s="70"/>
      <c r="E976" s="70"/>
      <c r="F976" s="66"/>
      <c r="G976" s="66"/>
      <c r="H976" s="66"/>
      <c r="I976" s="66"/>
      <c r="J976" s="66"/>
      <c r="K976" s="63">
        <v>2500.0</v>
      </c>
      <c r="L976" s="63">
        <v>11.78</v>
      </c>
      <c r="M976" s="66">
        <f t="shared" si="1"/>
        <v>41.12</v>
      </c>
    </row>
    <row r="977">
      <c r="A977" s="67"/>
      <c r="B977" s="67"/>
      <c r="C977" s="67"/>
      <c r="D977" s="67"/>
      <c r="E977" s="67"/>
      <c r="F977" s="68"/>
      <c r="G977" s="68"/>
      <c r="H977" s="68"/>
      <c r="I977" s="68"/>
      <c r="J977" s="68"/>
      <c r="K977" s="69">
        <v>3000.0</v>
      </c>
      <c r="L977" s="69">
        <v>12.54</v>
      </c>
      <c r="M977" s="68">
        <f t="shared" si="1"/>
        <v>52.53</v>
      </c>
    </row>
    <row r="978">
      <c r="A978" s="70"/>
      <c r="B978" s="70"/>
      <c r="C978" s="70"/>
      <c r="D978" s="70"/>
      <c r="E978" s="70"/>
      <c r="F978" s="66"/>
      <c r="G978" s="66"/>
      <c r="H978" s="66"/>
      <c r="I978" s="66"/>
      <c r="J978" s="66"/>
      <c r="K978" s="63">
        <v>3500.0</v>
      </c>
      <c r="L978" s="63">
        <v>13.05</v>
      </c>
      <c r="M978" s="66">
        <f t="shared" si="1"/>
        <v>63.77</v>
      </c>
    </row>
    <row r="979">
      <c r="A979" s="67"/>
      <c r="B979" s="67"/>
      <c r="C979" s="67"/>
      <c r="D979" s="67"/>
      <c r="E979" s="67"/>
      <c r="F979" s="68"/>
      <c r="G979" s="68"/>
      <c r="H979" s="68"/>
      <c r="I979" s="68"/>
      <c r="J979" s="68"/>
      <c r="K979" s="69">
        <v>4000.0</v>
      </c>
      <c r="L979" s="69">
        <v>13.97</v>
      </c>
      <c r="M979" s="68">
        <f t="shared" si="1"/>
        <v>78.02</v>
      </c>
    </row>
    <row r="980">
      <c r="A980" s="70"/>
      <c r="B980" s="70"/>
      <c r="C980" s="70"/>
      <c r="D980" s="70"/>
      <c r="E980" s="70"/>
      <c r="F980" s="66"/>
      <c r="G980" s="66"/>
      <c r="H980" s="66"/>
      <c r="I980" s="66"/>
      <c r="J980" s="66"/>
      <c r="K980" s="63">
        <v>4500.0</v>
      </c>
      <c r="L980" s="63">
        <v>14.12</v>
      </c>
      <c r="M980" s="66">
        <f t="shared" si="1"/>
        <v>88.72</v>
      </c>
    </row>
    <row r="981">
      <c r="A981" s="67"/>
      <c r="B981" s="67"/>
      <c r="C981" s="67"/>
      <c r="D981" s="67"/>
      <c r="E981" s="67"/>
      <c r="F981" s="68"/>
      <c r="G981" s="68"/>
      <c r="H981" s="68"/>
      <c r="I981" s="68"/>
      <c r="J981" s="68"/>
      <c r="K981" s="69">
        <v>5200.0</v>
      </c>
      <c r="L981" s="69">
        <v>14.48</v>
      </c>
      <c r="M981" s="68">
        <f t="shared" si="1"/>
        <v>105.13</v>
      </c>
    </row>
    <row r="982">
      <c r="A982" s="70"/>
      <c r="B982" s="70"/>
      <c r="C982" s="70"/>
      <c r="D982" s="70"/>
      <c r="E982" s="70"/>
      <c r="F982" s="66"/>
      <c r="G982" s="66"/>
      <c r="H982" s="66"/>
      <c r="I982" s="66"/>
      <c r="J982" s="66"/>
      <c r="K982" s="63">
        <v>5500.0</v>
      </c>
      <c r="L982" s="63">
        <v>14.38</v>
      </c>
      <c r="M982" s="66">
        <f t="shared" si="1"/>
        <v>110.43</v>
      </c>
    </row>
    <row r="983">
      <c r="A983" s="67"/>
      <c r="B983" s="67"/>
      <c r="C983" s="67"/>
      <c r="D983" s="67"/>
      <c r="E983" s="67"/>
      <c r="F983" s="68"/>
      <c r="G983" s="68"/>
      <c r="H983" s="68"/>
      <c r="I983" s="68"/>
      <c r="J983" s="68"/>
      <c r="K983" s="69">
        <v>6000.0</v>
      </c>
      <c r="L983" s="69">
        <v>13.77</v>
      </c>
      <c r="M983" s="68">
        <f t="shared" si="1"/>
        <v>115.36</v>
      </c>
    </row>
    <row r="984">
      <c r="A984" s="70"/>
      <c r="B984" s="70"/>
      <c r="C984" s="70"/>
      <c r="D984" s="70"/>
      <c r="E984" s="70"/>
      <c r="F984" s="66"/>
      <c r="G984" s="66"/>
      <c r="H984" s="66"/>
      <c r="I984" s="66"/>
      <c r="J984" s="66"/>
      <c r="K984" s="63">
        <v>6600.0</v>
      </c>
      <c r="L984" s="63">
        <v>12.91</v>
      </c>
      <c r="M984" s="66">
        <f t="shared" si="1"/>
        <v>118.97</v>
      </c>
    </row>
    <row r="985">
      <c r="A985" s="67"/>
      <c r="B985" s="67"/>
      <c r="C985" s="67"/>
      <c r="D985" s="67"/>
      <c r="E985" s="67"/>
      <c r="F985" s="68"/>
      <c r="G985" s="68"/>
      <c r="H985" s="68"/>
      <c r="I985" s="68"/>
      <c r="J985" s="68"/>
      <c r="K985" s="69">
        <v>7000.0</v>
      </c>
      <c r="L985" s="69">
        <v>11.73</v>
      </c>
      <c r="M985" s="68">
        <f t="shared" si="1"/>
        <v>114.65</v>
      </c>
    </row>
    <row r="986">
      <c r="A986" s="73"/>
      <c r="B986" s="73"/>
      <c r="C986" s="73"/>
      <c r="D986" s="73"/>
      <c r="E986" s="73"/>
      <c r="F986" s="66"/>
      <c r="G986" s="66"/>
      <c r="H986" s="66"/>
      <c r="I986" s="66"/>
      <c r="J986" s="66"/>
      <c r="K986" s="63">
        <v>7500.0</v>
      </c>
      <c r="L986" s="63">
        <v>10.2</v>
      </c>
      <c r="M986" s="66">
        <f t="shared" si="1"/>
        <v>106.81</v>
      </c>
    </row>
    <row r="987">
      <c r="A987" s="67"/>
      <c r="B987" s="67"/>
      <c r="C987" s="67"/>
      <c r="D987" s="67"/>
      <c r="E987" s="67"/>
      <c r="F987" s="68"/>
      <c r="G987" s="68"/>
      <c r="H987" s="68"/>
      <c r="I987" s="68"/>
      <c r="J987" s="68"/>
      <c r="K987" s="69">
        <v>8000.0</v>
      </c>
      <c r="L987" s="69">
        <v>8.16</v>
      </c>
      <c r="M987" s="68">
        <f t="shared" si="1"/>
        <v>91.15</v>
      </c>
    </row>
    <row r="988">
      <c r="A988" s="66">
        <v>67.0</v>
      </c>
      <c r="B988" s="66">
        <v>100.0</v>
      </c>
      <c r="C988" s="74" t="s">
        <v>249</v>
      </c>
      <c r="D988" s="74" t="s">
        <v>250</v>
      </c>
      <c r="E988" s="74" t="s">
        <v>251</v>
      </c>
      <c r="F988" s="65">
        <v>6500.0</v>
      </c>
      <c r="G988" s="65">
        <v>6600.0</v>
      </c>
      <c r="H988" s="65">
        <v>700.0</v>
      </c>
      <c r="I988" s="65">
        <v>4100.0</v>
      </c>
      <c r="J988" s="65">
        <v>6000.0</v>
      </c>
      <c r="K988" s="63">
        <v>500.0</v>
      </c>
      <c r="L988" s="63">
        <v>13.5</v>
      </c>
      <c r="M988" s="66">
        <f t="shared" si="1"/>
        <v>9.42</v>
      </c>
    </row>
    <row r="989">
      <c r="A989" s="67"/>
      <c r="B989" s="67"/>
      <c r="C989" s="67"/>
      <c r="D989" s="67"/>
      <c r="E989" s="67"/>
      <c r="F989" s="68"/>
      <c r="G989" s="68"/>
      <c r="H989" s="68"/>
      <c r="I989" s="68"/>
      <c r="J989" s="68"/>
      <c r="K989" s="69">
        <v>1000.0</v>
      </c>
      <c r="L989" s="69">
        <v>15.2</v>
      </c>
      <c r="M989" s="68">
        <f t="shared" si="1"/>
        <v>21.22</v>
      </c>
    </row>
    <row r="990">
      <c r="A990" s="70"/>
      <c r="B990" s="70"/>
      <c r="C990" s="70"/>
      <c r="D990" s="70"/>
      <c r="E990" s="70"/>
      <c r="F990" s="66"/>
      <c r="G990" s="66"/>
      <c r="H990" s="66"/>
      <c r="I990" s="66"/>
      <c r="J990" s="66"/>
      <c r="K990" s="63">
        <v>1500.0</v>
      </c>
      <c r="L990" s="63">
        <v>16.7</v>
      </c>
      <c r="M990" s="66">
        <f t="shared" si="1"/>
        <v>34.98</v>
      </c>
    </row>
    <row r="991">
      <c r="A991" s="67"/>
      <c r="B991" s="67"/>
      <c r="C991" s="67"/>
      <c r="D991" s="67"/>
      <c r="E991" s="67"/>
      <c r="F991" s="68"/>
      <c r="G991" s="68"/>
      <c r="H991" s="68"/>
      <c r="I991" s="68"/>
      <c r="J991" s="68"/>
      <c r="K991" s="69">
        <v>2000.0</v>
      </c>
      <c r="L991" s="69">
        <v>17.85</v>
      </c>
      <c r="M991" s="68">
        <f t="shared" si="1"/>
        <v>49.85</v>
      </c>
    </row>
    <row r="992">
      <c r="A992" s="70"/>
      <c r="B992" s="70"/>
      <c r="C992" s="70"/>
      <c r="D992" s="70"/>
      <c r="E992" s="70"/>
      <c r="F992" s="66"/>
      <c r="G992" s="66"/>
      <c r="H992" s="66"/>
      <c r="I992" s="66"/>
      <c r="J992" s="66"/>
      <c r="K992" s="63">
        <v>2500.0</v>
      </c>
      <c r="L992" s="63">
        <v>18.75</v>
      </c>
      <c r="M992" s="66">
        <f t="shared" si="1"/>
        <v>65.45</v>
      </c>
    </row>
    <row r="993">
      <c r="A993" s="67"/>
      <c r="B993" s="67"/>
      <c r="C993" s="67"/>
      <c r="D993" s="67"/>
      <c r="E993" s="67"/>
      <c r="F993" s="68"/>
      <c r="G993" s="68"/>
      <c r="H993" s="68"/>
      <c r="I993" s="68"/>
      <c r="J993" s="68"/>
      <c r="K993" s="69">
        <v>3000.0</v>
      </c>
      <c r="L993" s="69">
        <v>19.3</v>
      </c>
      <c r="M993" s="68">
        <f t="shared" si="1"/>
        <v>80.84</v>
      </c>
    </row>
    <row r="994">
      <c r="A994" s="70"/>
      <c r="B994" s="70"/>
      <c r="C994" s="70"/>
      <c r="D994" s="70"/>
      <c r="E994" s="70"/>
      <c r="F994" s="66"/>
      <c r="G994" s="66"/>
      <c r="H994" s="66"/>
      <c r="I994" s="66"/>
      <c r="J994" s="66"/>
      <c r="K994" s="63">
        <v>3500.0</v>
      </c>
      <c r="L994" s="63">
        <v>19.7</v>
      </c>
      <c r="M994" s="66">
        <f t="shared" si="1"/>
        <v>96.27</v>
      </c>
    </row>
    <row r="995">
      <c r="A995" s="67"/>
      <c r="B995" s="67"/>
      <c r="C995" s="67"/>
      <c r="D995" s="67"/>
      <c r="E995" s="67"/>
      <c r="F995" s="68"/>
      <c r="G995" s="68"/>
      <c r="H995" s="68"/>
      <c r="I995" s="68"/>
      <c r="J995" s="68"/>
      <c r="K995" s="69">
        <v>4100.0</v>
      </c>
      <c r="L995" s="69">
        <v>19.8</v>
      </c>
      <c r="M995" s="68">
        <f t="shared" si="1"/>
        <v>113.35</v>
      </c>
    </row>
    <row r="996">
      <c r="A996" s="70"/>
      <c r="B996" s="70"/>
      <c r="C996" s="70"/>
      <c r="D996" s="70"/>
      <c r="E996" s="70"/>
      <c r="F996" s="66"/>
      <c r="G996" s="66"/>
      <c r="H996" s="66"/>
      <c r="I996" s="66"/>
      <c r="J996" s="66"/>
      <c r="K996" s="63">
        <v>4500.0</v>
      </c>
      <c r="L996" s="63">
        <v>19.55</v>
      </c>
      <c r="M996" s="66">
        <f t="shared" si="1"/>
        <v>122.84</v>
      </c>
    </row>
    <row r="997">
      <c r="A997" s="67"/>
      <c r="B997" s="67"/>
      <c r="C997" s="67"/>
      <c r="D997" s="67"/>
      <c r="E997" s="67"/>
      <c r="F997" s="68"/>
      <c r="G997" s="68"/>
      <c r="H997" s="68"/>
      <c r="I997" s="68"/>
      <c r="J997" s="68"/>
      <c r="K997" s="69">
        <v>5000.0</v>
      </c>
      <c r="L997" s="69">
        <v>19.0</v>
      </c>
      <c r="M997" s="68">
        <f t="shared" si="1"/>
        <v>132.64</v>
      </c>
    </row>
    <row r="998">
      <c r="A998" s="70"/>
      <c r="B998" s="70"/>
      <c r="C998" s="70"/>
      <c r="D998" s="70"/>
      <c r="E998" s="70"/>
      <c r="F998" s="66"/>
      <c r="G998" s="66"/>
      <c r="H998" s="66"/>
      <c r="I998" s="66"/>
      <c r="J998" s="66"/>
      <c r="K998" s="63">
        <v>5500.0</v>
      </c>
      <c r="L998" s="63">
        <v>17.9</v>
      </c>
      <c r="M998" s="66">
        <f t="shared" si="1"/>
        <v>137.46</v>
      </c>
    </row>
    <row r="999">
      <c r="A999" s="67"/>
      <c r="B999" s="67"/>
      <c r="C999" s="67"/>
      <c r="D999" s="67"/>
      <c r="E999" s="67"/>
      <c r="F999" s="68"/>
      <c r="G999" s="68"/>
      <c r="H999" s="68"/>
      <c r="I999" s="68"/>
      <c r="J999" s="68"/>
      <c r="K999" s="69">
        <v>6000.0</v>
      </c>
      <c r="L999" s="69">
        <v>16.3</v>
      </c>
      <c r="M999" s="68">
        <f t="shared" si="1"/>
        <v>136.55</v>
      </c>
    </row>
    <row r="1000">
      <c r="A1000" s="70"/>
      <c r="B1000" s="70"/>
      <c r="C1000" s="70"/>
      <c r="D1000" s="70"/>
      <c r="E1000" s="70"/>
      <c r="F1000" s="66"/>
      <c r="G1000" s="66"/>
      <c r="H1000" s="66"/>
      <c r="I1000" s="66"/>
      <c r="J1000" s="66"/>
      <c r="K1000" s="63">
        <v>6500.0</v>
      </c>
      <c r="L1000" s="63">
        <v>14.45</v>
      </c>
      <c r="M1000" s="66">
        <f t="shared" si="1"/>
        <v>131.14</v>
      </c>
    </row>
    <row r="1001">
      <c r="A1001" s="67"/>
      <c r="B1001" s="67"/>
      <c r="C1001" s="67"/>
      <c r="D1001" s="67"/>
      <c r="E1001" s="67"/>
      <c r="F1001" s="68"/>
      <c r="G1001" s="68"/>
      <c r="H1001" s="68"/>
      <c r="I1001" s="68"/>
      <c r="J1001" s="68"/>
      <c r="K1001" s="69">
        <v>7000.0</v>
      </c>
      <c r="L1001" s="69">
        <v>12.1</v>
      </c>
      <c r="M1001" s="68">
        <f t="shared" si="1"/>
        <v>118.26</v>
      </c>
    </row>
    <row r="1002">
      <c r="A1002" s="66">
        <v>68.0</v>
      </c>
      <c r="B1002" s="66">
        <v>103.0</v>
      </c>
      <c r="C1002" s="74" t="s">
        <v>252</v>
      </c>
      <c r="D1002" s="74" t="s">
        <v>253</v>
      </c>
      <c r="E1002" s="74" t="s">
        <v>254</v>
      </c>
      <c r="F1002" s="65">
        <v>6000.0</v>
      </c>
      <c r="G1002" s="65">
        <v>6000.0</v>
      </c>
      <c r="H1002" s="65">
        <v>700.0</v>
      </c>
      <c r="I1002" s="65">
        <v>2000.0</v>
      </c>
      <c r="J1002" s="65">
        <v>5250.0</v>
      </c>
      <c r="K1002" s="63">
        <v>500.0</v>
      </c>
      <c r="L1002" s="63">
        <v>8.23</v>
      </c>
      <c r="M1002" s="66">
        <f t="shared" si="1"/>
        <v>5.75</v>
      </c>
    </row>
    <row r="1003">
      <c r="A1003" s="67"/>
      <c r="B1003" s="67"/>
      <c r="C1003" s="67"/>
      <c r="D1003" s="67"/>
      <c r="E1003" s="67"/>
      <c r="F1003" s="68"/>
      <c r="G1003" s="68"/>
      <c r="H1003" s="68"/>
      <c r="I1003" s="68"/>
      <c r="J1003" s="68"/>
      <c r="K1003" s="69">
        <v>1000.0</v>
      </c>
      <c r="L1003" s="69">
        <v>9.32</v>
      </c>
      <c r="M1003" s="68">
        <f t="shared" si="1"/>
        <v>13.01</v>
      </c>
    </row>
    <row r="1004">
      <c r="A1004" s="70"/>
      <c r="B1004" s="70"/>
      <c r="C1004" s="70"/>
      <c r="D1004" s="70"/>
      <c r="E1004" s="70"/>
      <c r="F1004" s="66"/>
      <c r="G1004" s="66"/>
      <c r="H1004" s="66"/>
      <c r="I1004" s="66"/>
      <c r="J1004" s="66"/>
      <c r="K1004" s="63">
        <v>1500.0</v>
      </c>
      <c r="L1004" s="63">
        <v>9.55</v>
      </c>
      <c r="M1004" s="66">
        <f t="shared" si="1"/>
        <v>20</v>
      </c>
    </row>
    <row r="1005">
      <c r="A1005" s="67"/>
      <c r="B1005" s="67"/>
      <c r="C1005" s="67"/>
      <c r="D1005" s="67"/>
      <c r="E1005" s="67"/>
      <c r="F1005" s="68"/>
      <c r="G1005" s="68"/>
      <c r="H1005" s="68"/>
      <c r="I1005" s="68"/>
      <c r="J1005" s="68"/>
      <c r="K1005" s="69">
        <v>2000.0</v>
      </c>
      <c r="L1005" s="69">
        <v>9.7</v>
      </c>
      <c r="M1005" s="68">
        <f t="shared" si="1"/>
        <v>27.09</v>
      </c>
    </row>
    <row r="1006">
      <c r="A1006" s="70"/>
      <c r="B1006" s="70"/>
      <c r="C1006" s="70"/>
      <c r="D1006" s="70"/>
      <c r="E1006" s="70"/>
      <c r="F1006" s="66"/>
      <c r="G1006" s="66"/>
      <c r="H1006" s="66"/>
      <c r="I1006" s="66"/>
      <c r="J1006" s="66"/>
      <c r="K1006" s="63">
        <v>2500.0</v>
      </c>
      <c r="L1006" s="63">
        <v>9.68</v>
      </c>
      <c r="M1006" s="66">
        <f t="shared" si="1"/>
        <v>33.79</v>
      </c>
    </row>
    <row r="1007">
      <c r="A1007" s="67"/>
      <c r="B1007" s="67"/>
      <c r="C1007" s="67"/>
      <c r="D1007" s="67"/>
      <c r="E1007" s="67"/>
      <c r="F1007" s="68"/>
      <c r="G1007" s="68"/>
      <c r="H1007" s="68"/>
      <c r="I1007" s="68"/>
      <c r="J1007" s="68"/>
      <c r="K1007" s="69">
        <v>3000.0</v>
      </c>
      <c r="L1007" s="69">
        <v>9.63</v>
      </c>
      <c r="M1007" s="68">
        <f t="shared" si="1"/>
        <v>40.34</v>
      </c>
    </row>
    <row r="1008">
      <c r="A1008" s="70"/>
      <c r="B1008" s="70"/>
      <c r="C1008" s="70"/>
      <c r="D1008" s="70"/>
      <c r="E1008" s="70"/>
      <c r="F1008" s="66"/>
      <c r="G1008" s="66"/>
      <c r="H1008" s="66"/>
      <c r="I1008" s="66"/>
      <c r="J1008" s="66"/>
      <c r="K1008" s="63">
        <v>3500.0</v>
      </c>
      <c r="L1008" s="63">
        <v>9.57</v>
      </c>
      <c r="M1008" s="66">
        <f t="shared" si="1"/>
        <v>46.77</v>
      </c>
    </row>
    <row r="1009">
      <c r="A1009" s="67"/>
      <c r="B1009" s="67"/>
      <c r="C1009" s="67"/>
      <c r="D1009" s="67"/>
      <c r="E1009" s="67"/>
      <c r="F1009" s="68"/>
      <c r="G1009" s="68"/>
      <c r="H1009" s="68"/>
      <c r="I1009" s="68"/>
      <c r="J1009" s="68"/>
      <c r="K1009" s="69">
        <v>4000.0</v>
      </c>
      <c r="L1009" s="69">
        <v>9.45</v>
      </c>
      <c r="M1009" s="68">
        <f t="shared" si="1"/>
        <v>52.78</v>
      </c>
    </row>
    <row r="1010">
      <c r="A1010" s="73"/>
      <c r="B1010" s="73"/>
      <c r="C1010" s="73"/>
      <c r="D1010" s="73"/>
      <c r="E1010" s="73"/>
      <c r="F1010" s="66"/>
      <c r="G1010" s="66"/>
      <c r="H1010" s="66"/>
      <c r="I1010" s="66"/>
      <c r="J1010" s="66"/>
      <c r="K1010" s="63">
        <v>4500.0</v>
      </c>
      <c r="L1010" s="63">
        <v>9.28</v>
      </c>
      <c r="M1010" s="66">
        <f t="shared" si="1"/>
        <v>58.31</v>
      </c>
    </row>
    <row r="1011">
      <c r="A1011" s="67"/>
      <c r="B1011" s="67"/>
      <c r="C1011" s="67"/>
      <c r="D1011" s="67"/>
      <c r="E1011" s="67"/>
      <c r="F1011" s="68"/>
      <c r="G1011" s="68"/>
      <c r="H1011" s="68"/>
      <c r="I1011" s="68"/>
      <c r="J1011" s="68"/>
      <c r="K1011" s="69">
        <v>5000.0</v>
      </c>
      <c r="L1011" s="69">
        <v>8.63</v>
      </c>
      <c r="M1011" s="68">
        <f t="shared" si="1"/>
        <v>60.25</v>
      </c>
    </row>
    <row r="1012">
      <c r="A1012" s="70"/>
      <c r="B1012" s="70"/>
      <c r="C1012" s="70"/>
      <c r="D1012" s="70"/>
      <c r="E1012" s="70"/>
      <c r="F1012" s="66"/>
      <c r="G1012" s="66"/>
      <c r="H1012" s="66"/>
      <c r="I1012" s="66"/>
      <c r="J1012" s="66"/>
      <c r="K1012" s="63">
        <v>5250.0</v>
      </c>
      <c r="L1012" s="63">
        <v>8.3</v>
      </c>
      <c r="M1012" s="66">
        <f t="shared" si="1"/>
        <v>60.84</v>
      </c>
    </row>
    <row r="1013">
      <c r="A1013" s="67"/>
      <c r="B1013" s="67"/>
      <c r="C1013" s="67"/>
      <c r="D1013" s="67"/>
      <c r="E1013" s="67"/>
      <c r="F1013" s="68"/>
      <c r="G1013" s="68"/>
      <c r="H1013" s="68"/>
      <c r="I1013" s="68"/>
      <c r="J1013" s="68"/>
      <c r="K1013" s="69">
        <v>5700.0</v>
      </c>
      <c r="L1013" s="69">
        <v>7.57</v>
      </c>
      <c r="M1013" s="68">
        <f t="shared" si="1"/>
        <v>60.25</v>
      </c>
    </row>
    <row r="1014">
      <c r="A1014" s="70"/>
      <c r="B1014" s="70"/>
      <c r="C1014" s="70"/>
      <c r="D1014" s="70"/>
      <c r="E1014" s="70"/>
      <c r="F1014" s="66"/>
      <c r="G1014" s="66"/>
      <c r="H1014" s="66"/>
      <c r="I1014" s="66"/>
      <c r="J1014" s="66"/>
      <c r="K1014" s="63">
        <v>6000.0</v>
      </c>
      <c r="L1014" s="63">
        <v>7.0</v>
      </c>
      <c r="M1014" s="66">
        <f t="shared" si="1"/>
        <v>58.64</v>
      </c>
    </row>
    <row r="1015">
      <c r="A1015" s="67"/>
      <c r="B1015" s="67"/>
      <c r="C1015" s="67"/>
      <c r="D1015" s="67"/>
      <c r="E1015" s="67"/>
      <c r="F1015" s="68"/>
      <c r="G1015" s="68"/>
      <c r="H1015" s="68"/>
      <c r="I1015" s="68"/>
      <c r="J1015" s="68"/>
      <c r="K1015" s="69">
        <v>6500.0</v>
      </c>
      <c r="L1015" s="69">
        <v>6.13</v>
      </c>
      <c r="M1015" s="68">
        <f t="shared" si="1"/>
        <v>55.63</v>
      </c>
    </row>
    <row r="1016">
      <c r="A1016" s="66">
        <v>69.0</v>
      </c>
      <c r="B1016" s="66">
        <v>105.0</v>
      </c>
      <c r="C1016" s="74" t="s">
        <v>255</v>
      </c>
      <c r="D1016" s="74" t="s">
        <v>256</v>
      </c>
      <c r="E1016" s="74" t="s">
        <v>257</v>
      </c>
      <c r="F1016" s="65">
        <v>7700.0</v>
      </c>
      <c r="G1016" s="65">
        <v>8000.0</v>
      </c>
      <c r="H1016" s="65">
        <v>700.0</v>
      </c>
      <c r="I1016" s="65">
        <v>5200.0</v>
      </c>
      <c r="J1016" s="65">
        <v>7200.0</v>
      </c>
      <c r="K1016" s="63">
        <v>500.0</v>
      </c>
      <c r="L1016" s="63">
        <v>14.98</v>
      </c>
      <c r="M1016" s="66">
        <f t="shared" si="1"/>
        <v>10.46</v>
      </c>
    </row>
    <row r="1017">
      <c r="A1017" s="67"/>
      <c r="B1017" s="67"/>
      <c r="C1017" s="67"/>
      <c r="D1017" s="67"/>
      <c r="E1017" s="67"/>
      <c r="F1017" s="68"/>
      <c r="G1017" s="68"/>
      <c r="H1017" s="68"/>
      <c r="I1017" s="68"/>
      <c r="J1017" s="68"/>
      <c r="K1017" s="69">
        <v>1000.0</v>
      </c>
      <c r="L1017" s="69">
        <v>16.32</v>
      </c>
      <c r="M1017" s="68">
        <f t="shared" si="1"/>
        <v>22.79</v>
      </c>
    </row>
    <row r="1018">
      <c r="A1018" s="70"/>
      <c r="B1018" s="70"/>
      <c r="C1018" s="70"/>
      <c r="D1018" s="70"/>
      <c r="E1018" s="70"/>
      <c r="F1018" s="66"/>
      <c r="G1018" s="66"/>
      <c r="H1018" s="66"/>
      <c r="I1018" s="66"/>
      <c r="J1018" s="66"/>
      <c r="K1018" s="63">
        <v>1500.0</v>
      </c>
      <c r="L1018" s="63">
        <v>17.23</v>
      </c>
      <c r="M1018" s="66">
        <f t="shared" si="1"/>
        <v>36.09</v>
      </c>
    </row>
    <row r="1019">
      <c r="A1019" s="67"/>
      <c r="B1019" s="67"/>
      <c r="C1019" s="67"/>
      <c r="D1019" s="67"/>
      <c r="E1019" s="67"/>
      <c r="F1019" s="68"/>
      <c r="G1019" s="68"/>
      <c r="H1019" s="68"/>
      <c r="I1019" s="68"/>
      <c r="J1019" s="68"/>
      <c r="K1019" s="69">
        <v>2000.0</v>
      </c>
      <c r="L1019" s="69">
        <v>17.74</v>
      </c>
      <c r="M1019" s="68">
        <f t="shared" si="1"/>
        <v>49.54</v>
      </c>
    </row>
    <row r="1020">
      <c r="A1020" s="70"/>
      <c r="B1020" s="70"/>
      <c r="C1020" s="70"/>
      <c r="D1020" s="70"/>
      <c r="E1020" s="70"/>
      <c r="F1020" s="66"/>
      <c r="G1020" s="66"/>
      <c r="H1020" s="66"/>
      <c r="I1020" s="66"/>
      <c r="J1020" s="66"/>
      <c r="K1020" s="63">
        <v>2500.0</v>
      </c>
      <c r="L1020" s="63">
        <v>18.51</v>
      </c>
      <c r="M1020" s="66">
        <f t="shared" si="1"/>
        <v>64.61</v>
      </c>
    </row>
    <row r="1021">
      <c r="A1021" s="67"/>
      <c r="B1021" s="67"/>
      <c r="C1021" s="67"/>
      <c r="D1021" s="67"/>
      <c r="E1021" s="67"/>
      <c r="F1021" s="68"/>
      <c r="G1021" s="68"/>
      <c r="H1021" s="68"/>
      <c r="I1021" s="68"/>
      <c r="J1021" s="68"/>
      <c r="K1021" s="69">
        <v>3000.0</v>
      </c>
      <c r="L1021" s="69">
        <v>19.27</v>
      </c>
      <c r="M1021" s="68">
        <f t="shared" si="1"/>
        <v>80.72</v>
      </c>
    </row>
    <row r="1022">
      <c r="A1022" s="70"/>
      <c r="B1022" s="70"/>
      <c r="C1022" s="70"/>
      <c r="D1022" s="70"/>
      <c r="E1022" s="70"/>
      <c r="F1022" s="66"/>
      <c r="G1022" s="66"/>
      <c r="H1022" s="66"/>
      <c r="I1022" s="66"/>
      <c r="J1022" s="66"/>
      <c r="K1022" s="63">
        <v>3500.0</v>
      </c>
      <c r="L1022" s="63">
        <v>19.02</v>
      </c>
      <c r="M1022" s="66">
        <f t="shared" si="1"/>
        <v>92.95</v>
      </c>
    </row>
    <row r="1023">
      <c r="A1023" s="67"/>
      <c r="B1023" s="67"/>
      <c r="C1023" s="67"/>
      <c r="D1023" s="67"/>
      <c r="E1023" s="67"/>
      <c r="F1023" s="68"/>
      <c r="G1023" s="68"/>
      <c r="H1023" s="68"/>
      <c r="I1023" s="68"/>
      <c r="J1023" s="68"/>
      <c r="K1023" s="69">
        <v>4000.0</v>
      </c>
      <c r="L1023" s="69">
        <v>18.76</v>
      </c>
      <c r="M1023" s="68">
        <f t="shared" si="1"/>
        <v>104.78</v>
      </c>
    </row>
    <row r="1024">
      <c r="A1024" s="70"/>
      <c r="B1024" s="70"/>
      <c r="C1024" s="70"/>
      <c r="D1024" s="70"/>
      <c r="E1024" s="70"/>
      <c r="F1024" s="66"/>
      <c r="G1024" s="66"/>
      <c r="H1024" s="66"/>
      <c r="I1024" s="66"/>
      <c r="J1024" s="66"/>
      <c r="K1024" s="63">
        <v>4500.0</v>
      </c>
      <c r="L1024" s="63">
        <v>20.19</v>
      </c>
      <c r="M1024" s="66">
        <f t="shared" si="1"/>
        <v>126.86</v>
      </c>
    </row>
    <row r="1025">
      <c r="A1025" s="67"/>
      <c r="B1025" s="67"/>
      <c r="C1025" s="67"/>
      <c r="D1025" s="67"/>
      <c r="E1025" s="67"/>
      <c r="F1025" s="68"/>
      <c r="G1025" s="68"/>
      <c r="H1025" s="68"/>
      <c r="I1025" s="68"/>
      <c r="J1025" s="68"/>
      <c r="K1025" s="69">
        <v>5000.0</v>
      </c>
      <c r="L1025" s="69">
        <v>21.01</v>
      </c>
      <c r="M1025" s="68">
        <f t="shared" si="1"/>
        <v>146.68</v>
      </c>
    </row>
    <row r="1026">
      <c r="A1026" s="70"/>
      <c r="B1026" s="70"/>
      <c r="C1026" s="70"/>
      <c r="D1026" s="70"/>
      <c r="E1026" s="70"/>
      <c r="F1026" s="66"/>
      <c r="G1026" s="66"/>
      <c r="H1026" s="66"/>
      <c r="I1026" s="66"/>
      <c r="J1026" s="66"/>
      <c r="K1026" s="63">
        <v>5500.0</v>
      </c>
      <c r="L1026" s="63">
        <v>20.96</v>
      </c>
      <c r="M1026" s="66">
        <f t="shared" si="1"/>
        <v>160.96</v>
      </c>
    </row>
    <row r="1027">
      <c r="A1027" s="67"/>
      <c r="B1027" s="67"/>
      <c r="C1027" s="67"/>
      <c r="D1027" s="67"/>
      <c r="E1027" s="67"/>
      <c r="F1027" s="68"/>
      <c r="G1027" s="68"/>
      <c r="H1027" s="68"/>
      <c r="I1027" s="68"/>
      <c r="J1027" s="68"/>
      <c r="K1027" s="69">
        <v>6000.0</v>
      </c>
      <c r="L1027" s="69">
        <v>20.9</v>
      </c>
      <c r="M1027" s="68">
        <f t="shared" si="1"/>
        <v>175.09</v>
      </c>
    </row>
    <row r="1028">
      <c r="A1028" s="70"/>
      <c r="B1028" s="70"/>
      <c r="C1028" s="70"/>
      <c r="D1028" s="70"/>
      <c r="E1028" s="70"/>
      <c r="F1028" s="66"/>
      <c r="G1028" s="66"/>
      <c r="H1028" s="66"/>
      <c r="I1028" s="66"/>
      <c r="J1028" s="66"/>
      <c r="K1028" s="63">
        <v>6500.0</v>
      </c>
      <c r="L1028" s="63">
        <v>20.85</v>
      </c>
      <c r="M1028" s="66">
        <f t="shared" si="1"/>
        <v>189.23</v>
      </c>
    </row>
    <row r="1029">
      <c r="A1029" s="67"/>
      <c r="B1029" s="67"/>
      <c r="C1029" s="67"/>
      <c r="D1029" s="67"/>
      <c r="E1029" s="67"/>
      <c r="F1029" s="68"/>
      <c r="G1029" s="68"/>
      <c r="H1029" s="68"/>
      <c r="I1029" s="68"/>
      <c r="J1029" s="68"/>
      <c r="K1029" s="69">
        <v>7000.0</v>
      </c>
      <c r="L1029" s="69">
        <v>20.8</v>
      </c>
      <c r="M1029" s="68">
        <f t="shared" si="1"/>
        <v>203.3</v>
      </c>
    </row>
    <row r="1030">
      <c r="A1030" s="70"/>
      <c r="B1030" s="70"/>
      <c r="C1030" s="70"/>
      <c r="D1030" s="70"/>
      <c r="E1030" s="70"/>
      <c r="F1030" s="66"/>
      <c r="G1030" s="66"/>
      <c r="H1030" s="66"/>
      <c r="I1030" s="66"/>
      <c r="J1030" s="66"/>
      <c r="K1030" s="63">
        <v>7500.0</v>
      </c>
      <c r="L1030" s="63">
        <v>19.31</v>
      </c>
      <c r="M1030" s="66">
        <f t="shared" si="1"/>
        <v>202.21</v>
      </c>
    </row>
    <row r="1031">
      <c r="A1031" s="67"/>
      <c r="B1031" s="67"/>
      <c r="C1031" s="67"/>
      <c r="D1031" s="67"/>
      <c r="E1031" s="67"/>
      <c r="F1031" s="68"/>
      <c r="G1031" s="68"/>
      <c r="H1031" s="68"/>
      <c r="I1031" s="68"/>
      <c r="J1031" s="68"/>
      <c r="K1031" s="69">
        <v>8000.0</v>
      </c>
      <c r="L1031" s="69">
        <v>17.33</v>
      </c>
      <c r="M1031" s="68">
        <f t="shared" si="1"/>
        <v>193.58</v>
      </c>
    </row>
    <row r="1032">
      <c r="A1032" s="66">
        <v>70.0</v>
      </c>
      <c r="B1032" s="66">
        <v>106.0</v>
      </c>
      <c r="C1032" s="74" t="s">
        <v>258</v>
      </c>
      <c r="D1032" s="74" t="s">
        <v>259</v>
      </c>
      <c r="E1032" s="74" t="s">
        <v>260</v>
      </c>
      <c r="F1032" s="65">
        <v>7400.0</v>
      </c>
      <c r="G1032" s="65">
        <v>7600.0</v>
      </c>
      <c r="H1032" s="65">
        <v>700.0</v>
      </c>
      <c r="I1032" s="65">
        <v>6700.0</v>
      </c>
      <c r="J1032" s="65">
        <v>7200.0</v>
      </c>
      <c r="K1032" s="63">
        <v>500.0</v>
      </c>
      <c r="L1032" s="63">
        <v>15.28</v>
      </c>
      <c r="M1032" s="66">
        <f t="shared" si="1"/>
        <v>10.67</v>
      </c>
    </row>
    <row r="1033">
      <c r="A1033" s="67"/>
      <c r="B1033" s="67"/>
      <c r="C1033" s="67"/>
      <c r="D1033" s="67"/>
      <c r="E1033" s="67"/>
      <c r="F1033" s="68"/>
      <c r="G1033" s="68"/>
      <c r="H1033" s="68"/>
      <c r="I1033" s="68"/>
      <c r="J1033" s="68"/>
      <c r="K1033" s="69">
        <v>1000.0</v>
      </c>
      <c r="L1033" s="69">
        <v>16.32</v>
      </c>
      <c r="M1033" s="68">
        <f t="shared" si="1"/>
        <v>22.79</v>
      </c>
    </row>
    <row r="1034">
      <c r="A1034" s="73"/>
      <c r="B1034" s="73"/>
      <c r="C1034" s="73"/>
      <c r="D1034" s="73"/>
      <c r="E1034" s="73"/>
      <c r="F1034" s="66"/>
      <c r="G1034" s="66"/>
      <c r="H1034" s="66"/>
      <c r="I1034" s="66"/>
      <c r="J1034" s="66"/>
      <c r="K1034" s="63">
        <v>1500.0</v>
      </c>
      <c r="L1034" s="63">
        <v>17.34</v>
      </c>
      <c r="M1034" s="66">
        <f t="shared" si="1"/>
        <v>36.32</v>
      </c>
    </row>
    <row r="1035">
      <c r="A1035" s="67"/>
      <c r="B1035" s="67"/>
      <c r="C1035" s="67"/>
      <c r="D1035" s="67"/>
      <c r="E1035" s="67"/>
      <c r="F1035" s="68"/>
      <c r="G1035" s="68"/>
      <c r="H1035" s="68"/>
      <c r="I1035" s="68"/>
      <c r="J1035" s="68"/>
      <c r="K1035" s="69">
        <v>2000.0</v>
      </c>
      <c r="L1035" s="69">
        <v>18.35</v>
      </c>
      <c r="M1035" s="68">
        <f t="shared" si="1"/>
        <v>51.24</v>
      </c>
    </row>
    <row r="1036">
      <c r="A1036" s="70"/>
      <c r="B1036" s="70"/>
      <c r="C1036" s="70"/>
      <c r="D1036" s="70"/>
      <c r="E1036" s="70"/>
      <c r="F1036" s="66"/>
      <c r="G1036" s="66"/>
      <c r="H1036" s="66"/>
      <c r="I1036" s="66"/>
      <c r="J1036" s="66"/>
      <c r="K1036" s="63">
        <v>2500.0</v>
      </c>
      <c r="L1036" s="63">
        <v>19.27</v>
      </c>
      <c r="M1036" s="66">
        <f t="shared" si="1"/>
        <v>67.26</v>
      </c>
    </row>
    <row r="1037">
      <c r="A1037" s="67"/>
      <c r="B1037" s="67"/>
      <c r="C1037" s="67"/>
      <c r="D1037" s="67"/>
      <c r="E1037" s="67"/>
      <c r="F1037" s="68"/>
      <c r="G1037" s="68"/>
      <c r="H1037" s="68"/>
      <c r="I1037" s="68"/>
      <c r="J1037" s="68"/>
      <c r="K1037" s="69">
        <v>3000.0</v>
      </c>
      <c r="L1037" s="69">
        <v>20.19</v>
      </c>
      <c r="M1037" s="68">
        <f t="shared" si="1"/>
        <v>84.57</v>
      </c>
    </row>
    <row r="1038">
      <c r="A1038" s="70"/>
      <c r="B1038" s="70"/>
      <c r="C1038" s="70"/>
      <c r="D1038" s="70"/>
      <c r="E1038" s="70"/>
      <c r="F1038" s="66"/>
      <c r="G1038" s="66"/>
      <c r="H1038" s="66"/>
      <c r="I1038" s="66"/>
      <c r="J1038" s="66"/>
      <c r="K1038" s="63">
        <v>3500.0</v>
      </c>
      <c r="L1038" s="63">
        <v>20.04</v>
      </c>
      <c r="M1038" s="66">
        <f t="shared" si="1"/>
        <v>97.93</v>
      </c>
    </row>
    <row r="1039">
      <c r="A1039" s="67"/>
      <c r="B1039" s="67"/>
      <c r="C1039" s="67"/>
      <c r="D1039" s="67"/>
      <c r="E1039" s="67"/>
      <c r="F1039" s="68"/>
      <c r="G1039" s="68"/>
      <c r="H1039" s="68"/>
      <c r="I1039" s="68"/>
      <c r="J1039" s="68"/>
      <c r="K1039" s="69">
        <v>4000.0</v>
      </c>
      <c r="L1039" s="69">
        <v>19.88</v>
      </c>
      <c r="M1039" s="68">
        <f t="shared" si="1"/>
        <v>111.03</v>
      </c>
    </row>
    <row r="1040">
      <c r="A1040" s="70"/>
      <c r="B1040" s="70"/>
      <c r="C1040" s="70"/>
      <c r="D1040" s="70"/>
      <c r="E1040" s="70"/>
      <c r="F1040" s="66"/>
      <c r="G1040" s="66"/>
      <c r="H1040" s="66"/>
      <c r="I1040" s="66"/>
      <c r="J1040" s="66"/>
      <c r="K1040" s="63">
        <v>4500.0</v>
      </c>
      <c r="L1040" s="63">
        <v>20.14</v>
      </c>
      <c r="M1040" s="66">
        <f t="shared" si="1"/>
        <v>126.54</v>
      </c>
    </row>
    <row r="1041">
      <c r="A1041" s="67"/>
      <c r="B1041" s="67"/>
      <c r="C1041" s="67"/>
      <c r="D1041" s="67"/>
      <c r="E1041" s="67"/>
      <c r="F1041" s="68"/>
      <c r="G1041" s="68"/>
      <c r="H1041" s="68"/>
      <c r="I1041" s="68"/>
      <c r="J1041" s="68"/>
      <c r="K1041" s="69">
        <v>5000.0</v>
      </c>
      <c r="L1041" s="69">
        <v>20.39</v>
      </c>
      <c r="M1041" s="68">
        <f t="shared" si="1"/>
        <v>142.35</v>
      </c>
    </row>
    <row r="1042">
      <c r="A1042" s="70"/>
      <c r="B1042" s="70"/>
      <c r="C1042" s="70"/>
      <c r="D1042" s="70"/>
      <c r="E1042" s="70"/>
      <c r="F1042" s="66"/>
      <c r="G1042" s="66"/>
      <c r="H1042" s="66"/>
      <c r="I1042" s="66"/>
      <c r="J1042" s="66"/>
      <c r="K1042" s="63">
        <v>5500.0</v>
      </c>
      <c r="L1042" s="63">
        <v>22.33</v>
      </c>
      <c r="M1042" s="66">
        <f t="shared" si="1"/>
        <v>171.48</v>
      </c>
    </row>
    <row r="1043">
      <c r="A1043" s="67"/>
      <c r="B1043" s="67"/>
      <c r="C1043" s="67"/>
      <c r="D1043" s="67"/>
      <c r="E1043" s="67"/>
      <c r="F1043" s="68"/>
      <c r="G1043" s="68"/>
      <c r="H1043" s="68"/>
      <c r="I1043" s="68"/>
      <c r="J1043" s="68"/>
      <c r="K1043" s="69">
        <v>6000.0</v>
      </c>
      <c r="L1043" s="69">
        <v>22.43</v>
      </c>
      <c r="M1043" s="68">
        <f t="shared" si="1"/>
        <v>187.91</v>
      </c>
    </row>
    <row r="1044">
      <c r="A1044" s="70"/>
      <c r="B1044" s="70"/>
      <c r="C1044" s="70"/>
      <c r="D1044" s="70"/>
      <c r="E1044" s="70"/>
      <c r="F1044" s="66"/>
      <c r="G1044" s="66"/>
      <c r="H1044" s="66"/>
      <c r="I1044" s="66"/>
      <c r="J1044" s="66"/>
      <c r="K1044" s="63">
        <v>6500.0</v>
      </c>
      <c r="L1044" s="63">
        <v>22.48</v>
      </c>
      <c r="M1044" s="66">
        <f t="shared" si="1"/>
        <v>204.02</v>
      </c>
    </row>
    <row r="1045">
      <c r="A1045" s="67"/>
      <c r="B1045" s="67"/>
      <c r="C1045" s="67"/>
      <c r="D1045" s="67"/>
      <c r="E1045" s="67"/>
      <c r="F1045" s="68"/>
      <c r="G1045" s="68"/>
      <c r="H1045" s="68"/>
      <c r="I1045" s="68"/>
      <c r="J1045" s="68"/>
      <c r="K1045" s="69">
        <v>7000.0</v>
      </c>
      <c r="L1045" s="69">
        <v>22.54</v>
      </c>
      <c r="M1045" s="68">
        <f t="shared" si="1"/>
        <v>220.3</v>
      </c>
    </row>
    <row r="1046">
      <c r="A1046" s="70"/>
      <c r="B1046" s="70"/>
      <c r="C1046" s="70"/>
      <c r="D1046" s="70"/>
      <c r="E1046" s="70"/>
      <c r="F1046" s="66"/>
      <c r="G1046" s="66"/>
      <c r="H1046" s="66"/>
      <c r="I1046" s="66"/>
      <c r="J1046" s="66"/>
      <c r="K1046" s="63">
        <v>7500.0</v>
      </c>
      <c r="L1046" s="63">
        <v>20.9</v>
      </c>
      <c r="M1046" s="66">
        <f t="shared" si="1"/>
        <v>218.86</v>
      </c>
    </row>
    <row r="1047">
      <c r="A1047" s="67"/>
      <c r="B1047" s="67"/>
      <c r="C1047" s="67"/>
      <c r="D1047" s="67"/>
      <c r="E1047" s="67"/>
      <c r="F1047" s="68"/>
      <c r="G1047" s="68"/>
      <c r="H1047" s="68"/>
      <c r="I1047" s="68"/>
      <c r="J1047" s="68"/>
      <c r="K1047" s="69">
        <v>8000.0</v>
      </c>
      <c r="L1047" s="69">
        <v>18.6</v>
      </c>
      <c r="M1047" s="68">
        <f t="shared" si="1"/>
        <v>207.76</v>
      </c>
    </row>
    <row r="1048">
      <c r="A1048" s="66">
        <v>71.0</v>
      </c>
      <c r="B1048" s="66">
        <v>108.0</v>
      </c>
      <c r="C1048" s="74" t="s">
        <v>261</v>
      </c>
      <c r="D1048" s="74" t="s">
        <v>262</v>
      </c>
      <c r="E1048" s="74" t="s">
        <v>263</v>
      </c>
      <c r="F1048" s="65">
        <v>7000.0</v>
      </c>
      <c r="G1048" s="65">
        <v>7200.0</v>
      </c>
      <c r="H1048" s="65">
        <v>800.0</v>
      </c>
      <c r="I1048" s="65">
        <v>4000.0</v>
      </c>
      <c r="J1048" s="65">
        <v>6500.0</v>
      </c>
      <c r="K1048" s="63">
        <v>500.0</v>
      </c>
      <c r="L1048" s="63">
        <v>15.12</v>
      </c>
      <c r="M1048" s="66">
        <f t="shared" si="1"/>
        <v>10.56</v>
      </c>
    </row>
    <row r="1049">
      <c r="A1049" s="67"/>
      <c r="B1049" s="67"/>
      <c r="C1049" s="67"/>
      <c r="D1049" s="67"/>
      <c r="E1049" s="67"/>
      <c r="F1049" s="68"/>
      <c r="G1049" s="68"/>
      <c r="H1049" s="68"/>
      <c r="I1049" s="68"/>
      <c r="J1049" s="68"/>
      <c r="K1049" s="69">
        <v>1000.0</v>
      </c>
      <c r="L1049" s="69">
        <v>17.64</v>
      </c>
      <c r="M1049" s="68">
        <f t="shared" si="1"/>
        <v>24.63</v>
      </c>
    </row>
    <row r="1050">
      <c r="A1050" s="70"/>
      <c r="B1050" s="70"/>
      <c r="C1050" s="70"/>
      <c r="D1050" s="70"/>
      <c r="E1050" s="70"/>
      <c r="F1050" s="66"/>
      <c r="G1050" s="66"/>
      <c r="H1050" s="66"/>
      <c r="I1050" s="66"/>
      <c r="J1050" s="66"/>
      <c r="K1050" s="63">
        <v>1500.0</v>
      </c>
      <c r="L1050" s="63">
        <v>19.27</v>
      </c>
      <c r="M1050" s="66">
        <f t="shared" si="1"/>
        <v>40.36</v>
      </c>
    </row>
    <row r="1051">
      <c r="A1051" s="67"/>
      <c r="B1051" s="67"/>
      <c r="C1051" s="67"/>
      <c r="D1051" s="67"/>
      <c r="E1051" s="67"/>
      <c r="F1051" s="68"/>
      <c r="G1051" s="68"/>
      <c r="H1051" s="68"/>
      <c r="I1051" s="68"/>
      <c r="J1051" s="68"/>
      <c r="K1051" s="69">
        <v>2000.0</v>
      </c>
      <c r="L1051" s="69">
        <v>20.39</v>
      </c>
      <c r="M1051" s="68">
        <f t="shared" si="1"/>
        <v>56.94</v>
      </c>
    </row>
    <row r="1052">
      <c r="A1052" s="70"/>
      <c r="B1052" s="70"/>
      <c r="C1052" s="70"/>
      <c r="D1052" s="70"/>
      <c r="E1052" s="70"/>
      <c r="F1052" s="66"/>
      <c r="G1052" s="66"/>
      <c r="H1052" s="66"/>
      <c r="I1052" s="66"/>
      <c r="J1052" s="66"/>
      <c r="K1052" s="63">
        <v>2500.0</v>
      </c>
      <c r="L1052" s="63">
        <v>20.5</v>
      </c>
      <c r="M1052" s="66">
        <f t="shared" si="1"/>
        <v>71.56</v>
      </c>
    </row>
    <row r="1053">
      <c r="A1053" s="67"/>
      <c r="B1053" s="67"/>
      <c r="C1053" s="67"/>
      <c r="D1053" s="67"/>
      <c r="E1053" s="67"/>
      <c r="F1053" s="68"/>
      <c r="G1053" s="68"/>
      <c r="H1053" s="68"/>
      <c r="I1053" s="68"/>
      <c r="J1053" s="68"/>
      <c r="K1053" s="69">
        <v>3000.0</v>
      </c>
      <c r="L1053" s="69">
        <v>20.6</v>
      </c>
      <c r="M1053" s="68">
        <f t="shared" si="1"/>
        <v>86.29</v>
      </c>
    </row>
    <row r="1054">
      <c r="A1054" s="70"/>
      <c r="B1054" s="70"/>
      <c r="C1054" s="70"/>
      <c r="D1054" s="70"/>
      <c r="E1054" s="70"/>
      <c r="F1054" s="66"/>
      <c r="G1054" s="66"/>
      <c r="H1054" s="66"/>
      <c r="I1054" s="66"/>
      <c r="J1054" s="66"/>
      <c r="K1054" s="63">
        <v>3500.0</v>
      </c>
      <c r="L1054" s="63">
        <v>21.26</v>
      </c>
      <c r="M1054" s="66">
        <f t="shared" si="1"/>
        <v>103.9</v>
      </c>
    </row>
    <row r="1055">
      <c r="A1055" s="67"/>
      <c r="B1055" s="67"/>
      <c r="C1055" s="67"/>
      <c r="D1055" s="67"/>
      <c r="E1055" s="67"/>
      <c r="F1055" s="68"/>
      <c r="G1055" s="68"/>
      <c r="H1055" s="68"/>
      <c r="I1055" s="68"/>
      <c r="J1055" s="68"/>
      <c r="K1055" s="69">
        <v>4000.0</v>
      </c>
      <c r="L1055" s="69">
        <v>21.92</v>
      </c>
      <c r="M1055" s="68">
        <f t="shared" si="1"/>
        <v>122.42</v>
      </c>
    </row>
    <row r="1056">
      <c r="A1056" s="70"/>
      <c r="B1056" s="70"/>
      <c r="C1056" s="70"/>
      <c r="D1056" s="70"/>
      <c r="E1056" s="70"/>
      <c r="F1056" s="66"/>
      <c r="G1056" s="66"/>
      <c r="H1056" s="66"/>
      <c r="I1056" s="66"/>
      <c r="J1056" s="66"/>
      <c r="K1056" s="63">
        <v>4500.0</v>
      </c>
      <c r="L1056" s="63">
        <v>21.42</v>
      </c>
      <c r="M1056" s="66">
        <f t="shared" si="1"/>
        <v>134.59</v>
      </c>
    </row>
    <row r="1057">
      <c r="A1057" s="67"/>
      <c r="B1057" s="67"/>
      <c r="C1057" s="67"/>
      <c r="D1057" s="67"/>
      <c r="E1057" s="67"/>
      <c r="F1057" s="68"/>
      <c r="G1057" s="68"/>
      <c r="H1057" s="68"/>
      <c r="I1057" s="68"/>
      <c r="J1057" s="68"/>
      <c r="K1057" s="69">
        <v>5000.0</v>
      </c>
      <c r="L1057" s="69">
        <v>20.69</v>
      </c>
      <c r="M1057" s="68">
        <f t="shared" si="1"/>
        <v>144.44</v>
      </c>
    </row>
    <row r="1058">
      <c r="A1058" s="73"/>
      <c r="B1058" s="73"/>
      <c r="C1058" s="73"/>
      <c r="D1058" s="73"/>
      <c r="E1058" s="73"/>
      <c r="F1058" s="66"/>
      <c r="G1058" s="66"/>
      <c r="H1058" s="66"/>
      <c r="I1058" s="66"/>
      <c r="J1058" s="66"/>
      <c r="K1058" s="63">
        <v>5500.0</v>
      </c>
      <c r="L1058" s="63">
        <v>20.23</v>
      </c>
      <c r="M1058" s="66">
        <f t="shared" si="1"/>
        <v>155.35</v>
      </c>
    </row>
    <row r="1059">
      <c r="A1059" s="67"/>
      <c r="B1059" s="67"/>
      <c r="C1059" s="67"/>
      <c r="D1059" s="67"/>
      <c r="E1059" s="67"/>
      <c r="F1059" s="68"/>
      <c r="G1059" s="68"/>
      <c r="H1059" s="68"/>
      <c r="I1059" s="68"/>
      <c r="J1059" s="68"/>
      <c r="K1059" s="69">
        <v>6000.0</v>
      </c>
      <c r="L1059" s="69">
        <v>19.5</v>
      </c>
      <c r="M1059" s="68">
        <f t="shared" si="1"/>
        <v>163.36</v>
      </c>
    </row>
    <row r="1060">
      <c r="A1060" s="70"/>
      <c r="B1060" s="70"/>
      <c r="C1060" s="70"/>
      <c r="D1060" s="70"/>
      <c r="E1060" s="70"/>
      <c r="F1060" s="66"/>
      <c r="G1060" s="66"/>
      <c r="H1060" s="66"/>
      <c r="I1060" s="66"/>
      <c r="J1060" s="66"/>
      <c r="K1060" s="63">
        <v>6500.0</v>
      </c>
      <c r="L1060" s="63">
        <v>18.68</v>
      </c>
      <c r="M1060" s="66">
        <f t="shared" si="1"/>
        <v>169.53</v>
      </c>
    </row>
    <row r="1061">
      <c r="A1061" s="67"/>
      <c r="B1061" s="67"/>
      <c r="C1061" s="67"/>
      <c r="D1061" s="67"/>
      <c r="E1061" s="67"/>
      <c r="F1061" s="68"/>
      <c r="G1061" s="68"/>
      <c r="H1061" s="68"/>
      <c r="I1061" s="68"/>
      <c r="J1061" s="68"/>
      <c r="K1061" s="69">
        <v>7000.0</v>
      </c>
      <c r="L1061" s="69">
        <v>17.06</v>
      </c>
      <c r="M1061" s="68">
        <f t="shared" si="1"/>
        <v>166.74</v>
      </c>
    </row>
    <row r="1062">
      <c r="A1062" s="70"/>
      <c r="B1062" s="70"/>
      <c r="C1062" s="70"/>
      <c r="D1062" s="70"/>
      <c r="E1062" s="70"/>
      <c r="F1062" s="66"/>
      <c r="G1062" s="66"/>
      <c r="H1062" s="66"/>
      <c r="I1062" s="66"/>
      <c r="J1062" s="66"/>
      <c r="K1062" s="63">
        <v>7500.0</v>
      </c>
      <c r="L1062" s="63">
        <v>14.7</v>
      </c>
      <c r="M1062" s="66">
        <f t="shared" si="1"/>
        <v>153.94</v>
      </c>
    </row>
    <row r="1063">
      <c r="A1063" s="67"/>
      <c r="B1063" s="67"/>
      <c r="C1063" s="67"/>
      <c r="D1063" s="67"/>
      <c r="E1063" s="67"/>
      <c r="F1063" s="68"/>
      <c r="G1063" s="68"/>
      <c r="H1063" s="68"/>
      <c r="I1063" s="68"/>
      <c r="J1063" s="68"/>
      <c r="K1063" s="69">
        <v>8000.0</v>
      </c>
      <c r="L1063" s="69">
        <v>12.45</v>
      </c>
      <c r="M1063" s="68">
        <f t="shared" si="1"/>
        <v>139.07</v>
      </c>
    </row>
    <row r="1064">
      <c r="A1064" s="66">
        <v>72.0</v>
      </c>
      <c r="B1064" s="66">
        <v>109.0</v>
      </c>
      <c r="C1064" s="74" t="s">
        <v>264</v>
      </c>
      <c r="D1064" s="74" t="s">
        <v>265</v>
      </c>
      <c r="E1064" s="74" t="s">
        <v>266</v>
      </c>
      <c r="F1064" s="65">
        <v>6000.0</v>
      </c>
      <c r="G1064" s="65">
        <v>6000.0</v>
      </c>
      <c r="H1064" s="65">
        <v>700.0</v>
      </c>
      <c r="I1064" s="65">
        <v>2700.0</v>
      </c>
      <c r="J1064" s="65">
        <v>5500.0</v>
      </c>
      <c r="K1064" s="63">
        <v>500.0</v>
      </c>
      <c r="L1064" s="63">
        <v>9.35</v>
      </c>
      <c r="M1064" s="66">
        <f t="shared" si="1"/>
        <v>6.53</v>
      </c>
    </row>
    <row r="1065">
      <c r="A1065" s="67"/>
      <c r="B1065" s="67"/>
      <c r="C1065" s="67"/>
      <c r="D1065" s="67"/>
      <c r="E1065" s="67"/>
      <c r="F1065" s="68"/>
      <c r="G1065" s="68"/>
      <c r="H1065" s="68"/>
      <c r="I1065" s="68"/>
      <c r="J1065" s="68"/>
      <c r="K1065" s="69">
        <v>1000.0</v>
      </c>
      <c r="L1065" s="69">
        <v>10.61</v>
      </c>
      <c r="M1065" s="68">
        <f t="shared" si="1"/>
        <v>14.81</v>
      </c>
    </row>
    <row r="1066">
      <c r="A1066" s="70"/>
      <c r="B1066" s="70"/>
      <c r="C1066" s="70"/>
      <c r="D1066" s="70"/>
      <c r="E1066" s="70"/>
      <c r="F1066" s="66"/>
      <c r="G1066" s="66"/>
      <c r="H1066" s="66"/>
      <c r="I1066" s="66"/>
      <c r="J1066" s="66"/>
      <c r="K1066" s="63">
        <v>1500.0</v>
      </c>
      <c r="L1066" s="63">
        <v>11.57</v>
      </c>
      <c r="M1066" s="66">
        <f t="shared" si="1"/>
        <v>24.23</v>
      </c>
    </row>
    <row r="1067">
      <c r="A1067" s="67"/>
      <c r="B1067" s="67"/>
      <c r="C1067" s="67"/>
      <c r="D1067" s="67"/>
      <c r="E1067" s="67"/>
      <c r="F1067" s="68"/>
      <c r="G1067" s="68"/>
      <c r="H1067" s="68"/>
      <c r="I1067" s="68"/>
      <c r="J1067" s="68"/>
      <c r="K1067" s="69">
        <v>2000.0</v>
      </c>
      <c r="L1067" s="69">
        <v>12.54</v>
      </c>
      <c r="M1067" s="68">
        <f t="shared" si="1"/>
        <v>35.02</v>
      </c>
    </row>
    <row r="1068">
      <c r="A1068" s="70"/>
      <c r="B1068" s="70"/>
      <c r="C1068" s="70"/>
      <c r="D1068" s="70"/>
      <c r="E1068" s="70"/>
      <c r="F1068" s="66"/>
      <c r="G1068" s="66"/>
      <c r="H1068" s="66"/>
      <c r="I1068" s="66"/>
      <c r="J1068" s="66"/>
      <c r="K1068" s="63">
        <v>2500.0</v>
      </c>
      <c r="L1068" s="63">
        <v>12.95</v>
      </c>
      <c r="M1068" s="66">
        <f t="shared" si="1"/>
        <v>45.2</v>
      </c>
    </row>
    <row r="1069">
      <c r="A1069" s="67"/>
      <c r="B1069" s="67"/>
      <c r="C1069" s="67"/>
      <c r="D1069" s="67"/>
      <c r="E1069" s="67"/>
      <c r="F1069" s="68"/>
      <c r="G1069" s="68"/>
      <c r="H1069" s="68"/>
      <c r="I1069" s="68"/>
      <c r="J1069" s="68"/>
      <c r="K1069" s="69">
        <v>3000.0</v>
      </c>
      <c r="L1069" s="69">
        <v>13.36</v>
      </c>
      <c r="M1069" s="68">
        <f t="shared" si="1"/>
        <v>55.96</v>
      </c>
    </row>
    <row r="1070">
      <c r="A1070" s="70"/>
      <c r="B1070" s="70"/>
      <c r="C1070" s="70"/>
      <c r="D1070" s="70"/>
      <c r="E1070" s="70"/>
      <c r="F1070" s="66"/>
      <c r="G1070" s="66"/>
      <c r="H1070" s="66"/>
      <c r="I1070" s="66"/>
      <c r="J1070" s="66"/>
      <c r="K1070" s="63">
        <v>3500.0</v>
      </c>
      <c r="L1070" s="63">
        <v>13.21</v>
      </c>
      <c r="M1070" s="66">
        <f t="shared" si="1"/>
        <v>64.56</v>
      </c>
    </row>
    <row r="1071">
      <c r="A1071" s="67"/>
      <c r="B1071" s="67"/>
      <c r="C1071" s="67"/>
      <c r="D1071" s="67"/>
      <c r="E1071" s="67"/>
      <c r="F1071" s="68"/>
      <c r="G1071" s="68"/>
      <c r="H1071" s="68"/>
      <c r="I1071" s="68"/>
      <c r="J1071" s="68"/>
      <c r="K1071" s="69">
        <v>4000.0</v>
      </c>
      <c r="L1071" s="69">
        <v>13.05</v>
      </c>
      <c r="M1071" s="68">
        <f t="shared" si="1"/>
        <v>72.88</v>
      </c>
    </row>
    <row r="1072">
      <c r="A1072" s="70"/>
      <c r="B1072" s="70"/>
      <c r="C1072" s="70"/>
      <c r="D1072" s="70"/>
      <c r="E1072" s="70"/>
      <c r="F1072" s="66"/>
      <c r="G1072" s="66"/>
      <c r="H1072" s="66"/>
      <c r="I1072" s="66"/>
      <c r="J1072" s="66"/>
      <c r="K1072" s="63">
        <v>4500.0</v>
      </c>
      <c r="L1072" s="63">
        <v>12.91</v>
      </c>
      <c r="M1072" s="66">
        <f t="shared" si="1"/>
        <v>81.12</v>
      </c>
    </row>
    <row r="1073">
      <c r="A1073" s="67"/>
      <c r="B1073" s="67"/>
      <c r="C1073" s="67"/>
      <c r="D1073" s="67"/>
      <c r="E1073" s="67"/>
      <c r="F1073" s="68"/>
      <c r="G1073" s="68"/>
      <c r="H1073" s="68"/>
      <c r="I1073" s="68"/>
      <c r="J1073" s="68"/>
      <c r="K1073" s="69">
        <v>5000.0</v>
      </c>
      <c r="L1073" s="69">
        <v>12.69</v>
      </c>
      <c r="M1073" s="68">
        <f t="shared" si="1"/>
        <v>88.59</v>
      </c>
    </row>
    <row r="1074">
      <c r="A1074" s="70"/>
      <c r="B1074" s="70"/>
      <c r="C1074" s="70"/>
      <c r="D1074" s="70"/>
      <c r="E1074" s="70"/>
      <c r="F1074" s="66"/>
      <c r="G1074" s="66"/>
      <c r="H1074" s="66"/>
      <c r="I1074" s="66"/>
      <c r="J1074" s="66"/>
      <c r="K1074" s="63">
        <v>5500.0</v>
      </c>
      <c r="L1074" s="63">
        <v>11.74</v>
      </c>
      <c r="M1074" s="66">
        <f t="shared" si="1"/>
        <v>90.16</v>
      </c>
    </row>
    <row r="1075">
      <c r="A1075" s="67"/>
      <c r="B1075" s="67"/>
      <c r="C1075" s="67"/>
      <c r="D1075" s="67"/>
      <c r="E1075" s="67"/>
      <c r="F1075" s="68"/>
      <c r="G1075" s="68"/>
      <c r="H1075" s="68"/>
      <c r="I1075" s="68"/>
      <c r="J1075" s="68"/>
      <c r="K1075" s="69">
        <v>6000.0</v>
      </c>
      <c r="L1075" s="69">
        <v>10.4</v>
      </c>
      <c r="M1075" s="68">
        <f t="shared" si="1"/>
        <v>87.13</v>
      </c>
    </row>
    <row r="1076">
      <c r="A1076" s="66">
        <v>73.0</v>
      </c>
      <c r="B1076" s="66">
        <v>111.0</v>
      </c>
      <c r="C1076" s="74" t="s">
        <v>267</v>
      </c>
      <c r="D1076" s="74" t="s">
        <v>268</v>
      </c>
      <c r="E1076" s="74" t="s">
        <v>269</v>
      </c>
      <c r="F1076" s="65">
        <v>6000.0</v>
      </c>
      <c r="G1076" s="65">
        <v>6200.0</v>
      </c>
      <c r="H1076" s="65">
        <v>700.0</v>
      </c>
      <c r="I1076" s="65">
        <v>3600.0</v>
      </c>
      <c r="J1076" s="65">
        <v>6150.0</v>
      </c>
      <c r="K1076" s="63">
        <v>500.0</v>
      </c>
      <c r="L1076" s="63">
        <v>29.64</v>
      </c>
      <c r="M1076" s="66">
        <f t="shared" si="1"/>
        <v>20.69</v>
      </c>
    </row>
    <row r="1077">
      <c r="A1077" s="67"/>
      <c r="B1077" s="67"/>
      <c r="C1077" s="67"/>
      <c r="D1077" s="67"/>
      <c r="E1077" s="67"/>
      <c r="F1077" s="68"/>
      <c r="G1077" s="68"/>
      <c r="H1077" s="68"/>
      <c r="I1077" s="68"/>
      <c r="J1077" s="68"/>
      <c r="K1077" s="69">
        <v>1000.0</v>
      </c>
      <c r="L1077" s="69">
        <v>35.83</v>
      </c>
      <c r="M1077" s="68">
        <f t="shared" si="1"/>
        <v>50.03</v>
      </c>
    </row>
    <row r="1078">
      <c r="A1078" s="70"/>
      <c r="B1078" s="70"/>
      <c r="C1078" s="70"/>
      <c r="D1078" s="70"/>
      <c r="E1078" s="70"/>
      <c r="F1078" s="66"/>
      <c r="G1078" s="66"/>
      <c r="H1078" s="66"/>
      <c r="I1078" s="66"/>
      <c r="J1078" s="66"/>
      <c r="K1078" s="63">
        <v>1500.0</v>
      </c>
      <c r="L1078" s="63">
        <v>41.26</v>
      </c>
      <c r="M1078" s="66">
        <f t="shared" si="1"/>
        <v>86.41</v>
      </c>
    </row>
    <row r="1079">
      <c r="A1079" s="67"/>
      <c r="B1079" s="67"/>
      <c r="C1079" s="67"/>
      <c r="D1079" s="67"/>
      <c r="E1079" s="67"/>
      <c r="F1079" s="68"/>
      <c r="G1079" s="68"/>
      <c r="H1079" s="68"/>
      <c r="I1079" s="68"/>
      <c r="J1079" s="68"/>
      <c r="K1079" s="69">
        <v>2000.0</v>
      </c>
      <c r="L1079" s="69">
        <v>46.28</v>
      </c>
      <c r="M1079" s="68">
        <f t="shared" si="1"/>
        <v>129.24</v>
      </c>
    </row>
    <row r="1080">
      <c r="A1080" s="70"/>
      <c r="B1080" s="70"/>
      <c r="C1080" s="70"/>
      <c r="D1080" s="70"/>
      <c r="E1080" s="70"/>
      <c r="F1080" s="66"/>
      <c r="G1080" s="66"/>
      <c r="H1080" s="66"/>
      <c r="I1080" s="66"/>
      <c r="J1080" s="66"/>
      <c r="K1080" s="63">
        <v>2500.0</v>
      </c>
      <c r="L1080" s="63">
        <v>50.85</v>
      </c>
      <c r="M1080" s="66">
        <f t="shared" si="1"/>
        <v>177.5</v>
      </c>
    </row>
    <row r="1081">
      <c r="A1081" s="67"/>
      <c r="B1081" s="67"/>
      <c r="C1081" s="67"/>
      <c r="D1081" s="67"/>
      <c r="E1081" s="67"/>
      <c r="F1081" s="68"/>
      <c r="G1081" s="68"/>
      <c r="H1081" s="68"/>
      <c r="I1081" s="68"/>
      <c r="J1081" s="68"/>
      <c r="K1081" s="69">
        <v>3000.0</v>
      </c>
      <c r="L1081" s="69">
        <v>52.33</v>
      </c>
      <c r="M1081" s="68">
        <f t="shared" si="1"/>
        <v>219.2</v>
      </c>
    </row>
    <row r="1082">
      <c r="A1082" s="73"/>
      <c r="B1082" s="73"/>
      <c r="C1082" s="73"/>
      <c r="D1082" s="73"/>
      <c r="E1082" s="73"/>
      <c r="F1082" s="66"/>
      <c r="G1082" s="66"/>
      <c r="H1082" s="66"/>
      <c r="I1082" s="66"/>
      <c r="J1082" s="66"/>
      <c r="K1082" s="63">
        <v>3500.0</v>
      </c>
      <c r="L1082" s="63">
        <v>53.3</v>
      </c>
      <c r="M1082" s="66">
        <f t="shared" si="1"/>
        <v>260.47</v>
      </c>
    </row>
    <row r="1083">
      <c r="A1083" s="67"/>
      <c r="B1083" s="67"/>
      <c r="C1083" s="67"/>
      <c r="D1083" s="67"/>
      <c r="E1083" s="67"/>
      <c r="F1083" s="68"/>
      <c r="G1083" s="68"/>
      <c r="H1083" s="68"/>
      <c r="I1083" s="68"/>
      <c r="J1083" s="68"/>
      <c r="K1083" s="69">
        <v>4000.0</v>
      </c>
      <c r="L1083" s="69">
        <v>53.1</v>
      </c>
      <c r="M1083" s="68">
        <f t="shared" si="1"/>
        <v>296.57</v>
      </c>
    </row>
    <row r="1084">
      <c r="A1084" s="70"/>
      <c r="B1084" s="70"/>
      <c r="C1084" s="70"/>
      <c r="D1084" s="70"/>
      <c r="E1084" s="70"/>
      <c r="F1084" s="66"/>
      <c r="G1084" s="66"/>
      <c r="H1084" s="66"/>
      <c r="I1084" s="66"/>
      <c r="J1084" s="66"/>
      <c r="K1084" s="63">
        <v>4500.0</v>
      </c>
      <c r="L1084" s="63">
        <v>51.85</v>
      </c>
      <c r="M1084" s="66">
        <f t="shared" si="1"/>
        <v>325.78</v>
      </c>
    </row>
    <row r="1085">
      <c r="A1085" s="67"/>
      <c r="B1085" s="67"/>
      <c r="C1085" s="67"/>
      <c r="D1085" s="67"/>
      <c r="E1085" s="67"/>
      <c r="F1085" s="68"/>
      <c r="G1085" s="68"/>
      <c r="H1085" s="68"/>
      <c r="I1085" s="68"/>
      <c r="J1085" s="68"/>
      <c r="K1085" s="69">
        <v>5000.0</v>
      </c>
      <c r="L1085" s="69">
        <v>49.82</v>
      </c>
      <c r="M1085" s="68">
        <f t="shared" si="1"/>
        <v>347.81</v>
      </c>
    </row>
    <row r="1086">
      <c r="A1086" s="70"/>
      <c r="B1086" s="70"/>
      <c r="C1086" s="70"/>
      <c r="D1086" s="70"/>
      <c r="E1086" s="70"/>
      <c r="F1086" s="66"/>
      <c r="G1086" s="66"/>
      <c r="H1086" s="66"/>
      <c r="I1086" s="66"/>
      <c r="J1086" s="66"/>
      <c r="K1086" s="63">
        <v>5500.0</v>
      </c>
      <c r="L1086" s="63">
        <v>47.2</v>
      </c>
      <c r="M1086" s="66">
        <f t="shared" si="1"/>
        <v>362.47</v>
      </c>
    </row>
    <row r="1087">
      <c r="A1087" s="67"/>
      <c r="B1087" s="67"/>
      <c r="C1087" s="67"/>
      <c r="D1087" s="67"/>
      <c r="E1087" s="67"/>
      <c r="F1087" s="68"/>
      <c r="G1087" s="68"/>
      <c r="H1087" s="68"/>
      <c r="I1087" s="68"/>
      <c r="J1087" s="68"/>
      <c r="K1087" s="69">
        <v>6000.0</v>
      </c>
      <c r="L1087" s="69">
        <v>44.77</v>
      </c>
      <c r="M1087" s="68">
        <f t="shared" si="1"/>
        <v>375.06</v>
      </c>
    </row>
    <row r="1088">
      <c r="A1088" s="70"/>
      <c r="B1088" s="70"/>
      <c r="C1088" s="70"/>
      <c r="D1088" s="70"/>
      <c r="E1088" s="70"/>
      <c r="F1088" s="66"/>
      <c r="G1088" s="66"/>
      <c r="H1088" s="66"/>
      <c r="I1088" s="66"/>
      <c r="J1088" s="66"/>
      <c r="K1088" s="63">
        <v>6500.0</v>
      </c>
      <c r="L1088" s="63">
        <v>41.3</v>
      </c>
      <c r="M1088" s="66">
        <f t="shared" si="1"/>
        <v>374.83</v>
      </c>
    </row>
    <row r="1089">
      <c r="A1089" s="67"/>
      <c r="B1089" s="67"/>
      <c r="C1089" s="67"/>
      <c r="D1089" s="67"/>
      <c r="E1089" s="67"/>
      <c r="F1089" s="68"/>
      <c r="G1089" s="68"/>
      <c r="H1089" s="68"/>
      <c r="I1089" s="68"/>
      <c r="J1089" s="68"/>
      <c r="K1089" s="69">
        <v>7000.0</v>
      </c>
      <c r="L1089" s="69">
        <v>36.84</v>
      </c>
      <c r="M1089" s="68">
        <f t="shared" si="1"/>
        <v>360.07</v>
      </c>
    </row>
    <row r="1090">
      <c r="A1090" s="66">
        <v>74.0</v>
      </c>
      <c r="B1090" s="66">
        <v>112.0</v>
      </c>
      <c r="C1090" s="74" t="s">
        <v>270</v>
      </c>
      <c r="D1090" s="74" t="s">
        <v>271</v>
      </c>
      <c r="E1090" s="74" t="s">
        <v>272</v>
      </c>
      <c r="F1090" s="65">
        <v>6000.0</v>
      </c>
      <c r="G1090" s="65">
        <v>6000.0</v>
      </c>
      <c r="H1090" s="65">
        <v>700.0</v>
      </c>
      <c r="I1090" s="65">
        <v>3600.0</v>
      </c>
      <c r="J1090" s="65">
        <v>5400.0</v>
      </c>
      <c r="K1090" s="63">
        <v>500.0</v>
      </c>
      <c r="L1090" s="63">
        <v>35.63</v>
      </c>
      <c r="M1090" s="66">
        <f t="shared" si="1"/>
        <v>24.87</v>
      </c>
    </row>
    <row r="1091">
      <c r="A1091" s="67"/>
      <c r="B1091" s="67"/>
      <c r="C1091" s="67"/>
      <c r="D1091" s="67"/>
      <c r="E1091" s="67"/>
      <c r="F1091" s="68"/>
      <c r="G1091" s="68"/>
      <c r="H1091" s="68"/>
      <c r="I1091" s="68"/>
      <c r="J1091" s="68"/>
      <c r="K1091" s="69">
        <v>1000.0</v>
      </c>
      <c r="L1091" s="69">
        <v>41.0</v>
      </c>
      <c r="M1091" s="68">
        <f t="shared" si="1"/>
        <v>57.25</v>
      </c>
    </row>
    <row r="1092">
      <c r="A1092" s="70"/>
      <c r="B1092" s="70"/>
      <c r="C1092" s="70"/>
      <c r="D1092" s="70"/>
      <c r="E1092" s="70"/>
      <c r="F1092" s="66"/>
      <c r="G1092" s="66"/>
      <c r="H1092" s="66"/>
      <c r="I1092" s="66"/>
      <c r="J1092" s="66"/>
      <c r="K1092" s="63">
        <v>1500.0</v>
      </c>
      <c r="L1092" s="63">
        <v>43.0</v>
      </c>
      <c r="M1092" s="66">
        <f t="shared" si="1"/>
        <v>90.06</v>
      </c>
    </row>
    <row r="1093">
      <c r="A1093" s="67"/>
      <c r="B1093" s="67"/>
      <c r="C1093" s="67"/>
      <c r="D1093" s="67"/>
      <c r="E1093" s="67"/>
      <c r="F1093" s="68"/>
      <c r="G1093" s="68"/>
      <c r="H1093" s="68"/>
      <c r="I1093" s="68"/>
      <c r="J1093" s="68"/>
      <c r="K1093" s="69">
        <v>2000.0</v>
      </c>
      <c r="L1093" s="69">
        <v>44.0</v>
      </c>
      <c r="M1093" s="68">
        <f t="shared" si="1"/>
        <v>122.87</v>
      </c>
    </row>
    <row r="1094">
      <c r="A1094" s="70"/>
      <c r="B1094" s="70"/>
      <c r="C1094" s="70"/>
      <c r="D1094" s="70"/>
      <c r="E1094" s="70"/>
      <c r="F1094" s="66"/>
      <c r="G1094" s="66"/>
      <c r="H1094" s="66"/>
      <c r="I1094" s="66"/>
      <c r="J1094" s="66"/>
      <c r="K1094" s="63">
        <v>2500.0</v>
      </c>
      <c r="L1094" s="63">
        <v>44.5</v>
      </c>
      <c r="M1094" s="66">
        <f t="shared" si="1"/>
        <v>155.33</v>
      </c>
    </row>
    <row r="1095">
      <c r="A1095" s="67"/>
      <c r="B1095" s="67"/>
      <c r="C1095" s="67"/>
      <c r="D1095" s="67"/>
      <c r="E1095" s="67"/>
      <c r="F1095" s="68"/>
      <c r="G1095" s="68"/>
      <c r="H1095" s="68"/>
      <c r="I1095" s="68"/>
      <c r="J1095" s="68"/>
      <c r="K1095" s="69">
        <v>3000.0</v>
      </c>
      <c r="L1095" s="69">
        <v>44.75</v>
      </c>
      <c r="M1095" s="68">
        <f t="shared" si="1"/>
        <v>187.45</v>
      </c>
    </row>
    <row r="1096">
      <c r="A1096" s="70"/>
      <c r="B1096" s="70"/>
      <c r="C1096" s="70"/>
      <c r="D1096" s="70"/>
      <c r="E1096" s="70"/>
      <c r="F1096" s="66"/>
      <c r="G1096" s="66"/>
      <c r="H1096" s="66"/>
      <c r="I1096" s="66"/>
      <c r="J1096" s="66"/>
      <c r="K1096" s="63">
        <v>3600.0</v>
      </c>
      <c r="L1096" s="63">
        <v>44.9</v>
      </c>
      <c r="M1096" s="66">
        <f t="shared" si="1"/>
        <v>225.69</v>
      </c>
    </row>
    <row r="1097">
      <c r="A1097" s="67"/>
      <c r="B1097" s="67"/>
      <c r="C1097" s="67"/>
      <c r="D1097" s="67"/>
      <c r="E1097" s="67"/>
      <c r="F1097" s="68"/>
      <c r="G1097" s="68"/>
      <c r="H1097" s="68"/>
      <c r="I1097" s="68"/>
      <c r="J1097" s="68"/>
      <c r="K1097" s="69">
        <v>4000.0</v>
      </c>
      <c r="L1097" s="69">
        <v>44.25</v>
      </c>
      <c r="M1097" s="68">
        <f t="shared" si="1"/>
        <v>247.14</v>
      </c>
    </row>
    <row r="1098">
      <c r="A1098" s="70"/>
      <c r="B1098" s="70"/>
      <c r="C1098" s="70"/>
      <c r="D1098" s="70"/>
      <c r="E1098" s="70"/>
      <c r="F1098" s="66"/>
      <c r="G1098" s="66"/>
      <c r="H1098" s="66"/>
      <c r="I1098" s="66"/>
      <c r="J1098" s="66"/>
      <c r="K1098" s="63">
        <v>4500.0</v>
      </c>
      <c r="L1098" s="63">
        <v>42.75</v>
      </c>
      <c r="M1098" s="66">
        <f t="shared" si="1"/>
        <v>268.61</v>
      </c>
    </row>
    <row r="1099">
      <c r="A1099" s="67"/>
      <c r="B1099" s="67"/>
      <c r="C1099" s="67"/>
      <c r="D1099" s="67"/>
      <c r="E1099" s="67"/>
      <c r="F1099" s="68"/>
      <c r="G1099" s="68"/>
      <c r="H1099" s="68"/>
      <c r="I1099" s="68"/>
      <c r="J1099" s="68"/>
      <c r="K1099" s="69">
        <v>5000.0</v>
      </c>
      <c r="L1099" s="69">
        <v>40.13</v>
      </c>
      <c r="M1099" s="68">
        <f t="shared" si="1"/>
        <v>280.16</v>
      </c>
    </row>
    <row r="1100">
      <c r="A1100" s="70"/>
      <c r="B1100" s="70"/>
      <c r="C1100" s="70"/>
      <c r="D1100" s="70"/>
      <c r="E1100" s="70"/>
      <c r="F1100" s="66"/>
      <c r="G1100" s="66"/>
      <c r="H1100" s="66"/>
      <c r="I1100" s="66"/>
      <c r="J1100" s="66"/>
      <c r="K1100" s="63">
        <v>5400.0</v>
      </c>
      <c r="L1100" s="63">
        <v>37.8</v>
      </c>
      <c r="M1100" s="66">
        <f t="shared" si="1"/>
        <v>285</v>
      </c>
    </row>
    <row r="1101">
      <c r="A1101" s="67"/>
      <c r="B1101" s="67"/>
      <c r="C1101" s="67"/>
      <c r="D1101" s="67"/>
      <c r="E1101" s="67"/>
      <c r="F1101" s="68"/>
      <c r="G1101" s="68"/>
      <c r="H1101" s="68"/>
      <c r="I1101" s="68"/>
      <c r="J1101" s="68"/>
      <c r="K1101" s="69">
        <v>6000.0</v>
      </c>
      <c r="L1101" s="69">
        <v>32.63</v>
      </c>
      <c r="M1101" s="68">
        <f t="shared" si="1"/>
        <v>273.36</v>
      </c>
    </row>
    <row r="1102">
      <c r="A1102" s="66">
        <v>75.0</v>
      </c>
      <c r="B1102" s="66">
        <v>113.0</v>
      </c>
      <c r="C1102" s="74" t="s">
        <v>273</v>
      </c>
      <c r="D1102" s="74" t="s">
        <v>274</v>
      </c>
      <c r="E1102" s="74" t="s">
        <v>275</v>
      </c>
      <c r="F1102" s="65">
        <v>7000.0</v>
      </c>
      <c r="G1102" s="65">
        <v>7400.0</v>
      </c>
      <c r="H1102" s="65">
        <v>700.0</v>
      </c>
      <c r="I1102" s="65">
        <v>4000.0</v>
      </c>
      <c r="J1102" s="65">
        <v>6500.0</v>
      </c>
      <c r="K1102" s="63">
        <v>500.0</v>
      </c>
      <c r="L1102" s="63">
        <v>15.44</v>
      </c>
      <c r="M1102" s="66">
        <f t="shared" si="1"/>
        <v>10.78</v>
      </c>
    </row>
    <row r="1103">
      <c r="A1103" s="67"/>
      <c r="B1103" s="67"/>
      <c r="C1103" s="67"/>
      <c r="D1103" s="67"/>
      <c r="E1103" s="67"/>
      <c r="F1103" s="68"/>
      <c r="G1103" s="68"/>
      <c r="H1103" s="68"/>
      <c r="I1103" s="68"/>
      <c r="J1103" s="68"/>
      <c r="K1103" s="69">
        <v>1000.0</v>
      </c>
      <c r="L1103" s="69">
        <v>17.54</v>
      </c>
      <c r="M1103" s="68">
        <f t="shared" si="1"/>
        <v>24.49</v>
      </c>
    </row>
    <row r="1104">
      <c r="A1104" s="70"/>
      <c r="B1104" s="70"/>
      <c r="C1104" s="70"/>
      <c r="D1104" s="70"/>
      <c r="E1104" s="70"/>
      <c r="F1104" s="66"/>
      <c r="G1104" s="66"/>
      <c r="H1104" s="66"/>
      <c r="I1104" s="66"/>
      <c r="J1104" s="66"/>
      <c r="K1104" s="63">
        <v>1500.0</v>
      </c>
      <c r="L1104" s="63">
        <v>19.27</v>
      </c>
      <c r="M1104" s="66">
        <f t="shared" si="1"/>
        <v>40.36</v>
      </c>
    </row>
    <row r="1105">
      <c r="A1105" s="67"/>
      <c r="B1105" s="67"/>
      <c r="C1105" s="67"/>
      <c r="D1105" s="67"/>
      <c r="E1105" s="67"/>
      <c r="F1105" s="68"/>
      <c r="G1105" s="68"/>
      <c r="H1105" s="68"/>
      <c r="I1105" s="68"/>
      <c r="J1105" s="68"/>
      <c r="K1105" s="69">
        <v>2000.0</v>
      </c>
      <c r="L1105" s="69">
        <v>20.19</v>
      </c>
      <c r="M1105" s="68">
        <f t="shared" si="1"/>
        <v>56.38</v>
      </c>
    </row>
    <row r="1106">
      <c r="A1106" s="73"/>
      <c r="B1106" s="73"/>
      <c r="C1106" s="73"/>
      <c r="D1106" s="73"/>
      <c r="E1106" s="73"/>
      <c r="F1106" s="66"/>
      <c r="G1106" s="66"/>
      <c r="H1106" s="66"/>
      <c r="I1106" s="66"/>
      <c r="J1106" s="66"/>
      <c r="K1106" s="63">
        <v>2500.0</v>
      </c>
      <c r="L1106" s="63">
        <v>20.5</v>
      </c>
      <c r="M1106" s="66">
        <f t="shared" si="1"/>
        <v>71.56</v>
      </c>
    </row>
    <row r="1107">
      <c r="A1107" s="67"/>
      <c r="B1107" s="67"/>
      <c r="C1107" s="67"/>
      <c r="D1107" s="67"/>
      <c r="E1107" s="67"/>
      <c r="F1107" s="68"/>
      <c r="G1107" s="68"/>
      <c r="H1107" s="68"/>
      <c r="I1107" s="68"/>
      <c r="J1107" s="68"/>
      <c r="K1107" s="69">
        <v>3000.0</v>
      </c>
      <c r="L1107" s="69">
        <v>20.83</v>
      </c>
      <c r="M1107" s="68">
        <f t="shared" si="1"/>
        <v>87.25</v>
      </c>
    </row>
    <row r="1108">
      <c r="A1108" s="70"/>
      <c r="B1108" s="70"/>
      <c r="C1108" s="70"/>
      <c r="D1108" s="70"/>
      <c r="E1108" s="70"/>
      <c r="F1108" s="66"/>
      <c r="G1108" s="66"/>
      <c r="H1108" s="66"/>
      <c r="I1108" s="66"/>
      <c r="J1108" s="66"/>
      <c r="K1108" s="63">
        <v>3500.0</v>
      </c>
      <c r="L1108" s="63">
        <v>21.21</v>
      </c>
      <c r="M1108" s="66">
        <f t="shared" si="1"/>
        <v>103.65</v>
      </c>
    </row>
    <row r="1109">
      <c r="A1109" s="67"/>
      <c r="B1109" s="67"/>
      <c r="C1109" s="67"/>
      <c r="D1109" s="67"/>
      <c r="E1109" s="67"/>
      <c r="F1109" s="68"/>
      <c r="G1109" s="68"/>
      <c r="H1109" s="68"/>
      <c r="I1109" s="68"/>
      <c r="J1109" s="68"/>
      <c r="K1109" s="69">
        <v>4000.0</v>
      </c>
      <c r="L1109" s="69">
        <v>21.92</v>
      </c>
      <c r="M1109" s="68">
        <f t="shared" si="1"/>
        <v>122.42</v>
      </c>
    </row>
    <row r="1110">
      <c r="A1110" s="70"/>
      <c r="B1110" s="70"/>
      <c r="C1110" s="70"/>
      <c r="D1110" s="70"/>
      <c r="E1110" s="70"/>
      <c r="F1110" s="66"/>
      <c r="G1110" s="66"/>
      <c r="H1110" s="66"/>
      <c r="I1110" s="66"/>
      <c r="J1110" s="66"/>
      <c r="K1110" s="63">
        <v>4500.0</v>
      </c>
      <c r="L1110" s="63">
        <v>21.85</v>
      </c>
      <c r="M1110" s="66">
        <f t="shared" si="1"/>
        <v>137.29</v>
      </c>
    </row>
    <row r="1111">
      <c r="A1111" s="67"/>
      <c r="B1111" s="67"/>
      <c r="C1111" s="67"/>
      <c r="D1111" s="67"/>
      <c r="E1111" s="67"/>
      <c r="F1111" s="68"/>
      <c r="G1111" s="68"/>
      <c r="H1111" s="68"/>
      <c r="I1111" s="68"/>
      <c r="J1111" s="68"/>
      <c r="K1111" s="69">
        <v>5000.0</v>
      </c>
      <c r="L1111" s="69">
        <v>21.27</v>
      </c>
      <c r="M1111" s="68">
        <f t="shared" si="1"/>
        <v>148.49</v>
      </c>
    </row>
    <row r="1112">
      <c r="A1112" s="70"/>
      <c r="B1112" s="70"/>
      <c r="C1112" s="70"/>
      <c r="D1112" s="70"/>
      <c r="E1112" s="70"/>
      <c r="F1112" s="66"/>
      <c r="G1112" s="66"/>
      <c r="H1112" s="66"/>
      <c r="I1112" s="66"/>
      <c r="J1112" s="66"/>
      <c r="K1112" s="63">
        <v>5500.0</v>
      </c>
      <c r="L1112" s="63">
        <v>20.99</v>
      </c>
      <c r="M1112" s="66">
        <f t="shared" si="1"/>
        <v>161.19</v>
      </c>
    </row>
    <row r="1113">
      <c r="A1113" s="67"/>
      <c r="B1113" s="67"/>
      <c r="C1113" s="67"/>
      <c r="D1113" s="67"/>
      <c r="E1113" s="67"/>
      <c r="F1113" s="68"/>
      <c r="G1113" s="68"/>
      <c r="H1113" s="68"/>
      <c r="I1113" s="68"/>
      <c r="J1113" s="68"/>
      <c r="K1113" s="69">
        <v>6000.0</v>
      </c>
      <c r="L1113" s="69">
        <v>20.44</v>
      </c>
      <c r="M1113" s="68">
        <f t="shared" si="1"/>
        <v>171.24</v>
      </c>
    </row>
    <row r="1114">
      <c r="A1114" s="70"/>
      <c r="B1114" s="70"/>
      <c r="C1114" s="70"/>
      <c r="D1114" s="70"/>
      <c r="E1114" s="70"/>
      <c r="F1114" s="66"/>
      <c r="G1114" s="66"/>
      <c r="H1114" s="66"/>
      <c r="I1114" s="66"/>
      <c r="J1114" s="66"/>
      <c r="K1114" s="63">
        <v>6500.0</v>
      </c>
      <c r="L1114" s="63">
        <v>19.45</v>
      </c>
      <c r="M1114" s="66">
        <f t="shared" si="1"/>
        <v>176.52</v>
      </c>
    </row>
    <row r="1115">
      <c r="A1115" s="67"/>
      <c r="B1115" s="67"/>
      <c r="C1115" s="67"/>
      <c r="D1115" s="67"/>
      <c r="E1115" s="67"/>
      <c r="F1115" s="68"/>
      <c r="G1115" s="68"/>
      <c r="H1115" s="68"/>
      <c r="I1115" s="68"/>
      <c r="J1115" s="68"/>
      <c r="K1115" s="69">
        <v>7000.0</v>
      </c>
      <c r="L1115" s="69">
        <v>17.75</v>
      </c>
      <c r="M1115" s="68">
        <f t="shared" si="1"/>
        <v>173.49</v>
      </c>
    </row>
    <row r="1116">
      <c r="A1116" s="70"/>
      <c r="B1116" s="70"/>
      <c r="C1116" s="70"/>
      <c r="D1116" s="70"/>
      <c r="E1116" s="70"/>
      <c r="F1116" s="66"/>
      <c r="G1116" s="66"/>
      <c r="H1116" s="66"/>
      <c r="I1116" s="66"/>
      <c r="J1116" s="66"/>
      <c r="K1116" s="63">
        <v>7500.0</v>
      </c>
      <c r="L1116" s="63">
        <v>15.45</v>
      </c>
      <c r="M1116" s="66">
        <f t="shared" si="1"/>
        <v>161.79</v>
      </c>
    </row>
    <row r="1117">
      <c r="A1117" s="67"/>
      <c r="B1117" s="67"/>
      <c r="C1117" s="67"/>
      <c r="D1117" s="67"/>
      <c r="E1117" s="67"/>
      <c r="F1117" s="68"/>
      <c r="G1117" s="68"/>
      <c r="H1117" s="68"/>
      <c r="I1117" s="68"/>
      <c r="J1117" s="68"/>
      <c r="K1117" s="69">
        <v>8000.0</v>
      </c>
      <c r="L1117" s="69">
        <v>12.23</v>
      </c>
      <c r="M1117" s="68">
        <f t="shared" si="1"/>
        <v>136.61</v>
      </c>
    </row>
    <row r="1118">
      <c r="A1118" s="66">
        <v>76.0</v>
      </c>
      <c r="B1118" s="66">
        <v>114.0</v>
      </c>
      <c r="C1118" s="74" t="s">
        <v>276</v>
      </c>
      <c r="D1118" s="74" t="s">
        <v>277</v>
      </c>
      <c r="E1118" s="74" t="s">
        <v>278</v>
      </c>
      <c r="F1118" s="65">
        <v>7000.0</v>
      </c>
      <c r="G1118" s="65">
        <v>7200.0</v>
      </c>
      <c r="H1118" s="65">
        <v>700.0</v>
      </c>
      <c r="I1118" s="65">
        <v>1850.0</v>
      </c>
      <c r="J1118" s="65">
        <v>6000.0</v>
      </c>
      <c r="K1118" s="63">
        <v>500.0</v>
      </c>
      <c r="L1118" s="63">
        <v>17.99</v>
      </c>
      <c r="M1118" s="66">
        <f t="shared" si="1"/>
        <v>12.56</v>
      </c>
    </row>
    <row r="1119">
      <c r="A1119" s="67"/>
      <c r="B1119" s="67"/>
      <c r="C1119" s="67"/>
      <c r="D1119" s="67"/>
      <c r="E1119" s="67"/>
      <c r="F1119" s="68"/>
      <c r="G1119" s="68"/>
      <c r="H1119" s="68"/>
      <c r="I1119" s="68"/>
      <c r="J1119" s="68"/>
      <c r="K1119" s="69">
        <v>1000.0</v>
      </c>
      <c r="L1119" s="69">
        <v>24.07</v>
      </c>
      <c r="M1119" s="68">
        <f t="shared" si="1"/>
        <v>33.61</v>
      </c>
    </row>
    <row r="1120">
      <c r="A1120" s="70"/>
      <c r="B1120" s="70"/>
      <c r="C1120" s="70"/>
      <c r="D1120" s="70"/>
      <c r="E1120" s="70"/>
      <c r="F1120" s="66"/>
      <c r="G1120" s="66"/>
      <c r="H1120" s="66"/>
      <c r="I1120" s="66"/>
      <c r="J1120" s="66"/>
      <c r="K1120" s="63">
        <v>1500.0</v>
      </c>
      <c r="L1120" s="63">
        <v>29.06</v>
      </c>
      <c r="M1120" s="66">
        <f t="shared" si="1"/>
        <v>60.86</v>
      </c>
    </row>
    <row r="1121">
      <c r="A1121" s="67"/>
      <c r="B1121" s="67"/>
      <c r="C1121" s="67"/>
      <c r="D1121" s="67"/>
      <c r="E1121" s="67"/>
      <c r="F1121" s="68"/>
      <c r="G1121" s="68"/>
      <c r="H1121" s="68"/>
      <c r="I1121" s="68"/>
      <c r="J1121" s="68"/>
      <c r="K1121" s="69">
        <v>2000.0</v>
      </c>
      <c r="L1121" s="69">
        <v>35.69</v>
      </c>
      <c r="M1121" s="68">
        <f t="shared" si="1"/>
        <v>99.66</v>
      </c>
    </row>
    <row r="1122">
      <c r="A1122" s="70"/>
      <c r="B1122" s="70"/>
      <c r="C1122" s="70"/>
      <c r="D1122" s="70"/>
      <c r="E1122" s="70"/>
      <c r="F1122" s="66"/>
      <c r="G1122" s="66"/>
      <c r="H1122" s="66"/>
      <c r="I1122" s="66"/>
      <c r="J1122" s="66"/>
      <c r="K1122" s="63">
        <v>2500.0</v>
      </c>
      <c r="L1122" s="63">
        <v>35.69</v>
      </c>
      <c r="M1122" s="66">
        <f t="shared" si="1"/>
        <v>124.58</v>
      </c>
    </row>
    <row r="1123">
      <c r="A1123" s="67"/>
      <c r="B1123" s="67"/>
      <c r="C1123" s="67"/>
      <c r="D1123" s="67"/>
      <c r="E1123" s="67"/>
      <c r="F1123" s="68"/>
      <c r="G1123" s="68"/>
      <c r="H1123" s="68"/>
      <c r="I1123" s="68"/>
      <c r="J1123" s="68"/>
      <c r="K1123" s="69">
        <v>3000.0</v>
      </c>
      <c r="L1123" s="69">
        <v>35.69</v>
      </c>
      <c r="M1123" s="68">
        <f t="shared" si="1"/>
        <v>149.5</v>
      </c>
    </row>
    <row r="1124">
      <c r="A1124" s="70"/>
      <c r="B1124" s="70"/>
      <c r="C1124" s="70"/>
      <c r="D1124" s="70"/>
      <c r="E1124" s="70"/>
      <c r="F1124" s="66"/>
      <c r="G1124" s="66"/>
      <c r="H1124" s="66"/>
      <c r="I1124" s="66"/>
      <c r="J1124" s="66"/>
      <c r="K1124" s="63">
        <v>3500.0</v>
      </c>
      <c r="L1124" s="63">
        <v>35.69</v>
      </c>
      <c r="M1124" s="66">
        <f t="shared" si="1"/>
        <v>174.41</v>
      </c>
    </row>
    <row r="1125">
      <c r="A1125" s="67"/>
      <c r="B1125" s="67"/>
      <c r="C1125" s="67"/>
      <c r="D1125" s="67"/>
      <c r="E1125" s="67"/>
      <c r="F1125" s="68"/>
      <c r="G1125" s="68"/>
      <c r="H1125" s="68"/>
      <c r="I1125" s="68"/>
      <c r="J1125" s="68"/>
      <c r="K1125" s="69">
        <v>4000.0</v>
      </c>
      <c r="L1125" s="69">
        <v>35.69</v>
      </c>
      <c r="M1125" s="68">
        <f t="shared" si="1"/>
        <v>199.33</v>
      </c>
    </row>
    <row r="1126">
      <c r="A1126" s="70"/>
      <c r="B1126" s="70"/>
      <c r="C1126" s="70"/>
      <c r="D1126" s="70"/>
      <c r="E1126" s="70"/>
      <c r="F1126" s="66"/>
      <c r="G1126" s="66"/>
      <c r="H1126" s="66"/>
      <c r="I1126" s="66"/>
      <c r="J1126" s="66"/>
      <c r="K1126" s="63">
        <v>4500.0</v>
      </c>
      <c r="L1126" s="63">
        <v>35.69</v>
      </c>
      <c r="M1126" s="66">
        <f t="shared" si="1"/>
        <v>224.25</v>
      </c>
    </row>
    <row r="1127">
      <c r="A1127" s="67"/>
      <c r="B1127" s="67"/>
      <c r="C1127" s="67"/>
      <c r="D1127" s="67"/>
      <c r="E1127" s="67"/>
      <c r="F1127" s="68"/>
      <c r="G1127" s="68"/>
      <c r="H1127" s="68"/>
      <c r="I1127" s="68"/>
      <c r="J1127" s="68"/>
      <c r="K1127" s="69">
        <v>5000.0</v>
      </c>
      <c r="L1127" s="69">
        <v>35.69</v>
      </c>
      <c r="M1127" s="68">
        <f t="shared" si="1"/>
        <v>249.16</v>
      </c>
    </row>
    <row r="1128">
      <c r="A1128" s="70"/>
      <c r="B1128" s="70"/>
      <c r="C1128" s="70"/>
      <c r="D1128" s="70"/>
      <c r="E1128" s="70"/>
      <c r="F1128" s="66"/>
      <c r="G1128" s="66"/>
      <c r="H1128" s="66"/>
      <c r="I1128" s="66"/>
      <c r="J1128" s="66"/>
      <c r="K1128" s="63">
        <v>5500.0</v>
      </c>
      <c r="L1128" s="63">
        <v>35.69</v>
      </c>
      <c r="M1128" s="66">
        <f t="shared" si="1"/>
        <v>274.08</v>
      </c>
    </row>
    <row r="1129">
      <c r="A1129" s="67"/>
      <c r="B1129" s="67"/>
      <c r="C1129" s="67"/>
      <c r="D1129" s="67"/>
      <c r="E1129" s="67"/>
      <c r="F1129" s="68"/>
      <c r="G1129" s="68"/>
      <c r="H1129" s="68"/>
      <c r="I1129" s="68"/>
      <c r="J1129" s="68"/>
      <c r="K1129" s="69">
        <v>6000.0</v>
      </c>
      <c r="L1129" s="69">
        <v>35.69</v>
      </c>
      <c r="M1129" s="68">
        <f t="shared" si="1"/>
        <v>298.99</v>
      </c>
    </row>
    <row r="1130">
      <c r="A1130" s="73"/>
      <c r="B1130" s="73"/>
      <c r="C1130" s="73"/>
      <c r="D1130" s="73"/>
      <c r="E1130" s="73"/>
      <c r="F1130" s="66"/>
      <c r="G1130" s="66"/>
      <c r="H1130" s="66"/>
      <c r="I1130" s="66"/>
      <c r="J1130" s="66"/>
      <c r="K1130" s="63">
        <v>6500.0</v>
      </c>
      <c r="L1130" s="63">
        <v>32.63</v>
      </c>
      <c r="M1130" s="66">
        <f t="shared" si="1"/>
        <v>296.14</v>
      </c>
    </row>
    <row r="1131">
      <c r="A1131" s="67"/>
      <c r="B1131" s="67"/>
      <c r="C1131" s="67"/>
      <c r="D1131" s="67"/>
      <c r="E1131" s="67"/>
      <c r="F1131" s="68"/>
      <c r="G1131" s="68"/>
      <c r="H1131" s="68"/>
      <c r="I1131" s="68"/>
      <c r="J1131" s="68"/>
      <c r="K1131" s="69">
        <v>7000.0</v>
      </c>
      <c r="L1131" s="69">
        <v>28.8</v>
      </c>
      <c r="M1131" s="68">
        <f t="shared" si="1"/>
        <v>281.49</v>
      </c>
    </row>
    <row r="1132">
      <c r="A1132" s="70"/>
      <c r="B1132" s="70"/>
      <c r="C1132" s="70"/>
      <c r="D1132" s="70"/>
      <c r="E1132" s="70"/>
      <c r="F1132" s="66"/>
      <c r="G1132" s="66"/>
      <c r="H1132" s="66"/>
      <c r="I1132" s="66"/>
      <c r="J1132" s="66"/>
      <c r="K1132" s="63">
        <v>7500.0</v>
      </c>
      <c r="L1132" s="63">
        <v>19.0</v>
      </c>
      <c r="M1132" s="66">
        <f t="shared" si="1"/>
        <v>198.97</v>
      </c>
    </row>
    <row r="1133">
      <c r="A1133" s="68">
        <v>77.0</v>
      </c>
      <c r="B1133" s="68">
        <v>117.0</v>
      </c>
      <c r="C1133" s="71" t="s">
        <v>279</v>
      </c>
      <c r="D1133" s="71" t="s">
        <v>280</v>
      </c>
      <c r="E1133" s="71" t="s">
        <v>281</v>
      </c>
      <c r="F1133" s="72">
        <v>6000.0</v>
      </c>
      <c r="G1133" s="72">
        <v>6000.0</v>
      </c>
      <c r="H1133" s="72">
        <v>700.0</v>
      </c>
      <c r="I1133" s="72">
        <v>3750.0</v>
      </c>
      <c r="J1133" s="72">
        <v>5500.0</v>
      </c>
      <c r="K1133" s="69">
        <v>500.0</v>
      </c>
      <c r="L1133" s="69">
        <v>28.4</v>
      </c>
      <c r="M1133" s="68">
        <f t="shared" si="1"/>
        <v>19.83</v>
      </c>
    </row>
    <row r="1134">
      <c r="A1134" s="70"/>
      <c r="B1134" s="70"/>
      <c r="C1134" s="70"/>
      <c r="D1134" s="70"/>
      <c r="E1134" s="70"/>
      <c r="F1134" s="66"/>
      <c r="G1134" s="66"/>
      <c r="H1134" s="66"/>
      <c r="I1134" s="66"/>
      <c r="J1134" s="66"/>
      <c r="K1134" s="63">
        <v>1000.0</v>
      </c>
      <c r="L1134" s="63">
        <v>31.0</v>
      </c>
      <c r="M1134" s="66">
        <f t="shared" si="1"/>
        <v>43.28</v>
      </c>
    </row>
    <row r="1135">
      <c r="A1135" s="67"/>
      <c r="B1135" s="67"/>
      <c r="C1135" s="67"/>
      <c r="D1135" s="67"/>
      <c r="E1135" s="67"/>
      <c r="F1135" s="68"/>
      <c r="G1135" s="68"/>
      <c r="H1135" s="68"/>
      <c r="I1135" s="68"/>
      <c r="J1135" s="68"/>
      <c r="K1135" s="69">
        <v>1500.0</v>
      </c>
      <c r="L1135" s="69">
        <v>32.3</v>
      </c>
      <c r="M1135" s="68">
        <f t="shared" si="1"/>
        <v>67.65</v>
      </c>
    </row>
    <row r="1136">
      <c r="A1136" s="70"/>
      <c r="B1136" s="70"/>
      <c r="C1136" s="70"/>
      <c r="D1136" s="70"/>
      <c r="E1136" s="70"/>
      <c r="F1136" s="66"/>
      <c r="G1136" s="66"/>
      <c r="H1136" s="66"/>
      <c r="I1136" s="66"/>
      <c r="J1136" s="66"/>
      <c r="K1136" s="63">
        <v>2000.0</v>
      </c>
      <c r="L1136" s="63">
        <v>33.2</v>
      </c>
      <c r="M1136" s="66">
        <f t="shared" si="1"/>
        <v>92.71</v>
      </c>
    </row>
    <row r="1137">
      <c r="A1137" s="67"/>
      <c r="B1137" s="67"/>
      <c r="C1137" s="67"/>
      <c r="D1137" s="67"/>
      <c r="E1137" s="67"/>
      <c r="F1137" s="68"/>
      <c r="G1137" s="68"/>
      <c r="H1137" s="68"/>
      <c r="I1137" s="68"/>
      <c r="J1137" s="68"/>
      <c r="K1137" s="69">
        <v>2500.0</v>
      </c>
      <c r="L1137" s="69">
        <v>34.0</v>
      </c>
      <c r="M1137" s="68">
        <f t="shared" si="1"/>
        <v>118.68</v>
      </c>
    </row>
    <row r="1138">
      <c r="A1138" s="70"/>
      <c r="B1138" s="70"/>
      <c r="C1138" s="70"/>
      <c r="D1138" s="70"/>
      <c r="E1138" s="70"/>
      <c r="F1138" s="66"/>
      <c r="G1138" s="66"/>
      <c r="H1138" s="66"/>
      <c r="I1138" s="66"/>
      <c r="J1138" s="66"/>
      <c r="K1138" s="63">
        <v>3000.0</v>
      </c>
      <c r="L1138" s="63">
        <v>34.6</v>
      </c>
      <c r="M1138" s="66">
        <f t="shared" si="1"/>
        <v>144.93</v>
      </c>
    </row>
    <row r="1139">
      <c r="A1139" s="67"/>
      <c r="B1139" s="67"/>
      <c r="C1139" s="67"/>
      <c r="D1139" s="67"/>
      <c r="E1139" s="67"/>
      <c r="F1139" s="68"/>
      <c r="G1139" s="68"/>
      <c r="H1139" s="68"/>
      <c r="I1139" s="68"/>
      <c r="J1139" s="68"/>
      <c r="K1139" s="69">
        <v>3750.0</v>
      </c>
      <c r="L1139" s="69">
        <v>35.5</v>
      </c>
      <c r="M1139" s="68">
        <f t="shared" si="1"/>
        <v>185.88</v>
      </c>
    </row>
    <row r="1140">
      <c r="A1140" s="70"/>
      <c r="B1140" s="70"/>
      <c r="C1140" s="70"/>
      <c r="D1140" s="70"/>
      <c r="E1140" s="70"/>
      <c r="F1140" s="66"/>
      <c r="G1140" s="66"/>
      <c r="H1140" s="66"/>
      <c r="I1140" s="66"/>
      <c r="J1140" s="66"/>
      <c r="K1140" s="63">
        <v>4200.0</v>
      </c>
      <c r="L1140" s="63">
        <v>34.5</v>
      </c>
      <c r="M1140" s="66">
        <f t="shared" si="1"/>
        <v>202.32</v>
      </c>
    </row>
    <row r="1141">
      <c r="A1141" s="67"/>
      <c r="B1141" s="67"/>
      <c r="C1141" s="67"/>
      <c r="D1141" s="67"/>
      <c r="E1141" s="67"/>
      <c r="F1141" s="68"/>
      <c r="G1141" s="68"/>
      <c r="H1141" s="68"/>
      <c r="I1141" s="68"/>
      <c r="J1141" s="68"/>
      <c r="K1141" s="69">
        <v>4600.0</v>
      </c>
      <c r="L1141" s="69">
        <v>32.9</v>
      </c>
      <c r="M1141" s="68">
        <f t="shared" si="1"/>
        <v>211.31</v>
      </c>
    </row>
    <row r="1142">
      <c r="A1142" s="70"/>
      <c r="B1142" s="70"/>
      <c r="C1142" s="70"/>
      <c r="D1142" s="70"/>
      <c r="E1142" s="70"/>
      <c r="F1142" s="66"/>
      <c r="G1142" s="66"/>
      <c r="H1142" s="66"/>
      <c r="I1142" s="66"/>
      <c r="J1142" s="66"/>
      <c r="K1142" s="63">
        <v>5000.0</v>
      </c>
      <c r="L1142" s="63">
        <v>31.2</v>
      </c>
      <c r="M1142" s="66">
        <f t="shared" si="1"/>
        <v>217.82</v>
      </c>
    </row>
    <row r="1143">
      <c r="A1143" s="67"/>
      <c r="B1143" s="67"/>
      <c r="C1143" s="67"/>
      <c r="D1143" s="67"/>
      <c r="E1143" s="67"/>
      <c r="F1143" s="68"/>
      <c r="G1143" s="68"/>
      <c r="H1143" s="68"/>
      <c r="I1143" s="68"/>
      <c r="J1143" s="68"/>
      <c r="K1143" s="69">
        <v>5500.0</v>
      </c>
      <c r="L1143" s="69">
        <v>28.6</v>
      </c>
      <c r="M1143" s="68">
        <f t="shared" si="1"/>
        <v>219.63</v>
      </c>
    </row>
    <row r="1144">
      <c r="A1144" s="70"/>
      <c r="B1144" s="70"/>
      <c r="C1144" s="70"/>
      <c r="D1144" s="70"/>
      <c r="E1144" s="70"/>
      <c r="F1144" s="66"/>
      <c r="G1144" s="66"/>
      <c r="H1144" s="66"/>
      <c r="I1144" s="66"/>
      <c r="J1144" s="66"/>
      <c r="K1144" s="63">
        <v>6000.0</v>
      </c>
      <c r="L1144" s="63">
        <v>25.3</v>
      </c>
      <c r="M1144" s="66">
        <f t="shared" si="1"/>
        <v>211.95</v>
      </c>
    </row>
    <row r="1145">
      <c r="A1145" s="68">
        <v>78.0</v>
      </c>
      <c r="B1145" s="68">
        <v>119.0</v>
      </c>
      <c r="C1145" s="71" t="s">
        <v>282</v>
      </c>
      <c r="D1145" s="71" t="s">
        <v>283</v>
      </c>
      <c r="E1145" s="71" t="s">
        <v>284</v>
      </c>
      <c r="F1145" s="72">
        <v>7000.0</v>
      </c>
      <c r="G1145" s="72">
        <v>7000.0</v>
      </c>
      <c r="H1145" s="72">
        <v>700.0</v>
      </c>
      <c r="I1145" s="72">
        <v>4400.0</v>
      </c>
      <c r="J1145" s="72">
        <v>6400.0</v>
      </c>
      <c r="K1145" s="69">
        <v>500.0</v>
      </c>
      <c r="L1145" s="69">
        <v>13.19</v>
      </c>
      <c r="M1145" s="68">
        <f t="shared" si="1"/>
        <v>9.21</v>
      </c>
    </row>
    <row r="1146">
      <c r="A1146" s="70"/>
      <c r="B1146" s="70"/>
      <c r="C1146" s="70"/>
      <c r="D1146" s="70"/>
      <c r="E1146" s="70"/>
      <c r="F1146" s="66"/>
      <c r="G1146" s="66"/>
      <c r="H1146" s="66"/>
      <c r="I1146" s="66"/>
      <c r="J1146" s="66"/>
      <c r="K1146" s="63">
        <v>1000.0</v>
      </c>
      <c r="L1146" s="63">
        <v>14.17</v>
      </c>
      <c r="M1146" s="66">
        <f t="shared" si="1"/>
        <v>19.78</v>
      </c>
    </row>
    <row r="1147">
      <c r="A1147" s="67"/>
      <c r="B1147" s="67"/>
      <c r="C1147" s="67"/>
      <c r="D1147" s="67"/>
      <c r="E1147" s="67"/>
      <c r="F1147" s="68"/>
      <c r="G1147" s="68"/>
      <c r="H1147" s="68"/>
      <c r="I1147" s="68"/>
      <c r="J1147" s="68"/>
      <c r="K1147" s="69">
        <v>1500.0</v>
      </c>
      <c r="L1147" s="69">
        <v>14.99</v>
      </c>
      <c r="M1147" s="68">
        <f t="shared" si="1"/>
        <v>31.39</v>
      </c>
    </row>
    <row r="1148">
      <c r="A1148" s="70"/>
      <c r="B1148" s="70"/>
      <c r="C1148" s="70"/>
      <c r="D1148" s="70"/>
      <c r="E1148" s="70"/>
      <c r="F1148" s="66"/>
      <c r="G1148" s="66"/>
      <c r="H1148" s="66"/>
      <c r="I1148" s="66"/>
      <c r="J1148" s="66"/>
      <c r="K1148" s="63">
        <v>2000.0</v>
      </c>
      <c r="L1148" s="63">
        <v>15.5</v>
      </c>
      <c r="M1148" s="66">
        <f t="shared" si="1"/>
        <v>43.28</v>
      </c>
    </row>
    <row r="1149">
      <c r="A1149" s="67"/>
      <c r="B1149" s="67"/>
      <c r="C1149" s="67"/>
      <c r="D1149" s="67"/>
      <c r="E1149" s="67"/>
      <c r="F1149" s="68"/>
      <c r="G1149" s="68"/>
      <c r="H1149" s="68"/>
      <c r="I1149" s="68"/>
      <c r="J1149" s="68"/>
      <c r="K1149" s="69">
        <v>2500.0</v>
      </c>
      <c r="L1149" s="69">
        <v>16.06</v>
      </c>
      <c r="M1149" s="68">
        <f t="shared" si="1"/>
        <v>56.06</v>
      </c>
    </row>
    <row r="1150">
      <c r="A1150" s="70"/>
      <c r="B1150" s="70"/>
      <c r="C1150" s="70"/>
      <c r="D1150" s="70"/>
      <c r="E1150" s="70"/>
      <c r="F1150" s="66"/>
      <c r="G1150" s="66"/>
      <c r="H1150" s="66"/>
      <c r="I1150" s="66"/>
      <c r="J1150" s="66"/>
      <c r="K1150" s="63">
        <v>3000.0</v>
      </c>
      <c r="L1150" s="63">
        <v>16.32</v>
      </c>
      <c r="M1150" s="66">
        <f t="shared" si="1"/>
        <v>68.36</v>
      </c>
    </row>
    <row r="1151">
      <c r="A1151" s="67"/>
      <c r="B1151" s="67"/>
      <c r="C1151" s="67"/>
      <c r="D1151" s="67"/>
      <c r="E1151" s="67"/>
      <c r="F1151" s="68"/>
      <c r="G1151" s="68"/>
      <c r="H1151" s="68"/>
      <c r="I1151" s="68"/>
      <c r="J1151" s="68"/>
      <c r="K1151" s="69">
        <v>3500.0</v>
      </c>
      <c r="L1151" s="69">
        <v>16.62</v>
      </c>
      <c r="M1151" s="68">
        <f t="shared" si="1"/>
        <v>81.22</v>
      </c>
    </row>
    <row r="1152">
      <c r="A1152" s="70"/>
      <c r="B1152" s="70"/>
      <c r="C1152" s="70"/>
      <c r="D1152" s="70"/>
      <c r="E1152" s="70"/>
      <c r="F1152" s="66"/>
      <c r="G1152" s="66"/>
      <c r="H1152" s="66"/>
      <c r="I1152" s="66"/>
      <c r="J1152" s="66"/>
      <c r="K1152" s="63">
        <v>4000.0</v>
      </c>
      <c r="L1152" s="63">
        <v>16.93</v>
      </c>
      <c r="M1152" s="66">
        <f t="shared" si="1"/>
        <v>94.55</v>
      </c>
    </row>
    <row r="1153">
      <c r="A1153" s="67"/>
      <c r="B1153" s="67"/>
      <c r="C1153" s="67"/>
      <c r="D1153" s="67"/>
      <c r="E1153" s="67"/>
      <c r="F1153" s="68"/>
      <c r="G1153" s="68"/>
      <c r="H1153" s="68"/>
      <c r="I1153" s="68"/>
      <c r="J1153" s="68"/>
      <c r="K1153" s="69">
        <v>4400.0</v>
      </c>
      <c r="L1153" s="69">
        <v>17.44</v>
      </c>
      <c r="M1153" s="68">
        <f t="shared" si="1"/>
        <v>107.14</v>
      </c>
    </row>
    <row r="1154">
      <c r="A1154" s="73"/>
      <c r="B1154" s="73"/>
      <c r="C1154" s="73"/>
      <c r="D1154" s="73"/>
      <c r="E1154" s="73"/>
      <c r="F1154" s="66"/>
      <c r="G1154" s="66"/>
      <c r="H1154" s="66"/>
      <c r="I1154" s="66"/>
      <c r="J1154" s="66"/>
      <c r="K1154" s="63">
        <v>5000.0</v>
      </c>
      <c r="L1154" s="63">
        <v>17.13</v>
      </c>
      <c r="M1154" s="66">
        <f t="shared" si="1"/>
        <v>119.59</v>
      </c>
    </row>
    <row r="1155">
      <c r="A1155" s="67"/>
      <c r="B1155" s="67"/>
      <c r="C1155" s="67"/>
      <c r="D1155" s="67"/>
      <c r="E1155" s="67"/>
      <c r="F1155" s="68"/>
      <c r="G1155" s="68"/>
      <c r="H1155" s="68"/>
      <c r="I1155" s="68"/>
      <c r="J1155" s="68"/>
      <c r="K1155" s="69">
        <v>5500.0</v>
      </c>
      <c r="L1155" s="69">
        <v>16.72</v>
      </c>
      <c r="M1155" s="68">
        <f t="shared" si="1"/>
        <v>128.4</v>
      </c>
    </row>
    <row r="1156">
      <c r="A1156" s="70"/>
      <c r="B1156" s="70"/>
      <c r="C1156" s="70"/>
      <c r="D1156" s="70"/>
      <c r="E1156" s="70"/>
      <c r="F1156" s="66"/>
      <c r="G1156" s="66"/>
      <c r="H1156" s="66"/>
      <c r="I1156" s="66"/>
      <c r="J1156" s="66"/>
      <c r="K1156" s="63">
        <v>6000.0</v>
      </c>
      <c r="L1156" s="63">
        <v>16.32</v>
      </c>
      <c r="M1156" s="66">
        <f t="shared" si="1"/>
        <v>136.72</v>
      </c>
    </row>
    <row r="1157">
      <c r="A1157" s="67"/>
      <c r="B1157" s="67"/>
      <c r="C1157" s="67"/>
      <c r="D1157" s="67"/>
      <c r="E1157" s="67"/>
      <c r="F1157" s="68"/>
      <c r="G1157" s="68"/>
      <c r="H1157" s="68"/>
      <c r="I1157" s="68"/>
      <c r="J1157" s="68"/>
      <c r="K1157" s="69">
        <v>6500.0</v>
      </c>
      <c r="L1157" s="69">
        <v>15.37</v>
      </c>
      <c r="M1157" s="68">
        <f t="shared" si="1"/>
        <v>139.49</v>
      </c>
    </row>
    <row r="1158">
      <c r="A1158" s="70"/>
      <c r="B1158" s="70"/>
      <c r="C1158" s="70"/>
      <c r="D1158" s="70"/>
      <c r="E1158" s="70"/>
      <c r="F1158" s="66"/>
      <c r="G1158" s="66"/>
      <c r="H1158" s="66"/>
      <c r="I1158" s="66"/>
      <c r="J1158" s="66"/>
      <c r="K1158" s="63">
        <v>7000.0</v>
      </c>
      <c r="L1158" s="63">
        <v>14.05</v>
      </c>
      <c r="M1158" s="66">
        <f t="shared" si="1"/>
        <v>137.32</v>
      </c>
    </row>
    <row r="1159">
      <c r="A1159" s="68">
        <v>79.0</v>
      </c>
      <c r="B1159" s="68">
        <v>120.0</v>
      </c>
      <c r="C1159" s="71" t="s">
        <v>285</v>
      </c>
      <c r="D1159" s="71" t="s">
        <v>286</v>
      </c>
      <c r="E1159" s="71" t="s">
        <v>287</v>
      </c>
      <c r="F1159" s="72">
        <v>6400.0</v>
      </c>
      <c r="G1159" s="72">
        <v>6400.0</v>
      </c>
      <c r="H1159" s="72">
        <v>700.0</v>
      </c>
      <c r="I1159" s="72">
        <v>4200.0</v>
      </c>
      <c r="J1159" s="72">
        <v>6000.0</v>
      </c>
      <c r="K1159" s="69">
        <v>500.0</v>
      </c>
      <c r="L1159" s="69">
        <v>10.2</v>
      </c>
      <c r="M1159" s="68">
        <f t="shared" si="1"/>
        <v>7.12</v>
      </c>
    </row>
    <row r="1160">
      <c r="A1160" s="70"/>
      <c r="B1160" s="70"/>
      <c r="C1160" s="70"/>
      <c r="D1160" s="70"/>
      <c r="E1160" s="70"/>
      <c r="F1160" s="66"/>
      <c r="G1160" s="66"/>
      <c r="H1160" s="66"/>
      <c r="I1160" s="66"/>
      <c r="J1160" s="66"/>
      <c r="K1160" s="63">
        <v>1000.0</v>
      </c>
      <c r="L1160" s="63">
        <v>11.5</v>
      </c>
      <c r="M1160" s="66">
        <f t="shared" si="1"/>
        <v>16.06</v>
      </c>
    </row>
    <row r="1161">
      <c r="A1161" s="67"/>
      <c r="B1161" s="67"/>
      <c r="C1161" s="67"/>
      <c r="D1161" s="67"/>
      <c r="E1161" s="67"/>
      <c r="F1161" s="68"/>
      <c r="G1161" s="68"/>
      <c r="H1161" s="68"/>
      <c r="I1161" s="68"/>
      <c r="J1161" s="68"/>
      <c r="K1161" s="69">
        <v>1500.0</v>
      </c>
      <c r="L1161" s="69">
        <v>12.0</v>
      </c>
      <c r="M1161" s="68">
        <f t="shared" si="1"/>
        <v>25.13</v>
      </c>
    </row>
    <row r="1162">
      <c r="A1162" s="70"/>
      <c r="B1162" s="70"/>
      <c r="C1162" s="70"/>
      <c r="D1162" s="70"/>
      <c r="E1162" s="70"/>
      <c r="F1162" s="66"/>
      <c r="G1162" s="66"/>
      <c r="H1162" s="66"/>
      <c r="I1162" s="66"/>
      <c r="J1162" s="66"/>
      <c r="K1162" s="63">
        <v>2000.0</v>
      </c>
      <c r="L1162" s="63">
        <v>12.0</v>
      </c>
      <c r="M1162" s="66">
        <f t="shared" si="1"/>
        <v>33.51</v>
      </c>
    </row>
    <row r="1163">
      <c r="A1163" s="67"/>
      <c r="B1163" s="67"/>
      <c r="C1163" s="67"/>
      <c r="D1163" s="67"/>
      <c r="E1163" s="67"/>
      <c r="F1163" s="68"/>
      <c r="G1163" s="68"/>
      <c r="H1163" s="68"/>
      <c r="I1163" s="68"/>
      <c r="J1163" s="68"/>
      <c r="K1163" s="69">
        <v>2500.0</v>
      </c>
      <c r="L1163" s="69">
        <v>12.1</v>
      </c>
      <c r="M1163" s="68">
        <f t="shared" si="1"/>
        <v>42.24</v>
      </c>
    </row>
    <row r="1164">
      <c r="A1164" s="70"/>
      <c r="B1164" s="70"/>
      <c r="C1164" s="70"/>
      <c r="D1164" s="70"/>
      <c r="E1164" s="70"/>
      <c r="F1164" s="66"/>
      <c r="G1164" s="66"/>
      <c r="H1164" s="66"/>
      <c r="I1164" s="66"/>
      <c r="J1164" s="66"/>
      <c r="K1164" s="63">
        <v>3000.0</v>
      </c>
      <c r="L1164" s="63">
        <v>12.2</v>
      </c>
      <c r="M1164" s="66">
        <f t="shared" si="1"/>
        <v>51.1</v>
      </c>
    </row>
    <row r="1165">
      <c r="A1165" s="67"/>
      <c r="B1165" s="67"/>
      <c r="C1165" s="67"/>
      <c r="D1165" s="67"/>
      <c r="E1165" s="67"/>
      <c r="F1165" s="68"/>
      <c r="G1165" s="68"/>
      <c r="H1165" s="68"/>
      <c r="I1165" s="68"/>
      <c r="J1165" s="68"/>
      <c r="K1165" s="69">
        <v>3500.0</v>
      </c>
      <c r="L1165" s="69">
        <v>13.3</v>
      </c>
      <c r="M1165" s="68">
        <f t="shared" si="1"/>
        <v>65</v>
      </c>
    </row>
    <row r="1166">
      <c r="A1166" s="70"/>
      <c r="B1166" s="70"/>
      <c r="C1166" s="70"/>
      <c r="D1166" s="70"/>
      <c r="E1166" s="70"/>
      <c r="F1166" s="66"/>
      <c r="G1166" s="66"/>
      <c r="H1166" s="66"/>
      <c r="I1166" s="66"/>
      <c r="J1166" s="66"/>
      <c r="K1166" s="63">
        <v>4000.0</v>
      </c>
      <c r="L1166" s="63">
        <v>14.6</v>
      </c>
      <c r="M1166" s="66">
        <f t="shared" si="1"/>
        <v>81.54</v>
      </c>
    </row>
    <row r="1167">
      <c r="A1167" s="67"/>
      <c r="B1167" s="67"/>
      <c r="C1167" s="67"/>
      <c r="D1167" s="67"/>
      <c r="E1167" s="67"/>
      <c r="F1167" s="68"/>
      <c r="G1167" s="68"/>
      <c r="H1167" s="68"/>
      <c r="I1167" s="68"/>
      <c r="J1167" s="68"/>
      <c r="K1167" s="69">
        <v>4500.0</v>
      </c>
      <c r="L1167" s="69">
        <v>14.7</v>
      </c>
      <c r="M1167" s="68">
        <f t="shared" si="1"/>
        <v>92.36</v>
      </c>
    </row>
    <row r="1168">
      <c r="A1168" s="70"/>
      <c r="B1168" s="70"/>
      <c r="C1168" s="70"/>
      <c r="D1168" s="70"/>
      <c r="E1168" s="70"/>
      <c r="F1168" s="66"/>
      <c r="G1168" s="66"/>
      <c r="H1168" s="66"/>
      <c r="I1168" s="66"/>
      <c r="J1168" s="66"/>
      <c r="K1168" s="63">
        <v>5000.0</v>
      </c>
      <c r="L1168" s="63">
        <v>14.4</v>
      </c>
      <c r="M1168" s="66">
        <f t="shared" si="1"/>
        <v>100.53</v>
      </c>
    </row>
    <row r="1169">
      <c r="A1169" s="67"/>
      <c r="B1169" s="67"/>
      <c r="C1169" s="67"/>
      <c r="D1169" s="67"/>
      <c r="E1169" s="67"/>
      <c r="F1169" s="68"/>
      <c r="G1169" s="68"/>
      <c r="H1169" s="68"/>
      <c r="I1169" s="68"/>
      <c r="J1169" s="68"/>
      <c r="K1169" s="69">
        <v>5500.0</v>
      </c>
      <c r="L1169" s="69">
        <v>13.6</v>
      </c>
      <c r="M1169" s="68">
        <f t="shared" si="1"/>
        <v>104.44</v>
      </c>
    </row>
    <row r="1170">
      <c r="A1170" s="70"/>
      <c r="B1170" s="70"/>
      <c r="C1170" s="70"/>
      <c r="D1170" s="70"/>
      <c r="E1170" s="70"/>
      <c r="F1170" s="66"/>
      <c r="G1170" s="66"/>
      <c r="H1170" s="66"/>
      <c r="I1170" s="66"/>
      <c r="J1170" s="66"/>
      <c r="K1170" s="63">
        <v>6000.0</v>
      </c>
      <c r="L1170" s="63">
        <v>13.12</v>
      </c>
      <c r="M1170" s="66">
        <f t="shared" si="1"/>
        <v>109.91</v>
      </c>
    </row>
    <row r="1171">
      <c r="A1171" s="67"/>
      <c r="B1171" s="67"/>
      <c r="C1171" s="67"/>
      <c r="D1171" s="67"/>
      <c r="E1171" s="67"/>
      <c r="F1171" s="68"/>
      <c r="G1171" s="68"/>
      <c r="H1171" s="68"/>
      <c r="I1171" s="68"/>
      <c r="J1171" s="68"/>
      <c r="K1171" s="69">
        <v>6500.0</v>
      </c>
      <c r="L1171" s="69">
        <v>11.83</v>
      </c>
      <c r="M1171" s="68">
        <f t="shared" si="1"/>
        <v>107.37</v>
      </c>
    </row>
    <row r="1172">
      <c r="A1172" s="70"/>
      <c r="B1172" s="70"/>
      <c r="C1172" s="70"/>
      <c r="D1172" s="70"/>
      <c r="E1172" s="70"/>
      <c r="F1172" s="66"/>
      <c r="G1172" s="66"/>
      <c r="H1172" s="66"/>
      <c r="I1172" s="66"/>
      <c r="J1172" s="66"/>
      <c r="K1172" s="63">
        <v>7000.0</v>
      </c>
      <c r="L1172" s="63">
        <v>10.25</v>
      </c>
      <c r="M1172" s="66">
        <f t="shared" si="1"/>
        <v>100.18</v>
      </c>
    </row>
    <row r="1173">
      <c r="A1173" s="68">
        <v>80.0</v>
      </c>
      <c r="B1173" s="68">
        <v>121.0</v>
      </c>
      <c r="C1173" s="71" t="s">
        <v>288</v>
      </c>
      <c r="D1173" s="71" t="s">
        <v>289</v>
      </c>
      <c r="E1173" s="71" t="s">
        <v>290</v>
      </c>
      <c r="F1173" s="72">
        <v>6000.0</v>
      </c>
      <c r="G1173" s="72">
        <v>6200.0</v>
      </c>
      <c r="H1173" s="72">
        <v>800.0</v>
      </c>
      <c r="I1173" s="72">
        <v>1900.0</v>
      </c>
      <c r="J1173" s="72">
        <v>5300.0</v>
      </c>
      <c r="K1173" s="69">
        <v>500.0</v>
      </c>
      <c r="L1173" s="69">
        <v>20.71</v>
      </c>
      <c r="M1173" s="68">
        <f t="shared" si="1"/>
        <v>14.46</v>
      </c>
    </row>
    <row r="1174">
      <c r="A1174" s="70"/>
      <c r="B1174" s="70"/>
      <c r="C1174" s="70"/>
      <c r="D1174" s="70"/>
      <c r="E1174" s="70"/>
      <c r="F1174" s="66"/>
      <c r="G1174" s="66"/>
      <c r="H1174" s="66"/>
      <c r="I1174" s="66"/>
      <c r="J1174" s="66"/>
      <c r="K1174" s="63">
        <v>1000.0</v>
      </c>
      <c r="L1174" s="63">
        <v>30.33</v>
      </c>
      <c r="M1174" s="66">
        <f t="shared" si="1"/>
        <v>42.35</v>
      </c>
    </row>
    <row r="1175">
      <c r="A1175" s="67"/>
      <c r="B1175" s="67"/>
      <c r="C1175" s="67"/>
      <c r="D1175" s="67"/>
      <c r="E1175" s="67"/>
      <c r="F1175" s="68"/>
      <c r="G1175" s="68"/>
      <c r="H1175" s="68"/>
      <c r="I1175" s="68"/>
      <c r="J1175" s="68"/>
      <c r="K1175" s="69">
        <v>1500.0</v>
      </c>
      <c r="L1175" s="69">
        <v>34.23</v>
      </c>
      <c r="M1175" s="68">
        <f t="shared" si="1"/>
        <v>71.69</v>
      </c>
    </row>
    <row r="1176">
      <c r="A1176" s="70"/>
      <c r="B1176" s="70"/>
      <c r="C1176" s="70"/>
      <c r="D1176" s="70"/>
      <c r="E1176" s="70"/>
      <c r="F1176" s="66"/>
      <c r="G1176" s="66"/>
      <c r="H1176" s="66"/>
      <c r="I1176" s="66"/>
      <c r="J1176" s="66"/>
      <c r="K1176" s="63">
        <v>2000.0</v>
      </c>
      <c r="L1176" s="63">
        <v>35.69</v>
      </c>
      <c r="M1176" s="66">
        <f t="shared" si="1"/>
        <v>99.66</v>
      </c>
    </row>
    <row r="1177">
      <c r="A1177" s="67"/>
      <c r="B1177" s="67"/>
      <c r="C1177" s="67"/>
      <c r="D1177" s="67"/>
      <c r="E1177" s="67"/>
      <c r="F1177" s="68"/>
      <c r="G1177" s="68"/>
      <c r="H1177" s="68"/>
      <c r="I1177" s="68"/>
      <c r="J1177" s="68"/>
      <c r="K1177" s="69">
        <v>2500.0</v>
      </c>
      <c r="L1177" s="69">
        <v>35.69</v>
      </c>
      <c r="M1177" s="68">
        <f t="shared" si="1"/>
        <v>124.58</v>
      </c>
    </row>
    <row r="1178">
      <c r="A1178" s="73"/>
      <c r="B1178" s="73"/>
      <c r="C1178" s="73"/>
      <c r="D1178" s="73"/>
      <c r="E1178" s="73"/>
      <c r="F1178" s="66"/>
      <c r="G1178" s="66"/>
      <c r="H1178" s="66"/>
      <c r="I1178" s="66"/>
      <c r="J1178" s="66"/>
      <c r="K1178" s="63">
        <v>3000.0</v>
      </c>
      <c r="L1178" s="63">
        <v>35.69</v>
      </c>
      <c r="M1178" s="66">
        <f t="shared" si="1"/>
        <v>149.5</v>
      </c>
    </row>
    <row r="1179">
      <c r="A1179" s="67"/>
      <c r="B1179" s="67"/>
      <c r="C1179" s="67"/>
      <c r="D1179" s="67"/>
      <c r="E1179" s="67"/>
      <c r="F1179" s="68"/>
      <c r="G1179" s="68"/>
      <c r="H1179" s="68"/>
      <c r="I1179" s="68"/>
      <c r="J1179" s="68"/>
      <c r="K1179" s="69">
        <v>3500.0</v>
      </c>
      <c r="L1179" s="69">
        <v>35.69</v>
      </c>
      <c r="M1179" s="68">
        <f t="shared" si="1"/>
        <v>174.41</v>
      </c>
    </row>
    <row r="1180">
      <c r="A1180" s="70"/>
      <c r="B1180" s="70"/>
      <c r="C1180" s="70"/>
      <c r="D1180" s="70"/>
      <c r="E1180" s="70"/>
      <c r="F1180" s="66"/>
      <c r="G1180" s="66"/>
      <c r="H1180" s="66"/>
      <c r="I1180" s="66"/>
      <c r="J1180" s="66"/>
      <c r="K1180" s="63">
        <v>4000.0</v>
      </c>
      <c r="L1180" s="63">
        <v>35.69</v>
      </c>
      <c r="M1180" s="66">
        <f t="shared" si="1"/>
        <v>199.33</v>
      </c>
    </row>
    <row r="1181">
      <c r="A1181" s="67"/>
      <c r="B1181" s="67"/>
      <c r="C1181" s="67"/>
      <c r="D1181" s="67"/>
      <c r="E1181" s="67"/>
      <c r="F1181" s="68"/>
      <c r="G1181" s="68"/>
      <c r="H1181" s="68"/>
      <c r="I1181" s="68"/>
      <c r="J1181" s="68"/>
      <c r="K1181" s="69">
        <v>4500.0</v>
      </c>
      <c r="L1181" s="69">
        <v>35.69</v>
      </c>
      <c r="M1181" s="68">
        <f t="shared" si="1"/>
        <v>224.25</v>
      </c>
    </row>
    <row r="1182">
      <c r="A1182" s="70"/>
      <c r="B1182" s="70"/>
      <c r="C1182" s="70"/>
      <c r="D1182" s="70"/>
      <c r="E1182" s="70"/>
      <c r="F1182" s="66"/>
      <c r="G1182" s="66"/>
      <c r="H1182" s="66"/>
      <c r="I1182" s="66"/>
      <c r="J1182" s="66"/>
      <c r="K1182" s="63">
        <v>5000.0</v>
      </c>
      <c r="L1182" s="63">
        <v>34.67</v>
      </c>
      <c r="M1182" s="66">
        <f t="shared" si="1"/>
        <v>242.04</v>
      </c>
    </row>
    <row r="1183">
      <c r="A1183" s="67"/>
      <c r="B1183" s="67"/>
      <c r="C1183" s="67"/>
      <c r="D1183" s="67"/>
      <c r="E1183" s="67"/>
      <c r="F1183" s="68"/>
      <c r="G1183" s="68"/>
      <c r="H1183" s="68"/>
      <c r="I1183" s="68"/>
      <c r="J1183" s="68"/>
      <c r="K1183" s="69">
        <v>5500.0</v>
      </c>
      <c r="L1183" s="69">
        <v>32.43</v>
      </c>
      <c r="M1183" s="68">
        <f t="shared" si="1"/>
        <v>249.04</v>
      </c>
    </row>
    <row r="1184">
      <c r="A1184" s="70"/>
      <c r="B1184" s="70"/>
      <c r="C1184" s="70"/>
      <c r="D1184" s="70"/>
      <c r="E1184" s="70"/>
      <c r="F1184" s="66"/>
      <c r="G1184" s="66"/>
      <c r="H1184" s="66"/>
      <c r="I1184" s="66"/>
      <c r="J1184" s="66"/>
      <c r="K1184" s="63">
        <v>6000.0</v>
      </c>
      <c r="L1184" s="63">
        <v>29.5</v>
      </c>
      <c r="M1184" s="66">
        <f t="shared" si="1"/>
        <v>247.14</v>
      </c>
    </row>
    <row r="1185">
      <c r="A1185" s="67"/>
      <c r="B1185" s="67"/>
      <c r="C1185" s="67"/>
      <c r="D1185" s="67"/>
      <c r="E1185" s="67"/>
      <c r="F1185" s="68"/>
      <c r="G1185" s="68"/>
      <c r="H1185" s="68"/>
      <c r="I1185" s="68"/>
      <c r="J1185" s="68"/>
      <c r="K1185" s="69">
        <v>6500.0</v>
      </c>
      <c r="L1185" s="69">
        <v>26.3</v>
      </c>
      <c r="M1185" s="68">
        <f t="shared" si="1"/>
        <v>238.69</v>
      </c>
    </row>
    <row r="1186">
      <c r="A1186" s="70"/>
      <c r="B1186" s="70"/>
      <c r="C1186" s="70"/>
      <c r="D1186" s="70"/>
      <c r="E1186" s="70"/>
      <c r="F1186" s="66"/>
      <c r="G1186" s="66"/>
      <c r="H1186" s="66"/>
      <c r="I1186" s="66"/>
      <c r="J1186" s="66"/>
      <c r="K1186" s="63">
        <v>7000.0</v>
      </c>
      <c r="L1186" s="63">
        <v>22.9</v>
      </c>
      <c r="M1186" s="66">
        <f t="shared" si="1"/>
        <v>223.82</v>
      </c>
    </row>
    <row r="1187">
      <c r="A1187" s="68">
        <v>81.0</v>
      </c>
      <c r="B1187" s="68">
        <v>122.0</v>
      </c>
      <c r="C1187" s="71" t="s">
        <v>291</v>
      </c>
      <c r="D1187" s="71" t="s">
        <v>292</v>
      </c>
      <c r="E1187" s="71" t="s">
        <v>293</v>
      </c>
      <c r="F1187" s="72">
        <v>6250.0</v>
      </c>
      <c r="G1187" s="72">
        <v>6400.0</v>
      </c>
      <c r="H1187" s="72">
        <v>800.0</v>
      </c>
      <c r="I1187" s="72">
        <v>4400.0</v>
      </c>
      <c r="J1187" s="72">
        <v>6000.0</v>
      </c>
      <c r="K1187" s="69">
        <v>500.0</v>
      </c>
      <c r="L1187" s="69">
        <v>30.88</v>
      </c>
      <c r="M1187" s="68">
        <f t="shared" si="1"/>
        <v>21.56</v>
      </c>
    </row>
    <row r="1188">
      <c r="A1188" s="70"/>
      <c r="B1188" s="70"/>
      <c r="C1188" s="70"/>
      <c r="D1188" s="70"/>
      <c r="E1188" s="70"/>
      <c r="F1188" s="66"/>
      <c r="G1188" s="66"/>
      <c r="H1188" s="66"/>
      <c r="I1188" s="66"/>
      <c r="J1188" s="66"/>
      <c r="K1188" s="63">
        <v>1000.0</v>
      </c>
      <c r="L1188" s="63">
        <v>33.38</v>
      </c>
      <c r="M1188" s="66">
        <f t="shared" si="1"/>
        <v>46.61</v>
      </c>
    </row>
    <row r="1189">
      <c r="A1189" s="67"/>
      <c r="B1189" s="67"/>
      <c r="C1189" s="67"/>
      <c r="D1189" s="67"/>
      <c r="E1189" s="67"/>
      <c r="F1189" s="68"/>
      <c r="G1189" s="68"/>
      <c r="H1189" s="68"/>
      <c r="I1189" s="68"/>
      <c r="J1189" s="68"/>
      <c r="K1189" s="69">
        <v>1500.0</v>
      </c>
      <c r="L1189" s="69">
        <v>35.13</v>
      </c>
      <c r="M1189" s="68">
        <f t="shared" si="1"/>
        <v>73.58</v>
      </c>
    </row>
    <row r="1190">
      <c r="A1190" s="70"/>
      <c r="B1190" s="70"/>
      <c r="C1190" s="70"/>
      <c r="D1190" s="70"/>
      <c r="E1190" s="70"/>
      <c r="F1190" s="66"/>
      <c r="G1190" s="66"/>
      <c r="H1190" s="66"/>
      <c r="I1190" s="66"/>
      <c r="J1190" s="66"/>
      <c r="K1190" s="63">
        <v>2000.0</v>
      </c>
      <c r="L1190" s="63">
        <v>36.38</v>
      </c>
      <c r="M1190" s="66">
        <f t="shared" si="1"/>
        <v>101.59</v>
      </c>
    </row>
    <row r="1191">
      <c r="A1191" s="67"/>
      <c r="B1191" s="67"/>
      <c r="C1191" s="67"/>
      <c r="D1191" s="67"/>
      <c r="E1191" s="67"/>
      <c r="F1191" s="68"/>
      <c r="G1191" s="68"/>
      <c r="H1191" s="68"/>
      <c r="I1191" s="68"/>
      <c r="J1191" s="68"/>
      <c r="K1191" s="69">
        <v>2500.0</v>
      </c>
      <c r="L1191" s="69">
        <v>37.5</v>
      </c>
      <c r="M1191" s="68">
        <f t="shared" si="1"/>
        <v>130.9</v>
      </c>
    </row>
    <row r="1192">
      <c r="A1192" s="70"/>
      <c r="B1192" s="70"/>
      <c r="C1192" s="70"/>
      <c r="D1192" s="70"/>
      <c r="E1192" s="70"/>
      <c r="F1192" s="66"/>
      <c r="G1192" s="66"/>
      <c r="H1192" s="66"/>
      <c r="I1192" s="66"/>
      <c r="J1192" s="66"/>
      <c r="K1192" s="63">
        <v>3000.0</v>
      </c>
      <c r="L1192" s="63">
        <v>38.63</v>
      </c>
      <c r="M1192" s="66">
        <f t="shared" si="1"/>
        <v>161.81</v>
      </c>
    </row>
    <row r="1193">
      <c r="A1193" s="67"/>
      <c r="B1193" s="67"/>
      <c r="C1193" s="67"/>
      <c r="D1193" s="67"/>
      <c r="E1193" s="67"/>
      <c r="F1193" s="68"/>
      <c r="G1193" s="68"/>
      <c r="H1193" s="68"/>
      <c r="I1193" s="68"/>
      <c r="J1193" s="68"/>
      <c r="K1193" s="69">
        <v>3500.0</v>
      </c>
      <c r="L1193" s="69">
        <v>39.75</v>
      </c>
      <c r="M1193" s="68">
        <f t="shared" si="1"/>
        <v>194.25</v>
      </c>
    </row>
    <row r="1194">
      <c r="A1194" s="70"/>
      <c r="B1194" s="70"/>
      <c r="C1194" s="70"/>
      <c r="D1194" s="70"/>
      <c r="E1194" s="70"/>
      <c r="F1194" s="66"/>
      <c r="G1194" s="66"/>
      <c r="H1194" s="66"/>
      <c r="I1194" s="66"/>
      <c r="J1194" s="66"/>
      <c r="K1194" s="63">
        <v>4000.0</v>
      </c>
      <c r="L1194" s="63">
        <v>40.38</v>
      </c>
      <c r="M1194" s="66">
        <f t="shared" si="1"/>
        <v>225.52</v>
      </c>
    </row>
    <row r="1195">
      <c r="A1195" s="67"/>
      <c r="B1195" s="67"/>
      <c r="C1195" s="67"/>
      <c r="D1195" s="67"/>
      <c r="E1195" s="67"/>
      <c r="F1195" s="68"/>
      <c r="G1195" s="68"/>
      <c r="H1195" s="68"/>
      <c r="I1195" s="68"/>
      <c r="J1195" s="68"/>
      <c r="K1195" s="69">
        <v>4400.0</v>
      </c>
      <c r="L1195" s="69">
        <v>40.8</v>
      </c>
      <c r="M1195" s="68">
        <f t="shared" si="1"/>
        <v>250.66</v>
      </c>
    </row>
    <row r="1196">
      <c r="A1196" s="70"/>
      <c r="B1196" s="70"/>
      <c r="C1196" s="70"/>
      <c r="D1196" s="70"/>
      <c r="E1196" s="70"/>
      <c r="F1196" s="66"/>
      <c r="G1196" s="66"/>
      <c r="H1196" s="66"/>
      <c r="I1196" s="66"/>
      <c r="J1196" s="66"/>
      <c r="K1196" s="63">
        <v>5000.0</v>
      </c>
      <c r="L1196" s="63">
        <v>39.5</v>
      </c>
      <c r="M1196" s="66">
        <f t="shared" si="1"/>
        <v>275.76</v>
      </c>
    </row>
    <row r="1197">
      <c r="A1197" s="67"/>
      <c r="B1197" s="67"/>
      <c r="C1197" s="67"/>
      <c r="D1197" s="67"/>
      <c r="E1197" s="67"/>
      <c r="F1197" s="68"/>
      <c r="G1197" s="68"/>
      <c r="H1197" s="68"/>
      <c r="I1197" s="68"/>
      <c r="J1197" s="68"/>
      <c r="K1197" s="69">
        <v>5500.0</v>
      </c>
      <c r="L1197" s="69">
        <v>38.0</v>
      </c>
      <c r="M1197" s="68">
        <f t="shared" si="1"/>
        <v>291.82</v>
      </c>
    </row>
    <row r="1198">
      <c r="A1198" s="70"/>
      <c r="B1198" s="70"/>
      <c r="C1198" s="70"/>
      <c r="D1198" s="70"/>
      <c r="E1198" s="70"/>
      <c r="F1198" s="66"/>
      <c r="G1198" s="66"/>
      <c r="H1198" s="66"/>
      <c r="I1198" s="66"/>
      <c r="J1198" s="66"/>
      <c r="K1198" s="63">
        <v>6000.0</v>
      </c>
      <c r="L1198" s="63">
        <v>36.2</v>
      </c>
      <c r="M1198" s="66">
        <f t="shared" si="1"/>
        <v>303.27</v>
      </c>
    </row>
    <row r="1199">
      <c r="A1199" s="67"/>
      <c r="B1199" s="67"/>
      <c r="C1199" s="67"/>
      <c r="D1199" s="67"/>
      <c r="E1199" s="67"/>
      <c r="F1199" s="68"/>
      <c r="G1199" s="68"/>
      <c r="H1199" s="68"/>
      <c r="I1199" s="68"/>
      <c r="J1199" s="68"/>
      <c r="K1199" s="69">
        <v>6500.0</v>
      </c>
      <c r="L1199" s="69">
        <v>33.13</v>
      </c>
      <c r="M1199" s="68">
        <f t="shared" si="1"/>
        <v>300.68</v>
      </c>
    </row>
    <row r="1200">
      <c r="A1200" s="70"/>
      <c r="B1200" s="70"/>
      <c r="C1200" s="70"/>
      <c r="D1200" s="70"/>
      <c r="E1200" s="70"/>
      <c r="F1200" s="66"/>
      <c r="G1200" s="66"/>
      <c r="H1200" s="66"/>
      <c r="I1200" s="66"/>
      <c r="J1200" s="66"/>
      <c r="K1200" s="63">
        <v>7000.0</v>
      </c>
      <c r="L1200" s="63">
        <v>29.38</v>
      </c>
      <c r="M1200" s="66">
        <f t="shared" si="1"/>
        <v>287.15</v>
      </c>
    </row>
    <row r="1201">
      <c r="A1201" s="68">
        <v>82.0</v>
      </c>
      <c r="B1201" s="68">
        <v>123.0</v>
      </c>
      <c r="C1201" s="71" t="s">
        <v>294</v>
      </c>
      <c r="D1201" s="71" t="s">
        <v>295</v>
      </c>
      <c r="E1201" s="71" t="s">
        <v>296</v>
      </c>
      <c r="F1201" s="72">
        <v>8200.0</v>
      </c>
      <c r="G1201" s="72">
        <v>8400.0</v>
      </c>
      <c r="H1201" s="72">
        <v>800.0</v>
      </c>
      <c r="I1201" s="72">
        <v>6800.0</v>
      </c>
      <c r="J1201" s="72">
        <v>7600.0</v>
      </c>
      <c r="K1201" s="69">
        <v>500.0</v>
      </c>
      <c r="L1201" s="69">
        <v>13.92</v>
      </c>
      <c r="M1201" s="68">
        <f t="shared" si="1"/>
        <v>9.72</v>
      </c>
    </row>
    <row r="1202">
      <c r="A1202" s="73"/>
      <c r="B1202" s="73"/>
      <c r="C1202" s="73"/>
      <c r="D1202" s="73"/>
      <c r="E1202" s="73"/>
      <c r="F1202" s="66"/>
      <c r="G1202" s="66"/>
      <c r="H1202" s="66"/>
      <c r="I1202" s="66"/>
      <c r="J1202" s="66"/>
      <c r="K1202" s="63">
        <v>1000.0</v>
      </c>
      <c r="L1202" s="63">
        <v>15.29</v>
      </c>
      <c r="M1202" s="66">
        <f t="shared" si="1"/>
        <v>21.35</v>
      </c>
    </row>
    <row r="1203">
      <c r="A1203" s="67"/>
      <c r="B1203" s="67"/>
      <c r="C1203" s="67"/>
      <c r="D1203" s="67"/>
      <c r="E1203" s="67"/>
      <c r="F1203" s="68"/>
      <c r="G1203" s="68"/>
      <c r="H1203" s="68"/>
      <c r="I1203" s="68"/>
      <c r="J1203" s="68"/>
      <c r="K1203" s="69">
        <v>1500.0</v>
      </c>
      <c r="L1203" s="69">
        <v>16.11</v>
      </c>
      <c r="M1203" s="68">
        <f t="shared" si="1"/>
        <v>33.74</v>
      </c>
    </row>
    <row r="1204">
      <c r="A1204" s="70"/>
      <c r="B1204" s="70"/>
      <c r="C1204" s="70"/>
      <c r="D1204" s="70"/>
      <c r="E1204" s="70"/>
      <c r="F1204" s="66"/>
      <c r="G1204" s="66"/>
      <c r="H1204" s="66"/>
      <c r="I1204" s="66"/>
      <c r="J1204" s="66"/>
      <c r="K1204" s="63">
        <v>2000.0</v>
      </c>
      <c r="L1204" s="63">
        <v>16.42</v>
      </c>
      <c r="M1204" s="66">
        <f t="shared" si="1"/>
        <v>45.85</v>
      </c>
    </row>
    <row r="1205">
      <c r="A1205" s="67"/>
      <c r="B1205" s="67"/>
      <c r="C1205" s="67"/>
      <c r="D1205" s="67"/>
      <c r="E1205" s="67"/>
      <c r="F1205" s="68"/>
      <c r="G1205" s="68"/>
      <c r="H1205" s="68"/>
      <c r="I1205" s="68"/>
      <c r="J1205" s="68"/>
      <c r="K1205" s="69">
        <v>2500.0</v>
      </c>
      <c r="L1205" s="69">
        <v>16.7</v>
      </c>
      <c r="M1205" s="68">
        <f t="shared" si="1"/>
        <v>58.29</v>
      </c>
    </row>
    <row r="1206">
      <c r="A1206" s="70"/>
      <c r="B1206" s="70"/>
      <c r="C1206" s="70"/>
      <c r="D1206" s="70"/>
      <c r="E1206" s="70"/>
      <c r="F1206" s="66"/>
      <c r="G1206" s="66"/>
      <c r="H1206" s="66"/>
      <c r="I1206" s="66"/>
      <c r="J1206" s="66"/>
      <c r="K1206" s="63">
        <v>3000.0</v>
      </c>
      <c r="L1206" s="63">
        <v>16.8</v>
      </c>
      <c r="M1206" s="66">
        <f t="shared" si="1"/>
        <v>70.37</v>
      </c>
    </row>
    <row r="1207">
      <c r="A1207" s="67"/>
      <c r="B1207" s="67"/>
      <c r="C1207" s="67"/>
      <c r="D1207" s="67"/>
      <c r="E1207" s="67"/>
      <c r="F1207" s="68"/>
      <c r="G1207" s="68"/>
      <c r="H1207" s="68"/>
      <c r="I1207" s="68"/>
      <c r="J1207" s="68"/>
      <c r="K1207" s="69">
        <v>3500.0</v>
      </c>
      <c r="L1207" s="69">
        <v>17.26</v>
      </c>
      <c r="M1207" s="68">
        <f t="shared" si="1"/>
        <v>84.35</v>
      </c>
    </row>
    <row r="1208">
      <c r="A1208" s="70"/>
      <c r="B1208" s="70"/>
      <c r="C1208" s="70"/>
      <c r="D1208" s="70"/>
      <c r="E1208" s="70"/>
      <c r="F1208" s="66"/>
      <c r="G1208" s="66"/>
      <c r="H1208" s="66"/>
      <c r="I1208" s="66"/>
      <c r="J1208" s="66"/>
      <c r="K1208" s="63">
        <v>4000.0</v>
      </c>
      <c r="L1208" s="63">
        <v>17.54</v>
      </c>
      <c r="M1208" s="66">
        <f t="shared" si="1"/>
        <v>97.96</v>
      </c>
    </row>
    <row r="1209">
      <c r="A1209" s="67"/>
      <c r="B1209" s="67"/>
      <c r="C1209" s="67"/>
      <c r="D1209" s="67"/>
      <c r="E1209" s="67"/>
      <c r="F1209" s="68"/>
      <c r="G1209" s="68"/>
      <c r="H1209" s="68"/>
      <c r="I1209" s="68"/>
      <c r="J1209" s="68"/>
      <c r="K1209" s="69">
        <v>4500.0</v>
      </c>
      <c r="L1209" s="69">
        <v>17.44</v>
      </c>
      <c r="M1209" s="68">
        <f t="shared" si="1"/>
        <v>109.58</v>
      </c>
    </row>
    <row r="1210">
      <c r="A1210" s="70"/>
      <c r="B1210" s="70"/>
      <c r="C1210" s="70"/>
      <c r="D1210" s="70"/>
      <c r="E1210" s="70"/>
      <c r="F1210" s="66"/>
      <c r="G1210" s="66"/>
      <c r="H1210" s="66"/>
      <c r="I1210" s="66"/>
      <c r="J1210" s="66"/>
      <c r="K1210" s="63">
        <v>5000.0</v>
      </c>
      <c r="L1210" s="63">
        <v>17.34</v>
      </c>
      <c r="M1210" s="66">
        <f t="shared" si="1"/>
        <v>121.06</v>
      </c>
    </row>
    <row r="1211">
      <c r="A1211" s="67"/>
      <c r="B1211" s="67"/>
      <c r="C1211" s="67"/>
      <c r="D1211" s="67"/>
      <c r="E1211" s="67"/>
      <c r="F1211" s="68"/>
      <c r="G1211" s="68"/>
      <c r="H1211" s="68"/>
      <c r="I1211" s="68"/>
      <c r="J1211" s="68"/>
      <c r="K1211" s="69">
        <v>5500.0</v>
      </c>
      <c r="L1211" s="69">
        <v>17.03</v>
      </c>
      <c r="M1211" s="68">
        <f t="shared" si="1"/>
        <v>130.78</v>
      </c>
    </row>
    <row r="1212">
      <c r="A1212" s="70"/>
      <c r="B1212" s="70"/>
      <c r="C1212" s="70"/>
      <c r="D1212" s="70"/>
      <c r="E1212" s="70"/>
      <c r="F1212" s="66"/>
      <c r="G1212" s="66"/>
      <c r="H1212" s="66"/>
      <c r="I1212" s="66"/>
      <c r="J1212" s="66"/>
      <c r="K1212" s="63">
        <v>6000.0</v>
      </c>
      <c r="L1212" s="63">
        <v>17.47</v>
      </c>
      <c r="M1212" s="66">
        <f t="shared" si="1"/>
        <v>146.36</v>
      </c>
    </row>
    <row r="1213">
      <c r="A1213" s="67"/>
      <c r="B1213" s="67"/>
      <c r="C1213" s="67"/>
      <c r="D1213" s="67"/>
      <c r="E1213" s="67"/>
      <c r="F1213" s="68"/>
      <c r="G1213" s="68"/>
      <c r="H1213" s="68"/>
      <c r="I1213" s="68"/>
      <c r="J1213" s="68"/>
      <c r="K1213" s="69">
        <v>6500.0</v>
      </c>
      <c r="L1213" s="69">
        <v>17.91</v>
      </c>
      <c r="M1213" s="68">
        <f t="shared" si="1"/>
        <v>162.55</v>
      </c>
    </row>
    <row r="1214">
      <c r="A1214" s="70"/>
      <c r="B1214" s="70"/>
      <c r="C1214" s="70"/>
      <c r="D1214" s="70"/>
      <c r="E1214" s="70"/>
      <c r="F1214" s="66"/>
      <c r="G1214" s="66"/>
      <c r="H1214" s="66"/>
      <c r="I1214" s="66"/>
      <c r="J1214" s="66"/>
      <c r="K1214" s="63">
        <v>7000.0</v>
      </c>
      <c r="L1214" s="63">
        <v>18.35</v>
      </c>
      <c r="M1214" s="66">
        <f t="shared" si="1"/>
        <v>179.35</v>
      </c>
    </row>
    <row r="1215">
      <c r="A1215" s="67"/>
      <c r="B1215" s="67"/>
      <c r="C1215" s="67"/>
      <c r="D1215" s="67"/>
      <c r="E1215" s="67"/>
      <c r="F1215" s="68"/>
      <c r="G1215" s="68"/>
      <c r="H1215" s="68"/>
      <c r="I1215" s="68"/>
      <c r="J1215" s="68"/>
      <c r="K1215" s="69">
        <v>7500.0</v>
      </c>
      <c r="L1215" s="69">
        <v>18.09</v>
      </c>
      <c r="M1215" s="68">
        <f t="shared" si="1"/>
        <v>189.44</v>
      </c>
    </row>
    <row r="1216">
      <c r="A1216" s="70"/>
      <c r="B1216" s="70"/>
      <c r="C1216" s="70"/>
      <c r="D1216" s="70"/>
      <c r="E1216" s="70"/>
      <c r="F1216" s="66"/>
      <c r="G1216" s="66"/>
      <c r="H1216" s="66"/>
      <c r="I1216" s="66"/>
      <c r="J1216" s="66"/>
      <c r="K1216" s="63">
        <v>8000.0</v>
      </c>
      <c r="L1216" s="63">
        <v>16.65</v>
      </c>
      <c r="M1216" s="66">
        <f t="shared" si="1"/>
        <v>185.98</v>
      </c>
    </row>
    <row r="1217">
      <c r="A1217" s="67"/>
      <c r="B1217" s="67"/>
      <c r="C1217" s="67"/>
      <c r="D1217" s="67"/>
      <c r="E1217" s="67"/>
      <c r="F1217" s="68"/>
      <c r="G1217" s="68"/>
      <c r="H1217" s="68"/>
      <c r="I1217" s="68"/>
      <c r="J1217" s="68"/>
      <c r="K1217" s="69">
        <v>8500.0</v>
      </c>
      <c r="L1217" s="69">
        <v>14.95</v>
      </c>
      <c r="M1217" s="68">
        <f t="shared" si="1"/>
        <v>177.43</v>
      </c>
    </row>
    <row r="1218">
      <c r="A1218" s="70"/>
      <c r="B1218" s="70"/>
      <c r="C1218" s="70"/>
      <c r="D1218" s="70"/>
      <c r="E1218" s="70"/>
      <c r="F1218" s="66"/>
      <c r="G1218" s="66"/>
      <c r="H1218" s="66"/>
      <c r="I1218" s="66"/>
      <c r="J1218" s="66"/>
      <c r="K1218" s="63">
        <v>9000.0</v>
      </c>
      <c r="L1218" s="63">
        <v>13.0</v>
      </c>
      <c r="M1218" s="66">
        <f t="shared" si="1"/>
        <v>163.36</v>
      </c>
    </row>
    <row r="1219">
      <c r="A1219" s="68">
        <v>83.0</v>
      </c>
      <c r="B1219" s="68">
        <v>124.0</v>
      </c>
      <c r="C1219" s="71" t="s">
        <v>297</v>
      </c>
      <c r="D1219" s="71" t="s">
        <v>298</v>
      </c>
      <c r="E1219" s="71" t="s">
        <v>299</v>
      </c>
      <c r="F1219" s="72">
        <v>5500.0</v>
      </c>
      <c r="G1219" s="72">
        <v>5500.0</v>
      </c>
      <c r="H1219" s="72">
        <v>700.0</v>
      </c>
      <c r="I1219" s="72">
        <v>2800.0</v>
      </c>
      <c r="J1219" s="72">
        <v>4400.0</v>
      </c>
      <c r="K1219" s="69">
        <v>500.0</v>
      </c>
      <c r="L1219" s="69">
        <v>28.1</v>
      </c>
      <c r="M1219" s="68">
        <f t="shared" si="1"/>
        <v>19.62</v>
      </c>
    </row>
    <row r="1220">
      <c r="A1220" s="70"/>
      <c r="B1220" s="70"/>
      <c r="C1220" s="70"/>
      <c r="D1220" s="70"/>
      <c r="E1220" s="70"/>
      <c r="F1220" s="66"/>
      <c r="G1220" s="66"/>
      <c r="H1220" s="66"/>
      <c r="I1220" s="66"/>
      <c r="J1220" s="66"/>
      <c r="K1220" s="63">
        <v>1000.0</v>
      </c>
      <c r="L1220" s="63">
        <v>31.0</v>
      </c>
      <c r="M1220" s="66">
        <f t="shared" si="1"/>
        <v>43.28</v>
      </c>
    </row>
    <row r="1221">
      <c r="A1221" s="67"/>
      <c r="B1221" s="67"/>
      <c r="C1221" s="67"/>
      <c r="D1221" s="67"/>
      <c r="E1221" s="67"/>
      <c r="F1221" s="68"/>
      <c r="G1221" s="68"/>
      <c r="H1221" s="68"/>
      <c r="I1221" s="68"/>
      <c r="J1221" s="68"/>
      <c r="K1221" s="69">
        <v>1500.0</v>
      </c>
      <c r="L1221" s="69">
        <v>32.9</v>
      </c>
      <c r="M1221" s="68">
        <f t="shared" si="1"/>
        <v>68.91</v>
      </c>
    </row>
    <row r="1222">
      <c r="A1222" s="70"/>
      <c r="B1222" s="70"/>
      <c r="C1222" s="70"/>
      <c r="D1222" s="70"/>
      <c r="E1222" s="70"/>
      <c r="F1222" s="66"/>
      <c r="G1222" s="66"/>
      <c r="H1222" s="66"/>
      <c r="I1222" s="66"/>
      <c r="J1222" s="66"/>
      <c r="K1222" s="63">
        <v>2000.0</v>
      </c>
      <c r="L1222" s="63">
        <v>34.1</v>
      </c>
      <c r="M1222" s="66">
        <f t="shared" si="1"/>
        <v>95.22</v>
      </c>
    </row>
    <row r="1223">
      <c r="A1223" s="67"/>
      <c r="B1223" s="67"/>
      <c r="C1223" s="67"/>
      <c r="D1223" s="67"/>
      <c r="E1223" s="67"/>
      <c r="F1223" s="68"/>
      <c r="G1223" s="68"/>
      <c r="H1223" s="68"/>
      <c r="I1223" s="68"/>
      <c r="J1223" s="68"/>
      <c r="K1223" s="69">
        <v>2500.0</v>
      </c>
      <c r="L1223" s="69">
        <v>34.5</v>
      </c>
      <c r="M1223" s="68">
        <f t="shared" si="1"/>
        <v>120.43</v>
      </c>
    </row>
    <row r="1224">
      <c r="A1224" s="70"/>
      <c r="B1224" s="70"/>
      <c r="C1224" s="70"/>
      <c r="D1224" s="70"/>
      <c r="E1224" s="70"/>
      <c r="F1224" s="66"/>
      <c r="G1224" s="66"/>
      <c r="H1224" s="66"/>
      <c r="I1224" s="66"/>
      <c r="J1224" s="66"/>
      <c r="K1224" s="63">
        <v>2800.0</v>
      </c>
      <c r="L1224" s="63">
        <v>34.6</v>
      </c>
      <c r="M1224" s="66">
        <f t="shared" si="1"/>
        <v>135.27</v>
      </c>
    </row>
    <row r="1225">
      <c r="A1225" s="67"/>
      <c r="B1225" s="67"/>
      <c r="C1225" s="67"/>
      <c r="D1225" s="67"/>
      <c r="E1225" s="67"/>
      <c r="F1225" s="68"/>
      <c r="G1225" s="68"/>
      <c r="H1225" s="68"/>
      <c r="I1225" s="68"/>
      <c r="J1225" s="68"/>
      <c r="K1225" s="69">
        <v>3300.0</v>
      </c>
      <c r="L1225" s="69">
        <v>34.4</v>
      </c>
      <c r="M1225" s="68">
        <f t="shared" si="1"/>
        <v>158.5</v>
      </c>
    </row>
    <row r="1226">
      <c r="A1226" s="73"/>
      <c r="B1226" s="73"/>
      <c r="C1226" s="73"/>
      <c r="D1226" s="73"/>
      <c r="E1226" s="73"/>
      <c r="F1226" s="66"/>
      <c r="G1226" s="66"/>
      <c r="H1226" s="66"/>
      <c r="I1226" s="66"/>
      <c r="J1226" s="66"/>
      <c r="K1226" s="63">
        <v>4000.0</v>
      </c>
      <c r="L1226" s="63">
        <v>33.4</v>
      </c>
      <c r="M1226" s="66">
        <f t="shared" si="1"/>
        <v>186.54</v>
      </c>
    </row>
    <row r="1227">
      <c r="A1227" s="67"/>
      <c r="B1227" s="67"/>
      <c r="C1227" s="67"/>
      <c r="D1227" s="67"/>
      <c r="E1227" s="67"/>
      <c r="F1227" s="68"/>
      <c r="G1227" s="68"/>
      <c r="H1227" s="68"/>
      <c r="I1227" s="68"/>
      <c r="J1227" s="68"/>
      <c r="K1227" s="69">
        <v>4400.0</v>
      </c>
      <c r="L1227" s="69">
        <v>31.5</v>
      </c>
      <c r="M1227" s="68">
        <f t="shared" si="1"/>
        <v>193.52</v>
      </c>
    </row>
    <row r="1228">
      <c r="A1228" s="70"/>
      <c r="B1228" s="70"/>
      <c r="C1228" s="70"/>
      <c r="D1228" s="70"/>
      <c r="E1228" s="70"/>
      <c r="F1228" s="66"/>
      <c r="G1228" s="66"/>
      <c r="H1228" s="66"/>
      <c r="I1228" s="66"/>
      <c r="J1228" s="66"/>
      <c r="K1228" s="63">
        <v>5000.0</v>
      </c>
      <c r="L1228" s="63">
        <v>27.7</v>
      </c>
      <c r="M1228" s="66">
        <f t="shared" si="1"/>
        <v>193.38</v>
      </c>
    </row>
    <row r="1229">
      <c r="A1229" s="67"/>
      <c r="B1229" s="67"/>
      <c r="C1229" s="67"/>
      <c r="D1229" s="67"/>
      <c r="E1229" s="67"/>
      <c r="F1229" s="68"/>
      <c r="G1229" s="68"/>
      <c r="H1229" s="68"/>
      <c r="I1229" s="68"/>
      <c r="J1229" s="68"/>
      <c r="K1229" s="69">
        <v>5500.0</v>
      </c>
      <c r="L1229" s="69">
        <v>24.3</v>
      </c>
      <c r="M1229" s="68">
        <f t="shared" si="1"/>
        <v>186.61</v>
      </c>
    </row>
    <row r="1230">
      <c r="A1230" s="70"/>
      <c r="B1230" s="70"/>
      <c r="C1230" s="70"/>
      <c r="D1230" s="70"/>
      <c r="E1230" s="70"/>
      <c r="F1230" s="66"/>
      <c r="G1230" s="66"/>
      <c r="H1230" s="66"/>
      <c r="I1230" s="66"/>
      <c r="J1230" s="66"/>
      <c r="K1230" s="63">
        <v>6000.0</v>
      </c>
      <c r="L1230" s="63">
        <v>20.1</v>
      </c>
      <c r="M1230" s="66">
        <f t="shared" si="1"/>
        <v>168.39</v>
      </c>
    </row>
    <row r="1231">
      <c r="A1231" s="68">
        <v>84.0</v>
      </c>
      <c r="B1231" s="68">
        <v>126.0</v>
      </c>
      <c r="C1231" s="71" t="s">
        <v>300</v>
      </c>
      <c r="D1231" s="71" t="s">
        <v>301</v>
      </c>
      <c r="E1231" s="71" t="s">
        <v>302</v>
      </c>
      <c r="F1231" s="72">
        <v>6500.0</v>
      </c>
      <c r="G1231" s="72">
        <v>6500.0</v>
      </c>
      <c r="H1231" s="72">
        <v>750.0</v>
      </c>
      <c r="I1231" s="72">
        <v>4150.0</v>
      </c>
      <c r="J1231" s="72">
        <v>5700.0</v>
      </c>
      <c r="K1231" s="69">
        <v>500.0</v>
      </c>
      <c r="L1231" s="69">
        <v>14.65</v>
      </c>
      <c r="M1231" s="68">
        <f t="shared" si="1"/>
        <v>10.23</v>
      </c>
    </row>
    <row r="1232">
      <c r="A1232" s="70"/>
      <c r="B1232" s="70"/>
      <c r="C1232" s="70"/>
      <c r="D1232" s="70"/>
      <c r="E1232" s="70"/>
      <c r="F1232" s="66"/>
      <c r="G1232" s="66"/>
      <c r="H1232" s="66"/>
      <c r="I1232" s="66"/>
      <c r="J1232" s="66"/>
      <c r="K1232" s="63">
        <v>1000.0</v>
      </c>
      <c r="L1232" s="63">
        <v>15.35</v>
      </c>
      <c r="M1232" s="66">
        <f t="shared" si="1"/>
        <v>21.43</v>
      </c>
    </row>
    <row r="1233">
      <c r="A1233" s="67"/>
      <c r="B1233" s="67"/>
      <c r="C1233" s="67"/>
      <c r="D1233" s="67"/>
      <c r="E1233" s="67"/>
      <c r="F1233" s="68"/>
      <c r="G1233" s="68"/>
      <c r="H1233" s="68"/>
      <c r="I1233" s="68"/>
      <c r="J1233" s="68"/>
      <c r="K1233" s="69">
        <v>1500.0</v>
      </c>
      <c r="L1233" s="69">
        <v>15.85</v>
      </c>
      <c r="M1233" s="68">
        <f t="shared" si="1"/>
        <v>33.2</v>
      </c>
    </row>
    <row r="1234">
      <c r="A1234" s="70"/>
      <c r="B1234" s="70"/>
      <c r="C1234" s="70"/>
      <c r="D1234" s="70"/>
      <c r="E1234" s="70"/>
      <c r="F1234" s="66"/>
      <c r="G1234" s="66"/>
      <c r="H1234" s="66"/>
      <c r="I1234" s="66"/>
      <c r="J1234" s="66"/>
      <c r="K1234" s="63">
        <v>2000.0</v>
      </c>
      <c r="L1234" s="63">
        <v>16.4</v>
      </c>
      <c r="M1234" s="66">
        <f t="shared" si="1"/>
        <v>45.8</v>
      </c>
    </row>
    <row r="1235">
      <c r="A1235" s="67"/>
      <c r="B1235" s="67"/>
      <c r="C1235" s="67"/>
      <c r="D1235" s="67"/>
      <c r="E1235" s="67"/>
      <c r="F1235" s="68"/>
      <c r="G1235" s="68"/>
      <c r="H1235" s="68"/>
      <c r="I1235" s="68"/>
      <c r="J1235" s="68"/>
      <c r="K1235" s="69">
        <v>2500.0</v>
      </c>
      <c r="L1235" s="69">
        <v>17.2</v>
      </c>
      <c r="M1235" s="68">
        <f t="shared" si="1"/>
        <v>60.04</v>
      </c>
    </row>
    <row r="1236">
      <c r="A1236" s="70"/>
      <c r="B1236" s="70"/>
      <c r="C1236" s="70"/>
      <c r="D1236" s="70"/>
      <c r="E1236" s="70"/>
      <c r="F1236" s="66"/>
      <c r="G1236" s="66"/>
      <c r="H1236" s="66"/>
      <c r="I1236" s="66"/>
      <c r="J1236" s="66"/>
      <c r="K1236" s="63">
        <v>3000.0</v>
      </c>
      <c r="L1236" s="63">
        <v>18.1</v>
      </c>
      <c r="M1236" s="66">
        <f t="shared" si="1"/>
        <v>75.82</v>
      </c>
    </row>
    <row r="1237">
      <c r="A1237" s="67"/>
      <c r="B1237" s="67"/>
      <c r="C1237" s="67"/>
      <c r="D1237" s="67"/>
      <c r="E1237" s="67"/>
      <c r="F1237" s="68"/>
      <c r="G1237" s="68"/>
      <c r="H1237" s="68"/>
      <c r="I1237" s="68"/>
      <c r="J1237" s="68"/>
      <c r="K1237" s="69">
        <v>3500.0</v>
      </c>
      <c r="L1237" s="69">
        <v>18.85</v>
      </c>
      <c r="M1237" s="68">
        <f t="shared" si="1"/>
        <v>92.12</v>
      </c>
    </row>
    <row r="1238">
      <c r="A1238" s="70"/>
      <c r="B1238" s="70"/>
      <c r="C1238" s="70"/>
      <c r="D1238" s="70"/>
      <c r="E1238" s="70"/>
      <c r="F1238" s="66"/>
      <c r="G1238" s="66"/>
      <c r="H1238" s="66"/>
      <c r="I1238" s="66"/>
      <c r="J1238" s="66"/>
      <c r="K1238" s="63">
        <v>4150.0</v>
      </c>
      <c r="L1238" s="63">
        <v>19.2</v>
      </c>
      <c r="M1238" s="66">
        <f t="shared" si="1"/>
        <v>111.25</v>
      </c>
    </row>
    <row r="1239">
      <c r="A1239" s="67"/>
      <c r="B1239" s="67"/>
      <c r="C1239" s="67"/>
      <c r="D1239" s="67"/>
      <c r="E1239" s="67"/>
      <c r="F1239" s="68"/>
      <c r="G1239" s="68"/>
      <c r="H1239" s="68"/>
      <c r="I1239" s="68"/>
      <c r="J1239" s="68"/>
      <c r="K1239" s="69">
        <v>4500.0</v>
      </c>
      <c r="L1239" s="69">
        <v>19.15</v>
      </c>
      <c r="M1239" s="68">
        <f t="shared" si="1"/>
        <v>120.32</v>
      </c>
    </row>
    <row r="1240">
      <c r="A1240" s="70"/>
      <c r="B1240" s="70"/>
      <c r="C1240" s="70"/>
      <c r="D1240" s="70"/>
      <c r="E1240" s="70"/>
      <c r="F1240" s="66"/>
      <c r="G1240" s="66"/>
      <c r="H1240" s="66"/>
      <c r="I1240" s="66"/>
      <c r="J1240" s="66"/>
      <c r="K1240" s="63">
        <v>5100.0</v>
      </c>
      <c r="L1240" s="63">
        <v>18.75</v>
      </c>
      <c r="M1240" s="66">
        <f t="shared" si="1"/>
        <v>133.52</v>
      </c>
    </row>
    <row r="1241">
      <c r="A1241" s="67"/>
      <c r="B1241" s="67"/>
      <c r="C1241" s="67"/>
      <c r="D1241" s="67"/>
      <c r="E1241" s="67"/>
      <c r="F1241" s="68"/>
      <c r="G1241" s="68"/>
      <c r="H1241" s="68"/>
      <c r="I1241" s="68"/>
      <c r="J1241" s="68"/>
      <c r="K1241" s="69">
        <v>5700.0</v>
      </c>
      <c r="L1241" s="69">
        <v>17.8</v>
      </c>
      <c r="M1241" s="68">
        <f t="shared" si="1"/>
        <v>141.66</v>
      </c>
    </row>
    <row r="1242">
      <c r="A1242" s="70"/>
      <c r="B1242" s="70"/>
      <c r="C1242" s="70"/>
      <c r="D1242" s="70"/>
      <c r="E1242" s="70"/>
      <c r="F1242" s="66"/>
      <c r="G1242" s="66"/>
      <c r="H1242" s="66"/>
      <c r="I1242" s="66"/>
      <c r="J1242" s="66"/>
      <c r="K1242" s="63">
        <v>6000.0</v>
      </c>
      <c r="L1242" s="63">
        <v>16.8</v>
      </c>
      <c r="M1242" s="66">
        <f t="shared" si="1"/>
        <v>140.74</v>
      </c>
    </row>
    <row r="1243">
      <c r="A1243" s="67"/>
      <c r="B1243" s="67"/>
      <c r="C1243" s="67"/>
      <c r="D1243" s="67"/>
      <c r="E1243" s="67"/>
      <c r="F1243" s="68"/>
      <c r="G1243" s="68"/>
      <c r="H1243" s="68"/>
      <c r="I1243" s="68"/>
      <c r="J1243" s="68"/>
      <c r="K1243" s="69">
        <v>6500.0</v>
      </c>
      <c r="L1243" s="69">
        <v>14.75</v>
      </c>
      <c r="M1243" s="68">
        <f t="shared" si="1"/>
        <v>133.87</v>
      </c>
    </row>
    <row r="1244">
      <c r="A1244" s="70"/>
      <c r="B1244" s="70"/>
      <c r="C1244" s="70"/>
      <c r="D1244" s="70"/>
      <c r="E1244" s="70"/>
      <c r="F1244" s="66"/>
      <c r="G1244" s="66"/>
      <c r="H1244" s="66"/>
      <c r="I1244" s="66"/>
      <c r="J1244" s="66"/>
      <c r="K1244" s="63">
        <v>7000.0</v>
      </c>
      <c r="L1244" s="63">
        <v>11.55</v>
      </c>
      <c r="M1244" s="66">
        <f t="shared" si="1"/>
        <v>112.89</v>
      </c>
    </row>
    <row r="1245">
      <c r="A1245" s="68">
        <v>85.0</v>
      </c>
      <c r="B1245" s="68">
        <v>127.0</v>
      </c>
      <c r="C1245" s="71" t="s">
        <v>303</v>
      </c>
      <c r="D1245" s="71" t="s">
        <v>304</v>
      </c>
      <c r="E1245" s="71" t="s">
        <v>305</v>
      </c>
      <c r="F1245" s="72">
        <v>6000.0</v>
      </c>
      <c r="G1245" s="72">
        <v>6400.0</v>
      </c>
      <c r="H1245" s="72">
        <v>800.0</v>
      </c>
      <c r="I1245" s="72">
        <v>3700.0</v>
      </c>
      <c r="J1245" s="72">
        <v>5200.0</v>
      </c>
      <c r="K1245" s="69">
        <v>500.0</v>
      </c>
      <c r="L1245" s="69">
        <v>57.58</v>
      </c>
      <c r="M1245" s="68">
        <f t="shared" si="1"/>
        <v>40.2</v>
      </c>
    </row>
    <row r="1246">
      <c r="A1246" s="70"/>
      <c r="B1246" s="70"/>
      <c r="C1246" s="70"/>
      <c r="D1246" s="70"/>
      <c r="E1246" s="70"/>
      <c r="F1246" s="66"/>
      <c r="G1246" s="66"/>
      <c r="H1246" s="66"/>
      <c r="I1246" s="66"/>
      <c r="J1246" s="66"/>
      <c r="K1246" s="63">
        <v>1000.0</v>
      </c>
      <c r="L1246" s="63">
        <v>61.6</v>
      </c>
      <c r="M1246" s="66">
        <f t="shared" si="1"/>
        <v>86.01</v>
      </c>
    </row>
    <row r="1247">
      <c r="A1247" s="67"/>
      <c r="B1247" s="67"/>
      <c r="C1247" s="67"/>
      <c r="D1247" s="67"/>
      <c r="E1247" s="67"/>
      <c r="F1247" s="68"/>
      <c r="G1247" s="68"/>
      <c r="H1247" s="68"/>
      <c r="I1247" s="68"/>
      <c r="J1247" s="68"/>
      <c r="K1247" s="69">
        <v>1500.0</v>
      </c>
      <c r="L1247" s="69">
        <v>64.4</v>
      </c>
      <c r="M1247" s="68">
        <f t="shared" si="1"/>
        <v>134.88</v>
      </c>
    </row>
    <row r="1248">
      <c r="A1248" s="70"/>
      <c r="B1248" s="70"/>
      <c r="C1248" s="70"/>
      <c r="D1248" s="70"/>
      <c r="E1248" s="70"/>
      <c r="F1248" s="66"/>
      <c r="G1248" s="66"/>
      <c r="H1248" s="66"/>
      <c r="I1248" s="66"/>
      <c r="J1248" s="66"/>
      <c r="K1248" s="63">
        <v>2000.0</v>
      </c>
      <c r="L1248" s="63">
        <v>66.33</v>
      </c>
      <c r="M1248" s="66">
        <f t="shared" si="1"/>
        <v>185.23</v>
      </c>
    </row>
    <row r="1249">
      <c r="A1249" s="67"/>
      <c r="B1249" s="67"/>
      <c r="C1249" s="67"/>
      <c r="D1249" s="67"/>
      <c r="E1249" s="67"/>
      <c r="F1249" s="68"/>
      <c r="G1249" s="68"/>
      <c r="H1249" s="68"/>
      <c r="I1249" s="68"/>
      <c r="J1249" s="68"/>
      <c r="K1249" s="69">
        <v>2500.0</v>
      </c>
      <c r="L1249" s="69">
        <v>67.2</v>
      </c>
      <c r="M1249" s="68">
        <f t="shared" si="1"/>
        <v>234.57</v>
      </c>
    </row>
    <row r="1250">
      <c r="A1250" s="73"/>
      <c r="B1250" s="73"/>
      <c r="C1250" s="73"/>
      <c r="D1250" s="73"/>
      <c r="E1250" s="73"/>
      <c r="F1250" s="66"/>
      <c r="G1250" s="66"/>
      <c r="H1250" s="66"/>
      <c r="I1250" s="66"/>
      <c r="J1250" s="66"/>
      <c r="K1250" s="63">
        <v>3000.0</v>
      </c>
      <c r="L1250" s="63">
        <v>67.38</v>
      </c>
      <c r="M1250" s="66">
        <f t="shared" si="1"/>
        <v>282.24</v>
      </c>
    </row>
    <row r="1251">
      <c r="A1251" s="67"/>
      <c r="B1251" s="67"/>
      <c r="C1251" s="67"/>
      <c r="D1251" s="67"/>
      <c r="E1251" s="67"/>
      <c r="F1251" s="68"/>
      <c r="G1251" s="68"/>
      <c r="H1251" s="68"/>
      <c r="I1251" s="68"/>
      <c r="J1251" s="68"/>
      <c r="K1251" s="69">
        <v>3700.0</v>
      </c>
      <c r="L1251" s="69">
        <v>66.82</v>
      </c>
      <c r="M1251" s="68">
        <f t="shared" si="1"/>
        <v>345.2</v>
      </c>
    </row>
    <row r="1252">
      <c r="A1252" s="70"/>
      <c r="B1252" s="70"/>
      <c r="C1252" s="70"/>
      <c r="D1252" s="70"/>
      <c r="E1252" s="70"/>
      <c r="F1252" s="66"/>
      <c r="G1252" s="66"/>
      <c r="H1252" s="66"/>
      <c r="I1252" s="66"/>
      <c r="J1252" s="66"/>
      <c r="K1252" s="63">
        <v>4000.0</v>
      </c>
      <c r="L1252" s="63">
        <v>66.33</v>
      </c>
      <c r="M1252" s="66">
        <f t="shared" si="1"/>
        <v>370.46</v>
      </c>
    </row>
    <row r="1253">
      <c r="A1253" s="67"/>
      <c r="B1253" s="67"/>
      <c r="C1253" s="67"/>
      <c r="D1253" s="67"/>
      <c r="E1253" s="67"/>
      <c r="F1253" s="68"/>
      <c r="G1253" s="68"/>
      <c r="H1253" s="68"/>
      <c r="I1253" s="68"/>
      <c r="J1253" s="68"/>
      <c r="K1253" s="69">
        <v>4700.0</v>
      </c>
      <c r="L1253" s="69">
        <v>63.88</v>
      </c>
      <c r="M1253" s="68">
        <f t="shared" si="1"/>
        <v>419.21</v>
      </c>
    </row>
    <row r="1254">
      <c r="A1254" s="70"/>
      <c r="B1254" s="70"/>
      <c r="C1254" s="70"/>
      <c r="D1254" s="70"/>
      <c r="E1254" s="70"/>
      <c r="F1254" s="66"/>
      <c r="G1254" s="66"/>
      <c r="H1254" s="66"/>
      <c r="I1254" s="66"/>
      <c r="J1254" s="66"/>
      <c r="K1254" s="63">
        <v>5200.0</v>
      </c>
      <c r="L1254" s="63">
        <v>59.17</v>
      </c>
      <c r="M1254" s="66">
        <f t="shared" si="1"/>
        <v>429.61</v>
      </c>
    </row>
    <row r="1255">
      <c r="A1255" s="67"/>
      <c r="B1255" s="67"/>
      <c r="C1255" s="67"/>
      <c r="D1255" s="67"/>
      <c r="E1255" s="67"/>
      <c r="F1255" s="68"/>
      <c r="G1255" s="68"/>
      <c r="H1255" s="68"/>
      <c r="I1255" s="68"/>
      <c r="J1255" s="68"/>
      <c r="K1255" s="69">
        <v>5600.0</v>
      </c>
      <c r="L1255" s="69">
        <v>54.08</v>
      </c>
      <c r="M1255" s="68">
        <f t="shared" si="1"/>
        <v>422.85</v>
      </c>
    </row>
    <row r="1256">
      <c r="A1256" s="70"/>
      <c r="B1256" s="70"/>
      <c r="C1256" s="70"/>
      <c r="D1256" s="70"/>
      <c r="E1256" s="70"/>
      <c r="F1256" s="66"/>
      <c r="G1256" s="66"/>
      <c r="H1256" s="66"/>
      <c r="I1256" s="66"/>
      <c r="J1256" s="66"/>
      <c r="K1256" s="63">
        <v>6000.0</v>
      </c>
      <c r="L1256" s="63">
        <v>47.26</v>
      </c>
      <c r="M1256" s="66">
        <f t="shared" si="1"/>
        <v>395.92</v>
      </c>
    </row>
    <row r="1257">
      <c r="A1257" s="67"/>
      <c r="B1257" s="67"/>
      <c r="C1257" s="67"/>
      <c r="D1257" s="67"/>
      <c r="E1257" s="67"/>
      <c r="F1257" s="68"/>
      <c r="G1257" s="68"/>
      <c r="H1257" s="68"/>
      <c r="I1257" s="68"/>
      <c r="J1257" s="68"/>
      <c r="K1257" s="69">
        <v>6500.0</v>
      </c>
      <c r="L1257" s="69">
        <v>37.45</v>
      </c>
      <c r="M1257" s="68">
        <f t="shared" si="1"/>
        <v>339.88</v>
      </c>
    </row>
    <row r="1258">
      <c r="A1258" s="66">
        <v>86.0</v>
      </c>
      <c r="B1258" s="66">
        <v>129.0</v>
      </c>
      <c r="C1258" s="74" t="s">
        <v>306</v>
      </c>
      <c r="D1258" s="74" t="s">
        <v>307</v>
      </c>
      <c r="E1258" s="74" t="s">
        <v>308</v>
      </c>
      <c r="F1258" s="65">
        <v>8500.0</v>
      </c>
      <c r="G1258" s="65">
        <v>9600.0</v>
      </c>
      <c r="H1258" s="65">
        <v>800.0</v>
      </c>
      <c r="I1258" s="65">
        <v>7000.0</v>
      </c>
      <c r="J1258" s="65">
        <v>8100.0</v>
      </c>
      <c r="K1258" s="63">
        <v>500.0</v>
      </c>
      <c r="L1258" s="63">
        <v>3.1</v>
      </c>
      <c r="M1258" s="66">
        <f t="shared" si="1"/>
        <v>2.16</v>
      </c>
    </row>
    <row r="1259">
      <c r="A1259" s="67"/>
      <c r="B1259" s="67"/>
      <c r="C1259" s="67"/>
      <c r="D1259" s="67"/>
      <c r="E1259" s="67"/>
      <c r="F1259" s="68"/>
      <c r="G1259" s="68"/>
      <c r="H1259" s="68"/>
      <c r="I1259" s="68"/>
      <c r="J1259" s="68"/>
      <c r="K1259" s="69">
        <v>1000.0</v>
      </c>
      <c r="L1259" s="69">
        <v>3.72</v>
      </c>
      <c r="M1259" s="68">
        <f t="shared" si="1"/>
        <v>5.19</v>
      </c>
    </row>
    <row r="1260">
      <c r="A1260" s="70"/>
      <c r="B1260" s="70"/>
      <c r="C1260" s="70"/>
      <c r="D1260" s="70"/>
      <c r="E1260" s="70"/>
      <c r="F1260" s="66"/>
      <c r="G1260" s="66"/>
      <c r="H1260" s="66"/>
      <c r="I1260" s="66"/>
      <c r="J1260" s="66"/>
      <c r="K1260" s="63">
        <v>1500.0</v>
      </c>
      <c r="L1260" s="63">
        <v>4.25</v>
      </c>
      <c r="M1260" s="66">
        <f t="shared" si="1"/>
        <v>8.9</v>
      </c>
    </row>
    <row r="1261">
      <c r="A1261" s="67"/>
      <c r="B1261" s="67"/>
      <c r="C1261" s="67"/>
      <c r="D1261" s="67"/>
      <c r="E1261" s="67"/>
      <c r="F1261" s="68"/>
      <c r="G1261" s="68"/>
      <c r="H1261" s="68"/>
      <c r="I1261" s="68"/>
      <c r="J1261" s="68"/>
      <c r="K1261" s="69">
        <v>2000.0</v>
      </c>
      <c r="L1261" s="69">
        <v>4.73</v>
      </c>
      <c r="M1261" s="68">
        <f t="shared" si="1"/>
        <v>13.21</v>
      </c>
    </row>
    <row r="1262">
      <c r="A1262" s="70"/>
      <c r="B1262" s="70"/>
      <c r="C1262" s="70"/>
      <c r="D1262" s="70"/>
      <c r="E1262" s="70"/>
      <c r="F1262" s="66"/>
      <c r="G1262" s="66"/>
      <c r="H1262" s="66"/>
      <c r="I1262" s="66"/>
      <c r="J1262" s="66"/>
      <c r="K1262" s="63">
        <v>2500.0</v>
      </c>
      <c r="L1262" s="63">
        <v>5.04</v>
      </c>
      <c r="M1262" s="66">
        <f t="shared" si="1"/>
        <v>17.59</v>
      </c>
    </row>
    <row r="1263">
      <c r="A1263" s="67"/>
      <c r="B1263" s="67"/>
      <c r="C1263" s="67"/>
      <c r="D1263" s="67"/>
      <c r="E1263" s="67"/>
      <c r="F1263" s="68"/>
      <c r="G1263" s="68"/>
      <c r="H1263" s="68"/>
      <c r="I1263" s="68"/>
      <c r="J1263" s="68"/>
      <c r="K1263" s="69">
        <v>3000.0</v>
      </c>
      <c r="L1263" s="69">
        <v>5.13</v>
      </c>
      <c r="M1263" s="68">
        <f t="shared" si="1"/>
        <v>21.49</v>
      </c>
    </row>
    <row r="1264">
      <c r="A1264" s="70"/>
      <c r="B1264" s="70"/>
      <c r="C1264" s="70"/>
      <c r="D1264" s="70"/>
      <c r="E1264" s="70"/>
      <c r="F1264" s="66"/>
      <c r="G1264" s="66"/>
      <c r="H1264" s="66"/>
      <c r="I1264" s="66"/>
      <c r="J1264" s="66"/>
      <c r="K1264" s="63">
        <v>3500.0</v>
      </c>
      <c r="L1264" s="63">
        <v>5.25</v>
      </c>
      <c r="M1264" s="66">
        <f t="shared" si="1"/>
        <v>25.66</v>
      </c>
    </row>
    <row r="1265">
      <c r="A1265" s="67"/>
      <c r="B1265" s="67"/>
      <c r="C1265" s="67"/>
      <c r="D1265" s="67"/>
      <c r="E1265" s="67"/>
      <c r="F1265" s="68"/>
      <c r="G1265" s="68"/>
      <c r="H1265" s="68"/>
      <c r="I1265" s="68"/>
      <c r="J1265" s="68"/>
      <c r="K1265" s="69">
        <v>4000.0</v>
      </c>
      <c r="L1265" s="69">
        <v>5.33</v>
      </c>
      <c r="M1265" s="68">
        <f t="shared" si="1"/>
        <v>29.77</v>
      </c>
    </row>
    <row r="1266">
      <c r="A1266" s="70"/>
      <c r="B1266" s="70"/>
      <c r="C1266" s="70"/>
      <c r="D1266" s="70"/>
      <c r="E1266" s="70"/>
      <c r="F1266" s="66"/>
      <c r="G1266" s="66"/>
      <c r="H1266" s="66"/>
      <c r="I1266" s="66"/>
      <c r="J1266" s="66"/>
      <c r="K1266" s="63">
        <v>4500.0</v>
      </c>
      <c r="L1266" s="63">
        <v>5.36</v>
      </c>
      <c r="M1266" s="66">
        <f t="shared" si="1"/>
        <v>33.68</v>
      </c>
    </row>
    <row r="1267">
      <c r="A1267" s="67"/>
      <c r="B1267" s="67"/>
      <c r="C1267" s="67"/>
      <c r="D1267" s="67"/>
      <c r="E1267" s="67"/>
      <c r="F1267" s="68"/>
      <c r="G1267" s="68"/>
      <c r="H1267" s="68"/>
      <c r="I1267" s="68"/>
      <c r="J1267" s="68"/>
      <c r="K1267" s="69">
        <v>5000.0</v>
      </c>
      <c r="L1267" s="69">
        <v>5.46</v>
      </c>
      <c r="M1267" s="68">
        <f t="shared" si="1"/>
        <v>38.12</v>
      </c>
    </row>
    <row r="1268">
      <c r="A1268" s="70"/>
      <c r="B1268" s="70"/>
      <c r="C1268" s="70"/>
      <c r="D1268" s="70"/>
      <c r="E1268" s="70"/>
      <c r="F1268" s="66"/>
      <c r="G1268" s="66"/>
      <c r="H1268" s="66"/>
      <c r="I1268" s="66"/>
      <c r="J1268" s="66"/>
      <c r="K1268" s="63">
        <v>5500.0</v>
      </c>
      <c r="L1268" s="63">
        <v>5.69</v>
      </c>
      <c r="M1268" s="66">
        <f t="shared" si="1"/>
        <v>43.7</v>
      </c>
    </row>
    <row r="1269">
      <c r="A1269" s="67"/>
      <c r="B1269" s="67"/>
      <c r="C1269" s="67"/>
      <c r="D1269" s="67"/>
      <c r="E1269" s="67"/>
      <c r="F1269" s="68"/>
      <c r="G1269" s="68"/>
      <c r="H1269" s="68"/>
      <c r="I1269" s="68"/>
      <c r="J1269" s="68"/>
      <c r="K1269" s="69">
        <v>6000.0</v>
      </c>
      <c r="L1269" s="69">
        <v>6.0</v>
      </c>
      <c r="M1269" s="68">
        <f t="shared" si="1"/>
        <v>50.27</v>
      </c>
    </row>
    <row r="1270">
      <c r="A1270" s="70"/>
      <c r="B1270" s="70"/>
      <c r="C1270" s="70"/>
      <c r="D1270" s="70"/>
      <c r="E1270" s="70"/>
      <c r="F1270" s="66"/>
      <c r="G1270" s="66"/>
      <c r="H1270" s="66"/>
      <c r="I1270" s="66"/>
      <c r="J1270" s="66"/>
      <c r="K1270" s="63">
        <v>6500.0</v>
      </c>
      <c r="L1270" s="63">
        <v>6.1</v>
      </c>
      <c r="M1270" s="66">
        <f t="shared" si="1"/>
        <v>55.36</v>
      </c>
    </row>
    <row r="1271">
      <c r="A1271" s="67"/>
      <c r="B1271" s="67"/>
      <c r="C1271" s="67"/>
      <c r="D1271" s="67"/>
      <c r="E1271" s="67"/>
      <c r="F1271" s="68"/>
      <c r="G1271" s="68"/>
      <c r="H1271" s="68"/>
      <c r="I1271" s="68"/>
      <c r="J1271" s="68"/>
      <c r="K1271" s="69">
        <v>7000.0</v>
      </c>
      <c r="L1271" s="69">
        <v>6.1</v>
      </c>
      <c r="M1271" s="68">
        <f t="shared" si="1"/>
        <v>59.62</v>
      </c>
    </row>
    <row r="1272">
      <c r="A1272" s="70"/>
      <c r="B1272" s="70"/>
      <c r="C1272" s="70"/>
      <c r="D1272" s="70"/>
      <c r="E1272" s="70"/>
      <c r="F1272" s="66"/>
      <c r="G1272" s="66"/>
      <c r="H1272" s="66"/>
      <c r="I1272" s="66"/>
      <c r="J1272" s="66"/>
      <c r="K1272" s="63">
        <v>7500.0</v>
      </c>
      <c r="L1272" s="63">
        <v>5.95</v>
      </c>
      <c r="M1272" s="66">
        <f t="shared" si="1"/>
        <v>62.31</v>
      </c>
    </row>
    <row r="1273">
      <c r="A1273" s="67"/>
      <c r="B1273" s="67"/>
      <c r="C1273" s="67"/>
      <c r="D1273" s="67"/>
      <c r="E1273" s="67"/>
      <c r="F1273" s="68"/>
      <c r="G1273" s="68"/>
      <c r="H1273" s="68"/>
      <c r="I1273" s="68"/>
      <c r="J1273" s="68"/>
      <c r="K1273" s="69">
        <v>8000.0</v>
      </c>
      <c r="L1273" s="69">
        <v>5.72</v>
      </c>
      <c r="M1273" s="68">
        <f t="shared" si="1"/>
        <v>63.89</v>
      </c>
    </row>
    <row r="1274">
      <c r="A1274" s="73"/>
      <c r="B1274" s="73"/>
      <c r="C1274" s="73"/>
      <c r="D1274" s="73"/>
      <c r="E1274" s="73"/>
      <c r="F1274" s="66"/>
      <c r="G1274" s="66"/>
      <c r="H1274" s="66"/>
      <c r="I1274" s="66"/>
      <c r="J1274" s="66"/>
      <c r="K1274" s="63">
        <v>8500.0</v>
      </c>
      <c r="L1274" s="63">
        <v>5.38</v>
      </c>
      <c r="M1274" s="66">
        <f t="shared" si="1"/>
        <v>63.85</v>
      </c>
    </row>
    <row r="1275">
      <c r="A1275" s="67"/>
      <c r="B1275" s="67"/>
      <c r="C1275" s="67"/>
      <c r="D1275" s="67"/>
      <c r="E1275" s="67"/>
      <c r="F1275" s="68"/>
      <c r="G1275" s="68"/>
      <c r="H1275" s="68"/>
      <c r="I1275" s="68"/>
      <c r="J1275" s="68"/>
      <c r="K1275" s="69">
        <v>9000.0</v>
      </c>
      <c r="L1275" s="69">
        <v>4.78</v>
      </c>
      <c r="M1275" s="68">
        <f t="shared" si="1"/>
        <v>60.07</v>
      </c>
    </row>
    <row r="1276">
      <c r="A1276" s="70"/>
      <c r="B1276" s="70"/>
      <c r="C1276" s="70"/>
      <c r="D1276" s="70"/>
      <c r="E1276" s="70"/>
      <c r="F1276" s="66"/>
      <c r="G1276" s="66"/>
      <c r="H1276" s="66"/>
      <c r="I1276" s="66"/>
      <c r="J1276" s="66"/>
      <c r="K1276" s="63">
        <v>9500.0</v>
      </c>
      <c r="L1276" s="63">
        <v>4.07</v>
      </c>
      <c r="M1276" s="66">
        <f t="shared" si="1"/>
        <v>53.99</v>
      </c>
    </row>
    <row r="1277">
      <c r="A1277" s="67"/>
      <c r="B1277" s="67"/>
      <c r="C1277" s="67"/>
      <c r="D1277" s="67"/>
      <c r="E1277" s="67"/>
      <c r="F1277" s="68"/>
      <c r="G1277" s="68"/>
      <c r="H1277" s="68"/>
      <c r="I1277" s="68"/>
      <c r="J1277" s="68"/>
      <c r="K1277" s="69">
        <v>10000.0</v>
      </c>
      <c r="L1277" s="69">
        <v>3.15</v>
      </c>
      <c r="M1277" s="68">
        <f t="shared" si="1"/>
        <v>43.98</v>
      </c>
    </row>
    <row r="1278">
      <c r="A1278" s="66">
        <v>87.0</v>
      </c>
      <c r="B1278" s="66">
        <v>130.0</v>
      </c>
      <c r="C1278" s="74" t="s">
        <v>309</v>
      </c>
      <c r="D1278" s="74" t="s">
        <v>310</v>
      </c>
      <c r="E1278" s="74" t="s">
        <v>311</v>
      </c>
      <c r="F1278" s="65">
        <v>8500.0</v>
      </c>
      <c r="G1278" s="65">
        <v>8500.0</v>
      </c>
      <c r="H1278" s="65">
        <v>800.0</v>
      </c>
      <c r="I1278" s="65">
        <v>3200.0</v>
      </c>
      <c r="J1278" s="65">
        <v>6000.0</v>
      </c>
      <c r="K1278" s="63">
        <v>500.0</v>
      </c>
      <c r="L1278" s="63">
        <v>5.41</v>
      </c>
      <c r="M1278" s="66">
        <f t="shared" si="1"/>
        <v>3.78</v>
      </c>
    </row>
    <row r="1279">
      <c r="A1279" s="67"/>
      <c r="B1279" s="67"/>
      <c r="C1279" s="67"/>
      <c r="D1279" s="67"/>
      <c r="E1279" s="67"/>
      <c r="F1279" s="68"/>
      <c r="G1279" s="68"/>
      <c r="H1279" s="68"/>
      <c r="I1279" s="68"/>
      <c r="J1279" s="68"/>
      <c r="K1279" s="69">
        <v>1000.0</v>
      </c>
      <c r="L1279" s="69">
        <v>7.09</v>
      </c>
      <c r="M1279" s="68">
        <f t="shared" si="1"/>
        <v>9.9</v>
      </c>
    </row>
    <row r="1280">
      <c r="A1280" s="70"/>
      <c r="B1280" s="70"/>
      <c r="C1280" s="70"/>
      <c r="D1280" s="70"/>
      <c r="E1280" s="70"/>
      <c r="F1280" s="66"/>
      <c r="G1280" s="66"/>
      <c r="H1280" s="66"/>
      <c r="I1280" s="66"/>
      <c r="J1280" s="66"/>
      <c r="K1280" s="63">
        <v>1500.0</v>
      </c>
      <c r="L1280" s="63">
        <v>8.66</v>
      </c>
      <c r="M1280" s="66">
        <f t="shared" si="1"/>
        <v>18.14</v>
      </c>
    </row>
    <row r="1281">
      <c r="A1281" s="67"/>
      <c r="B1281" s="67"/>
      <c r="C1281" s="67"/>
      <c r="D1281" s="67"/>
      <c r="E1281" s="67"/>
      <c r="F1281" s="68"/>
      <c r="G1281" s="68"/>
      <c r="H1281" s="68"/>
      <c r="I1281" s="68"/>
      <c r="J1281" s="68"/>
      <c r="K1281" s="69">
        <v>2000.0</v>
      </c>
      <c r="L1281" s="69">
        <v>9.92</v>
      </c>
      <c r="M1281" s="68">
        <f t="shared" si="1"/>
        <v>27.7</v>
      </c>
    </row>
    <row r="1282">
      <c r="A1282" s="70"/>
      <c r="B1282" s="70"/>
      <c r="C1282" s="70"/>
      <c r="D1282" s="70"/>
      <c r="E1282" s="70"/>
      <c r="F1282" s="66"/>
      <c r="G1282" s="66"/>
      <c r="H1282" s="66"/>
      <c r="I1282" s="66"/>
      <c r="J1282" s="66"/>
      <c r="K1282" s="63">
        <v>2500.0</v>
      </c>
      <c r="L1282" s="63">
        <v>10.91</v>
      </c>
      <c r="M1282" s="66">
        <f t="shared" si="1"/>
        <v>38.08</v>
      </c>
    </row>
    <row r="1283">
      <c r="A1283" s="67"/>
      <c r="B1283" s="67"/>
      <c r="C1283" s="67"/>
      <c r="D1283" s="67"/>
      <c r="E1283" s="67"/>
      <c r="F1283" s="68"/>
      <c r="G1283" s="68"/>
      <c r="H1283" s="68"/>
      <c r="I1283" s="68"/>
      <c r="J1283" s="68"/>
      <c r="K1283" s="69">
        <v>3000.0</v>
      </c>
      <c r="L1283" s="69">
        <v>11.11</v>
      </c>
      <c r="M1283" s="68">
        <f t="shared" si="1"/>
        <v>46.54</v>
      </c>
    </row>
    <row r="1284">
      <c r="A1284" s="70"/>
      <c r="B1284" s="70"/>
      <c r="C1284" s="70"/>
      <c r="D1284" s="70"/>
      <c r="E1284" s="70"/>
      <c r="F1284" s="66"/>
      <c r="G1284" s="66"/>
      <c r="H1284" s="66"/>
      <c r="I1284" s="66"/>
      <c r="J1284" s="66"/>
      <c r="K1284" s="63">
        <v>3500.0</v>
      </c>
      <c r="L1284" s="63">
        <v>10.91</v>
      </c>
      <c r="M1284" s="66">
        <f t="shared" si="1"/>
        <v>53.32</v>
      </c>
    </row>
    <row r="1285">
      <c r="A1285" s="67"/>
      <c r="B1285" s="67"/>
      <c r="C1285" s="67"/>
      <c r="D1285" s="67"/>
      <c r="E1285" s="67"/>
      <c r="F1285" s="68"/>
      <c r="G1285" s="68"/>
      <c r="H1285" s="68"/>
      <c r="I1285" s="68"/>
      <c r="J1285" s="68"/>
      <c r="K1285" s="69">
        <v>4000.0</v>
      </c>
      <c r="L1285" s="69">
        <v>10.3</v>
      </c>
      <c r="M1285" s="68">
        <f t="shared" si="1"/>
        <v>57.53</v>
      </c>
    </row>
    <row r="1286">
      <c r="A1286" s="70"/>
      <c r="B1286" s="70"/>
      <c r="C1286" s="70"/>
      <c r="D1286" s="70"/>
      <c r="E1286" s="70"/>
      <c r="F1286" s="66"/>
      <c r="G1286" s="66"/>
      <c r="H1286" s="66"/>
      <c r="I1286" s="66"/>
      <c r="J1286" s="66"/>
      <c r="K1286" s="63">
        <v>4500.0</v>
      </c>
      <c r="L1286" s="63">
        <v>9.69</v>
      </c>
      <c r="M1286" s="66">
        <f t="shared" si="1"/>
        <v>60.88</v>
      </c>
    </row>
    <row r="1287">
      <c r="A1287" s="67"/>
      <c r="B1287" s="67"/>
      <c r="C1287" s="67"/>
      <c r="D1287" s="67"/>
      <c r="E1287" s="67"/>
      <c r="F1287" s="68"/>
      <c r="G1287" s="68"/>
      <c r="H1287" s="68"/>
      <c r="I1287" s="68"/>
      <c r="J1287" s="68"/>
      <c r="K1287" s="69">
        <v>5000.0</v>
      </c>
      <c r="L1287" s="69">
        <v>8.97</v>
      </c>
      <c r="M1287" s="68">
        <f t="shared" si="1"/>
        <v>62.62</v>
      </c>
    </row>
    <row r="1288">
      <c r="A1288" s="70"/>
      <c r="B1288" s="70"/>
      <c r="C1288" s="70"/>
      <c r="D1288" s="70"/>
      <c r="E1288" s="70"/>
      <c r="F1288" s="66"/>
      <c r="G1288" s="66"/>
      <c r="H1288" s="66"/>
      <c r="I1288" s="66"/>
      <c r="J1288" s="66"/>
      <c r="K1288" s="63">
        <v>5500.0</v>
      </c>
      <c r="L1288" s="63">
        <v>8.31</v>
      </c>
      <c r="M1288" s="66">
        <f t="shared" si="1"/>
        <v>63.82</v>
      </c>
    </row>
    <row r="1289">
      <c r="A1289" s="67"/>
      <c r="B1289" s="67"/>
      <c r="C1289" s="67"/>
      <c r="D1289" s="67"/>
      <c r="E1289" s="67"/>
      <c r="F1289" s="68"/>
      <c r="G1289" s="68"/>
      <c r="H1289" s="68"/>
      <c r="I1289" s="68"/>
      <c r="J1289" s="68"/>
      <c r="K1289" s="69">
        <v>6000.0</v>
      </c>
      <c r="L1289" s="69">
        <v>7.65</v>
      </c>
      <c r="M1289" s="68">
        <f t="shared" si="1"/>
        <v>64.09</v>
      </c>
    </row>
    <row r="1290">
      <c r="A1290" s="70"/>
      <c r="B1290" s="70"/>
      <c r="C1290" s="70"/>
      <c r="D1290" s="70"/>
      <c r="E1290" s="70"/>
      <c r="F1290" s="66"/>
      <c r="G1290" s="66"/>
      <c r="H1290" s="66"/>
      <c r="I1290" s="66"/>
      <c r="J1290" s="66"/>
      <c r="K1290" s="63">
        <v>6500.0</v>
      </c>
      <c r="L1290" s="63">
        <v>6.99</v>
      </c>
      <c r="M1290" s="66">
        <f t="shared" si="1"/>
        <v>63.44</v>
      </c>
    </row>
    <row r="1291">
      <c r="A1291" s="67"/>
      <c r="B1291" s="67"/>
      <c r="C1291" s="67"/>
      <c r="D1291" s="67"/>
      <c r="E1291" s="67"/>
      <c r="F1291" s="68"/>
      <c r="G1291" s="68"/>
      <c r="H1291" s="68"/>
      <c r="I1291" s="68"/>
      <c r="J1291" s="68"/>
      <c r="K1291" s="69">
        <v>7000.0</v>
      </c>
      <c r="L1291" s="69">
        <v>6.32</v>
      </c>
      <c r="M1291" s="68">
        <f t="shared" si="1"/>
        <v>61.77</v>
      </c>
    </row>
    <row r="1292">
      <c r="A1292" s="70"/>
      <c r="B1292" s="70"/>
      <c r="C1292" s="70"/>
      <c r="D1292" s="70"/>
      <c r="E1292" s="70"/>
      <c r="F1292" s="66"/>
      <c r="G1292" s="66"/>
      <c r="H1292" s="66"/>
      <c r="I1292" s="66"/>
      <c r="J1292" s="66"/>
      <c r="K1292" s="63">
        <v>7500.0</v>
      </c>
      <c r="L1292" s="63">
        <v>5.61</v>
      </c>
      <c r="M1292" s="66">
        <f t="shared" si="1"/>
        <v>58.75</v>
      </c>
    </row>
    <row r="1293">
      <c r="A1293" s="67"/>
      <c r="B1293" s="67"/>
      <c r="C1293" s="67"/>
      <c r="D1293" s="67"/>
      <c r="E1293" s="67"/>
      <c r="F1293" s="68"/>
      <c r="G1293" s="68"/>
      <c r="H1293" s="68"/>
      <c r="I1293" s="68"/>
      <c r="J1293" s="68"/>
      <c r="K1293" s="69">
        <v>8000.0</v>
      </c>
      <c r="L1293" s="69">
        <v>4.8</v>
      </c>
      <c r="M1293" s="68">
        <f t="shared" si="1"/>
        <v>53.62</v>
      </c>
    </row>
    <row r="1294">
      <c r="A1294" s="70"/>
      <c r="B1294" s="70"/>
      <c r="C1294" s="70"/>
      <c r="D1294" s="70"/>
      <c r="E1294" s="70"/>
      <c r="F1294" s="66"/>
      <c r="G1294" s="66"/>
      <c r="H1294" s="66"/>
      <c r="I1294" s="66"/>
      <c r="J1294" s="66"/>
      <c r="K1294" s="63">
        <v>8500.0</v>
      </c>
      <c r="L1294" s="63">
        <v>4.05</v>
      </c>
      <c r="M1294" s="66">
        <f t="shared" si="1"/>
        <v>48.07</v>
      </c>
    </row>
    <row r="1295">
      <c r="A1295" s="67"/>
      <c r="B1295" s="67"/>
      <c r="C1295" s="67"/>
      <c r="D1295" s="67"/>
      <c r="E1295" s="67"/>
      <c r="F1295" s="68"/>
      <c r="G1295" s="68"/>
      <c r="H1295" s="68"/>
      <c r="I1295" s="68"/>
      <c r="J1295" s="68"/>
      <c r="K1295" s="69">
        <v>9000.0</v>
      </c>
      <c r="L1295" s="69">
        <v>3.35</v>
      </c>
      <c r="M1295" s="68">
        <f t="shared" si="1"/>
        <v>42.1</v>
      </c>
    </row>
    <row r="1296">
      <c r="A1296" s="66">
        <v>88.0</v>
      </c>
      <c r="B1296" s="66">
        <v>132.0</v>
      </c>
      <c r="C1296" s="74" t="s">
        <v>312</v>
      </c>
      <c r="D1296" s="74" t="s">
        <v>313</v>
      </c>
      <c r="E1296" s="74" t="s">
        <v>314</v>
      </c>
      <c r="F1296" s="65">
        <v>7250.0</v>
      </c>
      <c r="G1296" s="65">
        <v>7500.0</v>
      </c>
      <c r="H1296" s="65">
        <v>700.0</v>
      </c>
      <c r="I1296" s="65">
        <v>5400.0</v>
      </c>
      <c r="J1296" s="65">
        <v>6250.0</v>
      </c>
      <c r="K1296" s="63">
        <v>500.0</v>
      </c>
      <c r="L1296" s="63">
        <v>13.73</v>
      </c>
      <c r="M1296" s="66">
        <f t="shared" si="1"/>
        <v>9.59</v>
      </c>
    </row>
    <row r="1297">
      <c r="A1297" s="67"/>
      <c r="B1297" s="67"/>
      <c r="C1297" s="67"/>
      <c r="D1297" s="67"/>
      <c r="E1297" s="67"/>
      <c r="F1297" s="68"/>
      <c r="G1297" s="68"/>
      <c r="H1297" s="68"/>
      <c r="I1297" s="68"/>
      <c r="J1297" s="68"/>
      <c r="K1297" s="69">
        <v>1000.0</v>
      </c>
      <c r="L1297" s="69">
        <v>15.45</v>
      </c>
      <c r="M1297" s="68">
        <f t="shared" si="1"/>
        <v>21.57</v>
      </c>
    </row>
    <row r="1298">
      <c r="A1298" s="73"/>
      <c r="B1298" s="73"/>
      <c r="C1298" s="73"/>
      <c r="D1298" s="73"/>
      <c r="E1298" s="73"/>
      <c r="F1298" s="66"/>
      <c r="G1298" s="66"/>
      <c r="H1298" s="66"/>
      <c r="I1298" s="66"/>
      <c r="J1298" s="66"/>
      <c r="K1298" s="63">
        <v>1500.0</v>
      </c>
      <c r="L1298" s="63">
        <v>16.73</v>
      </c>
      <c r="M1298" s="66">
        <f t="shared" si="1"/>
        <v>35.04</v>
      </c>
    </row>
    <row r="1299">
      <c r="A1299" s="67"/>
      <c r="B1299" s="67"/>
      <c r="C1299" s="67"/>
      <c r="D1299" s="67"/>
      <c r="E1299" s="67"/>
      <c r="F1299" s="68"/>
      <c r="G1299" s="68"/>
      <c r="H1299" s="68"/>
      <c r="I1299" s="68"/>
      <c r="J1299" s="68"/>
      <c r="K1299" s="69">
        <v>2000.0</v>
      </c>
      <c r="L1299" s="69">
        <v>17.55</v>
      </c>
      <c r="M1299" s="68">
        <f t="shared" si="1"/>
        <v>49.01</v>
      </c>
    </row>
    <row r="1300">
      <c r="A1300" s="70"/>
      <c r="B1300" s="70"/>
      <c r="C1300" s="70"/>
      <c r="D1300" s="70"/>
      <c r="E1300" s="70"/>
      <c r="F1300" s="66"/>
      <c r="G1300" s="66"/>
      <c r="H1300" s="66"/>
      <c r="I1300" s="66"/>
      <c r="J1300" s="66"/>
      <c r="K1300" s="63">
        <v>2500.0</v>
      </c>
      <c r="L1300" s="63">
        <v>17.7</v>
      </c>
      <c r="M1300" s="66">
        <f t="shared" si="1"/>
        <v>61.78</v>
      </c>
    </row>
    <row r="1301">
      <c r="A1301" s="67"/>
      <c r="B1301" s="67"/>
      <c r="C1301" s="67"/>
      <c r="D1301" s="67"/>
      <c r="E1301" s="67"/>
      <c r="F1301" s="68"/>
      <c r="G1301" s="68"/>
      <c r="H1301" s="68"/>
      <c r="I1301" s="68"/>
      <c r="J1301" s="68"/>
      <c r="K1301" s="69">
        <v>3000.0</v>
      </c>
      <c r="L1301" s="69">
        <v>17.63</v>
      </c>
      <c r="M1301" s="68">
        <f t="shared" si="1"/>
        <v>73.85</v>
      </c>
    </row>
    <row r="1302">
      <c r="A1302" s="70"/>
      <c r="B1302" s="70"/>
      <c r="C1302" s="70"/>
      <c r="D1302" s="70"/>
      <c r="E1302" s="70"/>
      <c r="F1302" s="66"/>
      <c r="G1302" s="66"/>
      <c r="H1302" s="66"/>
      <c r="I1302" s="66"/>
      <c r="J1302" s="66"/>
      <c r="K1302" s="63">
        <v>3500.0</v>
      </c>
      <c r="L1302" s="63">
        <v>17.92</v>
      </c>
      <c r="M1302" s="66">
        <f t="shared" si="1"/>
        <v>87.57</v>
      </c>
    </row>
    <row r="1303">
      <c r="A1303" s="67"/>
      <c r="B1303" s="67"/>
      <c r="C1303" s="67"/>
      <c r="D1303" s="67"/>
      <c r="E1303" s="67"/>
      <c r="F1303" s="68"/>
      <c r="G1303" s="68"/>
      <c r="H1303" s="68"/>
      <c r="I1303" s="68"/>
      <c r="J1303" s="68"/>
      <c r="K1303" s="69">
        <v>4000.0</v>
      </c>
      <c r="L1303" s="69">
        <v>18.98</v>
      </c>
      <c r="M1303" s="68">
        <f t="shared" si="1"/>
        <v>106</v>
      </c>
    </row>
    <row r="1304">
      <c r="A1304" s="70"/>
      <c r="B1304" s="70"/>
      <c r="C1304" s="70"/>
      <c r="D1304" s="70"/>
      <c r="E1304" s="70"/>
      <c r="F1304" s="66"/>
      <c r="G1304" s="66"/>
      <c r="H1304" s="66"/>
      <c r="I1304" s="66"/>
      <c r="J1304" s="66"/>
      <c r="K1304" s="63">
        <v>4500.0</v>
      </c>
      <c r="L1304" s="63">
        <v>19.95</v>
      </c>
      <c r="M1304" s="66">
        <f t="shared" si="1"/>
        <v>125.35</v>
      </c>
    </row>
    <row r="1305">
      <c r="A1305" s="67"/>
      <c r="B1305" s="67"/>
      <c r="C1305" s="67"/>
      <c r="D1305" s="67"/>
      <c r="E1305" s="67"/>
      <c r="F1305" s="68"/>
      <c r="G1305" s="68"/>
      <c r="H1305" s="68"/>
      <c r="I1305" s="68"/>
      <c r="J1305" s="68"/>
      <c r="K1305" s="69">
        <v>5000.0</v>
      </c>
      <c r="L1305" s="69">
        <v>20.33</v>
      </c>
      <c r="M1305" s="68">
        <f t="shared" si="1"/>
        <v>141.93</v>
      </c>
    </row>
    <row r="1306">
      <c r="A1306" s="70"/>
      <c r="B1306" s="70"/>
      <c r="C1306" s="70"/>
      <c r="D1306" s="70"/>
      <c r="E1306" s="70"/>
      <c r="F1306" s="66"/>
      <c r="G1306" s="66"/>
      <c r="H1306" s="66"/>
      <c r="I1306" s="66"/>
      <c r="J1306" s="66"/>
      <c r="K1306" s="63">
        <v>5400.0</v>
      </c>
      <c r="L1306" s="63">
        <v>20.4</v>
      </c>
      <c r="M1306" s="66">
        <f t="shared" si="1"/>
        <v>153.81</v>
      </c>
    </row>
    <row r="1307">
      <c r="A1307" s="67"/>
      <c r="B1307" s="67"/>
      <c r="C1307" s="67"/>
      <c r="D1307" s="67"/>
      <c r="E1307" s="67"/>
      <c r="F1307" s="68"/>
      <c r="G1307" s="68"/>
      <c r="H1307" s="68"/>
      <c r="I1307" s="68"/>
      <c r="J1307" s="68"/>
      <c r="K1307" s="69">
        <v>6000.0</v>
      </c>
      <c r="L1307" s="69">
        <v>19.8</v>
      </c>
      <c r="M1307" s="68">
        <f t="shared" si="1"/>
        <v>165.88</v>
      </c>
    </row>
    <row r="1308">
      <c r="A1308" s="70"/>
      <c r="B1308" s="70"/>
      <c r="C1308" s="70"/>
      <c r="D1308" s="70"/>
      <c r="E1308" s="70"/>
      <c r="F1308" s="66"/>
      <c r="G1308" s="66"/>
      <c r="H1308" s="66"/>
      <c r="I1308" s="66"/>
      <c r="J1308" s="66"/>
      <c r="K1308" s="63">
        <v>6250.0</v>
      </c>
      <c r="L1308" s="63">
        <v>19.3</v>
      </c>
      <c r="M1308" s="66">
        <f t="shared" si="1"/>
        <v>168.42</v>
      </c>
    </row>
    <row r="1309">
      <c r="A1309" s="67"/>
      <c r="B1309" s="67"/>
      <c r="C1309" s="67"/>
      <c r="D1309" s="67"/>
      <c r="E1309" s="67"/>
      <c r="F1309" s="68"/>
      <c r="G1309" s="68"/>
      <c r="H1309" s="68"/>
      <c r="I1309" s="68"/>
      <c r="J1309" s="68"/>
      <c r="K1309" s="69">
        <v>7000.0</v>
      </c>
      <c r="L1309" s="69">
        <v>17.02</v>
      </c>
      <c r="M1309" s="68">
        <f t="shared" si="1"/>
        <v>166.35</v>
      </c>
    </row>
    <row r="1310">
      <c r="A1310" s="70"/>
      <c r="B1310" s="70"/>
      <c r="C1310" s="70"/>
      <c r="D1310" s="70"/>
      <c r="E1310" s="70"/>
      <c r="F1310" s="66"/>
      <c r="G1310" s="66"/>
      <c r="H1310" s="66"/>
      <c r="I1310" s="66"/>
      <c r="J1310" s="66"/>
      <c r="K1310" s="63">
        <v>7500.0</v>
      </c>
      <c r="L1310" s="63">
        <v>15.15</v>
      </c>
      <c r="M1310" s="66">
        <f t="shared" si="1"/>
        <v>158.65</v>
      </c>
    </row>
    <row r="1311">
      <c r="A1311" s="68">
        <v>89.0</v>
      </c>
      <c r="B1311" s="68">
        <v>133.0</v>
      </c>
      <c r="C1311" s="71" t="s">
        <v>315</v>
      </c>
      <c r="D1311" s="71" t="s">
        <v>316</v>
      </c>
      <c r="E1311" s="71" t="s">
        <v>317</v>
      </c>
      <c r="F1311" s="72">
        <v>6000.0</v>
      </c>
      <c r="G1311" s="72">
        <v>6000.0</v>
      </c>
      <c r="H1311" s="72">
        <v>600.0</v>
      </c>
      <c r="I1311" s="72">
        <v>4000.0</v>
      </c>
      <c r="J1311" s="72">
        <v>5200.0</v>
      </c>
      <c r="K1311" s="69">
        <v>500.0</v>
      </c>
      <c r="L1311" s="69">
        <v>32.55</v>
      </c>
      <c r="M1311" s="68">
        <f t="shared" si="1"/>
        <v>22.72</v>
      </c>
    </row>
    <row r="1312">
      <c r="A1312" s="70"/>
      <c r="B1312" s="70"/>
      <c r="C1312" s="70"/>
      <c r="D1312" s="70"/>
      <c r="E1312" s="70"/>
      <c r="F1312" s="66"/>
      <c r="G1312" s="66"/>
      <c r="H1312" s="66"/>
      <c r="I1312" s="66"/>
      <c r="J1312" s="66"/>
      <c r="K1312" s="63">
        <v>1000.0</v>
      </c>
      <c r="L1312" s="63">
        <v>39.15</v>
      </c>
      <c r="M1312" s="66">
        <f t="shared" si="1"/>
        <v>54.66</v>
      </c>
    </row>
    <row r="1313">
      <c r="A1313" s="67"/>
      <c r="B1313" s="67"/>
      <c r="C1313" s="67"/>
      <c r="D1313" s="67"/>
      <c r="E1313" s="67"/>
      <c r="F1313" s="68"/>
      <c r="G1313" s="68"/>
      <c r="H1313" s="68"/>
      <c r="I1313" s="68"/>
      <c r="J1313" s="68"/>
      <c r="K1313" s="69">
        <v>1500.0</v>
      </c>
      <c r="L1313" s="69">
        <v>43.95</v>
      </c>
      <c r="M1313" s="68">
        <f t="shared" si="1"/>
        <v>92.05</v>
      </c>
    </row>
    <row r="1314">
      <c r="A1314" s="70"/>
      <c r="B1314" s="70"/>
      <c r="C1314" s="70"/>
      <c r="D1314" s="70"/>
      <c r="E1314" s="70"/>
      <c r="F1314" s="66"/>
      <c r="G1314" s="66"/>
      <c r="H1314" s="66"/>
      <c r="I1314" s="66"/>
      <c r="J1314" s="66"/>
      <c r="K1314" s="63">
        <v>2000.0</v>
      </c>
      <c r="L1314" s="63">
        <v>47.25</v>
      </c>
      <c r="M1314" s="66">
        <f t="shared" si="1"/>
        <v>131.95</v>
      </c>
    </row>
    <row r="1315">
      <c r="A1315" s="67"/>
      <c r="B1315" s="67"/>
      <c r="C1315" s="67"/>
      <c r="D1315" s="67"/>
      <c r="E1315" s="67"/>
      <c r="F1315" s="68"/>
      <c r="G1315" s="68"/>
      <c r="H1315" s="68"/>
      <c r="I1315" s="68"/>
      <c r="J1315" s="68"/>
      <c r="K1315" s="69">
        <v>2500.0</v>
      </c>
      <c r="L1315" s="69">
        <v>49.2</v>
      </c>
      <c r="M1315" s="68">
        <f t="shared" si="1"/>
        <v>171.74</v>
      </c>
    </row>
    <row r="1316">
      <c r="A1316" s="70"/>
      <c r="B1316" s="70"/>
      <c r="C1316" s="70"/>
      <c r="D1316" s="70"/>
      <c r="E1316" s="70"/>
      <c r="F1316" s="66"/>
      <c r="G1316" s="66"/>
      <c r="H1316" s="66"/>
      <c r="I1316" s="66"/>
      <c r="J1316" s="66"/>
      <c r="K1316" s="63">
        <v>3000.0</v>
      </c>
      <c r="L1316" s="63">
        <v>50.7</v>
      </c>
      <c r="M1316" s="66">
        <f t="shared" si="1"/>
        <v>212.37</v>
      </c>
    </row>
    <row r="1317">
      <c r="A1317" s="67"/>
      <c r="B1317" s="67"/>
      <c r="C1317" s="67"/>
      <c r="D1317" s="67"/>
      <c r="E1317" s="67"/>
      <c r="F1317" s="68"/>
      <c r="G1317" s="68"/>
      <c r="H1317" s="68"/>
      <c r="I1317" s="68"/>
      <c r="J1317" s="68"/>
      <c r="K1317" s="69">
        <v>3500.0</v>
      </c>
      <c r="L1317" s="69">
        <v>51.3</v>
      </c>
      <c r="M1317" s="68">
        <f t="shared" si="1"/>
        <v>250.7</v>
      </c>
    </row>
    <row r="1318">
      <c r="A1318" s="70"/>
      <c r="B1318" s="70"/>
      <c r="C1318" s="70"/>
      <c r="D1318" s="70"/>
      <c r="E1318" s="70"/>
      <c r="F1318" s="66"/>
      <c r="G1318" s="66"/>
      <c r="H1318" s="66"/>
      <c r="I1318" s="66"/>
      <c r="J1318" s="66"/>
      <c r="K1318" s="63">
        <v>4000.0</v>
      </c>
      <c r="L1318" s="63">
        <v>51.8</v>
      </c>
      <c r="M1318" s="66">
        <f t="shared" si="1"/>
        <v>289.3</v>
      </c>
    </row>
    <row r="1319">
      <c r="A1319" s="67"/>
      <c r="B1319" s="67"/>
      <c r="C1319" s="67"/>
      <c r="D1319" s="67"/>
      <c r="E1319" s="67"/>
      <c r="F1319" s="68"/>
      <c r="G1319" s="68"/>
      <c r="H1319" s="68"/>
      <c r="I1319" s="68"/>
      <c r="J1319" s="68"/>
      <c r="K1319" s="69">
        <v>4500.0</v>
      </c>
      <c r="L1319" s="69">
        <v>51.75</v>
      </c>
      <c r="M1319" s="68">
        <f t="shared" si="1"/>
        <v>325.15</v>
      </c>
    </row>
    <row r="1320">
      <c r="A1320" s="70"/>
      <c r="B1320" s="70"/>
      <c r="C1320" s="70"/>
      <c r="D1320" s="70"/>
      <c r="E1320" s="70"/>
      <c r="F1320" s="66"/>
      <c r="G1320" s="66"/>
      <c r="H1320" s="66"/>
      <c r="I1320" s="66"/>
      <c r="J1320" s="66"/>
      <c r="K1320" s="63">
        <v>4800.0</v>
      </c>
      <c r="L1320" s="63">
        <v>51.3</v>
      </c>
      <c r="M1320" s="66">
        <f t="shared" si="1"/>
        <v>343.81</v>
      </c>
    </row>
    <row r="1321">
      <c r="A1321" s="67"/>
      <c r="B1321" s="67"/>
      <c r="C1321" s="67"/>
      <c r="D1321" s="67"/>
      <c r="E1321" s="67"/>
      <c r="F1321" s="68"/>
      <c r="G1321" s="68"/>
      <c r="H1321" s="68"/>
      <c r="I1321" s="68"/>
      <c r="J1321" s="68"/>
      <c r="K1321" s="69">
        <v>5200.0</v>
      </c>
      <c r="L1321" s="69">
        <v>48.8</v>
      </c>
      <c r="M1321" s="68">
        <f t="shared" si="1"/>
        <v>354.31</v>
      </c>
    </row>
    <row r="1322">
      <c r="A1322" s="73"/>
      <c r="B1322" s="73"/>
      <c r="C1322" s="73"/>
      <c r="D1322" s="73"/>
      <c r="E1322" s="73"/>
      <c r="F1322" s="66"/>
      <c r="G1322" s="66"/>
      <c r="H1322" s="66"/>
      <c r="I1322" s="66"/>
      <c r="J1322" s="66"/>
      <c r="K1322" s="63">
        <v>6000.0</v>
      </c>
      <c r="L1322" s="63">
        <v>41.7</v>
      </c>
      <c r="M1322" s="66">
        <f t="shared" si="1"/>
        <v>349.34</v>
      </c>
    </row>
    <row r="1323">
      <c r="A1323" s="68">
        <v>90.0</v>
      </c>
      <c r="B1323" s="68">
        <v>137.0</v>
      </c>
      <c r="C1323" s="71" t="s">
        <v>318</v>
      </c>
      <c r="D1323" s="71" t="s">
        <v>319</v>
      </c>
      <c r="E1323" s="71" t="s">
        <v>320</v>
      </c>
      <c r="F1323" s="72">
        <v>6500.0</v>
      </c>
      <c r="G1323" s="72">
        <v>6500.0</v>
      </c>
      <c r="H1323" s="72">
        <v>700.0</v>
      </c>
      <c r="I1323" s="72">
        <v>4400.0</v>
      </c>
      <c r="J1323" s="72">
        <v>6000.0</v>
      </c>
      <c r="K1323" s="69">
        <v>500.0</v>
      </c>
      <c r="L1323" s="69">
        <v>20.84</v>
      </c>
      <c r="M1323" s="68">
        <f t="shared" si="1"/>
        <v>14.55</v>
      </c>
    </row>
    <row r="1324">
      <c r="A1324" s="70"/>
      <c r="B1324" s="70"/>
      <c r="C1324" s="70"/>
      <c r="D1324" s="70"/>
      <c r="E1324" s="70"/>
      <c r="F1324" s="66"/>
      <c r="G1324" s="66"/>
      <c r="H1324" s="66"/>
      <c r="I1324" s="66"/>
      <c r="J1324" s="66"/>
      <c r="K1324" s="63">
        <v>1000.0</v>
      </c>
      <c r="L1324" s="63">
        <v>22.33</v>
      </c>
      <c r="M1324" s="66">
        <f t="shared" si="1"/>
        <v>31.18</v>
      </c>
    </row>
    <row r="1325">
      <c r="A1325" s="67"/>
      <c r="B1325" s="67"/>
      <c r="C1325" s="67"/>
      <c r="D1325" s="67"/>
      <c r="E1325" s="67"/>
      <c r="F1325" s="68"/>
      <c r="G1325" s="68"/>
      <c r="H1325" s="68"/>
      <c r="I1325" s="68"/>
      <c r="J1325" s="68"/>
      <c r="K1325" s="69">
        <v>1500.0</v>
      </c>
      <c r="L1325" s="69">
        <v>23.4</v>
      </c>
      <c r="M1325" s="68">
        <f t="shared" si="1"/>
        <v>49.01</v>
      </c>
    </row>
    <row r="1326">
      <c r="A1326" s="70"/>
      <c r="B1326" s="70"/>
      <c r="C1326" s="70"/>
      <c r="D1326" s="70"/>
      <c r="E1326" s="70"/>
      <c r="F1326" s="66"/>
      <c r="G1326" s="66"/>
      <c r="H1326" s="66"/>
      <c r="I1326" s="66"/>
      <c r="J1326" s="66"/>
      <c r="K1326" s="63">
        <v>2000.0</v>
      </c>
      <c r="L1326" s="63">
        <v>24.47</v>
      </c>
      <c r="M1326" s="66">
        <f t="shared" si="1"/>
        <v>68.33</v>
      </c>
    </row>
    <row r="1327">
      <c r="A1327" s="67"/>
      <c r="B1327" s="67"/>
      <c r="C1327" s="67"/>
      <c r="D1327" s="67"/>
      <c r="E1327" s="67"/>
      <c r="F1327" s="68"/>
      <c r="G1327" s="68"/>
      <c r="H1327" s="68"/>
      <c r="I1327" s="68"/>
      <c r="J1327" s="68"/>
      <c r="K1327" s="69">
        <v>2500.0</v>
      </c>
      <c r="L1327" s="69">
        <v>25.54</v>
      </c>
      <c r="M1327" s="68">
        <f t="shared" si="1"/>
        <v>89.15</v>
      </c>
    </row>
    <row r="1328">
      <c r="A1328" s="70"/>
      <c r="B1328" s="70"/>
      <c r="C1328" s="70"/>
      <c r="D1328" s="70"/>
      <c r="E1328" s="70"/>
      <c r="F1328" s="66"/>
      <c r="G1328" s="66"/>
      <c r="H1328" s="66"/>
      <c r="I1328" s="66"/>
      <c r="J1328" s="66"/>
      <c r="K1328" s="63">
        <v>3000.0</v>
      </c>
      <c r="L1328" s="63">
        <v>26.61</v>
      </c>
      <c r="M1328" s="66">
        <f t="shared" si="1"/>
        <v>111.46</v>
      </c>
    </row>
    <row r="1329">
      <c r="A1329" s="67"/>
      <c r="B1329" s="67"/>
      <c r="C1329" s="67"/>
      <c r="D1329" s="67"/>
      <c r="E1329" s="67"/>
      <c r="F1329" s="68"/>
      <c r="G1329" s="68"/>
      <c r="H1329" s="68"/>
      <c r="I1329" s="68"/>
      <c r="J1329" s="68"/>
      <c r="K1329" s="69">
        <v>3500.0</v>
      </c>
      <c r="L1329" s="69">
        <v>27.53</v>
      </c>
      <c r="M1329" s="68">
        <f t="shared" si="1"/>
        <v>134.54</v>
      </c>
    </row>
    <row r="1330">
      <c r="A1330" s="70"/>
      <c r="B1330" s="70"/>
      <c r="C1330" s="70"/>
      <c r="D1330" s="70"/>
      <c r="E1330" s="70"/>
      <c r="F1330" s="66"/>
      <c r="G1330" s="66"/>
      <c r="H1330" s="66"/>
      <c r="I1330" s="66"/>
      <c r="J1330" s="66"/>
      <c r="K1330" s="63">
        <v>4000.0</v>
      </c>
      <c r="L1330" s="63">
        <v>28.45</v>
      </c>
      <c r="M1330" s="66">
        <f t="shared" si="1"/>
        <v>158.89</v>
      </c>
    </row>
    <row r="1331">
      <c r="A1331" s="67"/>
      <c r="B1331" s="67"/>
      <c r="C1331" s="67"/>
      <c r="D1331" s="67"/>
      <c r="E1331" s="67"/>
      <c r="F1331" s="68"/>
      <c r="G1331" s="68"/>
      <c r="H1331" s="68"/>
      <c r="I1331" s="68"/>
      <c r="J1331" s="68"/>
      <c r="K1331" s="69">
        <v>4500.0</v>
      </c>
      <c r="L1331" s="69">
        <v>29.47</v>
      </c>
      <c r="M1331" s="68">
        <f t="shared" si="1"/>
        <v>185.16</v>
      </c>
    </row>
    <row r="1332">
      <c r="A1332" s="70"/>
      <c r="B1332" s="70"/>
      <c r="C1332" s="70"/>
      <c r="D1332" s="70"/>
      <c r="E1332" s="70"/>
      <c r="F1332" s="66"/>
      <c r="G1332" s="66"/>
      <c r="H1332" s="66"/>
      <c r="I1332" s="66"/>
      <c r="J1332" s="66"/>
      <c r="K1332" s="63">
        <v>5000.0</v>
      </c>
      <c r="L1332" s="63">
        <v>28.45</v>
      </c>
      <c r="M1332" s="66">
        <f t="shared" si="1"/>
        <v>198.62</v>
      </c>
    </row>
    <row r="1333">
      <c r="A1333" s="67"/>
      <c r="B1333" s="67"/>
      <c r="C1333" s="67"/>
      <c r="D1333" s="67"/>
      <c r="E1333" s="67"/>
      <c r="F1333" s="68"/>
      <c r="G1333" s="68"/>
      <c r="H1333" s="68"/>
      <c r="I1333" s="68"/>
      <c r="J1333" s="68"/>
      <c r="K1333" s="69">
        <v>5500.0</v>
      </c>
      <c r="L1333" s="69">
        <v>27.48</v>
      </c>
      <c r="M1333" s="68">
        <f t="shared" si="1"/>
        <v>211.03</v>
      </c>
    </row>
    <row r="1334">
      <c r="A1334" s="70"/>
      <c r="B1334" s="70"/>
      <c r="C1334" s="70"/>
      <c r="D1334" s="70"/>
      <c r="E1334" s="70"/>
      <c r="F1334" s="66"/>
      <c r="G1334" s="66"/>
      <c r="H1334" s="66"/>
      <c r="I1334" s="66"/>
      <c r="J1334" s="66"/>
      <c r="K1334" s="63">
        <v>6000.0</v>
      </c>
      <c r="L1334" s="63">
        <v>26.26</v>
      </c>
      <c r="M1334" s="66">
        <f t="shared" si="1"/>
        <v>219.99</v>
      </c>
    </row>
    <row r="1335">
      <c r="A1335" s="67"/>
      <c r="B1335" s="67"/>
      <c r="C1335" s="67"/>
      <c r="D1335" s="67"/>
      <c r="E1335" s="67"/>
      <c r="F1335" s="68"/>
      <c r="G1335" s="68"/>
      <c r="H1335" s="68"/>
      <c r="I1335" s="68"/>
      <c r="J1335" s="68"/>
      <c r="K1335" s="69">
        <v>6500.0</v>
      </c>
      <c r="L1335" s="69">
        <v>24.07</v>
      </c>
      <c r="M1335" s="68">
        <f t="shared" si="1"/>
        <v>218.45</v>
      </c>
    </row>
    <row r="1336">
      <c r="A1336" s="70"/>
      <c r="B1336" s="70"/>
      <c r="C1336" s="70"/>
      <c r="D1336" s="70"/>
      <c r="E1336" s="70"/>
      <c r="F1336" s="66"/>
      <c r="G1336" s="66"/>
      <c r="H1336" s="66"/>
      <c r="I1336" s="66"/>
      <c r="J1336" s="66"/>
      <c r="K1336" s="63">
        <v>7000.0</v>
      </c>
      <c r="L1336" s="63">
        <v>21.15</v>
      </c>
      <c r="M1336" s="66">
        <f t="shared" si="1"/>
        <v>206.72</v>
      </c>
    </row>
    <row r="1337">
      <c r="A1337" s="68">
        <v>91.0</v>
      </c>
      <c r="B1337" s="68">
        <v>144.0</v>
      </c>
      <c r="C1337" s="71" t="s">
        <v>321</v>
      </c>
      <c r="D1337" s="71" t="s">
        <v>322</v>
      </c>
      <c r="E1337" s="71" t="s">
        <v>323</v>
      </c>
      <c r="F1337" s="72">
        <v>6500.0</v>
      </c>
      <c r="G1337" s="72">
        <v>6500.0</v>
      </c>
      <c r="H1337" s="72">
        <v>700.0</v>
      </c>
      <c r="I1337" s="72">
        <v>3750.0</v>
      </c>
      <c r="J1337" s="72">
        <v>6000.0</v>
      </c>
      <c r="K1337" s="69">
        <v>500.0</v>
      </c>
      <c r="L1337" s="69">
        <v>19.5</v>
      </c>
      <c r="M1337" s="68">
        <f t="shared" si="1"/>
        <v>13.61</v>
      </c>
    </row>
    <row r="1338">
      <c r="A1338" s="70"/>
      <c r="B1338" s="70"/>
      <c r="C1338" s="70"/>
      <c r="D1338" s="70"/>
      <c r="E1338" s="70"/>
      <c r="F1338" s="66"/>
      <c r="G1338" s="66"/>
      <c r="H1338" s="66"/>
      <c r="I1338" s="66"/>
      <c r="J1338" s="66"/>
      <c r="K1338" s="63">
        <v>1000.0</v>
      </c>
      <c r="L1338" s="63">
        <v>22.54</v>
      </c>
      <c r="M1338" s="66">
        <f t="shared" si="1"/>
        <v>31.47</v>
      </c>
    </row>
    <row r="1339">
      <c r="A1339" s="67"/>
      <c r="B1339" s="67"/>
      <c r="C1339" s="67"/>
      <c r="D1339" s="67"/>
      <c r="E1339" s="67"/>
      <c r="F1339" s="68"/>
      <c r="G1339" s="68"/>
      <c r="H1339" s="68"/>
      <c r="I1339" s="68"/>
      <c r="J1339" s="68"/>
      <c r="K1339" s="69">
        <v>1500.0</v>
      </c>
      <c r="L1339" s="69">
        <v>25.39</v>
      </c>
      <c r="M1339" s="68">
        <f t="shared" si="1"/>
        <v>53.18</v>
      </c>
    </row>
    <row r="1340">
      <c r="A1340" s="70"/>
      <c r="B1340" s="70"/>
      <c r="C1340" s="70"/>
      <c r="D1340" s="70"/>
      <c r="E1340" s="70"/>
      <c r="F1340" s="66"/>
      <c r="G1340" s="66"/>
      <c r="H1340" s="66"/>
      <c r="I1340" s="66"/>
      <c r="J1340" s="66"/>
      <c r="K1340" s="63">
        <v>2000.0</v>
      </c>
      <c r="L1340" s="63">
        <v>26.72</v>
      </c>
      <c r="M1340" s="66">
        <f t="shared" si="1"/>
        <v>74.62</v>
      </c>
    </row>
    <row r="1341">
      <c r="A1341" s="67"/>
      <c r="B1341" s="67"/>
      <c r="C1341" s="67"/>
      <c r="D1341" s="67"/>
      <c r="E1341" s="67"/>
      <c r="F1341" s="68"/>
      <c r="G1341" s="68"/>
      <c r="H1341" s="68"/>
      <c r="I1341" s="68"/>
      <c r="J1341" s="68"/>
      <c r="K1341" s="69">
        <v>2500.0</v>
      </c>
      <c r="L1341" s="69">
        <v>27.63</v>
      </c>
      <c r="M1341" s="68">
        <f t="shared" si="1"/>
        <v>96.45</v>
      </c>
    </row>
    <row r="1342">
      <c r="A1342" s="70"/>
      <c r="B1342" s="70"/>
      <c r="C1342" s="70"/>
      <c r="D1342" s="70"/>
      <c r="E1342" s="70"/>
      <c r="F1342" s="66"/>
      <c r="G1342" s="66"/>
      <c r="H1342" s="66"/>
      <c r="I1342" s="66"/>
      <c r="J1342" s="66"/>
      <c r="K1342" s="63">
        <v>3000.0</v>
      </c>
      <c r="L1342" s="63">
        <v>28.55</v>
      </c>
      <c r="M1342" s="66">
        <f t="shared" si="1"/>
        <v>119.59</v>
      </c>
    </row>
    <row r="1343">
      <c r="A1343" s="67"/>
      <c r="B1343" s="67"/>
      <c r="C1343" s="67"/>
      <c r="D1343" s="67"/>
      <c r="E1343" s="67"/>
      <c r="F1343" s="68"/>
      <c r="G1343" s="68"/>
      <c r="H1343" s="68"/>
      <c r="I1343" s="68"/>
      <c r="J1343" s="68"/>
      <c r="K1343" s="69">
        <v>3500.0</v>
      </c>
      <c r="L1343" s="69">
        <v>28.86</v>
      </c>
      <c r="M1343" s="68">
        <f t="shared" si="1"/>
        <v>141.04</v>
      </c>
    </row>
    <row r="1344">
      <c r="A1344" s="70"/>
      <c r="B1344" s="70"/>
      <c r="C1344" s="70"/>
      <c r="D1344" s="70"/>
      <c r="E1344" s="70"/>
      <c r="F1344" s="66"/>
      <c r="G1344" s="66"/>
      <c r="H1344" s="66"/>
      <c r="I1344" s="66"/>
      <c r="J1344" s="66"/>
      <c r="K1344" s="63">
        <v>4000.0</v>
      </c>
      <c r="L1344" s="63">
        <v>29.06</v>
      </c>
      <c r="M1344" s="66">
        <f t="shared" si="1"/>
        <v>162.3</v>
      </c>
    </row>
    <row r="1345">
      <c r="A1345" s="67"/>
      <c r="B1345" s="67"/>
      <c r="C1345" s="67"/>
      <c r="D1345" s="67"/>
      <c r="E1345" s="67"/>
      <c r="F1345" s="68"/>
      <c r="G1345" s="68"/>
      <c r="H1345" s="68"/>
      <c r="I1345" s="68"/>
      <c r="J1345" s="68"/>
      <c r="K1345" s="69">
        <v>4500.0</v>
      </c>
      <c r="L1345" s="69">
        <v>28.6</v>
      </c>
      <c r="M1345" s="68">
        <f t="shared" si="1"/>
        <v>179.7</v>
      </c>
    </row>
    <row r="1346">
      <c r="A1346" s="73"/>
      <c r="B1346" s="73"/>
      <c r="C1346" s="73"/>
      <c r="D1346" s="73"/>
      <c r="E1346" s="73"/>
      <c r="F1346" s="66"/>
      <c r="G1346" s="66"/>
      <c r="H1346" s="66"/>
      <c r="I1346" s="66"/>
      <c r="J1346" s="66"/>
      <c r="K1346" s="63">
        <v>5000.0</v>
      </c>
      <c r="L1346" s="63">
        <v>27.84</v>
      </c>
      <c r="M1346" s="66">
        <f t="shared" si="1"/>
        <v>194.36</v>
      </c>
    </row>
    <row r="1347">
      <c r="A1347" s="67"/>
      <c r="B1347" s="67"/>
      <c r="C1347" s="67"/>
      <c r="D1347" s="67"/>
      <c r="E1347" s="67"/>
      <c r="F1347" s="68"/>
      <c r="G1347" s="68"/>
      <c r="H1347" s="68"/>
      <c r="I1347" s="68"/>
      <c r="J1347" s="68"/>
      <c r="K1347" s="69">
        <v>5500.0</v>
      </c>
      <c r="L1347" s="69">
        <v>26.43</v>
      </c>
      <c r="M1347" s="68">
        <f t="shared" si="1"/>
        <v>202.97</v>
      </c>
    </row>
    <row r="1348">
      <c r="A1348" s="70"/>
      <c r="B1348" s="70"/>
      <c r="C1348" s="70"/>
      <c r="D1348" s="70"/>
      <c r="E1348" s="70"/>
      <c r="F1348" s="66"/>
      <c r="G1348" s="66"/>
      <c r="H1348" s="66"/>
      <c r="I1348" s="66"/>
      <c r="J1348" s="66"/>
      <c r="K1348" s="63">
        <v>6000.0</v>
      </c>
      <c r="L1348" s="63">
        <v>24.62</v>
      </c>
      <c r="M1348" s="66">
        <f t="shared" si="1"/>
        <v>206.26</v>
      </c>
    </row>
    <row r="1349">
      <c r="A1349" s="67"/>
      <c r="B1349" s="67"/>
      <c r="C1349" s="67"/>
      <c r="D1349" s="67"/>
      <c r="E1349" s="67"/>
      <c r="F1349" s="68"/>
      <c r="G1349" s="68"/>
      <c r="H1349" s="68"/>
      <c r="I1349" s="68"/>
      <c r="J1349" s="68"/>
      <c r="K1349" s="69">
        <v>6500.0</v>
      </c>
      <c r="L1349" s="69">
        <v>22.33</v>
      </c>
      <c r="M1349" s="68">
        <f t="shared" si="1"/>
        <v>202.66</v>
      </c>
    </row>
    <row r="1350">
      <c r="A1350" s="70"/>
      <c r="B1350" s="70"/>
      <c r="C1350" s="70"/>
      <c r="D1350" s="70"/>
      <c r="E1350" s="70"/>
      <c r="F1350" s="66"/>
      <c r="G1350" s="66"/>
      <c r="H1350" s="66"/>
      <c r="I1350" s="66"/>
      <c r="J1350" s="66"/>
      <c r="K1350" s="63">
        <v>7000.0</v>
      </c>
      <c r="L1350" s="63">
        <v>18.68</v>
      </c>
      <c r="M1350" s="66">
        <f t="shared" si="1"/>
        <v>182.57</v>
      </c>
    </row>
    <row r="1351">
      <c r="A1351" s="68">
        <v>92.0</v>
      </c>
      <c r="B1351" s="68">
        <v>146.0</v>
      </c>
      <c r="C1351" s="71" t="s">
        <v>324</v>
      </c>
      <c r="D1351" s="71" t="s">
        <v>325</v>
      </c>
      <c r="E1351" s="71" t="s">
        <v>326</v>
      </c>
      <c r="F1351" s="72">
        <v>7000.0</v>
      </c>
      <c r="G1351" s="72">
        <v>7200.0</v>
      </c>
      <c r="H1351" s="72">
        <v>700.0</v>
      </c>
      <c r="I1351" s="72">
        <v>1850.0</v>
      </c>
      <c r="J1351" s="72">
        <v>6000.0</v>
      </c>
      <c r="K1351" s="69">
        <v>500.0</v>
      </c>
      <c r="L1351" s="69">
        <v>18.59</v>
      </c>
      <c r="M1351" s="68">
        <f t="shared" si="1"/>
        <v>12.98</v>
      </c>
    </row>
    <row r="1352">
      <c r="A1352" s="70"/>
      <c r="B1352" s="70"/>
      <c r="C1352" s="70"/>
      <c r="D1352" s="70"/>
      <c r="E1352" s="70"/>
      <c r="F1352" s="66"/>
      <c r="G1352" s="66"/>
      <c r="H1352" s="66"/>
      <c r="I1352" s="66"/>
      <c r="J1352" s="66"/>
      <c r="K1352" s="63">
        <v>1000.0</v>
      </c>
      <c r="L1352" s="63">
        <v>26.27</v>
      </c>
      <c r="M1352" s="66">
        <f t="shared" si="1"/>
        <v>36.68</v>
      </c>
    </row>
    <row r="1353">
      <c r="A1353" s="67"/>
      <c r="B1353" s="67"/>
      <c r="C1353" s="67"/>
      <c r="D1353" s="67"/>
      <c r="E1353" s="67"/>
      <c r="F1353" s="68"/>
      <c r="G1353" s="68"/>
      <c r="H1353" s="68"/>
      <c r="I1353" s="68"/>
      <c r="J1353" s="68"/>
      <c r="K1353" s="69">
        <v>1500.0</v>
      </c>
      <c r="L1353" s="69">
        <v>29.76</v>
      </c>
      <c r="M1353" s="68">
        <f t="shared" si="1"/>
        <v>62.33</v>
      </c>
    </row>
    <row r="1354">
      <c r="A1354" s="70"/>
      <c r="B1354" s="70"/>
      <c r="C1354" s="70"/>
      <c r="D1354" s="70"/>
      <c r="E1354" s="70"/>
      <c r="F1354" s="66"/>
      <c r="G1354" s="66"/>
      <c r="H1354" s="66"/>
      <c r="I1354" s="66"/>
      <c r="J1354" s="66"/>
      <c r="K1354" s="63">
        <v>2000.0</v>
      </c>
      <c r="L1354" s="63">
        <v>32.09</v>
      </c>
      <c r="M1354" s="66">
        <f t="shared" si="1"/>
        <v>89.61</v>
      </c>
    </row>
    <row r="1355">
      <c r="A1355" s="67"/>
      <c r="B1355" s="67"/>
      <c r="C1355" s="67"/>
      <c r="D1355" s="67"/>
      <c r="E1355" s="67"/>
      <c r="F1355" s="68"/>
      <c r="G1355" s="68"/>
      <c r="H1355" s="68"/>
      <c r="I1355" s="68"/>
      <c r="J1355" s="68"/>
      <c r="K1355" s="69">
        <v>2500.0</v>
      </c>
      <c r="L1355" s="69">
        <v>32.09</v>
      </c>
      <c r="M1355" s="68">
        <f t="shared" si="1"/>
        <v>112.01</v>
      </c>
    </row>
    <row r="1356">
      <c r="A1356" s="70"/>
      <c r="B1356" s="70"/>
      <c r="C1356" s="70"/>
      <c r="D1356" s="70"/>
      <c r="E1356" s="70"/>
      <c r="F1356" s="66"/>
      <c r="G1356" s="66"/>
      <c r="H1356" s="66"/>
      <c r="I1356" s="66"/>
      <c r="J1356" s="66"/>
      <c r="K1356" s="63">
        <v>3000.0</v>
      </c>
      <c r="L1356" s="63">
        <v>32.09</v>
      </c>
      <c r="M1356" s="66">
        <f t="shared" si="1"/>
        <v>134.42</v>
      </c>
    </row>
    <row r="1357">
      <c r="A1357" s="67"/>
      <c r="B1357" s="67"/>
      <c r="C1357" s="67"/>
      <c r="D1357" s="67"/>
      <c r="E1357" s="67"/>
      <c r="F1357" s="68"/>
      <c r="G1357" s="68"/>
      <c r="H1357" s="68"/>
      <c r="I1357" s="68"/>
      <c r="J1357" s="68"/>
      <c r="K1357" s="69">
        <v>3500.0</v>
      </c>
      <c r="L1357" s="69">
        <v>32.09</v>
      </c>
      <c r="M1357" s="68">
        <f t="shared" si="1"/>
        <v>156.82</v>
      </c>
    </row>
    <row r="1358">
      <c r="A1358" s="70"/>
      <c r="B1358" s="70"/>
      <c r="C1358" s="70"/>
      <c r="D1358" s="70"/>
      <c r="E1358" s="70"/>
      <c r="F1358" s="66"/>
      <c r="G1358" s="66"/>
      <c r="H1358" s="66"/>
      <c r="I1358" s="66"/>
      <c r="J1358" s="66"/>
      <c r="K1358" s="63">
        <v>4000.0</v>
      </c>
      <c r="L1358" s="63">
        <v>32.09</v>
      </c>
      <c r="M1358" s="66">
        <f t="shared" si="1"/>
        <v>179.22</v>
      </c>
    </row>
    <row r="1359">
      <c r="A1359" s="67"/>
      <c r="B1359" s="67"/>
      <c r="C1359" s="67"/>
      <c r="D1359" s="67"/>
      <c r="E1359" s="67"/>
      <c r="F1359" s="68"/>
      <c r="G1359" s="68"/>
      <c r="H1359" s="68"/>
      <c r="I1359" s="68"/>
      <c r="J1359" s="68"/>
      <c r="K1359" s="69">
        <v>4500.0</v>
      </c>
      <c r="L1359" s="69">
        <v>32.09</v>
      </c>
      <c r="M1359" s="68">
        <f t="shared" si="1"/>
        <v>201.63</v>
      </c>
    </row>
    <row r="1360">
      <c r="A1360" s="70"/>
      <c r="B1360" s="70"/>
      <c r="C1360" s="70"/>
      <c r="D1360" s="70"/>
      <c r="E1360" s="70"/>
      <c r="F1360" s="66"/>
      <c r="G1360" s="66"/>
      <c r="H1360" s="66"/>
      <c r="I1360" s="66"/>
      <c r="J1360" s="66"/>
      <c r="K1360" s="63">
        <v>5000.0</v>
      </c>
      <c r="L1360" s="63">
        <v>32.09</v>
      </c>
      <c r="M1360" s="66">
        <f t="shared" si="1"/>
        <v>224.03</v>
      </c>
    </row>
    <row r="1361">
      <c r="A1361" s="67"/>
      <c r="B1361" s="67"/>
      <c r="C1361" s="67"/>
      <c r="D1361" s="67"/>
      <c r="E1361" s="67"/>
      <c r="F1361" s="68"/>
      <c r="G1361" s="68"/>
      <c r="H1361" s="68"/>
      <c r="I1361" s="68"/>
      <c r="J1361" s="68"/>
      <c r="K1361" s="69">
        <v>5500.0</v>
      </c>
      <c r="L1361" s="69">
        <v>32.09</v>
      </c>
      <c r="M1361" s="68">
        <f t="shared" si="1"/>
        <v>246.43</v>
      </c>
    </row>
    <row r="1362">
      <c r="A1362" s="70"/>
      <c r="B1362" s="70"/>
      <c r="C1362" s="70"/>
      <c r="D1362" s="70"/>
      <c r="E1362" s="70"/>
      <c r="F1362" s="66"/>
      <c r="G1362" s="66"/>
      <c r="H1362" s="66"/>
      <c r="I1362" s="66"/>
      <c r="J1362" s="66"/>
      <c r="K1362" s="63">
        <v>6000.0</v>
      </c>
      <c r="L1362" s="63">
        <v>32.09</v>
      </c>
      <c r="M1362" s="66">
        <f t="shared" si="1"/>
        <v>268.84</v>
      </c>
    </row>
    <row r="1363">
      <c r="A1363" s="67"/>
      <c r="B1363" s="67"/>
      <c r="C1363" s="67"/>
      <c r="D1363" s="67"/>
      <c r="E1363" s="67"/>
      <c r="F1363" s="68"/>
      <c r="G1363" s="68"/>
      <c r="H1363" s="68"/>
      <c r="I1363" s="68"/>
      <c r="J1363" s="68"/>
      <c r="K1363" s="69">
        <v>6500.0</v>
      </c>
      <c r="L1363" s="69">
        <v>30.63</v>
      </c>
      <c r="M1363" s="68">
        <f t="shared" si="1"/>
        <v>277.99</v>
      </c>
    </row>
    <row r="1364">
      <c r="A1364" s="70"/>
      <c r="B1364" s="70"/>
      <c r="C1364" s="70"/>
      <c r="D1364" s="70"/>
      <c r="E1364" s="70"/>
      <c r="F1364" s="66"/>
      <c r="G1364" s="66"/>
      <c r="H1364" s="66"/>
      <c r="I1364" s="66"/>
      <c r="J1364" s="66"/>
      <c r="K1364" s="63">
        <v>7000.0</v>
      </c>
      <c r="L1364" s="63">
        <v>28.0</v>
      </c>
      <c r="M1364" s="66">
        <f t="shared" si="1"/>
        <v>273.67</v>
      </c>
    </row>
    <row r="1365">
      <c r="A1365" s="67"/>
      <c r="B1365" s="67"/>
      <c r="C1365" s="67"/>
      <c r="D1365" s="67"/>
      <c r="E1365" s="67"/>
      <c r="F1365" s="68"/>
      <c r="G1365" s="68"/>
      <c r="H1365" s="68"/>
      <c r="I1365" s="68"/>
      <c r="J1365" s="68"/>
      <c r="K1365" s="69">
        <v>7500.0</v>
      </c>
      <c r="L1365" s="69">
        <v>24.4</v>
      </c>
      <c r="M1365" s="68">
        <f t="shared" si="1"/>
        <v>255.52</v>
      </c>
    </row>
    <row r="1366">
      <c r="A1366" s="66">
        <v>93.0</v>
      </c>
      <c r="B1366" s="66">
        <v>148.0</v>
      </c>
      <c r="C1366" s="74" t="s">
        <v>327</v>
      </c>
      <c r="D1366" s="74" t="s">
        <v>328</v>
      </c>
      <c r="E1366" s="74" t="s">
        <v>329</v>
      </c>
      <c r="F1366" s="65">
        <v>6500.0</v>
      </c>
      <c r="G1366" s="65">
        <v>6700.0</v>
      </c>
      <c r="H1366" s="65">
        <v>700.0</v>
      </c>
      <c r="I1366" s="65">
        <v>4000.0</v>
      </c>
      <c r="J1366" s="65">
        <v>6000.0</v>
      </c>
      <c r="K1366" s="63">
        <v>500.0</v>
      </c>
      <c r="L1366" s="63">
        <v>17.28</v>
      </c>
      <c r="M1366" s="66">
        <f t="shared" si="1"/>
        <v>12.06</v>
      </c>
    </row>
    <row r="1367">
      <c r="A1367" s="67"/>
      <c r="B1367" s="67"/>
      <c r="C1367" s="67"/>
      <c r="D1367" s="67"/>
      <c r="E1367" s="67"/>
      <c r="F1367" s="68"/>
      <c r="G1367" s="68"/>
      <c r="H1367" s="68"/>
      <c r="I1367" s="68"/>
      <c r="J1367" s="68"/>
      <c r="K1367" s="69">
        <v>1000.0</v>
      </c>
      <c r="L1367" s="69">
        <v>19.38</v>
      </c>
      <c r="M1367" s="68">
        <f t="shared" si="1"/>
        <v>27.06</v>
      </c>
    </row>
    <row r="1368">
      <c r="A1368" s="70"/>
      <c r="B1368" s="70"/>
      <c r="C1368" s="70"/>
      <c r="D1368" s="70"/>
      <c r="E1368" s="70"/>
      <c r="F1368" s="66"/>
      <c r="G1368" s="66"/>
      <c r="H1368" s="66"/>
      <c r="I1368" s="66"/>
      <c r="J1368" s="66"/>
      <c r="K1368" s="63">
        <v>1500.0</v>
      </c>
      <c r="L1368" s="63">
        <v>21.0</v>
      </c>
      <c r="M1368" s="66">
        <f t="shared" si="1"/>
        <v>43.98</v>
      </c>
    </row>
    <row r="1369">
      <c r="A1369" s="67"/>
      <c r="B1369" s="67"/>
      <c r="C1369" s="67"/>
      <c r="D1369" s="67"/>
      <c r="E1369" s="67"/>
      <c r="F1369" s="68"/>
      <c r="G1369" s="68"/>
      <c r="H1369" s="68"/>
      <c r="I1369" s="68"/>
      <c r="J1369" s="68"/>
      <c r="K1369" s="69">
        <v>2000.0</v>
      </c>
      <c r="L1369" s="69">
        <v>21.8</v>
      </c>
      <c r="M1369" s="68">
        <f t="shared" si="1"/>
        <v>60.88</v>
      </c>
    </row>
    <row r="1370">
      <c r="A1370" s="73"/>
      <c r="B1370" s="73"/>
      <c r="C1370" s="73"/>
      <c r="D1370" s="73"/>
      <c r="E1370" s="73"/>
      <c r="F1370" s="66"/>
      <c r="G1370" s="66"/>
      <c r="H1370" s="66"/>
      <c r="I1370" s="66"/>
      <c r="J1370" s="66"/>
      <c r="K1370" s="63">
        <v>2500.0</v>
      </c>
      <c r="L1370" s="63">
        <v>22.5</v>
      </c>
      <c r="M1370" s="66">
        <f t="shared" si="1"/>
        <v>78.54</v>
      </c>
    </row>
    <row r="1371">
      <c r="A1371" s="67"/>
      <c r="B1371" s="67"/>
      <c r="C1371" s="67"/>
      <c r="D1371" s="67"/>
      <c r="E1371" s="67"/>
      <c r="F1371" s="68"/>
      <c r="G1371" s="68"/>
      <c r="H1371" s="68"/>
      <c r="I1371" s="68"/>
      <c r="J1371" s="68"/>
      <c r="K1371" s="69">
        <v>3000.0</v>
      </c>
      <c r="L1371" s="69">
        <v>22.15</v>
      </c>
      <c r="M1371" s="68">
        <f t="shared" si="1"/>
        <v>92.78</v>
      </c>
    </row>
    <row r="1372">
      <c r="A1372" s="70"/>
      <c r="B1372" s="70"/>
      <c r="C1372" s="70"/>
      <c r="D1372" s="70"/>
      <c r="E1372" s="70"/>
      <c r="F1372" s="66"/>
      <c r="G1372" s="66"/>
      <c r="H1372" s="66"/>
      <c r="I1372" s="66"/>
      <c r="J1372" s="66"/>
      <c r="K1372" s="63">
        <v>3500.0</v>
      </c>
      <c r="L1372" s="63">
        <v>22.68</v>
      </c>
      <c r="M1372" s="66">
        <f t="shared" si="1"/>
        <v>110.83</v>
      </c>
    </row>
    <row r="1373">
      <c r="A1373" s="67"/>
      <c r="B1373" s="67"/>
      <c r="C1373" s="67"/>
      <c r="D1373" s="67"/>
      <c r="E1373" s="67"/>
      <c r="F1373" s="68"/>
      <c r="G1373" s="68"/>
      <c r="H1373" s="68"/>
      <c r="I1373" s="68"/>
      <c r="J1373" s="68"/>
      <c r="K1373" s="69">
        <v>4000.0</v>
      </c>
      <c r="L1373" s="69">
        <v>22.45</v>
      </c>
      <c r="M1373" s="68">
        <f t="shared" si="1"/>
        <v>125.38</v>
      </c>
    </row>
    <row r="1374">
      <c r="A1374" s="70"/>
      <c r="B1374" s="70"/>
      <c r="C1374" s="70"/>
      <c r="D1374" s="70"/>
      <c r="E1374" s="70"/>
      <c r="F1374" s="66"/>
      <c r="G1374" s="66"/>
      <c r="H1374" s="66"/>
      <c r="I1374" s="66"/>
      <c r="J1374" s="66"/>
      <c r="K1374" s="63">
        <v>4500.0</v>
      </c>
      <c r="L1374" s="63">
        <v>22.63</v>
      </c>
      <c r="M1374" s="66">
        <f t="shared" si="1"/>
        <v>142.19</v>
      </c>
    </row>
    <row r="1375">
      <c r="A1375" s="67"/>
      <c r="B1375" s="67"/>
      <c r="C1375" s="67"/>
      <c r="D1375" s="67"/>
      <c r="E1375" s="67"/>
      <c r="F1375" s="68"/>
      <c r="G1375" s="68"/>
      <c r="H1375" s="68"/>
      <c r="I1375" s="68"/>
      <c r="J1375" s="68"/>
      <c r="K1375" s="69">
        <v>5000.0</v>
      </c>
      <c r="L1375" s="69">
        <v>22.2</v>
      </c>
      <c r="M1375" s="68">
        <f t="shared" si="1"/>
        <v>154.98</v>
      </c>
    </row>
    <row r="1376">
      <c r="A1376" s="70"/>
      <c r="B1376" s="70"/>
      <c r="C1376" s="70"/>
      <c r="D1376" s="70"/>
      <c r="E1376" s="70"/>
      <c r="F1376" s="66"/>
      <c r="G1376" s="66"/>
      <c r="H1376" s="66"/>
      <c r="I1376" s="66"/>
      <c r="J1376" s="66"/>
      <c r="K1376" s="63">
        <v>5500.0</v>
      </c>
      <c r="L1376" s="63">
        <v>21.26</v>
      </c>
      <c r="M1376" s="66">
        <f t="shared" si="1"/>
        <v>163.26</v>
      </c>
    </row>
    <row r="1377">
      <c r="A1377" s="67"/>
      <c r="B1377" s="67"/>
      <c r="C1377" s="67"/>
      <c r="D1377" s="67"/>
      <c r="E1377" s="67"/>
      <c r="F1377" s="68"/>
      <c r="G1377" s="68"/>
      <c r="H1377" s="68"/>
      <c r="I1377" s="68"/>
      <c r="J1377" s="68"/>
      <c r="K1377" s="69">
        <v>6000.0</v>
      </c>
      <c r="L1377" s="69">
        <v>19.75</v>
      </c>
      <c r="M1377" s="68">
        <f t="shared" si="1"/>
        <v>165.46</v>
      </c>
    </row>
    <row r="1378">
      <c r="A1378" s="70"/>
      <c r="B1378" s="70"/>
      <c r="C1378" s="70"/>
      <c r="D1378" s="70"/>
      <c r="E1378" s="70"/>
      <c r="F1378" s="66"/>
      <c r="G1378" s="66"/>
      <c r="H1378" s="66"/>
      <c r="I1378" s="66"/>
      <c r="J1378" s="66"/>
      <c r="K1378" s="63">
        <v>6500.0</v>
      </c>
      <c r="L1378" s="63">
        <v>17.89</v>
      </c>
      <c r="M1378" s="66">
        <f t="shared" si="1"/>
        <v>162.36</v>
      </c>
    </row>
    <row r="1379">
      <c r="A1379" s="67"/>
      <c r="B1379" s="67"/>
      <c r="C1379" s="67"/>
      <c r="D1379" s="67"/>
      <c r="E1379" s="67"/>
      <c r="F1379" s="68"/>
      <c r="G1379" s="68"/>
      <c r="H1379" s="68"/>
      <c r="I1379" s="68"/>
      <c r="J1379" s="68"/>
      <c r="K1379" s="69">
        <v>7000.0</v>
      </c>
      <c r="L1379" s="69">
        <v>15.77</v>
      </c>
      <c r="M1379" s="68">
        <f t="shared" si="1"/>
        <v>154.13</v>
      </c>
    </row>
    <row r="1380">
      <c r="A1380" s="66">
        <v>94.0</v>
      </c>
      <c r="B1380" s="66">
        <v>151.0</v>
      </c>
      <c r="C1380" s="74" t="s">
        <v>330</v>
      </c>
      <c r="D1380" s="74" t="s">
        <v>331</v>
      </c>
      <c r="E1380" s="74" t="s">
        <v>332</v>
      </c>
      <c r="F1380" s="65">
        <v>7500.0</v>
      </c>
      <c r="G1380" s="65">
        <v>7500.0</v>
      </c>
      <c r="H1380" s="65">
        <v>700.0</v>
      </c>
      <c r="I1380" s="65">
        <v>5750.0</v>
      </c>
      <c r="J1380" s="65">
        <v>7500.0</v>
      </c>
      <c r="K1380" s="63">
        <v>500.0</v>
      </c>
      <c r="L1380" s="63">
        <v>18.0</v>
      </c>
      <c r="M1380" s="66">
        <f t="shared" si="1"/>
        <v>12.57</v>
      </c>
    </row>
    <row r="1381">
      <c r="A1381" s="67"/>
      <c r="B1381" s="67"/>
      <c r="C1381" s="67"/>
      <c r="D1381" s="67"/>
      <c r="E1381" s="67"/>
      <c r="F1381" s="68"/>
      <c r="G1381" s="68"/>
      <c r="H1381" s="68"/>
      <c r="I1381" s="68"/>
      <c r="J1381" s="68"/>
      <c r="K1381" s="69">
        <v>1000.0</v>
      </c>
      <c r="L1381" s="69">
        <v>20.13</v>
      </c>
      <c r="M1381" s="68">
        <f t="shared" si="1"/>
        <v>28.11</v>
      </c>
    </row>
    <row r="1382">
      <c r="A1382" s="70"/>
      <c r="B1382" s="70"/>
      <c r="C1382" s="70"/>
      <c r="D1382" s="70"/>
      <c r="E1382" s="70"/>
      <c r="F1382" s="66"/>
      <c r="G1382" s="66"/>
      <c r="H1382" s="66"/>
      <c r="I1382" s="66"/>
      <c r="J1382" s="66"/>
      <c r="K1382" s="63">
        <v>1500.0</v>
      </c>
      <c r="L1382" s="63">
        <v>21.63</v>
      </c>
      <c r="M1382" s="66">
        <f t="shared" si="1"/>
        <v>45.3</v>
      </c>
    </row>
    <row r="1383">
      <c r="A1383" s="67"/>
      <c r="B1383" s="67"/>
      <c r="C1383" s="67"/>
      <c r="D1383" s="67"/>
      <c r="E1383" s="67"/>
      <c r="F1383" s="68"/>
      <c r="G1383" s="68"/>
      <c r="H1383" s="68"/>
      <c r="I1383" s="68"/>
      <c r="J1383" s="68"/>
      <c r="K1383" s="69">
        <v>2000.0</v>
      </c>
      <c r="L1383" s="69">
        <v>23.0</v>
      </c>
      <c r="M1383" s="68">
        <f t="shared" si="1"/>
        <v>64.23</v>
      </c>
    </row>
    <row r="1384">
      <c r="A1384" s="70"/>
      <c r="B1384" s="70"/>
      <c r="C1384" s="70"/>
      <c r="D1384" s="70"/>
      <c r="E1384" s="70"/>
      <c r="F1384" s="66"/>
      <c r="G1384" s="66"/>
      <c r="H1384" s="66"/>
      <c r="I1384" s="66"/>
      <c r="J1384" s="66"/>
      <c r="K1384" s="63">
        <v>2500.0</v>
      </c>
      <c r="L1384" s="63">
        <v>24.13</v>
      </c>
      <c r="M1384" s="66">
        <f t="shared" si="1"/>
        <v>84.23</v>
      </c>
    </row>
    <row r="1385">
      <c r="A1385" s="67"/>
      <c r="B1385" s="67"/>
      <c r="C1385" s="67"/>
      <c r="D1385" s="67"/>
      <c r="E1385" s="67"/>
      <c r="F1385" s="68"/>
      <c r="G1385" s="68"/>
      <c r="H1385" s="68"/>
      <c r="I1385" s="68"/>
      <c r="J1385" s="68"/>
      <c r="K1385" s="69">
        <v>3000.0</v>
      </c>
      <c r="L1385" s="69">
        <v>25.63</v>
      </c>
      <c r="M1385" s="68">
        <f t="shared" si="1"/>
        <v>107.36</v>
      </c>
    </row>
    <row r="1386">
      <c r="A1386" s="70"/>
      <c r="B1386" s="70"/>
      <c r="C1386" s="70"/>
      <c r="D1386" s="70"/>
      <c r="E1386" s="70"/>
      <c r="F1386" s="66"/>
      <c r="G1386" s="66"/>
      <c r="H1386" s="66"/>
      <c r="I1386" s="66"/>
      <c r="J1386" s="66"/>
      <c r="K1386" s="63">
        <v>3500.0</v>
      </c>
      <c r="L1386" s="63">
        <v>26.88</v>
      </c>
      <c r="M1386" s="66">
        <f t="shared" si="1"/>
        <v>131.36</v>
      </c>
    </row>
    <row r="1387">
      <c r="A1387" s="67"/>
      <c r="B1387" s="67"/>
      <c r="C1387" s="67"/>
      <c r="D1387" s="67"/>
      <c r="E1387" s="67"/>
      <c r="F1387" s="68"/>
      <c r="G1387" s="68"/>
      <c r="H1387" s="68"/>
      <c r="I1387" s="68"/>
      <c r="J1387" s="68"/>
      <c r="K1387" s="69">
        <v>4000.0</v>
      </c>
      <c r="L1387" s="69">
        <v>29.0</v>
      </c>
      <c r="M1387" s="68">
        <f t="shared" si="1"/>
        <v>161.97</v>
      </c>
    </row>
    <row r="1388">
      <c r="A1388" s="70"/>
      <c r="B1388" s="70"/>
      <c r="C1388" s="70"/>
      <c r="D1388" s="70"/>
      <c r="E1388" s="70"/>
      <c r="F1388" s="66"/>
      <c r="G1388" s="66"/>
      <c r="H1388" s="66"/>
      <c r="I1388" s="66"/>
      <c r="J1388" s="66"/>
      <c r="K1388" s="63">
        <v>4500.0</v>
      </c>
      <c r="L1388" s="63">
        <v>31.63</v>
      </c>
      <c r="M1388" s="66">
        <f t="shared" si="1"/>
        <v>198.74</v>
      </c>
    </row>
    <row r="1389">
      <c r="A1389" s="67"/>
      <c r="B1389" s="67"/>
      <c r="C1389" s="67"/>
      <c r="D1389" s="67"/>
      <c r="E1389" s="67"/>
      <c r="F1389" s="68"/>
      <c r="G1389" s="68"/>
      <c r="H1389" s="68"/>
      <c r="I1389" s="68"/>
      <c r="J1389" s="68"/>
      <c r="K1389" s="69">
        <v>5200.0</v>
      </c>
      <c r="L1389" s="69">
        <v>34.75</v>
      </c>
      <c r="M1389" s="68">
        <f t="shared" si="1"/>
        <v>252.3</v>
      </c>
    </row>
    <row r="1390">
      <c r="A1390" s="70"/>
      <c r="B1390" s="70"/>
      <c r="C1390" s="70"/>
      <c r="D1390" s="70"/>
      <c r="E1390" s="70"/>
      <c r="F1390" s="66"/>
      <c r="G1390" s="66"/>
      <c r="H1390" s="66"/>
      <c r="I1390" s="66"/>
      <c r="J1390" s="66"/>
      <c r="K1390" s="63">
        <v>5750.0</v>
      </c>
      <c r="L1390" s="63">
        <v>35.72</v>
      </c>
      <c r="M1390" s="66">
        <f t="shared" si="1"/>
        <v>286.78</v>
      </c>
    </row>
    <row r="1391">
      <c r="A1391" s="67"/>
      <c r="B1391" s="67"/>
      <c r="C1391" s="67"/>
      <c r="D1391" s="67"/>
      <c r="E1391" s="67"/>
      <c r="F1391" s="68"/>
      <c r="G1391" s="68"/>
      <c r="H1391" s="68"/>
      <c r="I1391" s="68"/>
      <c r="J1391" s="68"/>
      <c r="K1391" s="69">
        <v>6000.0</v>
      </c>
      <c r="L1391" s="69">
        <v>35.63</v>
      </c>
      <c r="M1391" s="68">
        <f t="shared" si="1"/>
        <v>298.49</v>
      </c>
    </row>
    <row r="1392">
      <c r="A1392" s="70"/>
      <c r="B1392" s="70"/>
      <c r="C1392" s="70"/>
      <c r="D1392" s="70"/>
      <c r="E1392" s="70"/>
      <c r="F1392" s="66"/>
      <c r="G1392" s="66"/>
      <c r="H1392" s="66"/>
      <c r="I1392" s="66"/>
      <c r="J1392" s="66"/>
      <c r="K1392" s="63">
        <v>6500.0</v>
      </c>
      <c r="L1392" s="63">
        <v>34.63</v>
      </c>
      <c r="M1392" s="66">
        <f t="shared" si="1"/>
        <v>314.29</v>
      </c>
    </row>
    <row r="1393">
      <c r="A1393" s="67"/>
      <c r="B1393" s="67"/>
      <c r="C1393" s="67"/>
      <c r="D1393" s="67"/>
      <c r="E1393" s="67"/>
      <c r="F1393" s="68"/>
      <c r="G1393" s="68"/>
      <c r="H1393" s="68"/>
      <c r="I1393" s="68"/>
      <c r="J1393" s="68"/>
      <c r="K1393" s="69">
        <v>7000.0</v>
      </c>
      <c r="L1393" s="69">
        <v>32.63</v>
      </c>
      <c r="M1393" s="68">
        <f t="shared" si="1"/>
        <v>318.92</v>
      </c>
    </row>
    <row r="1394">
      <c r="A1394" s="73"/>
      <c r="B1394" s="73"/>
      <c r="C1394" s="73"/>
      <c r="D1394" s="73"/>
      <c r="E1394" s="73"/>
      <c r="F1394" s="66"/>
      <c r="G1394" s="66"/>
      <c r="H1394" s="66"/>
      <c r="I1394" s="66"/>
      <c r="J1394" s="66"/>
      <c r="K1394" s="63">
        <v>7500.0</v>
      </c>
      <c r="L1394" s="63">
        <v>30.53</v>
      </c>
      <c r="M1394" s="66">
        <f t="shared" si="1"/>
        <v>319.71</v>
      </c>
    </row>
    <row r="1395">
      <c r="A1395" s="67"/>
      <c r="B1395" s="67"/>
      <c r="C1395" s="67"/>
      <c r="D1395" s="67"/>
      <c r="E1395" s="67"/>
      <c r="F1395" s="68"/>
      <c r="G1395" s="68"/>
      <c r="H1395" s="68"/>
      <c r="I1395" s="68"/>
      <c r="J1395" s="68"/>
      <c r="K1395" s="69">
        <v>8000.0</v>
      </c>
      <c r="L1395" s="69">
        <v>25.0</v>
      </c>
      <c r="M1395" s="68">
        <f t="shared" si="1"/>
        <v>279.25</v>
      </c>
    </row>
    <row r="1396">
      <c r="A1396" s="66">
        <v>95.0</v>
      </c>
      <c r="B1396" s="66">
        <v>152.0</v>
      </c>
      <c r="C1396" s="74" t="s">
        <v>333</v>
      </c>
      <c r="D1396" s="74" t="s">
        <v>334</v>
      </c>
      <c r="E1396" s="74" t="s">
        <v>335</v>
      </c>
      <c r="F1396" s="65">
        <v>7000.0</v>
      </c>
      <c r="G1396" s="65">
        <v>7000.0</v>
      </c>
      <c r="H1396" s="65">
        <v>650.0</v>
      </c>
      <c r="I1396" s="65">
        <v>3500.0</v>
      </c>
      <c r="J1396" s="65">
        <v>6500.0</v>
      </c>
      <c r="K1396" s="63">
        <v>500.0</v>
      </c>
      <c r="L1396" s="63">
        <v>4.05</v>
      </c>
      <c r="M1396" s="66">
        <f t="shared" si="1"/>
        <v>2.83</v>
      </c>
    </row>
    <row r="1397">
      <c r="A1397" s="67"/>
      <c r="B1397" s="67"/>
      <c r="C1397" s="67"/>
      <c r="D1397" s="67"/>
      <c r="E1397" s="67"/>
      <c r="F1397" s="68"/>
      <c r="G1397" s="68"/>
      <c r="H1397" s="68"/>
      <c r="I1397" s="68"/>
      <c r="J1397" s="68"/>
      <c r="K1397" s="69">
        <v>1000.0</v>
      </c>
      <c r="L1397" s="69">
        <v>4.8</v>
      </c>
      <c r="M1397" s="68">
        <f t="shared" si="1"/>
        <v>6.7</v>
      </c>
    </row>
    <row r="1398">
      <c r="A1398" s="70"/>
      <c r="B1398" s="70"/>
      <c r="C1398" s="70"/>
      <c r="D1398" s="70"/>
      <c r="E1398" s="70"/>
      <c r="F1398" s="66"/>
      <c r="G1398" s="66"/>
      <c r="H1398" s="66"/>
      <c r="I1398" s="66"/>
      <c r="J1398" s="66"/>
      <c r="K1398" s="63">
        <v>1500.0</v>
      </c>
      <c r="L1398" s="63">
        <v>5.4</v>
      </c>
      <c r="M1398" s="66">
        <f t="shared" si="1"/>
        <v>11.31</v>
      </c>
    </row>
    <row r="1399">
      <c r="A1399" s="67"/>
      <c r="B1399" s="67"/>
      <c r="C1399" s="67"/>
      <c r="D1399" s="67"/>
      <c r="E1399" s="67"/>
      <c r="F1399" s="68"/>
      <c r="G1399" s="68"/>
      <c r="H1399" s="68"/>
      <c r="I1399" s="68"/>
      <c r="J1399" s="68"/>
      <c r="K1399" s="69">
        <v>2000.0</v>
      </c>
      <c r="L1399" s="69">
        <v>5.83</v>
      </c>
      <c r="M1399" s="68">
        <f t="shared" si="1"/>
        <v>16.28</v>
      </c>
    </row>
    <row r="1400">
      <c r="A1400" s="70"/>
      <c r="B1400" s="70"/>
      <c r="C1400" s="70"/>
      <c r="D1400" s="70"/>
      <c r="E1400" s="70"/>
      <c r="F1400" s="66"/>
      <c r="G1400" s="66"/>
      <c r="H1400" s="66"/>
      <c r="I1400" s="66"/>
      <c r="J1400" s="66"/>
      <c r="K1400" s="63">
        <v>2500.0</v>
      </c>
      <c r="L1400" s="63">
        <v>6.13</v>
      </c>
      <c r="M1400" s="66">
        <f t="shared" si="1"/>
        <v>21.4</v>
      </c>
    </row>
    <row r="1401">
      <c r="A1401" s="67"/>
      <c r="B1401" s="67"/>
      <c r="C1401" s="67"/>
      <c r="D1401" s="67"/>
      <c r="E1401" s="67"/>
      <c r="F1401" s="68"/>
      <c r="G1401" s="68"/>
      <c r="H1401" s="68"/>
      <c r="I1401" s="68"/>
      <c r="J1401" s="68"/>
      <c r="K1401" s="69">
        <v>3000.0</v>
      </c>
      <c r="L1401" s="69">
        <v>6.33</v>
      </c>
      <c r="M1401" s="68">
        <f t="shared" si="1"/>
        <v>26.51</v>
      </c>
    </row>
    <row r="1402">
      <c r="A1402" s="70"/>
      <c r="B1402" s="70"/>
      <c r="C1402" s="70"/>
      <c r="D1402" s="70"/>
      <c r="E1402" s="70"/>
      <c r="F1402" s="66"/>
      <c r="G1402" s="66"/>
      <c r="H1402" s="66"/>
      <c r="I1402" s="66"/>
      <c r="J1402" s="66"/>
      <c r="K1402" s="63">
        <v>3500.0</v>
      </c>
      <c r="L1402" s="63">
        <v>6.4</v>
      </c>
      <c r="M1402" s="66">
        <f t="shared" si="1"/>
        <v>31.28</v>
      </c>
    </row>
    <row r="1403">
      <c r="A1403" s="67"/>
      <c r="B1403" s="67"/>
      <c r="C1403" s="67"/>
      <c r="D1403" s="67"/>
      <c r="E1403" s="67"/>
      <c r="F1403" s="68"/>
      <c r="G1403" s="68"/>
      <c r="H1403" s="68"/>
      <c r="I1403" s="68"/>
      <c r="J1403" s="68"/>
      <c r="K1403" s="69">
        <v>4000.0</v>
      </c>
      <c r="L1403" s="69">
        <v>6.4</v>
      </c>
      <c r="M1403" s="68">
        <f t="shared" si="1"/>
        <v>35.74</v>
      </c>
    </row>
    <row r="1404">
      <c r="A1404" s="70"/>
      <c r="B1404" s="70"/>
      <c r="C1404" s="70"/>
      <c r="D1404" s="70"/>
      <c r="E1404" s="70"/>
      <c r="F1404" s="66"/>
      <c r="G1404" s="66"/>
      <c r="H1404" s="66"/>
      <c r="I1404" s="66"/>
      <c r="J1404" s="66"/>
      <c r="K1404" s="63">
        <v>4500.0</v>
      </c>
      <c r="L1404" s="63">
        <v>6.38</v>
      </c>
      <c r="M1404" s="66">
        <f t="shared" si="1"/>
        <v>40.09</v>
      </c>
    </row>
    <row r="1405">
      <c r="A1405" s="67"/>
      <c r="B1405" s="67"/>
      <c r="C1405" s="67"/>
      <c r="D1405" s="67"/>
      <c r="E1405" s="67"/>
      <c r="F1405" s="68"/>
      <c r="G1405" s="68"/>
      <c r="H1405" s="68"/>
      <c r="I1405" s="68"/>
      <c r="J1405" s="68"/>
      <c r="K1405" s="69">
        <v>5000.0</v>
      </c>
      <c r="L1405" s="69">
        <v>6.33</v>
      </c>
      <c r="M1405" s="68">
        <f t="shared" si="1"/>
        <v>44.19</v>
      </c>
    </row>
    <row r="1406">
      <c r="A1406" s="70"/>
      <c r="B1406" s="70"/>
      <c r="C1406" s="70"/>
      <c r="D1406" s="70"/>
      <c r="E1406" s="70"/>
      <c r="F1406" s="66"/>
      <c r="G1406" s="66"/>
      <c r="H1406" s="66"/>
      <c r="I1406" s="66"/>
      <c r="J1406" s="66"/>
      <c r="K1406" s="63">
        <v>5500.0</v>
      </c>
      <c r="L1406" s="63">
        <v>6.25</v>
      </c>
      <c r="M1406" s="66">
        <f t="shared" si="1"/>
        <v>48</v>
      </c>
    </row>
    <row r="1407">
      <c r="A1407" s="67"/>
      <c r="B1407" s="67"/>
      <c r="C1407" s="67"/>
      <c r="D1407" s="67"/>
      <c r="E1407" s="67"/>
      <c r="F1407" s="68"/>
      <c r="G1407" s="68"/>
      <c r="H1407" s="68"/>
      <c r="I1407" s="68"/>
      <c r="J1407" s="68"/>
      <c r="K1407" s="69">
        <v>6000.0</v>
      </c>
      <c r="L1407" s="69">
        <v>6.13</v>
      </c>
      <c r="M1407" s="68">
        <f t="shared" si="1"/>
        <v>51.35</v>
      </c>
    </row>
    <row r="1408">
      <c r="A1408" s="70"/>
      <c r="B1408" s="70"/>
      <c r="C1408" s="70"/>
      <c r="D1408" s="70"/>
      <c r="E1408" s="70"/>
      <c r="F1408" s="66"/>
      <c r="G1408" s="66"/>
      <c r="H1408" s="66"/>
      <c r="I1408" s="66"/>
      <c r="J1408" s="66"/>
      <c r="K1408" s="63">
        <v>6500.0</v>
      </c>
      <c r="L1408" s="63">
        <v>6.0</v>
      </c>
      <c r="M1408" s="66">
        <f t="shared" si="1"/>
        <v>54.45</v>
      </c>
    </row>
    <row r="1409">
      <c r="A1409" s="67"/>
      <c r="B1409" s="67"/>
      <c r="C1409" s="67"/>
      <c r="D1409" s="67"/>
      <c r="E1409" s="67"/>
      <c r="F1409" s="68"/>
      <c r="G1409" s="68"/>
      <c r="H1409" s="68"/>
      <c r="I1409" s="68"/>
      <c r="J1409" s="68"/>
      <c r="K1409" s="69">
        <v>7000.0</v>
      </c>
      <c r="L1409" s="69">
        <v>5.5</v>
      </c>
      <c r="M1409" s="68">
        <f t="shared" si="1"/>
        <v>53.76</v>
      </c>
    </row>
    <row r="1410">
      <c r="A1410" s="70"/>
      <c r="B1410" s="70"/>
      <c r="C1410" s="70"/>
      <c r="D1410" s="70"/>
      <c r="E1410" s="70"/>
      <c r="F1410" s="66"/>
      <c r="G1410" s="66"/>
      <c r="H1410" s="66"/>
      <c r="I1410" s="66"/>
      <c r="J1410" s="66"/>
      <c r="K1410" s="63">
        <v>7500.0</v>
      </c>
      <c r="L1410" s="63">
        <v>4.48</v>
      </c>
      <c r="M1410" s="66">
        <f t="shared" si="1"/>
        <v>46.91</v>
      </c>
    </row>
    <row r="1411">
      <c r="A1411" s="68">
        <v>96.0</v>
      </c>
      <c r="B1411" s="68">
        <v>153.0</v>
      </c>
      <c r="C1411" s="71" t="s">
        <v>336</v>
      </c>
      <c r="D1411" s="71" t="s">
        <v>337</v>
      </c>
      <c r="E1411" s="71" t="s">
        <v>338</v>
      </c>
      <c r="F1411" s="72">
        <v>7800.0</v>
      </c>
      <c r="G1411" s="72">
        <v>7800.0</v>
      </c>
      <c r="H1411" s="72">
        <v>700.0</v>
      </c>
      <c r="I1411" s="72">
        <v>6800.0</v>
      </c>
      <c r="J1411" s="72">
        <v>7600.0</v>
      </c>
      <c r="K1411" s="69">
        <v>500.0</v>
      </c>
      <c r="L1411" s="69">
        <v>14.02</v>
      </c>
      <c r="M1411" s="68">
        <f t="shared" si="1"/>
        <v>9.79</v>
      </c>
    </row>
    <row r="1412">
      <c r="A1412" s="70"/>
      <c r="B1412" s="70"/>
      <c r="C1412" s="70"/>
      <c r="D1412" s="70"/>
      <c r="E1412" s="70"/>
      <c r="F1412" s="66"/>
      <c r="G1412" s="66"/>
      <c r="H1412" s="66"/>
      <c r="I1412" s="66"/>
      <c r="J1412" s="66"/>
      <c r="K1412" s="63">
        <v>1000.0</v>
      </c>
      <c r="L1412" s="63">
        <v>15.07</v>
      </c>
      <c r="M1412" s="66">
        <f t="shared" si="1"/>
        <v>21.04</v>
      </c>
    </row>
    <row r="1413">
      <c r="A1413" s="67"/>
      <c r="B1413" s="67"/>
      <c r="C1413" s="67"/>
      <c r="D1413" s="67"/>
      <c r="E1413" s="67"/>
      <c r="F1413" s="68"/>
      <c r="G1413" s="68"/>
      <c r="H1413" s="68"/>
      <c r="I1413" s="68"/>
      <c r="J1413" s="68"/>
      <c r="K1413" s="69">
        <v>1500.0</v>
      </c>
      <c r="L1413" s="69">
        <v>15.85</v>
      </c>
      <c r="M1413" s="68">
        <f t="shared" si="1"/>
        <v>33.2</v>
      </c>
    </row>
    <row r="1414">
      <c r="A1414" s="70"/>
      <c r="B1414" s="70"/>
      <c r="C1414" s="70"/>
      <c r="D1414" s="70"/>
      <c r="E1414" s="70"/>
      <c r="F1414" s="66"/>
      <c r="G1414" s="66"/>
      <c r="H1414" s="66"/>
      <c r="I1414" s="66"/>
      <c r="J1414" s="66"/>
      <c r="K1414" s="63">
        <v>2000.0</v>
      </c>
      <c r="L1414" s="63">
        <v>16.39</v>
      </c>
      <c r="M1414" s="66">
        <f t="shared" si="1"/>
        <v>45.77</v>
      </c>
    </row>
    <row r="1415">
      <c r="A1415" s="67"/>
      <c r="B1415" s="67"/>
      <c r="C1415" s="67"/>
      <c r="D1415" s="67"/>
      <c r="E1415" s="67"/>
      <c r="F1415" s="68"/>
      <c r="G1415" s="68"/>
      <c r="H1415" s="68"/>
      <c r="I1415" s="68"/>
      <c r="J1415" s="68"/>
      <c r="K1415" s="69">
        <v>2500.0</v>
      </c>
      <c r="L1415" s="69">
        <v>16.27</v>
      </c>
      <c r="M1415" s="68">
        <f t="shared" si="1"/>
        <v>56.79</v>
      </c>
    </row>
    <row r="1416">
      <c r="A1416" s="70"/>
      <c r="B1416" s="70"/>
      <c r="C1416" s="70"/>
      <c r="D1416" s="70"/>
      <c r="E1416" s="70"/>
      <c r="F1416" s="66"/>
      <c r="G1416" s="66"/>
      <c r="H1416" s="66"/>
      <c r="I1416" s="66"/>
      <c r="J1416" s="66"/>
      <c r="K1416" s="63">
        <v>3000.0</v>
      </c>
      <c r="L1416" s="63">
        <v>16.47</v>
      </c>
      <c r="M1416" s="66">
        <f t="shared" si="1"/>
        <v>68.99</v>
      </c>
    </row>
    <row r="1417">
      <c r="A1417" s="67"/>
      <c r="B1417" s="67"/>
      <c r="C1417" s="67"/>
      <c r="D1417" s="67"/>
      <c r="E1417" s="67"/>
      <c r="F1417" s="68"/>
      <c r="G1417" s="68"/>
      <c r="H1417" s="68"/>
      <c r="I1417" s="68"/>
      <c r="J1417" s="68"/>
      <c r="K1417" s="69">
        <v>3500.0</v>
      </c>
      <c r="L1417" s="69">
        <v>16.88</v>
      </c>
      <c r="M1417" s="68">
        <f t="shared" si="1"/>
        <v>82.49</v>
      </c>
    </row>
    <row r="1418">
      <c r="A1418" s="73"/>
      <c r="B1418" s="73"/>
      <c r="C1418" s="73"/>
      <c r="D1418" s="73"/>
      <c r="E1418" s="73"/>
      <c r="F1418" s="66"/>
      <c r="G1418" s="66"/>
      <c r="H1418" s="66"/>
      <c r="I1418" s="66"/>
      <c r="J1418" s="66"/>
      <c r="K1418" s="63">
        <v>4000.0</v>
      </c>
      <c r="L1418" s="63">
        <v>17.0</v>
      </c>
      <c r="M1418" s="66">
        <f t="shared" si="1"/>
        <v>94.95</v>
      </c>
    </row>
    <row r="1419">
      <c r="A1419" s="67"/>
      <c r="B1419" s="67"/>
      <c r="C1419" s="67"/>
      <c r="D1419" s="67"/>
      <c r="E1419" s="67"/>
      <c r="F1419" s="68"/>
      <c r="G1419" s="68"/>
      <c r="H1419" s="68"/>
      <c r="I1419" s="68"/>
      <c r="J1419" s="68"/>
      <c r="K1419" s="69">
        <v>4500.0</v>
      </c>
      <c r="L1419" s="69">
        <v>17.06</v>
      </c>
      <c r="M1419" s="68">
        <f t="shared" si="1"/>
        <v>107.19</v>
      </c>
    </row>
    <row r="1420">
      <c r="A1420" s="70"/>
      <c r="B1420" s="70"/>
      <c r="C1420" s="70"/>
      <c r="D1420" s="70"/>
      <c r="E1420" s="70"/>
      <c r="F1420" s="66"/>
      <c r="G1420" s="66"/>
      <c r="H1420" s="66"/>
      <c r="I1420" s="66"/>
      <c r="J1420" s="66"/>
      <c r="K1420" s="63">
        <v>5000.0</v>
      </c>
      <c r="L1420" s="63">
        <v>17.1</v>
      </c>
      <c r="M1420" s="66">
        <f t="shared" si="1"/>
        <v>119.38</v>
      </c>
    </row>
    <row r="1421">
      <c r="A1421" s="67"/>
      <c r="B1421" s="67"/>
      <c r="C1421" s="67"/>
      <c r="D1421" s="67"/>
      <c r="E1421" s="67"/>
      <c r="F1421" s="68"/>
      <c r="G1421" s="68"/>
      <c r="H1421" s="68"/>
      <c r="I1421" s="68"/>
      <c r="J1421" s="68"/>
      <c r="K1421" s="69">
        <v>5500.0</v>
      </c>
      <c r="L1421" s="69">
        <v>17.0</v>
      </c>
      <c r="M1421" s="68">
        <f t="shared" si="1"/>
        <v>130.55</v>
      </c>
    </row>
    <row r="1422">
      <c r="A1422" s="70"/>
      <c r="B1422" s="70"/>
      <c r="C1422" s="70"/>
      <c r="D1422" s="70"/>
      <c r="E1422" s="70"/>
      <c r="F1422" s="66"/>
      <c r="G1422" s="66"/>
      <c r="H1422" s="66"/>
      <c r="I1422" s="66"/>
      <c r="J1422" s="66"/>
      <c r="K1422" s="63">
        <v>6000.0</v>
      </c>
      <c r="L1422" s="63">
        <v>17.47</v>
      </c>
      <c r="M1422" s="66">
        <f t="shared" si="1"/>
        <v>146.36</v>
      </c>
    </row>
    <row r="1423">
      <c r="A1423" s="67"/>
      <c r="B1423" s="67"/>
      <c r="C1423" s="67"/>
      <c r="D1423" s="67"/>
      <c r="E1423" s="67"/>
      <c r="F1423" s="68"/>
      <c r="G1423" s="68"/>
      <c r="H1423" s="68"/>
      <c r="I1423" s="68"/>
      <c r="J1423" s="68"/>
      <c r="K1423" s="69">
        <v>6500.0</v>
      </c>
      <c r="L1423" s="69">
        <v>18.28</v>
      </c>
      <c r="M1423" s="68">
        <f t="shared" si="1"/>
        <v>165.9</v>
      </c>
    </row>
    <row r="1424">
      <c r="A1424" s="70"/>
      <c r="B1424" s="70"/>
      <c r="C1424" s="70"/>
      <c r="D1424" s="70"/>
      <c r="E1424" s="70"/>
      <c r="F1424" s="66"/>
      <c r="G1424" s="66"/>
      <c r="H1424" s="66"/>
      <c r="I1424" s="66"/>
      <c r="J1424" s="66"/>
      <c r="K1424" s="63">
        <v>6800.0</v>
      </c>
      <c r="L1424" s="63">
        <v>18.42</v>
      </c>
      <c r="M1424" s="66">
        <f t="shared" si="1"/>
        <v>174.89</v>
      </c>
    </row>
    <row r="1425">
      <c r="A1425" s="67"/>
      <c r="B1425" s="67"/>
      <c r="C1425" s="67"/>
      <c r="D1425" s="67"/>
      <c r="E1425" s="67"/>
      <c r="F1425" s="68"/>
      <c r="G1425" s="68"/>
      <c r="H1425" s="68"/>
      <c r="I1425" s="68"/>
      <c r="J1425" s="68"/>
      <c r="K1425" s="69">
        <v>7500.0</v>
      </c>
      <c r="L1425" s="69">
        <v>18.06</v>
      </c>
      <c r="M1425" s="68">
        <f t="shared" si="1"/>
        <v>189.12</v>
      </c>
    </row>
    <row r="1426">
      <c r="A1426" s="70"/>
      <c r="B1426" s="70"/>
      <c r="C1426" s="70"/>
      <c r="D1426" s="70"/>
      <c r="E1426" s="70"/>
      <c r="F1426" s="66"/>
      <c r="G1426" s="66"/>
      <c r="H1426" s="66"/>
      <c r="I1426" s="66"/>
      <c r="J1426" s="66"/>
      <c r="K1426" s="63">
        <v>8000.0</v>
      </c>
      <c r="L1426" s="63">
        <v>16.6</v>
      </c>
      <c r="M1426" s="66">
        <f t="shared" si="1"/>
        <v>185.42</v>
      </c>
    </row>
    <row r="1427">
      <c r="A1427" s="67"/>
      <c r="B1427" s="67"/>
      <c r="C1427" s="67"/>
      <c r="D1427" s="67"/>
      <c r="E1427" s="67"/>
      <c r="F1427" s="68"/>
      <c r="G1427" s="68"/>
      <c r="H1427" s="68"/>
      <c r="I1427" s="68"/>
      <c r="J1427" s="68"/>
      <c r="K1427" s="69">
        <v>8500.0</v>
      </c>
      <c r="L1427" s="69">
        <v>13.05</v>
      </c>
      <c r="M1427" s="68">
        <f t="shared" si="1"/>
        <v>154.88</v>
      </c>
    </row>
    <row r="1428">
      <c r="A1428" s="66">
        <v>97.0</v>
      </c>
      <c r="B1428" s="66">
        <v>154.0</v>
      </c>
      <c r="C1428" s="74" t="s">
        <v>339</v>
      </c>
      <c r="D1428" s="74" t="s">
        <v>340</v>
      </c>
      <c r="E1428" s="74" t="s">
        <v>341</v>
      </c>
      <c r="F1428" s="65">
        <v>7400.0</v>
      </c>
      <c r="G1428" s="65">
        <v>7400.0</v>
      </c>
      <c r="H1428" s="65">
        <v>700.0</v>
      </c>
      <c r="I1428" s="65">
        <v>5500.0</v>
      </c>
      <c r="J1428" s="65">
        <v>6750.0</v>
      </c>
      <c r="K1428" s="63">
        <v>500.0</v>
      </c>
      <c r="L1428" s="63">
        <v>20.25</v>
      </c>
      <c r="M1428" s="66">
        <f t="shared" si="1"/>
        <v>14.14</v>
      </c>
    </row>
    <row r="1429">
      <c r="A1429" s="67"/>
      <c r="B1429" s="67"/>
      <c r="C1429" s="67"/>
      <c r="D1429" s="67"/>
      <c r="E1429" s="67"/>
      <c r="F1429" s="68"/>
      <c r="G1429" s="68"/>
      <c r="H1429" s="68"/>
      <c r="I1429" s="68"/>
      <c r="J1429" s="68"/>
      <c r="K1429" s="69">
        <v>1000.0</v>
      </c>
      <c r="L1429" s="69">
        <v>24.38</v>
      </c>
      <c r="M1429" s="68">
        <f t="shared" si="1"/>
        <v>34.04</v>
      </c>
    </row>
    <row r="1430">
      <c r="A1430" s="70"/>
      <c r="B1430" s="70"/>
      <c r="C1430" s="70"/>
      <c r="D1430" s="70"/>
      <c r="E1430" s="70"/>
      <c r="F1430" s="66"/>
      <c r="G1430" s="66"/>
      <c r="H1430" s="66"/>
      <c r="I1430" s="66"/>
      <c r="J1430" s="66"/>
      <c r="K1430" s="63">
        <v>1500.0</v>
      </c>
      <c r="L1430" s="63">
        <v>27.13</v>
      </c>
      <c r="M1430" s="66">
        <f t="shared" si="1"/>
        <v>56.82</v>
      </c>
    </row>
    <row r="1431">
      <c r="A1431" s="67"/>
      <c r="B1431" s="67"/>
      <c r="C1431" s="67"/>
      <c r="D1431" s="67"/>
      <c r="E1431" s="67"/>
      <c r="F1431" s="68"/>
      <c r="G1431" s="68"/>
      <c r="H1431" s="68"/>
      <c r="I1431" s="68"/>
      <c r="J1431" s="68"/>
      <c r="K1431" s="69">
        <v>2000.0</v>
      </c>
      <c r="L1431" s="69">
        <v>29.5</v>
      </c>
      <c r="M1431" s="68">
        <f t="shared" si="1"/>
        <v>82.38</v>
      </c>
    </row>
    <row r="1432">
      <c r="A1432" s="70"/>
      <c r="B1432" s="70"/>
      <c r="C1432" s="70"/>
      <c r="D1432" s="70"/>
      <c r="E1432" s="70"/>
      <c r="F1432" s="66"/>
      <c r="G1432" s="66"/>
      <c r="H1432" s="66"/>
      <c r="I1432" s="66"/>
      <c r="J1432" s="66"/>
      <c r="K1432" s="63">
        <v>2500.0</v>
      </c>
      <c r="L1432" s="63">
        <v>32.0</v>
      </c>
      <c r="M1432" s="66">
        <f t="shared" si="1"/>
        <v>111.7</v>
      </c>
    </row>
    <row r="1433">
      <c r="A1433" s="67"/>
      <c r="B1433" s="67"/>
      <c r="C1433" s="67"/>
      <c r="D1433" s="67"/>
      <c r="E1433" s="67"/>
      <c r="F1433" s="68"/>
      <c r="G1433" s="68"/>
      <c r="H1433" s="68"/>
      <c r="I1433" s="68"/>
      <c r="J1433" s="68"/>
      <c r="K1433" s="69">
        <v>3000.0</v>
      </c>
      <c r="L1433" s="69">
        <v>34.25</v>
      </c>
      <c r="M1433" s="68">
        <f t="shared" si="1"/>
        <v>143.47</v>
      </c>
    </row>
    <row r="1434">
      <c r="A1434" s="70"/>
      <c r="B1434" s="70"/>
      <c r="C1434" s="70"/>
      <c r="D1434" s="70"/>
      <c r="E1434" s="70"/>
      <c r="F1434" s="66"/>
      <c r="G1434" s="66"/>
      <c r="H1434" s="66"/>
      <c r="I1434" s="66"/>
      <c r="J1434" s="66"/>
      <c r="K1434" s="63">
        <v>3500.0</v>
      </c>
      <c r="L1434" s="63">
        <v>36.25</v>
      </c>
      <c r="M1434" s="66">
        <f t="shared" si="1"/>
        <v>177.15</v>
      </c>
    </row>
    <row r="1435">
      <c r="A1435" s="67"/>
      <c r="B1435" s="67"/>
      <c r="C1435" s="67"/>
      <c r="D1435" s="67"/>
      <c r="E1435" s="67"/>
      <c r="F1435" s="68"/>
      <c r="G1435" s="68"/>
      <c r="H1435" s="68"/>
      <c r="I1435" s="68"/>
      <c r="J1435" s="68"/>
      <c r="K1435" s="69">
        <v>4000.0</v>
      </c>
      <c r="L1435" s="69">
        <v>37.75</v>
      </c>
      <c r="M1435" s="68">
        <f t="shared" si="1"/>
        <v>210.83</v>
      </c>
    </row>
    <row r="1436">
      <c r="A1436" s="70"/>
      <c r="B1436" s="70"/>
      <c r="C1436" s="70"/>
      <c r="D1436" s="70"/>
      <c r="E1436" s="70"/>
      <c r="F1436" s="66"/>
      <c r="G1436" s="66"/>
      <c r="H1436" s="66"/>
      <c r="I1436" s="66"/>
      <c r="J1436" s="66"/>
      <c r="K1436" s="63">
        <v>4500.0</v>
      </c>
      <c r="L1436" s="63">
        <v>39.25</v>
      </c>
      <c r="M1436" s="66">
        <f t="shared" si="1"/>
        <v>246.61</v>
      </c>
    </row>
    <row r="1437">
      <c r="A1437" s="67"/>
      <c r="B1437" s="67"/>
      <c r="C1437" s="67"/>
      <c r="D1437" s="67"/>
      <c r="E1437" s="67"/>
      <c r="F1437" s="68"/>
      <c r="G1437" s="68"/>
      <c r="H1437" s="68"/>
      <c r="I1437" s="68"/>
      <c r="J1437" s="68"/>
      <c r="K1437" s="69">
        <v>5000.0</v>
      </c>
      <c r="L1437" s="69">
        <v>40.88</v>
      </c>
      <c r="M1437" s="68">
        <f t="shared" si="1"/>
        <v>285.4</v>
      </c>
    </row>
    <row r="1438">
      <c r="A1438" s="70"/>
      <c r="B1438" s="70"/>
      <c r="C1438" s="70"/>
      <c r="D1438" s="70"/>
      <c r="E1438" s="70"/>
      <c r="F1438" s="66"/>
      <c r="G1438" s="66"/>
      <c r="H1438" s="66"/>
      <c r="I1438" s="66"/>
      <c r="J1438" s="66"/>
      <c r="K1438" s="63">
        <v>5500.0</v>
      </c>
      <c r="L1438" s="63">
        <v>42.13</v>
      </c>
      <c r="M1438" s="66">
        <f t="shared" si="1"/>
        <v>323.53</v>
      </c>
    </row>
    <row r="1439">
      <c r="A1439" s="67"/>
      <c r="B1439" s="67"/>
      <c r="C1439" s="67"/>
      <c r="D1439" s="67"/>
      <c r="E1439" s="67"/>
      <c r="F1439" s="68"/>
      <c r="G1439" s="68"/>
      <c r="H1439" s="68"/>
      <c r="I1439" s="68"/>
      <c r="J1439" s="68"/>
      <c r="K1439" s="69">
        <v>6000.0</v>
      </c>
      <c r="L1439" s="69">
        <v>42.13</v>
      </c>
      <c r="M1439" s="68">
        <f t="shared" si="1"/>
        <v>352.95</v>
      </c>
    </row>
    <row r="1440">
      <c r="A1440" s="70"/>
      <c r="B1440" s="70"/>
      <c r="C1440" s="70"/>
      <c r="D1440" s="70"/>
      <c r="E1440" s="70"/>
      <c r="F1440" s="66"/>
      <c r="G1440" s="66"/>
      <c r="H1440" s="66"/>
      <c r="I1440" s="66"/>
      <c r="J1440" s="66"/>
      <c r="K1440" s="63">
        <v>6500.0</v>
      </c>
      <c r="L1440" s="63">
        <v>41.38</v>
      </c>
      <c r="M1440" s="66">
        <f t="shared" si="1"/>
        <v>375.55</v>
      </c>
    </row>
    <row r="1441">
      <c r="A1441" s="67"/>
      <c r="B1441" s="67"/>
      <c r="C1441" s="67"/>
      <c r="D1441" s="67"/>
      <c r="E1441" s="67"/>
      <c r="F1441" s="68"/>
      <c r="G1441" s="68"/>
      <c r="H1441" s="68"/>
      <c r="I1441" s="68"/>
      <c r="J1441" s="68"/>
      <c r="K1441" s="69">
        <v>6750.0</v>
      </c>
      <c r="L1441" s="69">
        <v>40.3</v>
      </c>
      <c r="M1441" s="68">
        <f t="shared" si="1"/>
        <v>379.82</v>
      </c>
    </row>
    <row r="1442">
      <c r="A1442" s="73"/>
      <c r="B1442" s="73"/>
      <c r="C1442" s="73"/>
      <c r="D1442" s="73"/>
      <c r="E1442" s="73"/>
      <c r="F1442" s="66"/>
      <c r="G1442" s="66"/>
      <c r="H1442" s="66"/>
      <c r="I1442" s="66"/>
      <c r="J1442" s="66"/>
      <c r="K1442" s="63">
        <v>7000.0</v>
      </c>
      <c r="L1442" s="63">
        <v>38.26</v>
      </c>
      <c r="M1442" s="66">
        <f t="shared" si="1"/>
        <v>373.95</v>
      </c>
    </row>
    <row r="1443">
      <c r="A1443" s="67"/>
      <c r="B1443" s="67"/>
      <c r="C1443" s="67"/>
      <c r="D1443" s="67"/>
      <c r="E1443" s="67"/>
      <c r="F1443" s="68"/>
      <c r="G1443" s="68"/>
      <c r="H1443" s="68"/>
      <c r="I1443" s="68"/>
      <c r="J1443" s="68"/>
      <c r="K1443" s="69">
        <v>7500.0</v>
      </c>
      <c r="L1443" s="69">
        <v>32.5</v>
      </c>
      <c r="M1443" s="68">
        <f t="shared" si="1"/>
        <v>340.34</v>
      </c>
    </row>
    <row r="1444">
      <c r="A1444" s="66">
        <v>98.0</v>
      </c>
      <c r="B1444" s="66">
        <v>155.0</v>
      </c>
      <c r="C1444" s="74" t="s">
        <v>342</v>
      </c>
      <c r="D1444" s="74" t="s">
        <v>343</v>
      </c>
      <c r="E1444" s="74" t="s">
        <v>344</v>
      </c>
      <c r="F1444" s="65">
        <v>7500.0</v>
      </c>
      <c r="G1444" s="65">
        <v>8000.0</v>
      </c>
      <c r="H1444" s="65">
        <v>700.0</v>
      </c>
      <c r="I1444" s="65">
        <v>6400.0</v>
      </c>
      <c r="J1444" s="65">
        <v>7300.0</v>
      </c>
      <c r="K1444" s="63">
        <v>500.0</v>
      </c>
      <c r="L1444" s="63">
        <v>11.1</v>
      </c>
      <c r="M1444" s="66">
        <f t="shared" si="1"/>
        <v>7.75</v>
      </c>
    </row>
    <row r="1445">
      <c r="A1445" s="67"/>
      <c r="B1445" s="67"/>
      <c r="C1445" s="67"/>
      <c r="D1445" s="67"/>
      <c r="E1445" s="67"/>
      <c r="F1445" s="68"/>
      <c r="G1445" s="68"/>
      <c r="H1445" s="68"/>
      <c r="I1445" s="68"/>
      <c r="J1445" s="68"/>
      <c r="K1445" s="69">
        <v>1000.0</v>
      </c>
      <c r="L1445" s="69">
        <v>13.65</v>
      </c>
      <c r="M1445" s="68">
        <f t="shared" si="1"/>
        <v>19.06</v>
      </c>
    </row>
    <row r="1446">
      <c r="A1446" s="70"/>
      <c r="B1446" s="70"/>
      <c r="C1446" s="70"/>
      <c r="D1446" s="70"/>
      <c r="E1446" s="70"/>
      <c r="F1446" s="66"/>
      <c r="G1446" s="66"/>
      <c r="H1446" s="66"/>
      <c r="I1446" s="66"/>
      <c r="J1446" s="66"/>
      <c r="K1446" s="63">
        <v>1500.0</v>
      </c>
      <c r="L1446" s="63">
        <v>14.78</v>
      </c>
      <c r="M1446" s="66">
        <f t="shared" si="1"/>
        <v>30.96</v>
      </c>
    </row>
    <row r="1447">
      <c r="A1447" s="67"/>
      <c r="B1447" s="67"/>
      <c r="C1447" s="67"/>
      <c r="D1447" s="67"/>
      <c r="E1447" s="67"/>
      <c r="F1447" s="68"/>
      <c r="G1447" s="68"/>
      <c r="H1447" s="68"/>
      <c r="I1447" s="68"/>
      <c r="J1447" s="68"/>
      <c r="K1447" s="69">
        <v>2000.0</v>
      </c>
      <c r="L1447" s="69">
        <v>15.23</v>
      </c>
      <c r="M1447" s="68">
        <f t="shared" si="1"/>
        <v>42.53</v>
      </c>
    </row>
    <row r="1448">
      <c r="A1448" s="70"/>
      <c r="B1448" s="70"/>
      <c r="C1448" s="70"/>
      <c r="D1448" s="70"/>
      <c r="E1448" s="70"/>
      <c r="F1448" s="66"/>
      <c r="G1448" s="66"/>
      <c r="H1448" s="66"/>
      <c r="I1448" s="66"/>
      <c r="J1448" s="66"/>
      <c r="K1448" s="63">
        <v>2500.0</v>
      </c>
      <c r="L1448" s="63">
        <v>15.53</v>
      </c>
      <c r="M1448" s="66">
        <f t="shared" si="1"/>
        <v>54.21</v>
      </c>
    </row>
    <row r="1449">
      <c r="A1449" s="67"/>
      <c r="B1449" s="67"/>
      <c r="C1449" s="67"/>
      <c r="D1449" s="67"/>
      <c r="E1449" s="67"/>
      <c r="F1449" s="68"/>
      <c r="G1449" s="68"/>
      <c r="H1449" s="68"/>
      <c r="I1449" s="68"/>
      <c r="J1449" s="68"/>
      <c r="K1449" s="69">
        <v>3000.0</v>
      </c>
      <c r="L1449" s="69">
        <v>15.6</v>
      </c>
      <c r="M1449" s="68">
        <f t="shared" si="1"/>
        <v>65.34</v>
      </c>
    </row>
    <row r="1450">
      <c r="A1450" s="70"/>
      <c r="B1450" s="70"/>
      <c r="C1450" s="70"/>
      <c r="D1450" s="70"/>
      <c r="E1450" s="70"/>
      <c r="F1450" s="66"/>
      <c r="G1450" s="66"/>
      <c r="H1450" s="66"/>
      <c r="I1450" s="66"/>
      <c r="J1450" s="66"/>
      <c r="K1450" s="63">
        <v>3500.0</v>
      </c>
      <c r="L1450" s="63">
        <v>15.75</v>
      </c>
      <c r="M1450" s="66">
        <f t="shared" si="1"/>
        <v>76.97</v>
      </c>
    </row>
    <row r="1451">
      <c r="A1451" s="67"/>
      <c r="B1451" s="67"/>
      <c r="C1451" s="67"/>
      <c r="D1451" s="67"/>
      <c r="E1451" s="67"/>
      <c r="F1451" s="68"/>
      <c r="G1451" s="68"/>
      <c r="H1451" s="68"/>
      <c r="I1451" s="68"/>
      <c r="J1451" s="68"/>
      <c r="K1451" s="69">
        <v>4000.0</v>
      </c>
      <c r="L1451" s="69">
        <v>16.13</v>
      </c>
      <c r="M1451" s="68">
        <f t="shared" si="1"/>
        <v>90.09</v>
      </c>
    </row>
    <row r="1452">
      <c r="A1452" s="70"/>
      <c r="B1452" s="70"/>
      <c r="C1452" s="70"/>
      <c r="D1452" s="70"/>
      <c r="E1452" s="70"/>
      <c r="F1452" s="66"/>
      <c r="G1452" s="66"/>
      <c r="H1452" s="66"/>
      <c r="I1452" s="66"/>
      <c r="J1452" s="66"/>
      <c r="K1452" s="63">
        <v>4500.0</v>
      </c>
      <c r="L1452" s="63">
        <v>16.73</v>
      </c>
      <c r="M1452" s="66">
        <f t="shared" si="1"/>
        <v>105.12</v>
      </c>
    </row>
    <row r="1453">
      <c r="A1453" s="67"/>
      <c r="B1453" s="67"/>
      <c r="C1453" s="67"/>
      <c r="D1453" s="67"/>
      <c r="E1453" s="67"/>
      <c r="F1453" s="68"/>
      <c r="G1453" s="68"/>
      <c r="H1453" s="68"/>
      <c r="I1453" s="68"/>
      <c r="J1453" s="68"/>
      <c r="K1453" s="69">
        <v>5000.0</v>
      </c>
      <c r="L1453" s="69">
        <v>17.78</v>
      </c>
      <c r="M1453" s="68">
        <f t="shared" si="1"/>
        <v>124.13</v>
      </c>
    </row>
    <row r="1454">
      <c r="A1454" s="70"/>
      <c r="B1454" s="70"/>
      <c r="C1454" s="70"/>
      <c r="D1454" s="70"/>
      <c r="E1454" s="70"/>
      <c r="F1454" s="66"/>
      <c r="G1454" s="66"/>
      <c r="H1454" s="66"/>
      <c r="I1454" s="66"/>
      <c r="J1454" s="66"/>
      <c r="K1454" s="63">
        <v>5500.0</v>
      </c>
      <c r="L1454" s="63">
        <v>19.28</v>
      </c>
      <c r="M1454" s="66">
        <f t="shared" si="1"/>
        <v>148.06</v>
      </c>
    </row>
    <row r="1455">
      <c r="A1455" s="67"/>
      <c r="B1455" s="67"/>
      <c r="C1455" s="67"/>
      <c r="D1455" s="67"/>
      <c r="E1455" s="67"/>
      <c r="F1455" s="68"/>
      <c r="G1455" s="68"/>
      <c r="H1455" s="68"/>
      <c r="I1455" s="68"/>
      <c r="J1455" s="68"/>
      <c r="K1455" s="69">
        <v>6000.0</v>
      </c>
      <c r="L1455" s="69">
        <v>20.4</v>
      </c>
      <c r="M1455" s="68">
        <f t="shared" si="1"/>
        <v>170.9</v>
      </c>
    </row>
    <row r="1456">
      <c r="A1456" s="70"/>
      <c r="B1456" s="70"/>
      <c r="C1456" s="70"/>
      <c r="D1456" s="70"/>
      <c r="E1456" s="70"/>
      <c r="F1456" s="66"/>
      <c r="G1456" s="66"/>
      <c r="H1456" s="66"/>
      <c r="I1456" s="66"/>
      <c r="J1456" s="66"/>
      <c r="K1456" s="63">
        <v>6400.0</v>
      </c>
      <c r="L1456" s="63">
        <v>20.6</v>
      </c>
      <c r="M1456" s="66">
        <f t="shared" si="1"/>
        <v>184.08</v>
      </c>
    </row>
    <row r="1457">
      <c r="A1457" s="67"/>
      <c r="B1457" s="67"/>
      <c r="C1457" s="67"/>
      <c r="D1457" s="67"/>
      <c r="E1457" s="67"/>
      <c r="F1457" s="68"/>
      <c r="G1457" s="68"/>
      <c r="H1457" s="68"/>
      <c r="I1457" s="68"/>
      <c r="J1457" s="68"/>
      <c r="K1457" s="69">
        <v>7000.0</v>
      </c>
      <c r="L1457" s="69">
        <v>20.18</v>
      </c>
      <c r="M1457" s="68">
        <f t="shared" si="1"/>
        <v>197.24</v>
      </c>
    </row>
    <row r="1458">
      <c r="A1458" s="70"/>
      <c r="B1458" s="70"/>
      <c r="C1458" s="70"/>
      <c r="D1458" s="70"/>
      <c r="E1458" s="70"/>
      <c r="F1458" s="66"/>
      <c r="G1458" s="66"/>
      <c r="H1458" s="66"/>
      <c r="I1458" s="66"/>
      <c r="J1458" s="66"/>
      <c r="K1458" s="63">
        <v>7300.0</v>
      </c>
      <c r="L1458" s="63">
        <v>19.58</v>
      </c>
      <c r="M1458" s="66">
        <f t="shared" si="1"/>
        <v>199.57</v>
      </c>
    </row>
    <row r="1459">
      <c r="A1459" s="67"/>
      <c r="B1459" s="67"/>
      <c r="C1459" s="67"/>
      <c r="D1459" s="67"/>
      <c r="E1459" s="67"/>
      <c r="F1459" s="68"/>
      <c r="G1459" s="68"/>
      <c r="H1459" s="68"/>
      <c r="I1459" s="68"/>
      <c r="J1459" s="68"/>
      <c r="K1459" s="69">
        <v>8000.0</v>
      </c>
      <c r="L1459" s="69">
        <v>17.25</v>
      </c>
      <c r="M1459" s="68">
        <f t="shared" si="1"/>
        <v>192.68</v>
      </c>
    </row>
    <row r="1460">
      <c r="A1460" s="66">
        <v>99.0</v>
      </c>
      <c r="B1460" s="66">
        <v>156.0</v>
      </c>
      <c r="C1460" s="74" t="s">
        <v>345</v>
      </c>
      <c r="D1460" s="74" t="s">
        <v>346</v>
      </c>
      <c r="E1460" s="74" t="s">
        <v>347</v>
      </c>
      <c r="F1460" s="65">
        <v>4200.0</v>
      </c>
      <c r="G1460" s="65">
        <v>4200.0</v>
      </c>
      <c r="H1460" s="65">
        <v>700.0</v>
      </c>
      <c r="I1460" s="65">
        <v>1200.0</v>
      </c>
      <c r="J1460" s="65">
        <v>3200.0</v>
      </c>
      <c r="K1460" s="63">
        <v>500.0</v>
      </c>
      <c r="L1460" s="63">
        <v>43.32</v>
      </c>
      <c r="M1460" s="66">
        <f t="shared" si="1"/>
        <v>30.24</v>
      </c>
    </row>
    <row r="1461">
      <c r="A1461" s="67"/>
      <c r="B1461" s="67"/>
      <c r="C1461" s="67"/>
      <c r="D1461" s="67"/>
      <c r="E1461" s="67"/>
      <c r="F1461" s="68"/>
      <c r="G1461" s="68"/>
      <c r="H1461" s="68"/>
      <c r="I1461" s="68"/>
      <c r="J1461" s="68"/>
      <c r="K1461" s="69">
        <v>1000.0</v>
      </c>
      <c r="L1461" s="69">
        <v>43.64</v>
      </c>
      <c r="M1461" s="68">
        <f t="shared" si="1"/>
        <v>60.93</v>
      </c>
    </row>
    <row r="1462">
      <c r="A1462" s="70"/>
      <c r="B1462" s="70"/>
      <c r="C1462" s="70"/>
      <c r="D1462" s="70"/>
      <c r="E1462" s="70"/>
      <c r="F1462" s="66"/>
      <c r="G1462" s="66"/>
      <c r="H1462" s="66"/>
      <c r="I1462" s="66"/>
      <c r="J1462" s="66"/>
      <c r="K1462" s="63">
        <v>1500.0</v>
      </c>
      <c r="L1462" s="63">
        <v>43.84</v>
      </c>
      <c r="M1462" s="66">
        <f t="shared" si="1"/>
        <v>91.82</v>
      </c>
    </row>
    <row r="1463">
      <c r="A1463" s="67"/>
      <c r="B1463" s="67"/>
      <c r="C1463" s="67"/>
      <c r="D1463" s="67"/>
      <c r="E1463" s="67"/>
      <c r="F1463" s="68"/>
      <c r="G1463" s="68"/>
      <c r="H1463" s="68"/>
      <c r="I1463" s="68"/>
      <c r="J1463" s="68"/>
      <c r="K1463" s="69">
        <v>2000.0</v>
      </c>
      <c r="L1463" s="69">
        <v>43.82</v>
      </c>
      <c r="M1463" s="68">
        <f t="shared" si="1"/>
        <v>122.37</v>
      </c>
    </row>
    <row r="1464">
      <c r="A1464" s="70"/>
      <c r="B1464" s="70"/>
      <c r="C1464" s="70"/>
      <c r="D1464" s="70"/>
      <c r="E1464" s="70"/>
      <c r="F1464" s="66"/>
      <c r="G1464" s="66"/>
      <c r="H1464" s="66"/>
      <c r="I1464" s="66"/>
      <c r="J1464" s="66"/>
      <c r="K1464" s="63">
        <v>2500.0</v>
      </c>
      <c r="L1464" s="63">
        <v>43.92</v>
      </c>
      <c r="M1464" s="66">
        <f t="shared" si="1"/>
        <v>153.31</v>
      </c>
    </row>
    <row r="1465">
      <c r="A1465" s="67"/>
      <c r="B1465" s="67"/>
      <c r="C1465" s="67"/>
      <c r="D1465" s="67"/>
      <c r="E1465" s="67"/>
      <c r="F1465" s="68"/>
      <c r="G1465" s="68"/>
      <c r="H1465" s="68"/>
      <c r="I1465" s="68"/>
      <c r="J1465" s="68"/>
      <c r="K1465" s="69">
        <v>3000.0</v>
      </c>
      <c r="L1465" s="69">
        <v>44.03</v>
      </c>
      <c r="M1465" s="68">
        <f t="shared" si="1"/>
        <v>184.43</v>
      </c>
    </row>
    <row r="1466">
      <c r="A1466" s="73"/>
      <c r="B1466" s="73"/>
      <c r="C1466" s="73"/>
      <c r="D1466" s="73"/>
      <c r="E1466" s="73"/>
      <c r="F1466" s="66"/>
      <c r="G1466" s="66"/>
      <c r="H1466" s="66"/>
      <c r="I1466" s="66"/>
      <c r="J1466" s="66"/>
      <c r="K1466" s="63">
        <v>3500.0</v>
      </c>
      <c r="L1466" s="63">
        <v>40.09</v>
      </c>
      <c r="M1466" s="66">
        <f t="shared" si="1"/>
        <v>195.92</v>
      </c>
    </row>
    <row r="1467">
      <c r="A1467" s="67"/>
      <c r="B1467" s="67"/>
      <c r="C1467" s="67"/>
      <c r="D1467" s="67"/>
      <c r="E1467" s="67"/>
      <c r="F1467" s="68"/>
      <c r="G1467" s="68"/>
      <c r="H1467" s="68"/>
      <c r="I1467" s="68"/>
      <c r="J1467" s="68"/>
      <c r="K1467" s="69">
        <v>4000.0</v>
      </c>
      <c r="L1467" s="69">
        <v>34.99</v>
      </c>
      <c r="M1467" s="68">
        <f t="shared" si="1"/>
        <v>195.42</v>
      </c>
    </row>
    <row r="1468">
      <c r="A1468" s="70"/>
      <c r="B1468" s="70"/>
      <c r="C1468" s="70"/>
      <c r="D1468" s="70"/>
      <c r="E1468" s="70"/>
      <c r="F1468" s="66"/>
      <c r="G1468" s="66"/>
      <c r="H1468" s="66"/>
      <c r="I1468" s="66"/>
      <c r="J1468" s="66"/>
      <c r="K1468" s="63">
        <v>4500.0</v>
      </c>
      <c r="L1468" s="63">
        <v>29.63</v>
      </c>
      <c r="M1468" s="66">
        <f t="shared" si="1"/>
        <v>186.17</v>
      </c>
    </row>
    <row r="1469">
      <c r="A1469" s="68">
        <v>100.0</v>
      </c>
      <c r="B1469" s="68">
        <v>157.0</v>
      </c>
      <c r="C1469" s="71" t="s">
        <v>348</v>
      </c>
      <c r="D1469" s="71" t="s">
        <v>349</v>
      </c>
      <c r="E1469" s="71" t="s">
        <v>350</v>
      </c>
      <c r="F1469" s="72">
        <v>6500.0</v>
      </c>
      <c r="G1469" s="72">
        <v>6500.0</v>
      </c>
      <c r="H1469" s="72">
        <v>700.0</v>
      </c>
      <c r="I1469" s="72">
        <v>3200.0</v>
      </c>
      <c r="J1469" s="72">
        <v>6000.0</v>
      </c>
      <c r="K1469" s="69">
        <v>500.0</v>
      </c>
      <c r="L1469" s="69">
        <v>27.85</v>
      </c>
      <c r="M1469" s="68">
        <f t="shared" si="1"/>
        <v>19.44</v>
      </c>
    </row>
    <row r="1470">
      <c r="A1470" s="70"/>
      <c r="B1470" s="70"/>
      <c r="C1470" s="70"/>
      <c r="D1470" s="70"/>
      <c r="E1470" s="70"/>
      <c r="F1470" s="66"/>
      <c r="G1470" s="66"/>
      <c r="H1470" s="66"/>
      <c r="I1470" s="66"/>
      <c r="J1470" s="66"/>
      <c r="K1470" s="63">
        <v>1000.0</v>
      </c>
      <c r="L1470" s="63">
        <v>30.99</v>
      </c>
      <c r="M1470" s="66">
        <f t="shared" si="1"/>
        <v>43.27</v>
      </c>
    </row>
    <row r="1471">
      <c r="A1471" s="67"/>
      <c r="B1471" s="67"/>
      <c r="C1471" s="67"/>
      <c r="D1471" s="67"/>
      <c r="E1471" s="67"/>
      <c r="F1471" s="68"/>
      <c r="G1471" s="68"/>
      <c r="H1471" s="68"/>
      <c r="I1471" s="68"/>
      <c r="J1471" s="68"/>
      <c r="K1471" s="69">
        <v>1500.0</v>
      </c>
      <c r="L1471" s="69">
        <v>32.23</v>
      </c>
      <c r="M1471" s="68">
        <f t="shared" si="1"/>
        <v>67.5</v>
      </c>
    </row>
    <row r="1472">
      <c r="A1472" s="70"/>
      <c r="B1472" s="70"/>
      <c r="C1472" s="70"/>
      <c r="D1472" s="70"/>
      <c r="E1472" s="70"/>
      <c r="F1472" s="66"/>
      <c r="G1472" s="66"/>
      <c r="H1472" s="66"/>
      <c r="I1472" s="66"/>
      <c r="J1472" s="66"/>
      <c r="K1472" s="63">
        <v>2000.0</v>
      </c>
      <c r="L1472" s="63">
        <v>31.71</v>
      </c>
      <c r="M1472" s="66">
        <f t="shared" si="1"/>
        <v>88.55</v>
      </c>
    </row>
    <row r="1473">
      <c r="A1473" s="67"/>
      <c r="B1473" s="67"/>
      <c r="C1473" s="67"/>
      <c r="D1473" s="67"/>
      <c r="E1473" s="67"/>
      <c r="F1473" s="68"/>
      <c r="G1473" s="68"/>
      <c r="H1473" s="68"/>
      <c r="I1473" s="68"/>
      <c r="J1473" s="68"/>
      <c r="K1473" s="69">
        <v>2500.0</v>
      </c>
      <c r="L1473" s="69">
        <v>34.67</v>
      </c>
      <c r="M1473" s="68">
        <f t="shared" si="1"/>
        <v>121.02</v>
      </c>
    </row>
    <row r="1474">
      <c r="A1474" s="70"/>
      <c r="B1474" s="70"/>
      <c r="C1474" s="70"/>
      <c r="D1474" s="70"/>
      <c r="E1474" s="70"/>
      <c r="F1474" s="66"/>
      <c r="G1474" s="66"/>
      <c r="H1474" s="66"/>
      <c r="I1474" s="66"/>
      <c r="J1474" s="66"/>
      <c r="K1474" s="63">
        <v>3000.0</v>
      </c>
      <c r="L1474" s="63">
        <v>36.0</v>
      </c>
      <c r="M1474" s="66">
        <f t="shared" si="1"/>
        <v>150.8</v>
      </c>
    </row>
    <row r="1475">
      <c r="A1475" s="67"/>
      <c r="B1475" s="67"/>
      <c r="C1475" s="67"/>
      <c r="D1475" s="67"/>
      <c r="E1475" s="67"/>
      <c r="F1475" s="68"/>
      <c r="G1475" s="68"/>
      <c r="H1475" s="68"/>
      <c r="I1475" s="68"/>
      <c r="J1475" s="68"/>
      <c r="K1475" s="69">
        <v>3500.0</v>
      </c>
      <c r="L1475" s="69">
        <v>35.08</v>
      </c>
      <c r="M1475" s="68">
        <f t="shared" si="1"/>
        <v>171.43</v>
      </c>
    </row>
    <row r="1476">
      <c r="A1476" s="70"/>
      <c r="B1476" s="70"/>
      <c r="C1476" s="70"/>
      <c r="D1476" s="70"/>
      <c r="E1476" s="70"/>
      <c r="F1476" s="66"/>
      <c r="G1476" s="66"/>
      <c r="H1476" s="66"/>
      <c r="I1476" s="66"/>
      <c r="J1476" s="66"/>
      <c r="K1476" s="63">
        <v>4000.0</v>
      </c>
      <c r="L1476" s="63">
        <v>34.16</v>
      </c>
      <c r="M1476" s="66">
        <f t="shared" si="1"/>
        <v>190.78</v>
      </c>
    </row>
    <row r="1477">
      <c r="A1477" s="67"/>
      <c r="B1477" s="67"/>
      <c r="C1477" s="67"/>
      <c r="D1477" s="67"/>
      <c r="E1477" s="67"/>
      <c r="F1477" s="68"/>
      <c r="G1477" s="68"/>
      <c r="H1477" s="68"/>
      <c r="I1477" s="68"/>
      <c r="J1477" s="68"/>
      <c r="K1477" s="69">
        <v>4500.0</v>
      </c>
      <c r="L1477" s="69">
        <v>32.04</v>
      </c>
      <c r="M1477" s="68">
        <f t="shared" si="1"/>
        <v>201.31</v>
      </c>
    </row>
    <row r="1478">
      <c r="A1478" s="70"/>
      <c r="B1478" s="70"/>
      <c r="C1478" s="70"/>
      <c r="D1478" s="70"/>
      <c r="E1478" s="70"/>
      <c r="F1478" s="66"/>
      <c r="G1478" s="66"/>
      <c r="H1478" s="66"/>
      <c r="I1478" s="66"/>
      <c r="J1478" s="66"/>
      <c r="K1478" s="63">
        <v>5000.0</v>
      </c>
      <c r="L1478" s="63">
        <v>31.1</v>
      </c>
      <c r="M1478" s="66">
        <f t="shared" si="1"/>
        <v>217.12</v>
      </c>
    </row>
    <row r="1479">
      <c r="A1479" s="67"/>
      <c r="B1479" s="67"/>
      <c r="C1479" s="67"/>
      <c r="D1479" s="67"/>
      <c r="E1479" s="67"/>
      <c r="F1479" s="68"/>
      <c r="G1479" s="68"/>
      <c r="H1479" s="68"/>
      <c r="I1479" s="68"/>
      <c r="J1479" s="68"/>
      <c r="K1479" s="69">
        <v>5500.0</v>
      </c>
      <c r="L1479" s="69">
        <v>30.01</v>
      </c>
      <c r="M1479" s="68">
        <f t="shared" si="1"/>
        <v>230.46</v>
      </c>
    </row>
    <row r="1480">
      <c r="A1480" s="70"/>
      <c r="B1480" s="70"/>
      <c r="C1480" s="70"/>
      <c r="D1480" s="70"/>
      <c r="E1480" s="70"/>
      <c r="F1480" s="66"/>
      <c r="G1480" s="66"/>
      <c r="H1480" s="66"/>
      <c r="I1480" s="66"/>
      <c r="J1480" s="66"/>
      <c r="K1480" s="63">
        <v>6000.0</v>
      </c>
      <c r="L1480" s="63">
        <v>28.6</v>
      </c>
      <c r="M1480" s="66">
        <f t="shared" si="1"/>
        <v>239.6</v>
      </c>
    </row>
    <row r="1481">
      <c r="A1481" s="67"/>
      <c r="B1481" s="67"/>
      <c r="C1481" s="67"/>
      <c r="D1481" s="67"/>
      <c r="E1481" s="67"/>
      <c r="F1481" s="68"/>
      <c r="G1481" s="68"/>
      <c r="H1481" s="68"/>
      <c r="I1481" s="68"/>
      <c r="J1481" s="68"/>
      <c r="K1481" s="69">
        <v>6500.0</v>
      </c>
      <c r="L1481" s="69">
        <v>25.94</v>
      </c>
      <c r="M1481" s="68">
        <f t="shared" si="1"/>
        <v>235.42</v>
      </c>
    </row>
    <row r="1482">
      <c r="A1482" s="70"/>
      <c r="B1482" s="70"/>
      <c r="C1482" s="70"/>
      <c r="D1482" s="70"/>
      <c r="E1482" s="70"/>
      <c r="F1482" s="66"/>
      <c r="G1482" s="66"/>
      <c r="H1482" s="66"/>
      <c r="I1482" s="66"/>
      <c r="J1482" s="66"/>
      <c r="K1482" s="63">
        <v>7000.0</v>
      </c>
      <c r="L1482" s="63">
        <v>22.7</v>
      </c>
      <c r="M1482" s="66">
        <f t="shared" si="1"/>
        <v>221.87</v>
      </c>
    </row>
    <row r="1483">
      <c r="A1483" s="68">
        <v>101.0</v>
      </c>
      <c r="B1483" s="68">
        <v>158.0</v>
      </c>
      <c r="C1483" s="71" t="s">
        <v>351</v>
      </c>
      <c r="D1483" s="71" t="s">
        <v>352</v>
      </c>
      <c r="E1483" s="71" t="s">
        <v>353</v>
      </c>
      <c r="F1483" s="72">
        <v>8000.0</v>
      </c>
      <c r="G1483" s="72">
        <v>8200.0</v>
      </c>
      <c r="H1483" s="72">
        <v>700.0</v>
      </c>
      <c r="I1483" s="72">
        <v>5600.0</v>
      </c>
      <c r="J1483" s="72">
        <v>6800.0</v>
      </c>
      <c r="K1483" s="69">
        <v>500.0</v>
      </c>
      <c r="L1483" s="69">
        <v>21.25</v>
      </c>
      <c r="M1483" s="68">
        <f t="shared" si="1"/>
        <v>14.84</v>
      </c>
    </row>
    <row r="1484">
      <c r="A1484" s="70"/>
      <c r="B1484" s="70"/>
      <c r="C1484" s="70"/>
      <c r="D1484" s="70"/>
      <c r="E1484" s="70"/>
      <c r="F1484" s="66"/>
      <c r="G1484" s="66"/>
      <c r="H1484" s="66"/>
      <c r="I1484" s="66"/>
      <c r="J1484" s="66"/>
      <c r="K1484" s="63">
        <v>1000.0</v>
      </c>
      <c r="L1484" s="63">
        <v>22.38</v>
      </c>
      <c r="M1484" s="66">
        <f t="shared" si="1"/>
        <v>31.25</v>
      </c>
    </row>
    <row r="1485">
      <c r="A1485" s="67"/>
      <c r="B1485" s="67"/>
      <c r="C1485" s="67"/>
      <c r="D1485" s="67"/>
      <c r="E1485" s="67"/>
      <c r="F1485" s="68"/>
      <c r="G1485" s="68"/>
      <c r="H1485" s="68"/>
      <c r="I1485" s="68"/>
      <c r="J1485" s="68"/>
      <c r="K1485" s="69">
        <v>1500.0</v>
      </c>
      <c r="L1485" s="69">
        <v>23.67</v>
      </c>
      <c r="M1485" s="68">
        <f t="shared" si="1"/>
        <v>49.57</v>
      </c>
    </row>
    <row r="1486">
      <c r="A1486" s="70"/>
      <c r="B1486" s="70"/>
      <c r="C1486" s="70"/>
      <c r="D1486" s="70"/>
      <c r="E1486" s="70"/>
      <c r="F1486" s="66"/>
      <c r="G1486" s="66"/>
      <c r="H1486" s="66"/>
      <c r="I1486" s="66"/>
      <c r="J1486" s="66"/>
      <c r="K1486" s="63">
        <v>2000.0</v>
      </c>
      <c r="L1486" s="63">
        <v>26.25</v>
      </c>
      <c r="M1486" s="66">
        <f t="shared" si="1"/>
        <v>73.3</v>
      </c>
    </row>
    <row r="1487">
      <c r="A1487" s="67"/>
      <c r="B1487" s="67"/>
      <c r="C1487" s="67"/>
      <c r="D1487" s="67"/>
      <c r="E1487" s="67"/>
      <c r="F1487" s="68"/>
      <c r="G1487" s="68"/>
      <c r="H1487" s="68"/>
      <c r="I1487" s="68"/>
      <c r="J1487" s="68"/>
      <c r="K1487" s="69">
        <v>2500.0</v>
      </c>
      <c r="L1487" s="69">
        <v>32.63</v>
      </c>
      <c r="M1487" s="68">
        <f t="shared" si="1"/>
        <v>113.9</v>
      </c>
    </row>
    <row r="1488">
      <c r="A1488" s="70"/>
      <c r="B1488" s="70"/>
      <c r="C1488" s="70"/>
      <c r="D1488" s="70"/>
      <c r="E1488" s="70"/>
      <c r="F1488" s="66"/>
      <c r="G1488" s="66"/>
      <c r="H1488" s="66"/>
      <c r="I1488" s="66"/>
      <c r="J1488" s="66"/>
      <c r="K1488" s="63">
        <v>3000.0</v>
      </c>
      <c r="L1488" s="63">
        <v>37.25</v>
      </c>
      <c r="M1488" s="66">
        <f t="shared" si="1"/>
        <v>156.03</v>
      </c>
    </row>
    <row r="1489">
      <c r="A1489" s="67"/>
      <c r="B1489" s="67"/>
      <c r="C1489" s="67"/>
      <c r="D1489" s="67"/>
      <c r="E1489" s="67"/>
      <c r="F1489" s="68"/>
      <c r="G1489" s="68"/>
      <c r="H1489" s="68"/>
      <c r="I1489" s="68"/>
      <c r="J1489" s="68"/>
      <c r="K1489" s="69">
        <v>3500.0</v>
      </c>
      <c r="L1489" s="69">
        <v>40.88</v>
      </c>
      <c r="M1489" s="68">
        <f t="shared" si="1"/>
        <v>199.78</v>
      </c>
    </row>
    <row r="1490">
      <c r="A1490" s="73"/>
      <c r="B1490" s="73"/>
      <c r="C1490" s="73"/>
      <c r="D1490" s="73"/>
      <c r="E1490" s="73"/>
      <c r="F1490" s="66"/>
      <c r="G1490" s="66"/>
      <c r="H1490" s="66"/>
      <c r="I1490" s="66"/>
      <c r="J1490" s="66"/>
      <c r="K1490" s="63">
        <v>4000.0</v>
      </c>
      <c r="L1490" s="63">
        <v>42.92</v>
      </c>
      <c r="M1490" s="66">
        <f t="shared" si="1"/>
        <v>239.71</v>
      </c>
    </row>
    <row r="1491">
      <c r="A1491" s="67"/>
      <c r="B1491" s="67"/>
      <c r="C1491" s="67"/>
      <c r="D1491" s="67"/>
      <c r="E1491" s="67"/>
      <c r="F1491" s="68"/>
      <c r="G1491" s="68"/>
      <c r="H1491" s="68"/>
      <c r="I1491" s="68"/>
      <c r="J1491" s="68"/>
      <c r="K1491" s="69">
        <v>4500.0</v>
      </c>
      <c r="L1491" s="69">
        <v>43.88</v>
      </c>
      <c r="M1491" s="68">
        <f t="shared" si="1"/>
        <v>275.71</v>
      </c>
    </row>
    <row r="1492">
      <c r="A1492" s="70"/>
      <c r="B1492" s="70"/>
      <c r="C1492" s="70"/>
      <c r="D1492" s="70"/>
      <c r="E1492" s="70"/>
      <c r="F1492" s="66"/>
      <c r="G1492" s="66"/>
      <c r="H1492" s="66"/>
      <c r="I1492" s="66"/>
      <c r="J1492" s="66"/>
      <c r="K1492" s="63">
        <v>5000.0</v>
      </c>
      <c r="L1492" s="63">
        <v>44.65</v>
      </c>
      <c r="M1492" s="66">
        <f t="shared" si="1"/>
        <v>311.71</v>
      </c>
    </row>
    <row r="1493">
      <c r="A1493" s="67"/>
      <c r="B1493" s="67"/>
      <c r="C1493" s="67"/>
      <c r="D1493" s="67"/>
      <c r="E1493" s="67"/>
      <c r="F1493" s="68"/>
      <c r="G1493" s="68"/>
      <c r="H1493" s="68"/>
      <c r="I1493" s="68"/>
      <c r="J1493" s="68"/>
      <c r="K1493" s="69">
        <v>5600.0</v>
      </c>
      <c r="L1493" s="69">
        <v>45.0</v>
      </c>
      <c r="M1493" s="68">
        <f t="shared" si="1"/>
        <v>351.86</v>
      </c>
    </row>
    <row r="1494">
      <c r="A1494" s="70"/>
      <c r="B1494" s="70"/>
      <c r="C1494" s="70"/>
      <c r="D1494" s="70"/>
      <c r="E1494" s="70"/>
      <c r="F1494" s="66"/>
      <c r="G1494" s="66"/>
      <c r="H1494" s="66"/>
      <c r="I1494" s="66"/>
      <c r="J1494" s="66"/>
      <c r="K1494" s="63">
        <v>6000.0</v>
      </c>
      <c r="L1494" s="63">
        <v>44.71</v>
      </c>
      <c r="M1494" s="66">
        <f t="shared" si="1"/>
        <v>374.56</v>
      </c>
    </row>
    <row r="1495">
      <c r="A1495" s="67"/>
      <c r="B1495" s="67"/>
      <c r="C1495" s="67"/>
      <c r="D1495" s="67"/>
      <c r="E1495" s="67"/>
      <c r="F1495" s="68"/>
      <c r="G1495" s="68"/>
      <c r="H1495" s="68"/>
      <c r="I1495" s="68"/>
      <c r="J1495" s="68"/>
      <c r="K1495" s="69">
        <v>6500.0</v>
      </c>
      <c r="L1495" s="69">
        <v>43.35</v>
      </c>
      <c r="M1495" s="68">
        <f t="shared" si="1"/>
        <v>393.43</v>
      </c>
    </row>
    <row r="1496">
      <c r="A1496" s="70"/>
      <c r="B1496" s="70"/>
      <c r="C1496" s="70"/>
      <c r="D1496" s="70"/>
      <c r="E1496" s="70"/>
      <c r="F1496" s="66"/>
      <c r="G1496" s="66"/>
      <c r="H1496" s="66"/>
      <c r="I1496" s="66"/>
      <c r="J1496" s="66"/>
      <c r="K1496" s="63">
        <v>6800.0</v>
      </c>
      <c r="L1496" s="63">
        <v>42.0</v>
      </c>
      <c r="M1496" s="66">
        <f t="shared" si="1"/>
        <v>398.77</v>
      </c>
    </row>
    <row r="1497">
      <c r="A1497" s="67"/>
      <c r="B1497" s="67"/>
      <c r="C1497" s="67"/>
      <c r="D1497" s="67"/>
      <c r="E1497" s="67"/>
      <c r="F1497" s="68"/>
      <c r="G1497" s="68"/>
      <c r="H1497" s="68"/>
      <c r="I1497" s="68"/>
      <c r="J1497" s="68"/>
      <c r="K1497" s="69">
        <v>7500.0</v>
      </c>
      <c r="L1497" s="69">
        <v>37.88</v>
      </c>
      <c r="M1497" s="68">
        <f t="shared" si="1"/>
        <v>396.68</v>
      </c>
    </row>
    <row r="1498">
      <c r="A1498" s="70"/>
      <c r="B1498" s="70"/>
      <c r="C1498" s="70"/>
      <c r="D1498" s="70"/>
      <c r="E1498" s="70"/>
      <c r="F1498" s="66"/>
      <c r="G1498" s="66"/>
      <c r="H1498" s="66"/>
      <c r="I1498" s="66"/>
      <c r="J1498" s="66"/>
      <c r="K1498" s="63">
        <v>8000.0</v>
      </c>
      <c r="L1498" s="63">
        <v>35.01</v>
      </c>
      <c r="M1498" s="66">
        <f t="shared" si="1"/>
        <v>391.06</v>
      </c>
    </row>
    <row r="1499">
      <c r="A1499" s="67"/>
      <c r="B1499" s="67"/>
      <c r="C1499" s="67"/>
      <c r="D1499" s="67"/>
      <c r="E1499" s="67"/>
      <c r="F1499" s="68"/>
      <c r="G1499" s="68"/>
      <c r="H1499" s="68"/>
      <c r="I1499" s="68"/>
      <c r="J1499" s="68"/>
      <c r="K1499" s="69">
        <v>8500.0</v>
      </c>
      <c r="L1499" s="69">
        <v>31.88</v>
      </c>
      <c r="M1499" s="68">
        <f t="shared" si="1"/>
        <v>378.36</v>
      </c>
    </row>
    <row r="1500">
      <c r="A1500" s="70"/>
      <c r="B1500" s="70"/>
      <c r="C1500" s="70"/>
      <c r="D1500" s="70"/>
      <c r="E1500" s="70"/>
      <c r="F1500" s="66"/>
      <c r="G1500" s="66"/>
      <c r="H1500" s="66"/>
      <c r="I1500" s="66"/>
      <c r="J1500" s="66"/>
      <c r="K1500" s="63">
        <v>9000.0</v>
      </c>
      <c r="L1500" s="63">
        <v>26.75</v>
      </c>
      <c r="M1500" s="66">
        <f t="shared" si="1"/>
        <v>336.15</v>
      </c>
    </row>
    <row r="1501">
      <c r="A1501" s="68">
        <v>102.0</v>
      </c>
      <c r="B1501" s="68">
        <v>159.0</v>
      </c>
      <c r="C1501" s="71" t="s">
        <v>354</v>
      </c>
      <c r="D1501" s="71" t="s">
        <v>355</v>
      </c>
      <c r="E1501" s="71" t="s">
        <v>356</v>
      </c>
      <c r="F1501" s="72">
        <v>7250.0</v>
      </c>
      <c r="G1501" s="72">
        <v>7600.0</v>
      </c>
      <c r="H1501" s="72">
        <v>800.0</v>
      </c>
      <c r="I1501" s="72">
        <v>4800.0</v>
      </c>
      <c r="J1501" s="72">
        <v>6400.0</v>
      </c>
      <c r="K1501" s="69">
        <v>500.0</v>
      </c>
      <c r="L1501" s="69">
        <v>16.91</v>
      </c>
      <c r="M1501" s="68">
        <f t="shared" si="1"/>
        <v>11.81</v>
      </c>
    </row>
    <row r="1502">
      <c r="A1502" s="70"/>
      <c r="B1502" s="70"/>
      <c r="C1502" s="70"/>
      <c r="D1502" s="70"/>
      <c r="E1502" s="70"/>
      <c r="F1502" s="66"/>
      <c r="G1502" s="66"/>
      <c r="H1502" s="66"/>
      <c r="I1502" s="66"/>
      <c r="J1502" s="66"/>
      <c r="K1502" s="63">
        <v>1000.0</v>
      </c>
      <c r="L1502" s="63">
        <v>19.19</v>
      </c>
      <c r="M1502" s="66">
        <f t="shared" si="1"/>
        <v>26.79</v>
      </c>
    </row>
    <row r="1503">
      <c r="A1503" s="67"/>
      <c r="B1503" s="67"/>
      <c r="C1503" s="67"/>
      <c r="D1503" s="67"/>
      <c r="E1503" s="67"/>
      <c r="F1503" s="68"/>
      <c r="G1503" s="68"/>
      <c r="H1503" s="68"/>
      <c r="I1503" s="68"/>
      <c r="J1503" s="68"/>
      <c r="K1503" s="69">
        <v>1500.0</v>
      </c>
      <c r="L1503" s="69">
        <v>20.42</v>
      </c>
      <c r="M1503" s="68">
        <f t="shared" si="1"/>
        <v>42.77</v>
      </c>
    </row>
    <row r="1504">
      <c r="A1504" s="70"/>
      <c r="B1504" s="70"/>
      <c r="C1504" s="70"/>
      <c r="D1504" s="70"/>
      <c r="E1504" s="70"/>
      <c r="F1504" s="66"/>
      <c r="G1504" s="66"/>
      <c r="H1504" s="66"/>
      <c r="I1504" s="66"/>
      <c r="J1504" s="66"/>
      <c r="K1504" s="63">
        <v>2000.0</v>
      </c>
      <c r="L1504" s="63">
        <v>22.32</v>
      </c>
      <c r="M1504" s="66">
        <f t="shared" si="1"/>
        <v>62.33</v>
      </c>
    </row>
    <row r="1505">
      <c r="A1505" s="67"/>
      <c r="B1505" s="67"/>
      <c r="C1505" s="67"/>
      <c r="D1505" s="67"/>
      <c r="E1505" s="67"/>
      <c r="F1505" s="68"/>
      <c r="G1505" s="68"/>
      <c r="H1505" s="68"/>
      <c r="I1505" s="68"/>
      <c r="J1505" s="68"/>
      <c r="K1505" s="69">
        <v>2500.0</v>
      </c>
      <c r="L1505" s="69">
        <v>25.5</v>
      </c>
      <c r="M1505" s="68">
        <f t="shared" si="1"/>
        <v>89.01</v>
      </c>
    </row>
    <row r="1506">
      <c r="A1506" s="70"/>
      <c r="B1506" s="70"/>
      <c r="C1506" s="70"/>
      <c r="D1506" s="70"/>
      <c r="E1506" s="70"/>
      <c r="F1506" s="66"/>
      <c r="G1506" s="66"/>
      <c r="H1506" s="66"/>
      <c r="I1506" s="66"/>
      <c r="J1506" s="66"/>
      <c r="K1506" s="63">
        <v>3000.0</v>
      </c>
      <c r="L1506" s="63">
        <v>27.8</v>
      </c>
      <c r="M1506" s="66">
        <f t="shared" si="1"/>
        <v>116.45</v>
      </c>
    </row>
    <row r="1507">
      <c r="A1507" s="67"/>
      <c r="B1507" s="67"/>
      <c r="C1507" s="67"/>
      <c r="D1507" s="67"/>
      <c r="E1507" s="67"/>
      <c r="F1507" s="68"/>
      <c r="G1507" s="68"/>
      <c r="H1507" s="68"/>
      <c r="I1507" s="68"/>
      <c r="J1507" s="68"/>
      <c r="K1507" s="69">
        <v>3500.0</v>
      </c>
      <c r="L1507" s="69">
        <v>28.85</v>
      </c>
      <c r="M1507" s="68">
        <f t="shared" si="1"/>
        <v>140.99</v>
      </c>
    </row>
    <row r="1508">
      <c r="A1508" s="70"/>
      <c r="B1508" s="70"/>
      <c r="C1508" s="70"/>
      <c r="D1508" s="70"/>
      <c r="E1508" s="70"/>
      <c r="F1508" s="66"/>
      <c r="G1508" s="66"/>
      <c r="H1508" s="66"/>
      <c r="I1508" s="66"/>
      <c r="J1508" s="66"/>
      <c r="K1508" s="63">
        <v>4000.0</v>
      </c>
      <c r="L1508" s="63">
        <v>29.2</v>
      </c>
      <c r="M1508" s="66">
        <f t="shared" si="1"/>
        <v>163.08</v>
      </c>
    </row>
    <row r="1509">
      <c r="A1509" s="67"/>
      <c r="B1509" s="67"/>
      <c r="C1509" s="67"/>
      <c r="D1509" s="67"/>
      <c r="E1509" s="67"/>
      <c r="F1509" s="68"/>
      <c r="G1509" s="68"/>
      <c r="H1509" s="68"/>
      <c r="I1509" s="68"/>
      <c r="J1509" s="68"/>
      <c r="K1509" s="69">
        <v>4500.0</v>
      </c>
      <c r="L1509" s="69">
        <v>29.55</v>
      </c>
      <c r="M1509" s="68">
        <f t="shared" si="1"/>
        <v>185.67</v>
      </c>
    </row>
    <row r="1510">
      <c r="A1510" s="70"/>
      <c r="B1510" s="70"/>
      <c r="C1510" s="70"/>
      <c r="D1510" s="70"/>
      <c r="E1510" s="70"/>
      <c r="F1510" s="66"/>
      <c r="G1510" s="66"/>
      <c r="H1510" s="66"/>
      <c r="I1510" s="66"/>
      <c r="J1510" s="66"/>
      <c r="K1510" s="63">
        <v>5000.0</v>
      </c>
      <c r="L1510" s="63">
        <v>30.2</v>
      </c>
      <c r="M1510" s="66">
        <f t="shared" si="1"/>
        <v>210.83</v>
      </c>
    </row>
    <row r="1511">
      <c r="A1511" s="67"/>
      <c r="B1511" s="67"/>
      <c r="C1511" s="67"/>
      <c r="D1511" s="67"/>
      <c r="E1511" s="67"/>
      <c r="F1511" s="68"/>
      <c r="G1511" s="68"/>
      <c r="H1511" s="68"/>
      <c r="I1511" s="68"/>
      <c r="J1511" s="68"/>
      <c r="K1511" s="69">
        <v>5500.0</v>
      </c>
      <c r="L1511" s="69">
        <v>30.53</v>
      </c>
      <c r="M1511" s="68">
        <f t="shared" si="1"/>
        <v>234.45</v>
      </c>
    </row>
    <row r="1512">
      <c r="A1512" s="70"/>
      <c r="B1512" s="70"/>
      <c r="C1512" s="70"/>
      <c r="D1512" s="70"/>
      <c r="E1512" s="70"/>
      <c r="F1512" s="66"/>
      <c r="G1512" s="66"/>
      <c r="H1512" s="66"/>
      <c r="I1512" s="66"/>
      <c r="J1512" s="66"/>
      <c r="K1512" s="63">
        <v>6000.0</v>
      </c>
      <c r="L1512" s="63">
        <v>30.87</v>
      </c>
      <c r="M1512" s="66">
        <f t="shared" si="1"/>
        <v>258.61</v>
      </c>
    </row>
    <row r="1513">
      <c r="A1513" s="67"/>
      <c r="B1513" s="67"/>
      <c r="C1513" s="67"/>
      <c r="D1513" s="67"/>
      <c r="E1513" s="67"/>
      <c r="F1513" s="68"/>
      <c r="G1513" s="68"/>
      <c r="H1513" s="68"/>
      <c r="I1513" s="68"/>
      <c r="J1513" s="68"/>
      <c r="K1513" s="69">
        <v>6500.0</v>
      </c>
      <c r="L1513" s="69">
        <v>31.0</v>
      </c>
      <c r="M1513" s="68">
        <f t="shared" si="1"/>
        <v>281.35</v>
      </c>
    </row>
    <row r="1514">
      <c r="A1514" s="73"/>
      <c r="B1514" s="73"/>
      <c r="C1514" s="73"/>
      <c r="D1514" s="73"/>
      <c r="E1514" s="73"/>
      <c r="F1514" s="66"/>
      <c r="G1514" s="66"/>
      <c r="H1514" s="66"/>
      <c r="I1514" s="66"/>
      <c r="J1514" s="66"/>
      <c r="K1514" s="63">
        <v>7000.0</v>
      </c>
      <c r="L1514" s="63">
        <v>28.25</v>
      </c>
      <c r="M1514" s="66">
        <f t="shared" si="1"/>
        <v>276.11</v>
      </c>
    </row>
    <row r="1515">
      <c r="A1515" s="67"/>
      <c r="B1515" s="67"/>
      <c r="C1515" s="67"/>
      <c r="D1515" s="67"/>
      <c r="E1515" s="67"/>
      <c r="F1515" s="68"/>
      <c r="G1515" s="68"/>
      <c r="H1515" s="68"/>
      <c r="I1515" s="68"/>
      <c r="J1515" s="68"/>
      <c r="K1515" s="69">
        <v>7500.0</v>
      </c>
      <c r="L1515" s="69">
        <v>25.1</v>
      </c>
      <c r="M1515" s="68">
        <f t="shared" si="1"/>
        <v>262.85</v>
      </c>
    </row>
    <row r="1516">
      <c r="A1516" s="70"/>
      <c r="B1516" s="70"/>
      <c r="C1516" s="70"/>
      <c r="D1516" s="70"/>
      <c r="E1516" s="70"/>
      <c r="F1516" s="66"/>
      <c r="G1516" s="66"/>
      <c r="H1516" s="66"/>
      <c r="I1516" s="66"/>
      <c r="J1516" s="66"/>
      <c r="K1516" s="63">
        <v>8000.0</v>
      </c>
      <c r="L1516" s="63">
        <v>20.0</v>
      </c>
      <c r="M1516" s="66">
        <f t="shared" si="1"/>
        <v>223.4</v>
      </c>
    </row>
    <row r="1517">
      <c r="A1517" s="68">
        <v>103.0</v>
      </c>
      <c r="B1517" s="68">
        <v>160.0</v>
      </c>
      <c r="C1517" s="71" t="s">
        <v>357</v>
      </c>
      <c r="D1517" s="71" t="s">
        <v>358</v>
      </c>
      <c r="E1517" s="71" t="s">
        <v>359</v>
      </c>
      <c r="F1517" s="72">
        <v>6600.0</v>
      </c>
      <c r="G1517" s="72">
        <v>6600.0</v>
      </c>
      <c r="H1517" s="72">
        <v>700.0</v>
      </c>
      <c r="I1517" s="72">
        <v>4000.0</v>
      </c>
      <c r="J1517" s="72">
        <v>6000.0</v>
      </c>
      <c r="K1517" s="69">
        <v>500.0</v>
      </c>
      <c r="L1517" s="69">
        <v>13.78</v>
      </c>
      <c r="M1517" s="68">
        <f t="shared" si="1"/>
        <v>9.62</v>
      </c>
    </row>
    <row r="1518">
      <c r="A1518" s="70"/>
      <c r="B1518" s="70"/>
      <c r="C1518" s="70"/>
      <c r="D1518" s="70"/>
      <c r="E1518" s="70"/>
      <c r="F1518" s="66"/>
      <c r="G1518" s="66"/>
      <c r="H1518" s="66"/>
      <c r="I1518" s="66"/>
      <c r="J1518" s="66"/>
      <c r="K1518" s="63">
        <v>1000.0</v>
      </c>
      <c r="L1518" s="63">
        <v>15.81</v>
      </c>
      <c r="M1518" s="66">
        <f t="shared" si="1"/>
        <v>22.07</v>
      </c>
    </row>
    <row r="1519">
      <c r="A1519" s="67"/>
      <c r="B1519" s="67"/>
      <c r="C1519" s="67"/>
      <c r="D1519" s="67"/>
      <c r="E1519" s="67"/>
      <c r="F1519" s="68"/>
      <c r="G1519" s="68"/>
      <c r="H1519" s="68"/>
      <c r="I1519" s="68"/>
      <c r="J1519" s="68"/>
      <c r="K1519" s="69">
        <v>1500.0</v>
      </c>
      <c r="L1519" s="69">
        <v>16.93</v>
      </c>
      <c r="M1519" s="68">
        <f t="shared" si="1"/>
        <v>35.46</v>
      </c>
    </row>
    <row r="1520">
      <c r="A1520" s="70"/>
      <c r="B1520" s="70"/>
      <c r="C1520" s="70"/>
      <c r="D1520" s="70"/>
      <c r="E1520" s="70"/>
      <c r="F1520" s="66"/>
      <c r="G1520" s="66"/>
      <c r="H1520" s="66"/>
      <c r="I1520" s="66"/>
      <c r="J1520" s="66"/>
      <c r="K1520" s="63">
        <v>2000.0</v>
      </c>
      <c r="L1520" s="63">
        <v>18.35</v>
      </c>
      <c r="M1520" s="66">
        <f t="shared" si="1"/>
        <v>51.24</v>
      </c>
    </row>
    <row r="1521">
      <c r="A1521" s="67"/>
      <c r="B1521" s="67"/>
      <c r="C1521" s="67"/>
      <c r="D1521" s="67"/>
      <c r="E1521" s="67"/>
      <c r="F1521" s="68"/>
      <c r="G1521" s="68"/>
      <c r="H1521" s="68"/>
      <c r="I1521" s="68"/>
      <c r="J1521" s="68"/>
      <c r="K1521" s="69">
        <v>2500.0</v>
      </c>
      <c r="L1521" s="69">
        <v>18.0</v>
      </c>
      <c r="M1521" s="68">
        <f t="shared" si="1"/>
        <v>62.83</v>
      </c>
    </row>
    <row r="1522">
      <c r="A1522" s="70"/>
      <c r="B1522" s="70"/>
      <c r="C1522" s="70"/>
      <c r="D1522" s="70"/>
      <c r="E1522" s="70"/>
      <c r="F1522" s="66"/>
      <c r="G1522" s="66"/>
      <c r="H1522" s="66"/>
      <c r="I1522" s="66"/>
      <c r="J1522" s="66"/>
      <c r="K1522" s="63">
        <v>3000.0</v>
      </c>
      <c r="L1522" s="63">
        <v>19.37</v>
      </c>
      <c r="M1522" s="66">
        <f t="shared" si="1"/>
        <v>81.14</v>
      </c>
    </row>
    <row r="1523">
      <c r="A1523" s="67"/>
      <c r="B1523" s="67"/>
      <c r="C1523" s="67"/>
      <c r="D1523" s="67"/>
      <c r="E1523" s="67"/>
      <c r="F1523" s="68"/>
      <c r="G1523" s="68"/>
      <c r="H1523" s="68"/>
      <c r="I1523" s="68"/>
      <c r="J1523" s="68"/>
      <c r="K1523" s="69">
        <v>3500.0</v>
      </c>
      <c r="L1523" s="69">
        <v>19.88</v>
      </c>
      <c r="M1523" s="68">
        <f t="shared" si="1"/>
        <v>97.15</v>
      </c>
    </row>
    <row r="1524">
      <c r="A1524" s="70"/>
      <c r="B1524" s="70"/>
      <c r="C1524" s="70"/>
      <c r="D1524" s="70"/>
      <c r="E1524" s="70"/>
      <c r="F1524" s="66"/>
      <c r="G1524" s="66"/>
      <c r="H1524" s="66"/>
      <c r="I1524" s="66"/>
      <c r="J1524" s="66"/>
      <c r="K1524" s="63">
        <v>4000.0</v>
      </c>
      <c r="L1524" s="63">
        <v>20.39</v>
      </c>
      <c r="M1524" s="66">
        <f t="shared" si="1"/>
        <v>113.88</v>
      </c>
    </row>
    <row r="1525">
      <c r="A1525" s="67"/>
      <c r="B1525" s="67"/>
      <c r="C1525" s="67"/>
      <c r="D1525" s="67"/>
      <c r="E1525" s="67"/>
      <c r="F1525" s="68"/>
      <c r="G1525" s="68"/>
      <c r="H1525" s="68"/>
      <c r="I1525" s="68"/>
      <c r="J1525" s="68"/>
      <c r="K1525" s="69">
        <v>4500.0</v>
      </c>
      <c r="L1525" s="69">
        <v>19.88</v>
      </c>
      <c r="M1525" s="68">
        <f t="shared" si="1"/>
        <v>124.91</v>
      </c>
    </row>
    <row r="1526">
      <c r="A1526" s="70"/>
      <c r="B1526" s="70"/>
      <c r="C1526" s="70"/>
      <c r="D1526" s="70"/>
      <c r="E1526" s="70"/>
      <c r="F1526" s="66"/>
      <c r="G1526" s="66"/>
      <c r="H1526" s="66"/>
      <c r="I1526" s="66"/>
      <c r="J1526" s="66"/>
      <c r="K1526" s="63">
        <v>5000.0</v>
      </c>
      <c r="L1526" s="63">
        <v>19.37</v>
      </c>
      <c r="M1526" s="66">
        <f t="shared" si="1"/>
        <v>135.23</v>
      </c>
    </row>
    <row r="1527">
      <c r="A1527" s="67"/>
      <c r="B1527" s="67"/>
      <c r="C1527" s="67"/>
      <c r="D1527" s="67"/>
      <c r="E1527" s="67"/>
      <c r="F1527" s="68"/>
      <c r="G1527" s="68"/>
      <c r="H1527" s="68"/>
      <c r="I1527" s="68"/>
      <c r="J1527" s="68"/>
      <c r="K1527" s="69">
        <v>5500.0</v>
      </c>
      <c r="L1527" s="69">
        <v>18.61</v>
      </c>
      <c r="M1527" s="68">
        <f t="shared" si="1"/>
        <v>142.91</v>
      </c>
    </row>
    <row r="1528">
      <c r="A1528" s="70"/>
      <c r="B1528" s="70"/>
      <c r="C1528" s="70"/>
      <c r="D1528" s="70"/>
      <c r="E1528" s="70"/>
      <c r="F1528" s="66"/>
      <c r="G1528" s="66"/>
      <c r="H1528" s="66"/>
      <c r="I1528" s="66"/>
      <c r="J1528" s="66"/>
      <c r="K1528" s="63">
        <v>6000.0</v>
      </c>
      <c r="L1528" s="63">
        <v>17.77</v>
      </c>
      <c r="M1528" s="66">
        <f t="shared" si="1"/>
        <v>148.87</v>
      </c>
    </row>
    <row r="1529">
      <c r="A1529" s="67"/>
      <c r="B1529" s="67"/>
      <c r="C1529" s="67"/>
      <c r="D1529" s="67"/>
      <c r="E1529" s="67"/>
      <c r="F1529" s="68"/>
      <c r="G1529" s="68"/>
      <c r="H1529" s="68"/>
      <c r="I1529" s="68"/>
      <c r="J1529" s="68"/>
      <c r="K1529" s="69">
        <v>6500.0</v>
      </c>
      <c r="L1529" s="69">
        <v>15.97</v>
      </c>
      <c r="M1529" s="68">
        <f t="shared" si="1"/>
        <v>144.94</v>
      </c>
    </row>
    <row r="1530">
      <c r="A1530" s="70"/>
      <c r="B1530" s="70"/>
      <c r="C1530" s="70"/>
      <c r="D1530" s="70"/>
      <c r="E1530" s="70"/>
      <c r="F1530" s="66"/>
      <c r="G1530" s="66"/>
      <c r="H1530" s="66"/>
      <c r="I1530" s="66"/>
      <c r="J1530" s="66"/>
      <c r="K1530" s="63">
        <v>7000.0</v>
      </c>
      <c r="L1530" s="63">
        <v>13.13</v>
      </c>
      <c r="M1530" s="66">
        <f t="shared" si="1"/>
        <v>128.33</v>
      </c>
    </row>
    <row r="1531">
      <c r="A1531" s="68">
        <v>104.0</v>
      </c>
      <c r="B1531" s="68">
        <v>161.0</v>
      </c>
      <c r="C1531" s="71" t="s">
        <v>360</v>
      </c>
      <c r="D1531" s="71" t="s">
        <v>361</v>
      </c>
      <c r="E1531" s="71" t="s">
        <v>362</v>
      </c>
      <c r="F1531" s="72">
        <v>6750.0</v>
      </c>
      <c r="G1531" s="72">
        <v>6900.0</v>
      </c>
      <c r="H1531" s="72">
        <v>700.0</v>
      </c>
      <c r="I1531" s="72">
        <v>5200.0</v>
      </c>
      <c r="J1531" s="72">
        <v>6600.0</v>
      </c>
      <c r="K1531" s="69">
        <v>500.0</v>
      </c>
      <c r="L1531" s="69">
        <v>8.0</v>
      </c>
      <c r="M1531" s="68">
        <f t="shared" si="1"/>
        <v>5.59</v>
      </c>
    </row>
    <row r="1532">
      <c r="A1532" s="70"/>
      <c r="B1532" s="70"/>
      <c r="C1532" s="70"/>
      <c r="D1532" s="70"/>
      <c r="E1532" s="70"/>
      <c r="F1532" s="66"/>
      <c r="G1532" s="66"/>
      <c r="H1532" s="66"/>
      <c r="I1532" s="66"/>
      <c r="J1532" s="66"/>
      <c r="K1532" s="63">
        <v>1000.0</v>
      </c>
      <c r="L1532" s="63">
        <v>10.25</v>
      </c>
      <c r="M1532" s="66">
        <f t="shared" si="1"/>
        <v>14.31</v>
      </c>
    </row>
    <row r="1533">
      <c r="A1533" s="67"/>
      <c r="B1533" s="67"/>
      <c r="C1533" s="67"/>
      <c r="D1533" s="67"/>
      <c r="E1533" s="67"/>
      <c r="F1533" s="68"/>
      <c r="G1533" s="68"/>
      <c r="H1533" s="68"/>
      <c r="I1533" s="68"/>
      <c r="J1533" s="68"/>
      <c r="K1533" s="69">
        <v>1500.0</v>
      </c>
      <c r="L1533" s="69">
        <v>11.7</v>
      </c>
      <c r="M1533" s="68">
        <f t="shared" si="1"/>
        <v>24.5</v>
      </c>
    </row>
    <row r="1534">
      <c r="A1534" s="70"/>
      <c r="B1534" s="70"/>
      <c r="C1534" s="70"/>
      <c r="D1534" s="70"/>
      <c r="E1534" s="70"/>
      <c r="F1534" s="66"/>
      <c r="G1534" s="66"/>
      <c r="H1534" s="66"/>
      <c r="I1534" s="66"/>
      <c r="J1534" s="66"/>
      <c r="K1534" s="63">
        <v>2000.0</v>
      </c>
      <c r="L1534" s="63">
        <v>12.5</v>
      </c>
      <c r="M1534" s="66">
        <f t="shared" si="1"/>
        <v>34.91</v>
      </c>
    </row>
    <row r="1535">
      <c r="A1535" s="67"/>
      <c r="B1535" s="67"/>
      <c r="C1535" s="67"/>
      <c r="D1535" s="67"/>
      <c r="E1535" s="67"/>
      <c r="F1535" s="68"/>
      <c r="G1535" s="68"/>
      <c r="H1535" s="68"/>
      <c r="I1535" s="68"/>
      <c r="J1535" s="68"/>
      <c r="K1535" s="69">
        <v>2500.0</v>
      </c>
      <c r="L1535" s="69">
        <v>12.9</v>
      </c>
      <c r="M1535" s="68">
        <f t="shared" si="1"/>
        <v>45.03</v>
      </c>
    </row>
    <row r="1536">
      <c r="A1536" s="70"/>
      <c r="B1536" s="70"/>
      <c r="C1536" s="70"/>
      <c r="D1536" s="70"/>
      <c r="E1536" s="70"/>
      <c r="F1536" s="66"/>
      <c r="G1536" s="66"/>
      <c r="H1536" s="66"/>
      <c r="I1536" s="66"/>
      <c r="J1536" s="66"/>
      <c r="K1536" s="63">
        <v>3000.0</v>
      </c>
      <c r="L1536" s="63">
        <v>13.15</v>
      </c>
      <c r="M1536" s="66">
        <f t="shared" si="1"/>
        <v>55.08</v>
      </c>
    </row>
    <row r="1537">
      <c r="A1537" s="67"/>
      <c r="B1537" s="67"/>
      <c r="C1537" s="67"/>
      <c r="D1537" s="67"/>
      <c r="E1537" s="67"/>
      <c r="F1537" s="68"/>
      <c r="G1537" s="68"/>
      <c r="H1537" s="68"/>
      <c r="I1537" s="68"/>
      <c r="J1537" s="68"/>
      <c r="K1537" s="69">
        <v>3500.0</v>
      </c>
      <c r="L1537" s="69">
        <v>13.5</v>
      </c>
      <c r="M1537" s="68">
        <f t="shared" si="1"/>
        <v>65.97</v>
      </c>
    </row>
    <row r="1538">
      <c r="A1538" s="73"/>
      <c r="B1538" s="73"/>
      <c r="C1538" s="73"/>
      <c r="D1538" s="73"/>
      <c r="E1538" s="73"/>
      <c r="F1538" s="66"/>
      <c r="G1538" s="66"/>
      <c r="H1538" s="66"/>
      <c r="I1538" s="66"/>
      <c r="J1538" s="66"/>
      <c r="K1538" s="63">
        <v>4000.0</v>
      </c>
      <c r="L1538" s="63">
        <v>14.0</v>
      </c>
      <c r="M1538" s="66">
        <f t="shared" si="1"/>
        <v>78.19</v>
      </c>
    </row>
    <row r="1539">
      <c r="A1539" s="67"/>
      <c r="B1539" s="67"/>
      <c r="C1539" s="67"/>
      <c r="D1539" s="67"/>
      <c r="E1539" s="67"/>
      <c r="F1539" s="68"/>
      <c r="G1539" s="68"/>
      <c r="H1539" s="68"/>
      <c r="I1539" s="68"/>
      <c r="J1539" s="68"/>
      <c r="K1539" s="69">
        <v>4700.0</v>
      </c>
      <c r="L1539" s="69">
        <v>14.65</v>
      </c>
      <c r="M1539" s="68">
        <f t="shared" si="1"/>
        <v>96.14</v>
      </c>
    </row>
    <row r="1540">
      <c r="A1540" s="70"/>
      <c r="B1540" s="70"/>
      <c r="C1540" s="70"/>
      <c r="D1540" s="70"/>
      <c r="E1540" s="70"/>
      <c r="F1540" s="66"/>
      <c r="G1540" s="66"/>
      <c r="H1540" s="66"/>
      <c r="I1540" s="66"/>
      <c r="J1540" s="66"/>
      <c r="K1540" s="63">
        <v>5200.0</v>
      </c>
      <c r="L1540" s="63">
        <v>14.7</v>
      </c>
      <c r="M1540" s="66">
        <f t="shared" si="1"/>
        <v>106.73</v>
      </c>
    </row>
    <row r="1541">
      <c r="A1541" s="67"/>
      <c r="B1541" s="67"/>
      <c r="C1541" s="67"/>
      <c r="D1541" s="67"/>
      <c r="E1541" s="67"/>
      <c r="F1541" s="68"/>
      <c r="G1541" s="68"/>
      <c r="H1541" s="68"/>
      <c r="I1541" s="68"/>
      <c r="J1541" s="68"/>
      <c r="K1541" s="69">
        <v>5700.0</v>
      </c>
      <c r="L1541" s="69">
        <v>14.35</v>
      </c>
      <c r="M1541" s="68">
        <f t="shared" si="1"/>
        <v>114.21</v>
      </c>
    </row>
    <row r="1542">
      <c r="A1542" s="70"/>
      <c r="B1542" s="70"/>
      <c r="C1542" s="70"/>
      <c r="D1542" s="70"/>
      <c r="E1542" s="70"/>
      <c r="F1542" s="66"/>
      <c r="G1542" s="66"/>
      <c r="H1542" s="66"/>
      <c r="I1542" s="66"/>
      <c r="J1542" s="66"/>
      <c r="K1542" s="63">
        <v>6200.0</v>
      </c>
      <c r="L1542" s="63">
        <v>13.65</v>
      </c>
      <c r="M1542" s="66">
        <f t="shared" si="1"/>
        <v>118.17</v>
      </c>
    </row>
    <row r="1543">
      <c r="A1543" s="67"/>
      <c r="B1543" s="67"/>
      <c r="C1543" s="67"/>
      <c r="D1543" s="67"/>
      <c r="E1543" s="67"/>
      <c r="F1543" s="68"/>
      <c r="G1543" s="68"/>
      <c r="H1543" s="68"/>
      <c r="I1543" s="68"/>
      <c r="J1543" s="68"/>
      <c r="K1543" s="69">
        <v>6600.0</v>
      </c>
      <c r="L1543" s="69">
        <v>13.0</v>
      </c>
      <c r="M1543" s="68">
        <f t="shared" si="1"/>
        <v>119.8</v>
      </c>
    </row>
    <row r="1544">
      <c r="A1544" s="70"/>
      <c r="B1544" s="70"/>
      <c r="C1544" s="70"/>
      <c r="D1544" s="70"/>
      <c r="E1544" s="70"/>
      <c r="F1544" s="66"/>
      <c r="G1544" s="66"/>
      <c r="H1544" s="66"/>
      <c r="I1544" s="66"/>
      <c r="J1544" s="66"/>
      <c r="K1544" s="63">
        <v>7000.0</v>
      </c>
      <c r="L1544" s="63">
        <v>11.55</v>
      </c>
      <c r="M1544" s="66">
        <f t="shared" si="1"/>
        <v>112.89</v>
      </c>
    </row>
    <row r="1545">
      <c r="A1545" s="67"/>
      <c r="B1545" s="67"/>
      <c r="C1545" s="67"/>
      <c r="D1545" s="67"/>
      <c r="E1545" s="67"/>
      <c r="F1545" s="68"/>
      <c r="G1545" s="68"/>
      <c r="H1545" s="68"/>
      <c r="I1545" s="68"/>
      <c r="J1545" s="68"/>
      <c r="K1545" s="69">
        <v>7500.0</v>
      </c>
      <c r="L1545" s="69">
        <v>8.8</v>
      </c>
      <c r="M1545" s="68">
        <f t="shared" si="1"/>
        <v>92.15</v>
      </c>
    </row>
    <row r="1546">
      <c r="A1546" s="66">
        <v>105.0</v>
      </c>
      <c r="B1546" s="66">
        <v>163.0</v>
      </c>
      <c r="C1546" s="74" t="s">
        <v>363</v>
      </c>
      <c r="D1546" s="74" t="s">
        <v>364</v>
      </c>
      <c r="E1546" s="74" t="s">
        <v>365</v>
      </c>
      <c r="F1546" s="65">
        <v>6600.0</v>
      </c>
      <c r="G1546" s="65">
        <v>6600.0</v>
      </c>
      <c r="H1546" s="65">
        <v>700.0</v>
      </c>
      <c r="I1546" s="65">
        <v>4800.0</v>
      </c>
      <c r="J1546" s="65">
        <v>6200.0</v>
      </c>
      <c r="K1546" s="63">
        <v>500.0</v>
      </c>
      <c r="L1546" s="63">
        <v>23.45</v>
      </c>
      <c r="M1546" s="66">
        <f t="shared" si="1"/>
        <v>16.37</v>
      </c>
    </row>
    <row r="1547">
      <c r="A1547" s="67"/>
      <c r="B1547" s="67"/>
      <c r="C1547" s="67"/>
      <c r="D1547" s="67"/>
      <c r="E1547" s="67"/>
      <c r="F1547" s="68"/>
      <c r="G1547" s="68"/>
      <c r="H1547" s="68"/>
      <c r="I1547" s="68"/>
      <c r="J1547" s="68"/>
      <c r="K1547" s="69">
        <v>1000.0</v>
      </c>
      <c r="L1547" s="69">
        <v>27.53</v>
      </c>
      <c r="M1547" s="68">
        <f t="shared" si="1"/>
        <v>38.44</v>
      </c>
    </row>
    <row r="1548">
      <c r="A1548" s="70"/>
      <c r="B1548" s="70"/>
      <c r="C1548" s="70"/>
      <c r="D1548" s="70"/>
      <c r="E1548" s="70"/>
      <c r="F1548" s="66"/>
      <c r="G1548" s="66"/>
      <c r="H1548" s="66"/>
      <c r="I1548" s="66"/>
      <c r="J1548" s="66"/>
      <c r="K1548" s="63">
        <v>1500.0</v>
      </c>
      <c r="L1548" s="63">
        <v>31.61</v>
      </c>
      <c r="M1548" s="66">
        <f t="shared" si="1"/>
        <v>66.2</v>
      </c>
    </row>
    <row r="1549">
      <c r="A1549" s="67"/>
      <c r="B1549" s="67"/>
      <c r="C1549" s="67"/>
      <c r="D1549" s="67"/>
      <c r="E1549" s="67"/>
      <c r="F1549" s="68"/>
      <c r="G1549" s="68"/>
      <c r="H1549" s="68"/>
      <c r="I1549" s="68"/>
      <c r="J1549" s="68"/>
      <c r="K1549" s="69">
        <v>2000.0</v>
      </c>
      <c r="L1549" s="69">
        <v>33.45</v>
      </c>
      <c r="M1549" s="68">
        <f t="shared" si="1"/>
        <v>93.41</v>
      </c>
    </row>
    <row r="1550">
      <c r="A1550" s="70"/>
      <c r="B1550" s="70"/>
      <c r="C1550" s="70"/>
      <c r="D1550" s="70"/>
      <c r="E1550" s="70"/>
      <c r="F1550" s="66"/>
      <c r="G1550" s="66"/>
      <c r="H1550" s="66"/>
      <c r="I1550" s="66"/>
      <c r="J1550" s="66"/>
      <c r="K1550" s="63">
        <v>2500.0</v>
      </c>
      <c r="L1550" s="63">
        <v>34.67</v>
      </c>
      <c r="M1550" s="66">
        <f t="shared" si="1"/>
        <v>121.02</v>
      </c>
    </row>
    <row r="1551">
      <c r="A1551" s="67"/>
      <c r="B1551" s="67"/>
      <c r="C1551" s="67"/>
      <c r="D1551" s="67"/>
      <c r="E1551" s="67"/>
      <c r="F1551" s="68"/>
      <c r="G1551" s="68"/>
      <c r="H1551" s="68"/>
      <c r="I1551" s="68"/>
      <c r="J1551" s="68"/>
      <c r="K1551" s="69">
        <v>3000.0</v>
      </c>
      <c r="L1551" s="69">
        <v>35.18</v>
      </c>
      <c r="M1551" s="68">
        <f t="shared" si="1"/>
        <v>147.36</v>
      </c>
    </row>
    <row r="1552">
      <c r="A1552" s="70"/>
      <c r="B1552" s="70"/>
      <c r="C1552" s="70"/>
      <c r="D1552" s="70"/>
      <c r="E1552" s="70"/>
      <c r="F1552" s="66"/>
      <c r="G1552" s="66"/>
      <c r="H1552" s="66"/>
      <c r="I1552" s="66"/>
      <c r="J1552" s="66"/>
      <c r="K1552" s="63">
        <v>3500.0</v>
      </c>
      <c r="L1552" s="63">
        <v>35.48</v>
      </c>
      <c r="M1552" s="66">
        <f t="shared" si="1"/>
        <v>173.39</v>
      </c>
    </row>
    <row r="1553">
      <c r="A1553" s="67"/>
      <c r="B1553" s="67"/>
      <c r="C1553" s="67"/>
      <c r="D1553" s="67"/>
      <c r="E1553" s="67"/>
      <c r="F1553" s="68"/>
      <c r="G1553" s="68"/>
      <c r="H1553" s="68"/>
      <c r="I1553" s="68"/>
      <c r="J1553" s="68"/>
      <c r="K1553" s="69">
        <v>4000.0</v>
      </c>
      <c r="L1553" s="69">
        <v>36.03</v>
      </c>
      <c r="M1553" s="68">
        <f t="shared" si="1"/>
        <v>201.23</v>
      </c>
    </row>
    <row r="1554">
      <c r="A1554" s="70"/>
      <c r="B1554" s="70"/>
      <c r="C1554" s="70"/>
      <c r="D1554" s="70"/>
      <c r="E1554" s="70"/>
      <c r="F1554" s="66"/>
      <c r="G1554" s="66"/>
      <c r="H1554" s="66"/>
      <c r="I1554" s="66"/>
      <c r="J1554" s="66"/>
      <c r="K1554" s="63">
        <v>4500.0</v>
      </c>
      <c r="L1554" s="63">
        <v>36.41</v>
      </c>
      <c r="M1554" s="66">
        <f t="shared" si="1"/>
        <v>228.77</v>
      </c>
    </row>
    <row r="1555">
      <c r="A1555" s="67"/>
      <c r="B1555" s="67"/>
      <c r="C1555" s="67"/>
      <c r="D1555" s="67"/>
      <c r="E1555" s="67"/>
      <c r="F1555" s="68"/>
      <c r="G1555" s="68"/>
      <c r="H1555" s="68"/>
      <c r="I1555" s="68"/>
      <c r="J1555" s="68"/>
      <c r="K1555" s="69">
        <v>4800.0</v>
      </c>
      <c r="L1555" s="69">
        <v>37.02</v>
      </c>
      <c r="M1555" s="68">
        <f t="shared" si="1"/>
        <v>248.11</v>
      </c>
    </row>
    <row r="1556">
      <c r="A1556" s="70"/>
      <c r="B1556" s="70"/>
      <c r="C1556" s="70"/>
      <c r="D1556" s="70"/>
      <c r="E1556" s="70"/>
      <c r="F1556" s="66"/>
      <c r="G1556" s="66"/>
      <c r="H1556" s="66"/>
      <c r="I1556" s="66"/>
      <c r="J1556" s="66"/>
      <c r="K1556" s="63">
        <v>5500.0</v>
      </c>
      <c r="L1556" s="63">
        <v>35.38</v>
      </c>
      <c r="M1556" s="66">
        <f t="shared" si="1"/>
        <v>271.7</v>
      </c>
    </row>
    <row r="1557">
      <c r="A1557" s="67"/>
      <c r="B1557" s="67"/>
      <c r="C1557" s="67"/>
      <c r="D1557" s="67"/>
      <c r="E1557" s="67"/>
      <c r="F1557" s="68"/>
      <c r="G1557" s="68"/>
      <c r="H1557" s="68"/>
      <c r="I1557" s="68"/>
      <c r="J1557" s="68"/>
      <c r="K1557" s="69">
        <v>6000.0</v>
      </c>
      <c r="L1557" s="69">
        <v>33.33</v>
      </c>
      <c r="M1557" s="68">
        <f t="shared" si="1"/>
        <v>279.22</v>
      </c>
    </row>
    <row r="1558">
      <c r="A1558" s="70"/>
      <c r="B1558" s="70"/>
      <c r="C1558" s="70"/>
      <c r="D1558" s="70"/>
      <c r="E1558" s="70"/>
      <c r="F1558" s="66"/>
      <c r="G1558" s="66"/>
      <c r="H1558" s="66"/>
      <c r="I1558" s="66"/>
      <c r="J1558" s="66"/>
      <c r="K1558" s="63">
        <v>6200.0</v>
      </c>
      <c r="L1558" s="63">
        <v>32.3</v>
      </c>
      <c r="M1558" s="66">
        <f t="shared" si="1"/>
        <v>279.61</v>
      </c>
    </row>
    <row r="1559">
      <c r="A1559" s="67"/>
      <c r="B1559" s="67"/>
      <c r="C1559" s="67"/>
      <c r="D1559" s="67"/>
      <c r="E1559" s="67"/>
      <c r="F1559" s="68"/>
      <c r="G1559" s="68"/>
      <c r="H1559" s="68"/>
      <c r="I1559" s="68"/>
      <c r="J1559" s="68"/>
      <c r="K1559" s="69">
        <v>6500.0</v>
      </c>
      <c r="L1559" s="69">
        <v>29.9</v>
      </c>
      <c r="M1559" s="68">
        <f t="shared" si="1"/>
        <v>271.36</v>
      </c>
    </row>
    <row r="1560">
      <c r="A1560" s="70"/>
      <c r="B1560" s="70"/>
      <c r="C1560" s="70"/>
      <c r="D1560" s="70"/>
      <c r="E1560" s="70"/>
      <c r="F1560" s="66"/>
      <c r="G1560" s="66"/>
      <c r="H1560" s="66"/>
      <c r="I1560" s="66"/>
      <c r="J1560" s="66"/>
      <c r="K1560" s="63">
        <v>7000.0</v>
      </c>
      <c r="L1560" s="63">
        <v>24.7</v>
      </c>
      <c r="M1560" s="66">
        <f t="shared" si="1"/>
        <v>241.41</v>
      </c>
    </row>
    <row r="1561">
      <c r="A1561" s="68">
        <v>106.0</v>
      </c>
      <c r="B1561" s="68">
        <v>166.0</v>
      </c>
      <c r="C1561" s="71" t="s">
        <v>366</v>
      </c>
      <c r="D1561" s="71" t="s">
        <v>367</v>
      </c>
      <c r="E1561" s="71" t="s">
        <v>368</v>
      </c>
      <c r="F1561" s="72">
        <v>6400.0</v>
      </c>
      <c r="G1561" s="72">
        <v>6500.0</v>
      </c>
      <c r="H1561" s="72">
        <v>800.0</v>
      </c>
      <c r="I1561" s="72">
        <v>4000.0</v>
      </c>
      <c r="J1561" s="72">
        <v>5800.0</v>
      </c>
      <c r="K1561" s="69">
        <v>500.0</v>
      </c>
      <c r="L1561" s="69">
        <v>11.45</v>
      </c>
      <c r="M1561" s="68">
        <f t="shared" si="1"/>
        <v>7.99</v>
      </c>
    </row>
    <row r="1562">
      <c r="A1562" s="73"/>
      <c r="B1562" s="73"/>
      <c r="C1562" s="73"/>
      <c r="D1562" s="73"/>
      <c r="E1562" s="73"/>
      <c r="F1562" s="66"/>
      <c r="G1562" s="66"/>
      <c r="H1562" s="66"/>
      <c r="I1562" s="66"/>
      <c r="J1562" s="66"/>
      <c r="K1562" s="63">
        <v>1000.0</v>
      </c>
      <c r="L1562" s="63">
        <v>13.7</v>
      </c>
      <c r="M1562" s="66">
        <f t="shared" si="1"/>
        <v>19.13</v>
      </c>
    </row>
    <row r="1563">
      <c r="A1563" s="67"/>
      <c r="B1563" s="67"/>
      <c r="C1563" s="67"/>
      <c r="D1563" s="67"/>
      <c r="E1563" s="67"/>
      <c r="F1563" s="68"/>
      <c r="G1563" s="68"/>
      <c r="H1563" s="68"/>
      <c r="I1563" s="68"/>
      <c r="J1563" s="68"/>
      <c r="K1563" s="69">
        <v>1500.0</v>
      </c>
      <c r="L1563" s="69">
        <v>15.8</v>
      </c>
      <c r="M1563" s="68">
        <f t="shared" si="1"/>
        <v>33.09</v>
      </c>
    </row>
    <row r="1564">
      <c r="A1564" s="70"/>
      <c r="B1564" s="70"/>
      <c r="C1564" s="70"/>
      <c r="D1564" s="70"/>
      <c r="E1564" s="70"/>
      <c r="F1564" s="66"/>
      <c r="G1564" s="66"/>
      <c r="H1564" s="66"/>
      <c r="I1564" s="66"/>
      <c r="J1564" s="66"/>
      <c r="K1564" s="63">
        <v>2000.0</v>
      </c>
      <c r="L1564" s="63">
        <v>17.93</v>
      </c>
      <c r="M1564" s="66">
        <f t="shared" si="1"/>
        <v>50.07</v>
      </c>
    </row>
    <row r="1565">
      <c r="A1565" s="67"/>
      <c r="B1565" s="67"/>
      <c r="C1565" s="67"/>
      <c r="D1565" s="67"/>
      <c r="E1565" s="67"/>
      <c r="F1565" s="68"/>
      <c r="G1565" s="68"/>
      <c r="H1565" s="68"/>
      <c r="I1565" s="68"/>
      <c r="J1565" s="68"/>
      <c r="K1565" s="69">
        <v>2500.0</v>
      </c>
      <c r="L1565" s="69">
        <v>19.83</v>
      </c>
      <c r="M1565" s="68">
        <f t="shared" si="1"/>
        <v>69.22</v>
      </c>
    </row>
    <row r="1566">
      <c r="A1566" s="70"/>
      <c r="B1566" s="70"/>
      <c r="C1566" s="70"/>
      <c r="D1566" s="70"/>
      <c r="E1566" s="70"/>
      <c r="F1566" s="66"/>
      <c r="G1566" s="66"/>
      <c r="H1566" s="66"/>
      <c r="I1566" s="66"/>
      <c r="J1566" s="66"/>
      <c r="K1566" s="63">
        <v>3000.0</v>
      </c>
      <c r="L1566" s="63">
        <v>21.45</v>
      </c>
      <c r="M1566" s="66">
        <f t="shared" si="1"/>
        <v>89.85</v>
      </c>
    </row>
    <row r="1567">
      <c r="A1567" s="67"/>
      <c r="B1567" s="67"/>
      <c r="C1567" s="67"/>
      <c r="D1567" s="67"/>
      <c r="E1567" s="67"/>
      <c r="F1567" s="68"/>
      <c r="G1567" s="68"/>
      <c r="H1567" s="68"/>
      <c r="I1567" s="68"/>
      <c r="J1567" s="68"/>
      <c r="K1567" s="69">
        <v>3500.0</v>
      </c>
      <c r="L1567" s="69">
        <v>22.53</v>
      </c>
      <c r="M1567" s="68">
        <f t="shared" si="1"/>
        <v>110.1</v>
      </c>
    </row>
    <row r="1568">
      <c r="A1568" s="70"/>
      <c r="B1568" s="70"/>
      <c r="C1568" s="70"/>
      <c r="D1568" s="70"/>
      <c r="E1568" s="70"/>
      <c r="F1568" s="66"/>
      <c r="G1568" s="66"/>
      <c r="H1568" s="66"/>
      <c r="I1568" s="66"/>
      <c r="J1568" s="66"/>
      <c r="K1568" s="63">
        <v>4000.0</v>
      </c>
      <c r="L1568" s="63">
        <v>23.08</v>
      </c>
      <c r="M1568" s="66">
        <f t="shared" si="1"/>
        <v>128.9</v>
      </c>
    </row>
    <row r="1569">
      <c r="A1569" s="67"/>
      <c r="B1569" s="67"/>
      <c r="C1569" s="67"/>
      <c r="D1569" s="67"/>
      <c r="E1569" s="67"/>
      <c r="F1569" s="68"/>
      <c r="G1569" s="68"/>
      <c r="H1569" s="68"/>
      <c r="I1569" s="68"/>
      <c r="J1569" s="68"/>
      <c r="K1569" s="69">
        <v>4500.0</v>
      </c>
      <c r="L1569" s="69">
        <v>22.85</v>
      </c>
      <c r="M1569" s="68">
        <f t="shared" si="1"/>
        <v>143.57</v>
      </c>
    </row>
    <row r="1570">
      <c r="A1570" s="70"/>
      <c r="B1570" s="70"/>
      <c r="C1570" s="70"/>
      <c r="D1570" s="70"/>
      <c r="E1570" s="70"/>
      <c r="F1570" s="66"/>
      <c r="G1570" s="66"/>
      <c r="H1570" s="66"/>
      <c r="I1570" s="66"/>
      <c r="J1570" s="66"/>
      <c r="K1570" s="63">
        <v>5000.0</v>
      </c>
      <c r="L1570" s="63">
        <v>21.8</v>
      </c>
      <c r="M1570" s="66">
        <f t="shared" si="1"/>
        <v>152.19</v>
      </c>
    </row>
    <row r="1571">
      <c r="A1571" s="67"/>
      <c r="B1571" s="67"/>
      <c r="C1571" s="67"/>
      <c r="D1571" s="67"/>
      <c r="E1571" s="67"/>
      <c r="F1571" s="68"/>
      <c r="G1571" s="68"/>
      <c r="H1571" s="68"/>
      <c r="I1571" s="68"/>
      <c r="J1571" s="68"/>
      <c r="K1571" s="69">
        <v>5500.0</v>
      </c>
      <c r="L1571" s="69">
        <v>20.8</v>
      </c>
      <c r="M1571" s="68">
        <f t="shared" si="1"/>
        <v>159.73</v>
      </c>
    </row>
    <row r="1572">
      <c r="A1572" s="70"/>
      <c r="B1572" s="70"/>
      <c r="C1572" s="70"/>
      <c r="D1572" s="70"/>
      <c r="E1572" s="70"/>
      <c r="F1572" s="66"/>
      <c r="G1572" s="66"/>
      <c r="H1572" s="66"/>
      <c r="I1572" s="66"/>
      <c r="J1572" s="66"/>
      <c r="K1572" s="63">
        <v>6000.0</v>
      </c>
      <c r="L1572" s="63">
        <v>18.75</v>
      </c>
      <c r="M1572" s="66">
        <f t="shared" si="1"/>
        <v>157.08</v>
      </c>
    </row>
    <row r="1573">
      <c r="A1573" s="67"/>
      <c r="B1573" s="67"/>
      <c r="C1573" s="67"/>
      <c r="D1573" s="67"/>
      <c r="E1573" s="67"/>
      <c r="F1573" s="68"/>
      <c r="G1573" s="68"/>
      <c r="H1573" s="68"/>
      <c r="I1573" s="68"/>
      <c r="J1573" s="68"/>
      <c r="K1573" s="69">
        <v>6500.0</v>
      </c>
      <c r="L1573" s="69">
        <v>15.8</v>
      </c>
      <c r="M1573" s="68">
        <f t="shared" si="1"/>
        <v>143.4</v>
      </c>
    </row>
    <row r="1574">
      <c r="A1574" s="66">
        <v>107.0</v>
      </c>
      <c r="B1574" s="66">
        <v>167.0</v>
      </c>
      <c r="C1574" s="74" t="s">
        <v>369</v>
      </c>
      <c r="D1574" s="74" t="s">
        <v>370</v>
      </c>
      <c r="E1574" s="74" t="s">
        <v>371</v>
      </c>
      <c r="F1574" s="65">
        <v>7000.0</v>
      </c>
      <c r="G1574" s="65">
        <v>7000.0</v>
      </c>
      <c r="H1574" s="65">
        <v>700.0</v>
      </c>
      <c r="I1574" s="65">
        <v>5000.0</v>
      </c>
      <c r="J1574" s="65">
        <v>6250.0</v>
      </c>
      <c r="K1574" s="63">
        <v>500.0</v>
      </c>
      <c r="L1574" s="63">
        <v>9.05</v>
      </c>
      <c r="M1574" s="66">
        <f t="shared" si="1"/>
        <v>6.32</v>
      </c>
    </row>
    <row r="1575">
      <c r="A1575" s="67"/>
      <c r="B1575" s="67"/>
      <c r="C1575" s="67"/>
      <c r="D1575" s="67"/>
      <c r="E1575" s="67"/>
      <c r="F1575" s="68"/>
      <c r="G1575" s="68"/>
      <c r="H1575" s="68"/>
      <c r="I1575" s="68"/>
      <c r="J1575" s="68"/>
      <c r="K1575" s="69">
        <v>1000.0</v>
      </c>
      <c r="L1575" s="69">
        <v>10.45</v>
      </c>
      <c r="M1575" s="68">
        <f t="shared" si="1"/>
        <v>14.59</v>
      </c>
    </row>
    <row r="1576">
      <c r="A1576" s="70"/>
      <c r="B1576" s="70"/>
      <c r="C1576" s="70"/>
      <c r="D1576" s="70"/>
      <c r="E1576" s="70"/>
      <c r="F1576" s="66"/>
      <c r="G1576" s="66"/>
      <c r="H1576" s="66"/>
      <c r="I1576" s="66"/>
      <c r="J1576" s="66"/>
      <c r="K1576" s="63">
        <v>1500.0</v>
      </c>
      <c r="L1576" s="63">
        <v>11.4</v>
      </c>
      <c r="M1576" s="66">
        <f t="shared" si="1"/>
        <v>23.88</v>
      </c>
    </row>
    <row r="1577">
      <c r="A1577" s="67"/>
      <c r="B1577" s="67"/>
      <c r="C1577" s="67"/>
      <c r="D1577" s="67"/>
      <c r="E1577" s="67"/>
      <c r="F1577" s="68"/>
      <c r="G1577" s="68"/>
      <c r="H1577" s="68"/>
      <c r="I1577" s="68"/>
      <c r="J1577" s="68"/>
      <c r="K1577" s="69">
        <v>2000.0</v>
      </c>
      <c r="L1577" s="69">
        <v>12.05</v>
      </c>
      <c r="M1577" s="68">
        <f t="shared" si="1"/>
        <v>33.65</v>
      </c>
    </row>
    <row r="1578">
      <c r="A1578" s="70"/>
      <c r="B1578" s="70"/>
      <c r="C1578" s="70"/>
      <c r="D1578" s="70"/>
      <c r="E1578" s="70"/>
      <c r="F1578" s="66"/>
      <c r="G1578" s="66"/>
      <c r="H1578" s="66"/>
      <c r="I1578" s="66"/>
      <c r="J1578" s="66"/>
      <c r="K1578" s="63">
        <v>2500.0</v>
      </c>
      <c r="L1578" s="63">
        <v>12.45</v>
      </c>
      <c r="M1578" s="66">
        <f t="shared" si="1"/>
        <v>43.46</v>
      </c>
    </row>
    <row r="1579">
      <c r="A1579" s="67"/>
      <c r="B1579" s="67"/>
      <c r="C1579" s="67"/>
      <c r="D1579" s="67"/>
      <c r="E1579" s="67"/>
      <c r="F1579" s="68"/>
      <c r="G1579" s="68"/>
      <c r="H1579" s="68"/>
      <c r="I1579" s="68"/>
      <c r="J1579" s="68"/>
      <c r="K1579" s="69">
        <v>3000.0</v>
      </c>
      <c r="L1579" s="69">
        <v>12.85</v>
      </c>
      <c r="M1579" s="68">
        <f t="shared" si="1"/>
        <v>53.83</v>
      </c>
    </row>
    <row r="1580">
      <c r="A1580" s="70"/>
      <c r="B1580" s="70"/>
      <c r="C1580" s="70"/>
      <c r="D1580" s="70"/>
      <c r="E1580" s="70"/>
      <c r="F1580" s="66"/>
      <c r="G1580" s="66"/>
      <c r="H1580" s="66"/>
      <c r="I1580" s="66"/>
      <c r="J1580" s="66"/>
      <c r="K1580" s="63">
        <v>3500.0</v>
      </c>
      <c r="L1580" s="63">
        <v>13.2</v>
      </c>
      <c r="M1580" s="66">
        <f t="shared" si="1"/>
        <v>64.51</v>
      </c>
    </row>
    <row r="1581">
      <c r="A1581" s="67"/>
      <c r="B1581" s="67"/>
      <c r="C1581" s="67"/>
      <c r="D1581" s="67"/>
      <c r="E1581" s="67"/>
      <c r="F1581" s="68"/>
      <c r="G1581" s="68"/>
      <c r="H1581" s="68"/>
      <c r="I1581" s="68"/>
      <c r="J1581" s="68"/>
      <c r="K1581" s="69">
        <v>4000.0</v>
      </c>
      <c r="L1581" s="69">
        <v>13.75</v>
      </c>
      <c r="M1581" s="68">
        <f t="shared" si="1"/>
        <v>76.79</v>
      </c>
    </row>
    <row r="1582">
      <c r="A1582" s="70"/>
      <c r="B1582" s="70"/>
      <c r="C1582" s="70"/>
      <c r="D1582" s="70"/>
      <c r="E1582" s="70"/>
      <c r="F1582" s="66"/>
      <c r="G1582" s="66"/>
      <c r="H1582" s="66"/>
      <c r="I1582" s="66"/>
      <c r="J1582" s="66"/>
      <c r="K1582" s="63">
        <v>4500.0</v>
      </c>
      <c r="L1582" s="63">
        <v>14.55</v>
      </c>
      <c r="M1582" s="66">
        <f t="shared" si="1"/>
        <v>91.42</v>
      </c>
    </row>
    <row r="1583">
      <c r="A1583" s="67"/>
      <c r="B1583" s="67"/>
      <c r="C1583" s="67"/>
      <c r="D1583" s="67"/>
      <c r="E1583" s="67"/>
      <c r="F1583" s="68"/>
      <c r="G1583" s="68"/>
      <c r="H1583" s="68"/>
      <c r="I1583" s="68"/>
      <c r="J1583" s="68"/>
      <c r="K1583" s="69">
        <v>5000.0</v>
      </c>
      <c r="L1583" s="69">
        <v>14.75</v>
      </c>
      <c r="M1583" s="68">
        <f t="shared" si="1"/>
        <v>102.97</v>
      </c>
    </row>
    <row r="1584">
      <c r="A1584" s="70"/>
      <c r="B1584" s="70"/>
      <c r="C1584" s="70"/>
      <c r="D1584" s="70"/>
      <c r="E1584" s="70"/>
      <c r="F1584" s="66"/>
      <c r="G1584" s="66"/>
      <c r="H1584" s="66"/>
      <c r="I1584" s="66"/>
      <c r="J1584" s="66"/>
      <c r="K1584" s="63">
        <v>5500.0</v>
      </c>
      <c r="L1584" s="63">
        <v>14.6</v>
      </c>
      <c r="M1584" s="66">
        <f t="shared" si="1"/>
        <v>112.12</v>
      </c>
    </row>
    <row r="1585">
      <c r="A1585" s="67"/>
      <c r="B1585" s="67"/>
      <c r="C1585" s="67"/>
      <c r="D1585" s="67"/>
      <c r="E1585" s="67"/>
      <c r="F1585" s="68"/>
      <c r="G1585" s="68"/>
      <c r="H1585" s="68"/>
      <c r="I1585" s="68"/>
      <c r="J1585" s="68"/>
      <c r="K1585" s="69">
        <v>6000.0</v>
      </c>
      <c r="L1585" s="69">
        <v>14.1</v>
      </c>
      <c r="M1585" s="68">
        <f t="shared" si="1"/>
        <v>118.12</v>
      </c>
    </row>
    <row r="1586">
      <c r="A1586" s="73"/>
      <c r="B1586" s="73"/>
      <c r="C1586" s="73"/>
      <c r="D1586" s="73"/>
      <c r="E1586" s="73"/>
      <c r="F1586" s="66"/>
      <c r="G1586" s="66"/>
      <c r="H1586" s="66"/>
      <c r="I1586" s="66"/>
      <c r="J1586" s="66"/>
      <c r="K1586" s="63">
        <v>6500.0</v>
      </c>
      <c r="L1586" s="63">
        <v>13.5</v>
      </c>
      <c r="M1586" s="66">
        <f t="shared" si="1"/>
        <v>122.52</v>
      </c>
    </row>
    <row r="1587">
      <c r="A1587" s="67"/>
      <c r="B1587" s="67"/>
      <c r="C1587" s="67"/>
      <c r="D1587" s="67"/>
      <c r="E1587" s="67"/>
      <c r="F1587" s="68"/>
      <c r="G1587" s="68"/>
      <c r="H1587" s="68"/>
      <c r="I1587" s="68"/>
      <c r="J1587" s="68"/>
      <c r="K1587" s="69">
        <v>7000.0</v>
      </c>
      <c r="L1587" s="69">
        <v>12.15</v>
      </c>
      <c r="M1587" s="68">
        <f t="shared" si="1"/>
        <v>118.75</v>
      </c>
    </row>
    <row r="1588">
      <c r="A1588" s="70"/>
      <c r="B1588" s="70"/>
      <c r="C1588" s="70"/>
      <c r="D1588" s="70"/>
      <c r="E1588" s="70"/>
      <c r="F1588" s="66"/>
      <c r="G1588" s="66"/>
      <c r="H1588" s="66"/>
      <c r="I1588" s="66"/>
      <c r="J1588" s="66"/>
      <c r="K1588" s="63">
        <v>7500.0</v>
      </c>
      <c r="L1588" s="63">
        <v>10.25</v>
      </c>
      <c r="M1588" s="66">
        <f t="shared" si="1"/>
        <v>107.34</v>
      </c>
    </row>
    <row r="1589">
      <c r="A1589" s="67"/>
      <c r="B1589" s="67"/>
      <c r="C1589" s="67"/>
      <c r="D1589" s="67"/>
      <c r="E1589" s="67"/>
      <c r="F1589" s="68"/>
      <c r="G1589" s="68"/>
      <c r="H1589" s="68"/>
      <c r="I1589" s="68"/>
      <c r="J1589" s="68"/>
      <c r="K1589" s="69">
        <v>8000.0</v>
      </c>
      <c r="L1589" s="69">
        <v>7.9</v>
      </c>
      <c r="M1589" s="68">
        <f t="shared" si="1"/>
        <v>88.24</v>
      </c>
    </row>
    <row r="1590">
      <c r="A1590" s="66">
        <v>108.0</v>
      </c>
      <c r="B1590" s="66">
        <v>168.0</v>
      </c>
      <c r="C1590" s="74" t="s">
        <v>372</v>
      </c>
      <c r="D1590" s="74" t="s">
        <v>373</v>
      </c>
      <c r="E1590" s="74" t="s">
        <v>374</v>
      </c>
      <c r="F1590" s="65">
        <v>6000.0</v>
      </c>
      <c r="G1590" s="65">
        <v>6500.0</v>
      </c>
      <c r="H1590" s="65">
        <v>700.0</v>
      </c>
      <c r="I1590" s="65">
        <v>3500.0</v>
      </c>
      <c r="J1590" s="65">
        <v>5750.0</v>
      </c>
      <c r="K1590" s="63">
        <v>500.0</v>
      </c>
      <c r="L1590" s="63">
        <v>3.4</v>
      </c>
      <c r="M1590" s="66">
        <f t="shared" si="1"/>
        <v>2.37</v>
      </c>
    </row>
    <row r="1591">
      <c r="A1591" s="67"/>
      <c r="B1591" s="67"/>
      <c r="C1591" s="67"/>
      <c r="D1591" s="67"/>
      <c r="E1591" s="67"/>
      <c r="F1591" s="68"/>
      <c r="G1591" s="68"/>
      <c r="H1591" s="68"/>
      <c r="I1591" s="68"/>
      <c r="J1591" s="68"/>
      <c r="K1591" s="69">
        <v>1000.0</v>
      </c>
      <c r="L1591" s="69">
        <v>3.57</v>
      </c>
      <c r="M1591" s="68">
        <f t="shared" si="1"/>
        <v>4.98</v>
      </c>
    </row>
    <row r="1592">
      <c r="A1592" s="70"/>
      <c r="B1592" s="70"/>
      <c r="C1592" s="70"/>
      <c r="D1592" s="70"/>
      <c r="E1592" s="70"/>
      <c r="F1592" s="66"/>
      <c r="G1592" s="66"/>
      <c r="H1592" s="66"/>
      <c r="I1592" s="66"/>
      <c r="J1592" s="66"/>
      <c r="K1592" s="63">
        <v>1500.0</v>
      </c>
      <c r="L1592" s="63">
        <v>3.69</v>
      </c>
      <c r="M1592" s="66">
        <f t="shared" si="1"/>
        <v>7.73</v>
      </c>
    </row>
    <row r="1593">
      <c r="A1593" s="67"/>
      <c r="B1593" s="67"/>
      <c r="C1593" s="67"/>
      <c r="D1593" s="67"/>
      <c r="E1593" s="67"/>
      <c r="F1593" s="68"/>
      <c r="G1593" s="68"/>
      <c r="H1593" s="68"/>
      <c r="I1593" s="68"/>
      <c r="J1593" s="68"/>
      <c r="K1593" s="69">
        <v>2000.0</v>
      </c>
      <c r="L1593" s="69">
        <v>3.78</v>
      </c>
      <c r="M1593" s="68">
        <f t="shared" si="1"/>
        <v>10.56</v>
      </c>
    </row>
    <row r="1594">
      <c r="A1594" s="70"/>
      <c r="B1594" s="70"/>
      <c r="C1594" s="70"/>
      <c r="D1594" s="70"/>
      <c r="E1594" s="70"/>
      <c r="F1594" s="66"/>
      <c r="G1594" s="66"/>
      <c r="H1594" s="66"/>
      <c r="I1594" s="66"/>
      <c r="J1594" s="66"/>
      <c r="K1594" s="63">
        <v>2500.0</v>
      </c>
      <c r="L1594" s="63">
        <v>3.85</v>
      </c>
      <c r="M1594" s="66">
        <f t="shared" si="1"/>
        <v>13.44</v>
      </c>
    </row>
    <row r="1595">
      <c r="A1595" s="67"/>
      <c r="B1595" s="67"/>
      <c r="C1595" s="67"/>
      <c r="D1595" s="67"/>
      <c r="E1595" s="67"/>
      <c r="F1595" s="68"/>
      <c r="G1595" s="68"/>
      <c r="H1595" s="68"/>
      <c r="I1595" s="68"/>
      <c r="J1595" s="68"/>
      <c r="K1595" s="69">
        <v>3000.0</v>
      </c>
      <c r="L1595" s="69">
        <v>3.92</v>
      </c>
      <c r="M1595" s="68">
        <f t="shared" si="1"/>
        <v>16.42</v>
      </c>
    </row>
    <row r="1596">
      <c r="A1596" s="70"/>
      <c r="B1596" s="70"/>
      <c r="C1596" s="70"/>
      <c r="D1596" s="70"/>
      <c r="E1596" s="70"/>
      <c r="F1596" s="66"/>
      <c r="G1596" s="66"/>
      <c r="H1596" s="66"/>
      <c r="I1596" s="66"/>
      <c r="J1596" s="66"/>
      <c r="K1596" s="63">
        <v>3500.0</v>
      </c>
      <c r="L1596" s="63">
        <v>4.0</v>
      </c>
      <c r="M1596" s="66">
        <f t="shared" si="1"/>
        <v>19.55</v>
      </c>
    </row>
    <row r="1597">
      <c r="A1597" s="67"/>
      <c r="B1597" s="67"/>
      <c r="C1597" s="67"/>
      <c r="D1597" s="67"/>
      <c r="E1597" s="67"/>
      <c r="F1597" s="68"/>
      <c r="G1597" s="68"/>
      <c r="H1597" s="68"/>
      <c r="I1597" s="68"/>
      <c r="J1597" s="68"/>
      <c r="K1597" s="69">
        <v>4000.0</v>
      </c>
      <c r="L1597" s="69">
        <v>3.95</v>
      </c>
      <c r="M1597" s="68">
        <f t="shared" si="1"/>
        <v>22.06</v>
      </c>
    </row>
    <row r="1598">
      <c r="A1598" s="70"/>
      <c r="B1598" s="70"/>
      <c r="C1598" s="70"/>
      <c r="D1598" s="70"/>
      <c r="E1598" s="70"/>
      <c r="F1598" s="66"/>
      <c r="G1598" s="66"/>
      <c r="H1598" s="66"/>
      <c r="I1598" s="66"/>
      <c r="J1598" s="66"/>
      <c r="K1598" s="63">
        <v>4500.0</v>
      </c>
      <c r="L1598" s="63">
        <v>3.9</v>
      </c>
      <c r="M1598" s="66">
        <f t="shared" si="1"/>
        <v>24.5</v>
      </c>
    </row>
    <row r="1599">
      <c r="A1599" s="67"/>
      <c r="B1599" s="67"/>
      <c r="C1599" s="67"/>
      <c r="D1599" s="67"/>
      <c r="E1599" s="67"/>
      <c r="F1599" s="68"/>
      <c r="G1599" s="68"/>
      <c r="H1599" s="68"/>
      <c r="I1599" s="68"/>
      <c r="J1599" s="68"/>
      <c r="K1599" s="69">
        <v>5000.0</v>
      </c>
      <c r="L1599" s="69">
        <v>3.8</v>
      </c>
      <c r="M1599" s="68">
        <f t="shared" si="1"/>
        <v>26.53</v>
      </c>
    </row>
    <row r="1600">
      <c r="A1600" s="70"/>
      <c r="B1600" s="70"/>
      <c r="C1600" s="70"/>
      <c r="D1600" s="70"/>
      <c r="E1600" s="70"/>
      <c r="F1600" s="66"/>
      <c r="G1600" s="66"/>
      <c r="H1600" s="66"/>
      <c r="I1600" s="66"/>
      <c r="J1600" s="66"/>
      <c r="K1600" s="63">
        <v>5750.0</v>
      </c>
      <c r="L1600" s="63">
        <v>3.6</v>
      </c>
      <c r="M1600" s="66">
        <f t="shared" si="1"/>
        <v>28.9</v>
      </c>
    </row>
    <row r="1601">
      <c r="A1601" s="67"/>
      <c r="B1601" s="67"/>
      <c r="C1601" s="67"/>
      <c r="D1601" s="67"/>
      <c r="E1601" s="67"/>
      <c r="F1601" s="68"/>
      <c r="G1601" s="68"/>
      <c r="H1601" s="68"/>
      <c r="I1601" s="68"/>
      <c r="J1601" s="68"/>
      <c r="K1601" s="69">
        <v>6000.0</v>
      </c>
      <c r="L1601" s="69">
        <v>3.42</v>
      </c>
      <c r="M1601" s="68">
        <f t="shared" si="1"/>
        <v>28.65</v>
      </c>
    </row>
    <row r="1602">
      <c r="A1602" s="70"/>
      <c r="B1602" s="70"/>
      <c r="C1602" s="70"/>
      <c r="D1602" s="70"/>
      <c r="E1602" s="70"/>
      <c r="F1602" s="66"/>
      <c r="G1602" s="66"/>
      <c r="H1602" s="66"/>
      <c r="I1602" s="66"/>
      <c r="J1602" s="66"/>
      <c r="K1602" s="63">
        <v>6500.0</v>
      </c>
      <c r="L1602" s="63">
        <v>3.1</v>
      </c>
      <c r="M1602" s="66">
        <f t="shared" si="1"/>
        <v>28.13</v>
      </c>
    </row>
    <row r="1603">
      <c r="A1603" s="67"/>
      <c r="B1603" s="67"/>
      <c r="C1603" s="67"/>
      <c r="D1603" s="67"/>
      <c r="E1603" s="67"/>
      <c r="F1603" s="68"/>
      <c r="G1603" s="68"/>
      <c r="H1603" s="68"/>
      <c r="I1603" s="68"/>
      <c r="J1603" s="68"/>
      <c r="K1603" s="69">
        <v>7000.0</v>
      </c>
      <c r="L1603" s="69">
        <v>2.72</v>
      </c>
      <c r="M1603" s="68">
        <f t="shared" si="1"/>
        <v>26.58</v>
      </c>
    </row>
    <row r="1604">
      <c r="A1604" s="66">
        <v>109.0</v>
      </c>
      <c r="B1604" s="66">
        <v>170.0</v>
      </c>
      <c r="C1604" s="74" t="s">
        <v>375</v>
      </c>
      <c r="D1604" s="74" t="s">
        <v>376</v>
      </c>
      <c r="E1604" s="74" t="s">
        <v>377</v>
      </c>
      <c r="F1604" s="65">
        <v>7000.0</v>
      </c>
      <c r="G1604" s="65">
        <v>7000.0</v>
      </c>
      <c r="H1604" s="65">
        <v>800.0</v>
      </c>
      <c r="I1604" s="65">
        <v>4000.0</v>
      </c>
      <c r="J1604" s="65">
        <v>6500.0</v>
      </c>
      <c r="K1604" s="63">
        <v>500.0</v>
      </c>
      <c r="L1604" s="63">
        <v>18.65</v>
      </c>
      <c r="M1604" s="66">
        <f t="shared" si="1"/>
        <v>13.02</v>
      </c>
    </row>
    <row r="1605">
      <c r="A1605" s="67"/>
      <c r="B1605" s="67"/>
      <c r="C1605" s="67"/>
      <c r="D1605" s="67"/>
      <c r="E1605" s="67"/>
      <c r="F1605" s="68"/>
      <c r="G1605" s="68"/>
      <c r="H1605" s="68"/>
      <c r="I1605" s="68"/>
      <c r="J1605" s="68"/>
      <c r="K1605" s="69">
        <v>1000.0</v>
      </c>
      <c r="L1605" s="69">
        <v>22.8</v>
      </c>
      <c r="M1605" s="68">
        <f t="shared" si="1"/>
        <v>31.83</v>
      </c>
    </row>
    <row r="1606">
      <c r="A1606" s="70"/>
      <c r="B1606" s="70"/>
      <c r="C1606" s="70"/>
      <c r="D1606" s="70"/>
      <c r="E1606" s="70"/>
      <c r="F1606" s="66"/>
      <c r="G1606" s="66"/>
      <c r="H1606" s="66"/>
      <c r="I1606" s="66"/>
      <c r="J1606" s="66"/>
      <c r="K1606" s="63">
        <v>1500.0</v>
      </c>
      <c r="L1606" s="63">
        <v>30.05</v>
      </c>
      <c r="M1606" s="66">
        <f t="shared" si="1"/>
        <v>62.94</v>
      </c>
    </row>
    <row r="1607">
      <c r="A1607" s="67"/>
      <c r="B1607" s="67"/>
      <c r="C1607" s="67"/>
      <c r="D1607" s="67"/>
      <c r="E1607" s="67"/>
      <c r="F1607" s="68"/>
      <c r="G1607" s="68"/>
      <c r="H1607" s="68"/>
      <c r="I1607" s="68"/>
      <c r="J1607" s="68"/>
      <c r="K1607" s="69">
        <v>2000.0</v>
      </c>
      <c r="L1607" s="69">
        <v>40.5</v>
      </c>
      <c r="M1607" s="68">
        <f t="shared" si="1"/>
        <v>113.1</v>
      </c>
    </row>
    <row r="1608">
      <c r="A1608" s="70"/>
      <c r="B1608" s="70"/>
      <c r="C1608" s="70"/>
      <c r="D1608" s="70"/>
      <c r="E1608" s="70"/>
      <c r="F1608" s="66"/>
      <c r="G1608" s="66"/>
      <c r="H1608" s="66"/>
      <c r="I1608" s="66"/>
      <c r="J1608" s="66"/>
      <c r="K1608" s="63">
        <v>2500.0</v>
      </c>
      <c r="L1608" s="63">
        <v>48.35</v>
      </c>
      <c r="M1608" s="66">
        <f t="shared" si="1"/>
        <v>168.77</v>
      </c>
    </row>
    <row r="1609">
      <c r="A1609" s="67"/>
      <c r="B1609" s="67"/>
      <c r="C1609" s="67"/>
      <c r="D1609" s="67"/>
      <c r="E1609" s="67"/>
      <c r="F1609" s="68"/>
      <c r="G1609" s="68"/>
      <c r="H1609" s="68"/>
      <c r="I1609" s="68"/>
      <c r="J1609" s="68"/>
      <c r="K1609" s="69">
        <v>3000.0</v>
      </c>
      <c r="L1609" s="69">
        <v>54.2</v>
      </c>
      <c r="M1609" s="68">
        <f t="shared" si="1"/>
        <v>227.03</v>
      </c>
    </row>
    <row r="1610">
      <c r="A1610" s="73"/>
      <c r="B1610" s="73"/>
      <c r="C1610" s="73"/>
      <c r="D1610" s="73"/>
      <c r="E1610" s="73"/>
      <c r="F1610" s="66"/>
      <c r="G1610" s="66"/>
      <c r="H1610" s="66"/>
      <c r="I1610" s="66"/>
      <c r="J1610" s="66"/>
      <c r="K1610" s="63">
        <v>3500.0</v>
      </c>
      <c r="L1610" s="63">
        <v>55.65</v>
      </c>
      <c r="M1610" s="66">
        <f t="shared" si="1"/>
        <v>271.96</v>
      </c>
    </row>
    <row r="1611">
      <c r="A1611" s="67"/>
      <c r="B1611" s="67"/>
      <c r="C1611" s="67"/>
      <c r="D1611" s="67"/>
      <c r="E1611" s="67"/>
      <c r="F1611" s="68"/>
      <c r="G1611" s="68"/>
      <c r="H1611" s="68"/>
      <c r="I1611" s="68"/>
      <c r="J1611" s="68"/>
      <c r="K1611" s="69">
        <v>4000.0</v>
      </c>
      <c r="L1611" s="69">
        <v>56.0</v>
      </c>
      <c r="M1611" s="68">
        <f t="shared" si="1"/>
        <v>312.76</v>
      </c>
    </row>
    <row r="1612">
      <c r="A1612" s="70"/>
      <c r="B1612" s="70"/>
      <c r="C1612" s="70"/>
      <c r="D1612" s="70"/>
      <c r="E1612" s="70"/>
      <c r="F1612" s="66"/>
      <c r="G1612" s="66"/>
      <c r="H1612" s="66"/>
      <c r="I1612" s="66"/>
      <c r="J1612" s="66"/>
      <c r="K1612" s="63">
        <v>4500.0</v>
      </c>
      <c r="L1612" s="63">
        <v>50.65</v>
      </c>
      <c r="M1612" s="66">
        <f t="shared" si="1"/>
        <v>318.24</v>
      </c>
    </row>
    <row r="1613">
      <c r="A1613" s="67"/>
      <c r="B1613" s="67"/>
      <c r="C1613" s="67"/>
      <c r="D1613" s="67"/>
      <c r="E1613" s="67"/>
      <c r="F1613" s="68"/>
      <c r="G1613" s="68"/>
      <c r="H1613" s="68"/>
      <c r="I1613" s="68"/>
      <c r="J1613" s="68"/>
      <c r="K1613" s="69">
        <v>5000.0</v>
      </c>
      <c r="L1613" s="69">
        <v>45.75</v>
      </c>
      <c r="M1613" s="68">
        <f t="shared" si="1"/>
        <v>319.39</v>
      </c>
    </row>
    <row r="1614">
      <c r="A1614" s="70"/>
      <c r="B1614" s="70"/>
      <c r="C1614" s="70"/>
      <c r="D1614" s="70"/>
      <c r="E1614" s="70"/>
      <c r="F1614" s="66"/>
      <c r="G1614" s="66"/>
      <c r="H1614" s="66"/>
      <c r="I1614" s="66"/>
      <c r="J1614" s="66"/>
      <c r="K1614" s="63">
        <v>5500.0</v>
      </c>
      <c r="L1614" s="63">
        <v>40.8</v>
      </c>
      <c r="M1614" s="66">
        <f t="shared" si="1"/>
        <v>313.32</v>
      </c>
    </row>
    <row r="1615">
      <c r="A1615" s="67"/>
      <c r="B1615" s="67"/>
      <c r="C1615" s="67"/>
      <c r="D1615" s="67"/>
      <c r="E1615" s="67"/>
      <c r="F1615" s="68"/>
      <c r="G1615" s="68"/>
      <c r="H1615" s="68"/>
      <c r="I1615" s="68"/>
      <c r="J1615" s="68"/>
      <c r="K1615" s="69">
        <v>6000.0</v>
      </c>
      <c r="L1615" s="69">
        <v>36.8</v>
      </c>
      <c r="M1615" s="68">
        <f t="shared" si="1"/>
        <v>308.29</v>
      </c>
    </row>
    <row r="1616">
      <c r="A1616" s="70"/>
      <c r="B1616" s="70"/>
      <c r="C1616" s="70"/>
      <c r="D1616" s="70"/>
      <c r="E1616" s="70"/>
      <c r="F1616" s="66"/>
      <c r="G1616" s="66"/>
      <c r="H1616" s="66"/>
      <c r="I1616" s="66"/>
      <c r="J1616" s="66"/>
      <c r="K1616" s="63">
        <v>6500.0</v>
      </c>
      <c r="L1616" s="63">
        <v>33.0</v>
      </c>
      <c r="M1616" s="66">
        <f t="shared" si="1"/>
        <v>299.5</v>
      </c>
    </row>
    <row r="1617">
      <c r="A1617" s="67"/>
      <c r="B1617" s="67"/>
      <c r="C1617" s="67"/>
      <c r="D1617" s="67"/>
      <c r="E1617" s="67"/>
      <c r="F1617" s="68"/>
      <c r="G1617" s="68"/>
      <c r="H1617" s="68"/>
      <c r="I1617" s="68"/>
      <c r="J1617" s="68"/>
      <c r="K1617" s="69">
        <v>7000.0</v>
      </c>
      <c r="L1617" s="69">
        <v>28.2</v>
      </c>
      <c r="M1617" s="68">
        <f t="shared" si="1"/>
        <v>275.62</v>
      </c>
    </row>
    <row r="1618">
      <c r="A1618" s="70"/>
      <c r="B1618" s="70"/>
      <c r="C1618" s="70"/>
      <c r="D1618" s="70"/>
      <c r="E1618" s="70"/>
      <c r="F1618" s="66"/>
      <c r="G1618" s="66"/>
      <c r="H1618" s="66"/>
      <c r="I1618" s="66"/>
      <c r="J1618" s="66"/>
      <c r="K1618" s="63">
        <v>7500.0</v>
      </c>
      <c r="L1618" s="63">
        <v>21.9</v>
      </c>
      <c r="M1618" s="66">
        <f t="shared" si="1"/>
        <v>229.34</v>
      </c>
    </row>
    <row r="1619">
      <c r="A1619" s="68">
        <v>110.0</v>
      </c>
      <c r="B1619" s="68">
        <v>172.0</v>
      </c>
      <c r="C1619" s="71" t="s">
        <v>378</v>
      </c>
      <c r="D1619" s="71" t="s">
        <v>379</v>
      </c>
      <c r="E1619" s="71" t="s">
        <v>380</v>
      </c>
      <c r="F1619" s="72">
        <v>7000.0</v>
      </c>
      <c r="G1619" s="72">
        <v>7200.0</v>
      </c>
      <c r="H1619" s="72">
        <v>700.0</v>
      </c>
      <c r="I1619" s="72">
        <v>4000.0</v>
      </c>
      <c r="J1619" s="72">
        <v>6000.0</v>
      </c>
      <c r="K1619" s="69">
        <v>500.0</v>
      </c>
      <c r="L1619" s="69">
        <v>15.03</v>
      </c>
      <c r="M1619" s="68">
        <f t="shared" si="1"/>
        <v>10.49</v>
      </c>
    </row>
    <row r="1620">
      <c r="A1620" s="70"/>
      <c r="B1620" s="70"/>
      <c r="C1620" s="70"/>
      <c r="D1620" s="70"/>
      <c r="E1620" s="70"/>
      <c r="F1620" s="66"/>
      <c r="G1620" s="66"/>
      <c r="H1620" s="66"/>
      <c r="I1620" s="66"/>
      <c r="J1620" s="66"/>
      <c r="K1620" s="63">
        <v>1000.0</v>
      </c>
      <c r="L1620" s="63">
        <v>16.87</v>
      </c>
      <c r="M1620" s="66">
        <f t="shared" si="1"/>
        <v>23.55</v>
      </c>
    </row>
    <row r="1621">
      <c r="A1621" s="67"/>
      <c r="B1621" s="67"/>
      <c r="C1621" s="67"/>
      <c r="D1621" s="67"/>
      <c r="E1621" s="67"/>
      <c r="F1621" s="68"/>
      <c r="G1621" s="68"/>
      <c r="H1621" s="68"/>
      <c r="I1621" s="68"/>
      <c r="J1621" s="68"/>
      <c r="K1621" s="69">
        <v>1500.0</v>
      </c>
      <c r="L1621" s="69">
        <v>17.6</v>
      </c>
      <c r="M1621" s="68">
        <f t="shared" si="1"/>
        <v>36.86</v>
      </c>
    </row>
    <row r="1622">
      <c r="A1622" s="70"/>
      <c r="B1622" s="70"/>
      <c r="C1622" s="70"/>
      <c r="D1622" s="70"/>
      <c r="E1622" s="70"/>
      <c r="F1622" s="66"/>
      <c r="G1622" s="66"/>
      <c r="H1622" s="66"/>
      <c r="I1622" s="66"/>
      <c r="J1622" s="66"/>
      <c r="K1622" s="63">
        <v>2000.0</v>
      </c>
      <c r="L1622" s="63">
        <v>19.6</v>
      </c>
      <c r="M1622" s="66">
        <f t="shared" si="1"/>
        <v>54.73</v>
      </c>
    </row>
    <row r="1623">
      <c r="A1623" s="67"/>
      <c r="B1623" s="67"/>
      <c r="C1623" s="67"/>
      <c r="D1623" s="67"/>
      <c r="E1623" s="67"/>
      <c r="F1623" s="68"/>
      <c r="G1623" s="68"/>
      <c r="H1623" s="68"/>
      <c r="I1623" s="68"/>
      <c r="J1623" s="68"/>
      <c r="K1623" s="69">
        <v>2500.0</v>
      </c>
      <c r="L1623" s="69">
        <v>26.2</v>
      </c>
      <c r="M1623" s="68">
        <f t="shared" si="1"/>
        <v>91.45</v>
      </c>
    </row>
    <row r="1624">
      <c r="A1624" s="70"/>
      <c r="B1624" s="70"/>
      <c r="C1624" s="70"/>
      <c r="D1624" s="70"/>
      <c r="E1624" s="70"/>
      <c r="F1624" s="66"/>
      <c r="G1624" s="66"/>
      <c r="H1624" s="66"/>
      <c r="I1624" s="66"/>
      <c r="J1624" s="66"/>
      <c r="K1624" s="63">
        <v>3000.0</v>
      </c>
      <c r="L1624" s="63">
        <v>30.1</v>
      </c>
      <c r="M1624" s="66">
        <f t="shared" si="1"/>
        <v>126.08</v>
      </c>
    </row>
    <row r="1625">
      <c r="A1625" s="67"/>
      <c r="B1625" s="67"/>
      <c r="C1625" s="67"/>
      <c r="D1625" s="67"/>
      <c r="E1625" s="67"/>
      <c r="F1625" s="68"/>
      <c r="G1625" s="68"/>
      <c r="H1625" s="68"/>
      <c r="I1625" s="68"/>
      <c r="J1625" s="68"/>
      <c r="K1625" s="69">
        <v>3500.0</v>
      </c>
      <c r="L1625" s="69">
        <v>30.8</v>
      </c>
      <c r="M1625" s="68">
        <f t="shared" si="1"/>
        <v>150.52</v>
      </c>
    </row>
    <row r="1626">
      <c r="A1626" s="70"/>
      <c r="B1626" s="70"/>
      <c r="C1626" s="70"/>
      <c r="D1626" s="70"/>
      <c r="E1626" s="70"/>
      <c r="F1626" s="66"/>
      <c r="G1626" s="66"/>
      <c r="H1626" s="66"/>
      <c r="I1626" s="66"/>
      <c r="J1626" s="66"/>
      <c r="K1626" s="63">
        <v>4000.0</v>
      </c>
      <c r="L1626" s="63">
        <v>31.0</v>
      </c>
      <c r="M1626" s="66">
        <f t="shared" si="1"/>
        <v>173.14</v>
      </c>
    </row>
    <row r="1627">
      <c r="A1627" s="67"/>
      <c r="B1627" s="67"/>
      <c r="C1627" s="67"/>
      <c r="D1627" s="67"/>
      <c r="E1627" s="67"/>
      <c r="F1627" s="68"/>
      <c r="G1627" s="68"/>
      <c r="H1627" s="68"/>
      <c r="I1627" s="68"/>
      <c r="J1627" s="68"/>
      <c r="K1627" s="69">
        <v>4500.0</v>
      </c>
      <c r="L1627" s="69">
        <v>30.75</v>
      </c>
      <c r="M1627" s="68">
        <f t="shared" si="1"/>
        <v>193.21</v>
      </c>
    </row>
    <row r="1628">
      <c r="A1628" s="70"/>
      <c r="B1628" s="70"/>
      <c r="C1628" s="70"/>
      <c r="D1628" s="70"/>
      <c r="E1628" s="70"/>
      <c r="F1628" s="66"/>
      <c r="G1628" s="66"/>
      <c r="H1628" s="66"/>
      <c r="I1628" s="66"/>
      <c r="J1628" s="66"/>
      <c r="K1628" s="63">
        <v>5000.0</v>
      </c>
      <c r="L1628" s="63">
        <v>30.5</v>
      </c>
      <c r="M1628" s="66">
        <f t="shared" si="1"/>
        <v>212.93</v>
      </c>
    </row>
    <row r="1629">
      <c r="A1629" s="67"/>
      <c r="B1629" s="67"/>
      <c r="C1629" s="67"/>
      <c r="D1629" s="67"/>
      <c r="E1629" s="67"/>
      <c r="F1629" s="68"/>
      <c r="G1629" s="68"/>
      <c r="H1629" s="68"/>
      <c r="I1629" s="68"/>
      <c r="J1629" s="68"/>
      <c r="K1629" s="69">
        <v>5500.0</v>
      </c>
      <c r="L1629" s="69">
        <v>30.2</v>
      </c>
      <c r="M1629" s="68">
        <f t="shared" si="1"/>
        <v>231.92</v>
      </c>
    </row>
    <row r="1630">
      <c r="A1630" s="70"/>
      <c r="B1630" s="70"/>
      <c r="C1630" s="70"/>
      <c r="D1630" s="70"/>
      <c r="E1630" s="70"/>
      <c r="F1630" s="66"/>
      <c r="G1630" s="66"/>
      <c r="H1630" s="66"/>
      <c r="I1630" s="66"/>
      <c r="J1630" s="66"/>
      <c r="K1630" s="63">
        <v>6000.0</v>
      </c>
      <c r="L1630" s="63">
        <v>29.2</v>
      </c>
      <c r="M1630" s="66">
        <f t="shared" si="1"/>
        <v>244.62</v>
      </c>
    </row>
    <row r="1631">
      <c r="A1631" s="67"/>
      <c r="B1631" s="67"/>
      <c r="C1631" s="67"/>
      <c r="D1631" s="67"/>
      <c r="E1631" s="67"/>
      <c r="F1631" s="68"/>
      <c r="G1631" s="68"/>
      <c r="H1631" s="68"/>
      <c r="I1631" s="68"/>
      <c r="J1631" s="68"/>
      <c r="K1631" s="69">
        <v>6500.0</v>
      </c>
      <c r="L1631" s="69">
        <v>26.6</v>
      </c>
      <c r="M1631" s="68">
        <f t="shared" si="1"/>
        <v>241.41</v>
      </c>
    </row>
    <row r="1632">
      <c r="A1632" s="70"/>
      <c r="B1632" s="70"/>
      <c r="C1632" s="70"/>
      <c r="D1632" s="70"/>
      <c r="E1632" s="70"/>
      <c r="F1632" s="66"/>
      <c r="G1632" s="66"/>
      <c r="H1632" s="66"/>
      <c r="I1632" s="66"/>
      <c r="J1632" s="66"/>
      <c r="K1632" s="63">
        <v>7000.0</v>
      </c>
      <c r="L1632" s="63">
        <v>23.5</v>
      </c>
      <c r="M1632" s="66">
        <f t="shared" si="1"/>
        <v>229.68</v>
      </c>
    </row>
    <row r="1633">
      <c r="A1633" s="67"/>
      <c r="B1633" s="67"/>
      <c r="C1633" s="67"/>
      <c r="D1633" s="67"/>
      <c r="E1633" s="67"/>
      <c r="F1633" s="68"/>
      <c r="G1633" s="68"/>
      <c r="H1633" s="68"/>
      <c r="I1633" s="68"/>
      <c r="J1633" s="68"/>
      <c r="K1633" s="69">
        <v>7500.0</v>
      </c>
      <c r="L1633" s="69">
        <v>17.8</v>
      </c>
      <c r="M1633" s="68">
        <f t="shared" si="1"/>
        <v>186.4</v>
      </c>
    </row>
    <row r="1634">
      <c r="A1634" s="63">
        <v>111.0</v>
      </c>
      <c r="B1634" s="63">
        <v>173.0</v>
      </c>
      <c r="C1634" s="64" t="s">
        <v>381</v>
      </c>
      <c r="D1634" s="64" t="s">
        <v>382</v>
      </c>
      <c r="E1634" s="64" t="s">
        <v>383</v>
      </c>
      <c r="F1634" s="65">
        <v>8000.0</v>
      </c>
      <c r="G1634" s="65">
        <v>8000.0</v>
      </c>
      <c r="H1634" s="65">
        <v>700.0</v>
      </c>
      <c r="I1634" s="65">
        <v>5200.0</v>
      </c>
      <c r="J1634" s="65">
        <v>7200.0</v>
      </c>
      <c r="K1634" s="63">
        <v>500.0</v>
      </c>
      <c r="L1634" s="63">
        <v>33.95</v>
      </c>
      <c r="M1634" s="66">
        <f t="shared" si="1"/>
        <v>23.7</v>
      </c>
    </row>
    <row r="1635">
      <c r="A1635" s="67"/>
      <c r="B1635" s="67"/>
      <c r="C1635" s="67"/>
      <c r="D1635" s="67"/>
      <c r="E1635" s="67"/>
      <c r="F1635" s="68"/>
      <c r="G1635" s="68"/>
      <c r="H1635" s="68"/>
      <c r="I1635" s="68"/>
      <c r="J1635" s="68"/>
      <c r="K1635" s="69">
        <v>1000.0</v>
      </c>
      <c r="L1635" s="69">
        <v>39.72</v>
      </c>
      <c r="M1635" s="68">
        <f t="shared" si="1"/>
        <v>55.46</v>
      </c>
    </row>
    <row r="1636">
      <c r="A1636" s="70"/>
      <c r="B1636" s="70"/>
      <c r="C1636" s="70"/>
      <c r="D1636" s="70"/>
      <c r="E1636" s="70"/>
      <c r="F1636" s="66"/>
      <c r="G1636" s="66"/>
      <c r="H1636" s="66"/>
      <c r="I1636" s="66"/>
      <c r="J1636" s="66"/>
      <c r="K1636" s="63">
        <v>1500.0</v>
      </c>
      <c r="L1636" s="63">
        <v>44.1</v>
      </c>
      <c r="M1636" s="66">
        <f t="shared" si="1"/>
        <v>92.36</v>
      </c>
    </row>
    <row r="1637">
      <c r="A1637" s="67"/>
      <c r="B1637" s="67"/>
      <c r="C1637" s="67"/>
      <c r="D1637" s="67"/>
      <c r="E1637" s="67"/>
      <c r="F1637" s="68"/>
      <c r="G1637" s="68"/>
      <c r="H1637" s="68"/>
      <c r="I1637" s="68"/>
      <c r="J1637" s="68"/>
      <c r="K1637" s="69">
        <v>2000.0</v>
      </c>
      <c r="L1637" s="69">
        <v>48.13</v>
      </c>
      <c r="M1637" s="68">
        <f t="shared" si="1"/>
        <v>134.4</v>
      </c>
    </row>
    <row r="1638">
      <c r="A1638" s="70"/>
      <c r="B1638" s="70"/>
      <c r="C1638" s="70"/>
      <c r="D1638" s="70"/>
      <c r="E1638" s="70"/>
      <c r="F1638" s="66"/>
      <c r="G1638" s="66"/>
      <c r="H1638" s="66"/>
      <c r="I1638" s="66"/>
      <c r="J1638" s="66"/>
      <c r="K1638" s="63">
        <v>2500.0</v>
      </c>
      <c r="L1638" s="63">
        <v>51.45</v>
      </c>
      <c r="M1638" s="66">
        <f t="shared" si="1"/>
        <v>179.59</v>
      </c>
    </row>
    <row r="1639">
      <c r="A1639" s="67"/>
      <c r="B1639" s="67"/>
      <c r="C1639" s="67"/>
      <c r="D1639" s="67"/>
      <c r="E1639" s="67"/>
      <c r="F1639" s="68"/>
      <c r="G1639" s="68"/>
      <c r="H1639" s="68"/>
      <c r="I1639" s="68"/>
      <c r="J1639" s="68"/>
      <c r="K1639" s="69">
        <v>3000.0</v>
      </c>
      <c r="L1639" s="69">
        <v>53.9</v>
      </c>
      <c r="M1639" s="68">
        <f t="shared" si="1"/>
        <v>225.77</v>
      </c>
    </row>
    <row r="1640">
      <c r="A1640" s="70"/>
      <c r="B1640" s="70"/>
      <c r="C1640" s="70"/>
      <c r="D1640" s="70"/>
      <c r="E1640" s="70"/>
      <c r="F1640" s="66"/>
      <c r="G1640" s="66"/>
      <c r="H1640" s="66"/>
      <c r="I1640" s="66"/>
      <c r="J1640" s="66"/>
      <c r="K1640" s="63">
        <v>3500.0</v>
      </c>
      <c r="L1640" s="63">
        <v>56.17</v>
      </c>
      <c r="M1640" s="66">
        <f t="shared" si="1"/>
        <v>274.5</v>
      </c>
    </row>
    <row r="1641">
      <c r="A1641" s="67"/>
      <c r="B1641" s="67"/>
      <c r="C1641" s="67"/>
      <c r="D1641" s="67"/>
      <c r="E1641" s="67"/>
      <c r="F1641" s="68"/>
      <c r="G1641" s="68"/>
      <c r="H1641" s="68"/>
      <c r="I1641" s="68"/>
      <c r="J1641" s="68"/>
      <c r="K1641" s="69">
        <v>4000.0</v>
      </c>
      <c r="L1641" s="69">
        <v>58.28</v>
      </c>
      <c r="M1641" s="68">
        <f t="shared" si="1"/>
        <v>325.5</v>
      </c>
    </row>
    <row r="1642">
      <c r="A1642" s="70"/>
      <c r="B1642" s="70"/>
      <c r="C1642" s="70"/>
      <c r="D1642" s="70"/>
      <c r="E1642" s="70"/>
      <c r="F1642" s="66"/>
      <c r="G1642" s="66"/>
      <c r="H1642" s="66"/>
      <c r="I1642" s="66"/>
      <c r="J1642" s="66"/>
      <c r="K1642" s="63">
        <v>4500.0</v>
      </c>
      <c r="L1642" s="63">
        <v>59.33</v>
      </c>
      <c r="M1642" s="66">
        <f t="shared" si="1"/>
        <v>372.78</v>
      </c>
    </row>
    <row r="1643">
      <c r="A1643" s="67"/>
      <c r="B1643" s="67"/>
      <c r="C1643" s="67"/>
      <c r="D1643" s="67"/>
      <c r="E1643" s="67"/>
      <c r="F1643" s="68"/>
      <c r="G1643" s="68"/>
      <c r="H1643" s="68"/>
      <c r="I1643" s="68"/>
      <c r="J1643" s="68"/>
      <c r="K1643" s="69">
        <v>5000.0</v>
      </c>
      <c r="L1643" s="69">
        <v>59.85</v>
      </c>
      <c r="M1643" s="68">
        <f t="shared" si="1"/>
        <v>417.83</v>
      </c>
    </row>
    <row r="1644">
      <c r="A1644" s="70"/>
      <c r="B1644" s="70"/>
      <c r="C1644" s="70"/>
      <c r="D1644" s="70"/>
      <c r="E1644" s="70"/>
      <c r="F1644" s="66"/>
      <c r="G1644" s="66"/>
      <c r="H1644" s="66"/>
      <c r="I1644" s="66"/>
      <c r="J1644" s="66"/>
      <c r="K1644" s="63">
        <v>5200.0</v>
      </c>
      <c r="L1644" s="63">
        <v>60.0</v>
      </c>
      <c r="M1644" s="66">
        <f t="shared" si="1"/>
        <v>435.63</v>
      </c>
    </row>
    <row r="1645">
      <c r="A1645" s="67"/>
      <c r="B1645" s="67"/>
      <c r="C1645" s="67"/>
      <c r="D1645" s="67"/>
      <c r="E1645" s="67"/>
      <c r="F1645" s="68"/>
      <c r="G1645" s="68"/>
      <c r="H1645" s="68"/>
      <c r="I1645" s="68"/>
      <c r="J1645" s="68"/>
      <c r="K1645" s="69">
        <v>5800.0</v>
      </c>
      <c r="L1645" s="69">
        <v>58.1</v>
      </c>
      <c r="M1645" s="68">
        <f t="shared" si="1"/>
        <v>470.51</v>
      </c>
    </row>
    <row r="1646">
      <c r="A1646" s="70"/>
      <c r="B1646" s="70"/>
      <c r="C1646" s="70"/>
      <c r="D1646" s="70"/>
      <c r="E1646" s="70"/>
      <c r="F1646" s="66"/>
      <c r="G1646" s="66"/>
      <c r="H1646" s="66"/>
      <c r="I1646" s="66"/>
      <c r="J1646" s="66"/>
      <c r="K1646" s="63">
        <v>6500.0</v>
      </c>
      <c r="L1646" s="63">
        <v>53.56</v>
      </c>
      <c r="M1646" s="66">
        <f t="shared" si="1"/>
        <v>486.09</v>
      </c>
    </row>
    <row r="1647">
      <c r="A1647" s="67"/>
      <c r="B1647" s="67"/>
      <c r="C1647" s="67"/>
      <c r="D1647" s="67"/>
      <c r="E1647" s="67"/>
      <c r="F1647" s="68"/>
      <c r="G1647" s="68"/>
      <c r="H1647" s="68"/>
      <c r="I1647" s="68"/>
      <c r="J1647" s="68"/>
      <c r="K1647" s="69">
        <v>7000.0</v>
      </c>
      <c r="L1647" s="69">
        <v>50.05</v>
      </c>
      <c r="M1647" s="68">
        <f t="shared" si="1"/>
        <v>489.18</v>
      </c>
    </row>
    <row r="1648">
      <c r="A1648" s="70"/>
      <c r="B1648" s="70"/>
      <c r="C1648" s="70"/>
      <c r="D1648" s="70"/>
      <c r="E1648" s="70"/>
      <c r="F1648" s="66"/>
      <c r="G1648" s="66"/>
      <c r="H1648" s="66"/>
      <c r="I1648" s="66"/>
      <c r="J1648" s="66"/>
      <c r="K1648" s="63">
        <v>7200.0</v>
      </c>
      <c r="L1648" s="63">
        <v>48.67</v>
      </c>
      <c r="M1648" s="66">
        <f t="shared" si="1"/>
        <v>489.28</v>
      </c>
    </row>
    <row r="1649">
      <c r="A1649" s="67"/>
      <c r="B1649" s="67"/>
      <c r="C1649" s="67"/>
      <c r="D1649" s="67"/>
      <c r="E1649" s="67"/>
      <c r="F1649" s="68"/>
      <c r="G1649" s="68"/>
      <c r="H1649" s="68"/>
      <c r="I1649" s="68"/>
      <c r="J1649" s="68"/>
      <c r="K1649" s="69">
        <v>7800.0</v>
      </c>
      <c r="L1649" s="69">
        <v>43.74</v>
      </c>
      <c r="M1649" s="68">
        <f t="shared" si="1"/>
        <v>476.36</v>
      </c>
    </row>
    <row r="1650">
      <c r="A1650" s="70"/>
      <c r="B1650" s="70"/>
      <c r="C1650" s="70"/>
      <c r="D1650" s="70"/>
      <c r="E1650" s="70"/>
      <c r="F1650" s="66"/>
      <c r="G1650" s="66"/>
      <c r="H1650" s="66"/>
      <c r="I1650" s="66"/>
      <c r="J1650" s="66"/>
      <c r="K1650" s="63">
        <v>8500.0</v>
      </c>
      <c r="L1650" s="63">
        <v>34.13</v>
      </c>
      <c r="M1650" s="66">
        <f t="shared" si="1"/>
        <v>405.06</v>
      </c>
    </row>
    <row r="1651">
      <c r="A1651" s="68">
        <v>112.0</v>
      </c>
      <c r="B1651" s="68">
        <v>174.0</v>
      </c>
      <c r="C1651" s="71" t="s">
        <v>384</v>
      </c>
      <c r="D1651" s="71" t="s">
        <v>385</v>
      </c>
      <c r="E1651" s="71" t="s">
        <v>386</v>
      </c>
      <c r="F1651" s="72">
        <v>7700.0</v>
      </c>
      <c r="G1651" s="72">
        <v>7900.0</v>
      </c>
      <c r="H1651" s="72">
        <v>800.0</v>
      </c>
      <c r="I1651" s="72">
        <v>5200.0</v>
      </c>
      <c r="J1651" s="72">
        <v>6600.0</v>
      </c>
      <c r="K1651" s="69">
        <v>500.0</v>
      </c>
      <c r="L1651" s="69">
        <v>10.0</v>
      </c>
      <c r="M1651" s="68">
        <f t="shared" si="1"/>
        <v>6.98</v>
      </c>
    </row>
    <row r="1652">
      <c r="A1652" s="70"/>
      <c r="B1652" s="70"/>
      <c r="C1652" s="70"/>
      <c r="D1652" s="70"/>
      <c r="E1652" s="70"/>
      <c r="F1652" s="66"/>
      <c r="G1652" s="66"/>
      <c r="H1652" s="66"/>
      <c r="I1652" s="66"/>
      <c r="J1652" s="66"/>
      <c r="K1652" s="63">
        <v>1000.0</v>
      </c>
      <c r="L1652" s="63">
        <v>11.0</v>
      </c>
      <c r="M1652" s="66">
        <f t="shared" si="1"/>
        <v>15.36</v>
      </c>
    </row>
    <row r="1653">
      <c r="A1653" s="67"/>
      <c r="B1653" s="67"/>
      <c r="C1653" s="67"/>
      <c r="D1653" s="67"/>
      <c r="E1653" s="67"/>
      <c r="F1653" s="68"/>
      <c r="G1653" s="68"/>
      <c r="H1653" s="68"/>
      <c r="I1653" s="68"/>
      <c r="J1653" s="68"/>
      <c r="K1653" s="69">
        <v>1500.0</v>
      </c>
      <c r="L1653" s="69">
        <v>11.65</v>
      </c>
      <c r="M1653" s="68">
        <f t="shared" si="1"/>
        <v>24.4</v>
      </c>
    </row>
    <row r="1654">
      <c r="A1654" s="70"/>
      <c r="B1654" s="70"/>
      <c r="C1654" s="70"/>
      <c r="D1654" s="70"/>
      <c r="E1654" s="70"/>
      <c r="F1654" s="66"/>
      <c r="G1654" s="66"/>
      <c r="H1654" s="66"/>
      <c r="I1654" s="66"/>
      <c r="J1654" s="66"/>
      <c r="K1654" s="63">
        <v>2000.0</v>
      </c>
      <c r="L1654" s="63">
        <v>12.3</v>
      </c>
      <c r="M1654" s="66">
        <f t="shared" si="1"/>
        <v>34.35</v>
      </c>
    </row>
    <row r="1655">
      <c r="A1655" s="67"/>
      <c r="B1655" s="67"/>
      <c r="C1655" s="67"/>
      <c r="D1655" s="67"/>
      <c r="E1655" s="67"/>
      <c r="F1655" s="68"/>
      <c r="G1655" s="68"/>
      <c r="H1655" s="68"/>
      <c r="I1655" s="68"/>
      <c r="J1655" s="68"/>
      <c r="K1655" s="69">
        <v>2500.0</v>
      </c>
      <c r="L1655" s="69">
        <v>12.95</v>
      </c>
      <c r="M1655" s="68">
        <f t="shared" si="1"/>
        <v>45.2</v>
      </c>
    </row>
    <row r="1656">
      <c r="A1656" s="70"/>
      <c r="B1656" s="70"/>
      <c r="C1656" s="70"/>
      <c r="D1656" s="70"/>
      <c r="E1656" s="70"/>
      <c r="F1656" s="66"/>
      <c r="G1656" s="66"/>
      <c r="H1656" s="66"/>
      <c r="I1656" s="66"/>
      <c r="J1656" s="66"/>
      <c r="K1656" s="63">
        <v>3000.0</v>
      </c>
      <c r="L1656" s="63">
        <v>13.2</v>
      </c>
      <c r="M1656" s="66">
        <f t="shared" si="1"/>
        <v>55.29</v>
      </c>
    </row>
    <row r="1657">
      <c r="A1657" s="67"/>
      <c r="B1657" s="67"/>
      <c r="C1657" s="67"/>
      <c r="D1657" s="67"/>
      <c r="E1657" s="67"/>
      <c r="F1657" s="68"/>
      <c r="G1657" s="68"/>
      <c r="H1657" s="68"/>
      <c r="I1657" s="68"/>
      <c r="J1657" s="68"/>
      <c r="K1657" s="69">
        <v>3500.0</v>
      </c>
      <c r="L1657" s="69">
        <v>13.85</v>
      </c>
      <c r="M1657" s="68">
        <f t="shared" si="1"/>
        <v>67.68</v>
      </c>
    </row>
    <row r="1658">
      <c r="A1658" s="73"/>
      <c r="B1658" s="73"/>
      <c r="C1658" s="73"/>
      <c r="D1658" s="73"/>
      <c r="E1658" s="73"/>
      <c r="F1658" s="66"/>
      <c r="G1658" s="66"/>
      <c r="H1658" s="66"/>
      <c r="I1658" s="66"/>
      <c r="J1658" s="66"/>
      <c r="K1658" s="63">
        <v>4000.0</v>
      </c>
      <c r="L1658" s="63">
        <v>14.4</v>
      </c>
      <c r="M1658" s="66">
        <f t="shared" si="1"/>
        <v>80.42</v>
      </c>
    </row>
    <row r="1659">
      <c r="A1659" s="67"/>
      <c r="B1659" s="67"/>
      <c r="C1659" s="67"/>
      <c r="D1659" s="67"/>
      <c r="E1659" s="67"/>
      <c r="F1659" s="68"/>
      <c r="G1659" s="68"/>
      <c r="H1659" s="68"/>
      <c r="I1659" s="68"/>
      <c r="J1659" s="68"/>
      <c r="K1659" s="69">
        <v>4600.0</v>
      </c>
      <c r="L1659" s="69">
        <v>14.75</v>
      </c>
      <c r="M1659" s="68">
        <f t="shared" si="1"/>
        <v>94.74</v>
      </c>
    </row>
    <row r="1660">
      <c r="A1660" s="70"/>
      <c r="B1660" s="70"/>
      <c r="C1660" s="70"/>
      <c r="D1660" s="70"/>
      <c r="E1660" s="70"/>
      <c r="F1660" s="66"/>
      <c r="G1660" s="66"/>
      <c r="H1660" s="66"/>
      <c r="I1660" s="66"/>
      <c r="J1660" s="66"/>
      <c r="K1660" s="63">
        <v>5200.0</v>
      </c>
      <c r="L1660" s="63">
        <v>14.75</v>
      </c>
      <c r="M1660" s="66">
        <f t="shared" si="1"/>
        <v>107.09</v>
      </c>
    </row>
    <row r="1661">
      <c r="A1661" s="67"/>
      <c r="B1661" s="67"/>
      <c r="C1661" s="67"/>
      <c r="D1661" s="67"/>
      <c r="E1661" s="67"/>
      <c r="F1661" s="68"/>
      <c r="G1661" s="68"/>
      <c r="H1661" s="68"/>
      <c r="I1661" s="68"/>
      <c r="J1661" s="68"/>
      <c r="K1661" s="69">
        <v>5600.0</v>
      </c>
      <c r="L1661" s="69">
        <v>14.62</v>
      </c>
      <c r="M1661" s="68">
        <f t="shared" si="1"/>
        <v>114.31</v>
      </c>
    </row>
    <row r="1662">
      <c r="A1662" s="70"/>
      <c r="B1662" s="70"/>
      <c r="C1662" s="70"/>
      <c r="D1662" s="70"/>
      <c r="E1662" s="70"/>
      <c r="F1662" s="66"/>
      <c r="G1662" s="66"/>
      <c r="H1662" s="66"/>
      <c r="I1662" s="66"/>
      <c r="J1662" s="66"/>
      <c r="K1662" s="63">
        <v>6000.0</v>
      </c>
      <c r="L1662" s="63">
        <v>14.46</v>
      </c>
      <c r="M1662" s="66">
        <f t="shared" si="1"/>
        <v>121.14</v>
      </c>
    </row>
    <row r="1663">
      <c r="A1663" s="67"/>
      <c r="B1663" s="67"/>
      <c r="C1663" s="67"/>
      <c r="D1663" s="67"/>
      <c r="E1663" s="67"/>
      <c r="F1663" s="68"/>
      <c r="G1663" s="68"/>
      <c r="H1663" s="68"/>
      <c r="I1663" s="68"/>
      <c r="J1663" s="68"/>
      <c r="K1663" s="69">
        <v>6600.0</v>
      </c>
      <c r="L1663" s="69">
        <v>13.95</v>
      </c>
      <c r="M1663" s="68">
        <f t="shared" si="1"/>
        <v>128.55</v>
      </c>
    </row>
    <row r="1664">
      <c r="A1664" s="70"/>
      <c r="B1664" s="70"/>
      <c r="C1664" s="70"/>
      <c r="D1664" s="70"/>
      <c r="E1664" s="70"/>
      <c r="F1664" s="66"/>
      <c r="G1664" s="66"/>
      <c r="H1664" s="66"/>
      <c r="I1664" s="66"/>
      <c r="J1664" s="66"/>
      <c r="K1664" s="63">
        <v>7000.0</v>
      </c>
      <c r="L1664" s="63">
        <v>13.2</v>
      </c>
      <c r="M1664" s="66">
        <f t="shared" si="1"/>
        <v>129.01</v>
      </c>
    </row>
    <row r="1665">
      <c r="A1665" s="67"/>
      <c r="B1665" s="67"/>
      <c r="C1665" s="67"/>
      <c r="D1665" s="67"/>
      <c r="E1665" s="67"/>
      <c r="F1665" s="68"/>
      <c r="G1665" s="68"/>
      <c r="H1665" s="68"/>
      <c r="I1665" s="68"/>
      <c r="J1665" s="68"/>
      <c r="K1665" s="69">
        <v>7500.0</v>
      </c>
      <c r="L1665" s="69">
        <v>11.75</v>
      </c>
      <c r="M1665" s="68">
        <f t="shared" si="1"/>
        <v>123.05</v>
      </c>
    </row>
    <row r="1666">
      <c r="A1666" s="70"/>
      <c r="B1666" s="70"/>
      <c r="C1666" s="70"/>
      <c r="D1666" s="70"/>
      <c r="E1666" s="70"/>
      <c r="F1666" s="66"/>
      <c r="G1666" s="66"/>
      <c r="H1666" s="66"/>
      <c r="I1666" s="66"/>
      <c r="J1666" s="66"/>
      <c r="K1666" s="63">
        <v>8000.0</v>
      </c>
      <c r="L1666" s="63">
        <v>9.55</v>
      </c>
      <c r="M1666" s="66">
        <f t="shared" si="1"/>
        <v>106.67</v>
      </c>
    </row>
    <row r="1667">
      <c r="A1667" s="68">
        <v>113.0</v>
      </c>
      <c r="B1667" s="68">
        <v>175.0</v>
      </c>
      <c r="C1667" s="71" t="s">
        <v>387</v>
      </c>
      <c r="D1667" s="71" t="s">
        <v>388</v>
      </c>
      <c r="E1667" s="71" t="s">
        <v>389</v>
      </c>
      <c r="F1667" s="72">
        <v>6800.0</v>
      </c>
      <c r="G1667" s="72">
        <v>7000.0</v>
      </c>
      <c r="H1667" s="72">
        <v>700.0</v>
      </c>
      <c r="I1667" s="72">
        <v>4000.0</v>
      </c>
      <c r="J1667" s="72">
        <v>6000.0</v>
      </c>
      <c r="K1667" s="69">
        <v>500.0</v>
      </c>
      <c r="L1667" s="69">
        <v>14.77</v>
      </c>
      <c r="M1667" s="68">
        <f t="shared" si="1"/>
        <v>10.31</v>
      </c>
    </row>
    <row r="1668">
      <c r="A1668" s="70"/>
      <c r="B1668" s="70"/>
      <c r="C1668" s="70"/>
      <c r="D1668" s="70"/>
      <c r="E1668" s="70"/>
      <c r="F1668" s="66"/>
      <c r="G1668" s="66"/>
      <c r="H1668" s="66"/>
      <c r="I1668" s="66"/>
      <c r="J1668" s="66"/>
      <c r="K1668" s="63">
        <v>1000.0</v>
      </c>
      <c r="L1668" s="63">
        <v>17.43</v>
      </c>
      <c r="M1668" s="66">
        <f t="shared" si="1"/>
        <v>24.34</v>
      </c>
    </row>
    <row r="1669">
      <c r="A1669" s="67"/>
      <c r="B1669" s="67"/>
      <c r="C1669" s="67"/>
      <c r="D1669" s="67"/>
      <c r="E1669" s="67"/>
      <c r="F1669" s="68"/>
      <c r="G1669" s="68"/>
      <c r="H1669" s="68"/>
      <c r="I1669" s="68"/>
      <c r="J1669" s="68"/>
      <c r="K1669" s="69">
        <v>1500.0</v>
      </c>
      <c r="L1669" s="69">
        <v>19.2</v>
      </c>
      <c r="M1669" s="68">
        <f t="shared" si="1"/>
        <v>40.21</v>
      </c>
    </row>
    <row r="1670">
      <c r="A1670" s="70"/>
      <c r="B1670" s="70"/>
      <c r="C1670" s="70"/>
      <c r="D1670" s="70"/>
      <c r="E1670" s="70"/>
      <c r="F1670" s="66"/>
      <c r="G1670" s="66"/>
      <c r="H1670" s="66"/>
      <c r="I1670" s="66"/>
      <c r="J1670" s="66"/>
      <c r="K1670" s="63">
        <v>2000.0</v>
      </c>
      <c r="L1670" s="63">
        <v>20.47</v>
      </c>
      <c r="M1670" s="66">
        <f t="shared" si="1"/>
        <v>57.16</v>
      </c>
    </row>
    <row r="1671">
      <c r="A1671" s="67"/>
      <c r="B1671" s="67"/>
      <c r="C1671" s="67"/>
      <c r="D1671" s="67"/>
      <c r="E1671" s="67"/>
      <c r="F1671" s="68"/>
      <c r="G1671" s="68"/>
      <c r="H1671" s="68"/>
      <c r="I1671" s="68"/>
      <c r="J1671" s="68"/>
      <c r="K1671" s="69">
        <v>2500.0</v>
      </c>
      <c r="L1671" s="69">
        <v>23.33</v>
      </c>
      <c r="M1671" s="68">
        <f t="shared" si="1"/>
        <v>81.44</v>
      </c>
    </row>
    <row r="1672">
      <c r="A1672" s="70"/>
      <c r="B1672" s="70"/>
      <c r="C1672" s="70"/>
      <c r="D1672" s="70"/>
      <c r="E1672" s="70"/>
      <c r="F1672" s="66"/>
      <c r="G1672" s="66"/>
      <c r="H1672" s="66"/>
      <c r="I1672" s="66"/>
      <c r="J1672" s="66"/>
      <c r="K1672" s="63">
        <v>3000.0</v>
      </c>
      <c r="L1672" s="63">
        <v>30.04</v>
      </c>
      <c r="M1672" s="66">
        <f t="shared" si="1"/>
        <v>125.83</v>
      </c>
    </row>
    <row r="1673">
      <c r="A1673" s="67"/>
      <c r="B1673" s="67"/>
      <c r="C1673" s="67"/>
      <c r="D1673" s="67"/>
      <c r="E1673" s="67"/>
      <c r="F1673" s="68"/>
      <c r="G1673" s="68"/>
      <c r="H1673" s="68"/>
      <c r="I1673" s="68"/>
      <c r="J1673" s="68"/>
      <c r="K1673" s="69">
        <v>3500.0</v>
      </c>
      <c r="L1673" s="69">
        <v>30.51</v>
      </c>
      <c r="M1673" s="68">
        <f t="shared" si="1"/>
        <v>149.1</v>
      </c>
    </row>
    <row r="1674">
      <c r="A1674" s="70"/>
      <c r="B1674" s="70"/>
      <c r="C1674" s="70"/>
      <c r="D1674" s="70"/>
      <c r="E1674" s="70"/>
      <c r="F1674" s="66"/>
      <c r="G1674" s="66"/>
      <c r="H1674" s="66"/>
      <c r="I1674" s="66"/>
      <c r="J1674" s="66"/>
      <c r="K1674" s="63">
        <v>4000.0</v>
      </c>
      <c r="L1674" s="63">
        <v>31.0</v>
      </c>
      <c r="M1674" s="66">
        <f t="shared" si="1"/>
        <v>173.14</v>
      </c>
    </row>
    <row r="1675">
      <c r="A1675" s="67"/>
      <c r="B1675" s="67"/>
      <c r="C1675" s="67"/>
      <c r="D1675" s="67"/>
      <c r="E1675" s="67"/>
      <c r="F1675" s="68"/>
      <c r="G1675" s="68"/>
      <c r="H1675" s="68"/>
      <c r="I1675" s="68"/>
      <c r="J1675" s="68"/>
      <c r="K1675" s="69">
        <v>4500.0</v>
      </c>
      <c r="L1675" s="69">
        <v>30.44</v>
      </c>
      <c r="M1675" s="68">
        <f t="shared" si="1"/>
        <v>191.26</v>
      </c>
    </row>
    <row r="1676">
      <c r="A1676" s="70"/>
      <c r="B1676" s="70"/>
      <c r="C1676" s="70"/>
      <c r="D1676" s="70"/>
      <c r="E1676" s="70"/>
      <c r="F1676" s="66"/>
      <c r="G1676" s="66"/>
      <c r="H1676" s="66"/>
      <c r="I1676" s="66"/>
      <c r="J1676" s="66"/>
      <c r="K1676" s="63">
        <v>5000.0</v>
      </c>
      <c r="L1676" s="63">
        <v>30.31</v>
      </c>
      <c r="M1676" s="66">
        <f t="shared" si="1"/>
        <v>211.6</v>
      </c>
    </row>
    <row r="1677">
      <c r="A1677" s="67"/>
      <c r="B1677" s="67"/>
      <c r="C1677" s="67"/>
      <c r="D1677" s="67"/>
      <c r="E1677" s="67"/>
      <c r="F1677" s="68"/>
      <c r="G1677" s="68"/>
      <c r="H1677" s="68"/>
      <c r="I1677" s="68"/>
      <c r="J1677" s="68"/>
      <c r="K1677" s="69">
        <v>5500.0</v>
      </c>
      <c r="L1677" s="69">
        <v>30.24</v>
      </c>
      <c r="M1677" s="68">
        <f t="shared" si="1"/>
        <v>232.23</v>
      </c>
    </row>
    <row r="1678">
      <c r="A1678" s="70"/>
      <c r="B1678" s="70"/>
      <c r="C1678" s="70"/>
      <c r="D1678" s="70"/>
      <c r="E1678" s="70"/>
      <c r="F1678" s="66"/>
      <c r="G1678" s="66"/>
      <c r="H1678" s="66"/>
      <c r="I1678" s="66"/>
      <c r="J1678" s="66"/>
      <c r="K1678" s="63">
        <v>6000.0</v>
      </c>
      <c r="L1678" s="63">
        <v>30.37</v>
      </c>
      <c r="M1678" s="66">
        <f t="shared" si="1"/>
        <v>254.43</v>
      </c>
    </row>
    <row r="1679">
      <c r="A1679" s="67"/>
      <c r="B1679" s="67"/>
      <c r="C1679" s="67"/>
      <c r="D1679" s="67"/>
      <c r="E1679" s="67"/>
      <c r="F1679" s="68"/>
      <c r="G1679" s="68"/>
      <c r="H1679" s="68"/>
      <c r="I1679" s="68"/>
      <c r="J1679" s="68"/>
      <c r="K1679" s="69">
        <v>6500.0</v>
      </c>
      <c r="L1679" s="69">
        <v>27.62</v>
      </c>
      <c r="M1679" s="68">
        <f t="shared" si="1"/>
        <v>250.67</v>
      </c>
    </row>
    <row r="1680">
      <c r="A1680" s="70"/>
      <c r="B1680" s="70"/>
      <c r="C1680" s="70"/>
      <c r="D1680" s="70"/>
      <c r="E1680" s="70"/>
      <c r="F1680" s="66"/>
      <c r="G1680" s="66"/>
      <c r="H1680" s="66"/>
      <c r="I1680" s="66"/>
      <c r="J1680" s="66"/>
      <c r="K1680" s="63">
        <v>7000.0</v>
      </c>
      <c r="L1680" s="63">
        <v>23.1</v>
      </c>
      <c r="M1680" s="66">
        <f t="shared" si="1"/>
        <v>225.77</v>
      </c>
    </row>
    <row r="1681">
      <c r="A1681" s="68">
        <v>114.0</v>
      </c>
      <c r="B1681" s="68">
        <v>176.0</v>
      </c>
      <c r="C1681" s="71" t="s">
        <v>390</v>
      </c>
      <c r="D1681" s="71" t="s">
        <v>391</v>
      </c>
      <c r="E1681" s="71" t="s">
        <v>392</v>
      </c>
      <c r="F1681" s="72">
        <v>7500.0</v>
      </c>
      <c r="G1681" s="72">
        <v>7700.0</v>
      </c>
      <c r="H1681" s="72">
        <v>700.0</v>
      </c>
      <c r="I1681" s="72">
        <v>4000.0</v>
      </c>
      <c r="J1681" s="72">
        <v>6000.0</v>
      </c>
      <c r="K1681" s="69">
        <v>500.0</v>
      </c>
      <c r="L1681" s="69">
        <v>14.27</v>
      </c>
      <c r="M1681" s="68">
        <f t="shared" si="1"/>
        <v>9.96</v>
      </c>
    </row>
    <row r="1682">
      <c r="A1682" s="73"/>
      <c r="B1682" s="73"/>
      <c r="C1682" s="73"/>
      <c r="D1682" s="73"/>
      <c r="E1682" s="73"/>
      <c r="F1682" s="66"/>
      <c r="G1682" s="66"/>
      <c r="H1682" s="66"/>
      <c r="I1682" s="66"/>
      <c r="J1682" s="66"/>
      <c r="K1682" s="63">
        <v>1000.0</v>
      </c>
      <c r="L1682" s="63">
        <v>16.18</v>
      </c>
      <c r="M1682" s="66">
        <f t="shared" si="1"/>
        <v>22.59</v>
      </c>
    </row>
    <row r="1683">
      <c r="A1683" s="67"/>
      <c r="B1683" s="67"/>
      <c r="C1683" s="67"/>
      <c r="D1683" s="67"/>
      <c r="E1683" s="67"/>
      <c r="F1683" s="68"/>
      <c r="G1683" s="68"/>
      <c r="H1683" s="68"/>
      <c r="I1683" s="68"/>
      <c r="J1683" s="68"/>
      <c r="K1683" s="69">
        <v>1500.0</v>
      </c>
      <c r="L1683" s="69">
        <v>18.18</v>
      </c>
      <c r="M1683" s="68">
        <f t="shared" si="1"/>
        <v>38.08</v>
      </c>
    </row>
    <row r="1684">
      <c r="A1684" s="70"/>
      <c r="B1684" s="70"/>
      <c r="C1684" s="70"/>
      <c r="D1684" s="70"/>
      <c r="E1684" s="70"/>
      <c r="F1684" s="66"/>
      <c r="G1684" s="66"/>
      <c r="H1684" s="66"/>
      <c r="I1684" s="66"/>
      <c r="J1684" s="66"/>
      <c r="K1684" s="63">
        <v>2000.0</v>
      </c>
      <c r="L1684" s="63">
        <v>20.72</v>
      </c>
      <c r="M1684" s="66">
        <f t="shared" si="1"/>
        <v>57.86</v>
      </c>
    </row>
    <row r="1685">
      <c r="A1685" s="67"/>
      <c r="B1685" s="67"/>
      <c r="C1685" s="67"/>
      <c r="D1685" s="67"/>
      <c r="E1685" s="67"/>
      <c r="F1685" s="68"/>
      <c r="G1685" s="68"/>
      <c r="H1685" s="68"/>
      <c r="I1685" s="68"/>
      <c r="J1685" s="68"/>
      <c r="K1685" s="69">
        <v>2500.0</v>
      </c>
      <c r="L1685" s="69">
        <v>24.3</v>
      </c>
      <c r="M1685" s="68">
        <f t="shared" si="1"/>
        <v>84.82</v>
      </c>
    </row>
    <row r="1686">
      <c r="A1686" s="70"/>
      <c r="B1686" s="70"/>
      <c r="C1686" s="70"/>
      <c r="D1686" s="70"/>
      <c r="E1686" s="70"/>
      <c r="F1686" s="66"/>
      <c r="G1686" s="66"/>
      <c r="H1686" s="66"/>
      <c r="I1686" s="66"/>
      <c r="J1686" s="66"/>
      <c r="K1686" s="63">
        <v>3000.0</v>
      </c>
      <c r="L1686" s="63">
        <v>26.2</v>
      </c>
      <c r="M1686" s="66">
        <f t="shared" si="1"/>
        <v>109.75</v>
      </c>
    </row>
    <row r="1687">
      <c r="A1687" s="67"/>
      <c r="B1687" s="67"/>
      <c r="C1687" s="67"/>
      <c r="D1687" s="67"/>
      <c r="E1687" s="67"/>
      <c r="F1687" s="68"/>
      <c r="G1687" s="68"/>
      <c r="H1687" s="68"/>
      <c r="I1687" s="68"/>
      <c r="J1687" s="68"/>
      <c r="K1687" s="69">
        <v>3500.0</v>
      </c>
      <c r="L1687" s="69">
        <v>27.09</v>
      </c>
      <c r="M1687" s="68">
        <f t="shared" si="1"/>
        <v>132.39</v>
      </c>
    </row>
    <row r="1688">
      <c r="A1688" s="70"/>
      <c r="B1688" s="70"/>
      <c r="C1688" s="70"/>
      <c r="D1688" s="70"/>
      <c r="E1688" s="70"/>
      <c r="F1688" s="66"/>
      <c r="G1688" s="66"/>
      <c r="H1688" s="66"/>
      <c r="I1688" s="66"/>
      <c r="J1688" s="66"/>
      <c r="K1688" s="63">
        <v>4000.0</v>
      </c>
      <c r="L1688" s="63">
        <v>28.0</v>
      </c>
      <c r="M1688" s="66">
        <f t="shared" si="1"/>
        <v>156.38</v>
      </c>
    </row>
    <row r="1689">
      <c r="A1689" s="67"/>
      <c r="B1689" s="67"/>
      <c r="C1689" s="67"/>
      <c r="D1689" s="67"/>
      <c r="E1689" s="67"/>
      <c r="F1689" s="68"/>
      <c r="G1689" s="68"/>
      <c r="H1689" s="68"/>
      <c r="I1689" s="68"/>
      <c r="J1689" s="68"/>
      <c r="K1689" s="69">
        <v>4500.0</v>
      </c>
      <c r="L1689" s="69">
        <v>27.1</v>
      </c>
      <c r="M1689" s="68">
        <f t="shared" si="1"/>
        <v>170.27</v>
      </c>
    </row>
    <row r="1690">
      <c r="A1690" s="70"/>
      <c r="B1690" s="70"/>
      <c r="C1690" s="70"/>
      <c r="D1690" s="70"/>
      <c r="E1690" s="70"/>
      <c r="F1690" s="66"/>
      <c r="G1690" s="66"/>
      <c r="H1690" s="66"/>
      <c r="I1690" s="66"/>
      <c r="J1690" s="66"/>
      <c r="K1690" s="63">
        <v>5000.0</v>
      </c>
      <c r="L1690" s="63">
        <v>26.2</v>
      </c>
      <c r="M1690" s="66">
        <f t="shared" si="1"/>
        <v>182.91</v>
      </c>
    </row>
    <row r="1691">
      <c r="A1691" s="67"/>
      <c r="B1691" s="67"/>
      <c r="C1691" s="67"/>
      <c r="D1691" s="67"/>
      <c r="E1691" s="67"/>
      <c r="F1691" s="68"/>
      <c r="G1691" s="68"/>
      <c r="H1691" s="68"/>
      <c r="I1691" s="68"/>
      <c r="J1691" s="68"/>
      <c r="K1691" s="69">
        <v>5500.0</v>
      </c>
      <c r="L1691" s="69">
        <v>25.4</v>
      </c>
      <c r="M1691" s="68">
        <f t="shared" si="1"/>
        <v>195.06</v>
      </c>
    </row>
    <row r="1692">
      <c r="A1692" s="70"/>
      <c r="B1692" s="70"/>
      <c r="C1692" s="70"/>
      <c r="D1692" s="70"/>
      <c r="E1692" s="70"/>
      <c r="F1692" s="66"/>
      <c r="G1692" s="66"/>
      <c r="H1692" s="66"/>
      <c r="I1692" s="66"/>
      <c r="J1692" s="66"/>
      <c r="K1692" s="63">
        <v>6000.0</v>
      </c>
      <c r="L1692" s="63">
        <v>24.48</v>
      </c>
      <c r="M1692" s="66">
        <f t="shared" si="1"/>
        <v>205.08</v>
      </c>
    </row>
    <row r="1693">
      <c r="A1693" s="67"/>
      <c r="B1693" s="67"/>
      <c r="C1693" s="67"/>
      <c r="D1693" s="67"/>
      <c r="E1693" s="67"/>
      <c r="F1693" s="68"/>
      <c r="G1693" s="68"/>
      <c r="H1693" s="68"/>
      <c r="I1693" s="68"/>
      <c r="J1693" s="68"/>
      <c r="K1693" s="69">
        <v>6500.0</v>
      </c>
      <c r="L1693" s="69">
        <v>22.47</v>
      </c>
      <c r="M1693" s="68">
        <f t="shared" si="1"/>
        <v>203.93</v>
      </c>
    </row>
    <row r="1694">
      <c r="A1694" s="70"/>
      <c r="B1694" s="70"/>
      <c r="C1694" s="70"/>
      <c r="D1694" s="70"/>
      <c r="E1694" s="70"/>
      <c r="F1694" s="66"/>
      <c r="G1694" s="66"/>
      <c r="H1694" s="66"/>
      <c r="I1694" s="66"/>
      <c r="J1694" s="66"/>
      <c r="K1694" s="63">
        <v>7000.0</v>
      </c>
      <c r="L1694" s="63">
        <v>20.25</v>
      </c>
      <c r="M1694" s="66">
        <f t="shared" si="1"/>
        <v>197.92</v>
      </c>
    </row>
    <row r="1695">
      <c r="A1695" s="67"/>
      <c r="B1695" s="67"/>
      <c r="C1695" s="67"/>
      <c r="D1695" s="67"/>
      <c r="E1695" s="67"/>
      <c r="F1695" s="68"/>
      <c r="G1695" s="68"/>
      <c r="H1695" s="68"/>
      <c r="I1695" s="68"/>
      <c r="J1695" s="68"/>
      <c r="K1695" s="69">
        <v>7500.0</v>
      </c>
      <c r="L1695" s="69">
        <v>17.69</v>
      </c>
      <c r="M1695" s="68">
        <f t="shared" si="1"/>
        <v>185.25</v>
      </c>
    </row>
    <row r="1696">
      <c r="A1696" s="70"/>
      <c r="B1696" s="70"/>
      <c r="C1696" s="70"/>
      <c r="D1696" s="70"/>
      <c r="E1696" s="70"/>
      <c r="F1696" s="66"/>
      <c r="G1696" s="66"/>
      <c r="H1696" s="66"/>
      <c r="I1696" s="66"/>
      <c r="J1696" s="66"/>
      <c r="K1696" s="63">
        <v>8000.0</v>
      </c>
      <c r="L1696" s="63">
        <v>14.85</v>
      </c>
      <c r="M1696" s="66">
        <f t="shared" si="1"/>
        <v>165.88</v>
      </c>
    </row>
    <row r="1697">
      <c r="A1697" s="68">
        <v>115.0</v>
      </c>
      <c r="B1697" s="68">
        <v>177.0</v>
      </c>
      <c r="C1697" s="71" t="s">
        <v>393</v>
      </c>
      <c r="D1697" s="71" t="s">
        <v>394</v>
      </c>
      <c r="E1697" s="71" t="s">
        <v>395</v>
      </c>
      <c r="F1697" s="72">
        <v>7500.0</v>
      </c>
      <c r="G1697" s="72">
        <v>7600.0</v>
      </c>
      <c r="H1697" s="72">
        <v>700.0</v>
      </c>
      <c r="I1697" s="72">
        <v>4000.0</v>
      </c>
      <c r="J1697" s="72">
        <v>6000.0</v>
      </c>
      <c r="K1697" s="69">
        <v>500.0</v>
      </c>
      <c r="L1697" s="69">
        <v>15.09</v>
      </c>
      <c r="M1697" s="68">
        <f t="shared" si="1"/>
        <v>10.53</v>
      </c>
    </row>
    <row r="1698">
      <c r="A1698" s="70"/>
      <c r="B1698" s="70"/>
      <c r="C1698" s="70"/>
      <c r="D1698" s="70"/>
      <c r="E1698" s="70"/>
      <c r="F1698" s="66"/>
      <c r="G1698" s="66"/>
      <c r="H1698" s="66"/>
      <c r="I1698" s="66"/>
      <c r="J1698" s="66"/>
      <c r="K1698" s="63">
        <v>1000.0</v>
      </c>
      <c r="L1698" s="63">
        <v>17.24</v>
      </c>
      <c r="M1698" s="66">
        <f t="shared" si="1"/>
        <v>24.07</v>
      </c>
    </row>
    <row r="1699">
      <c r="A1699" s="67"/>
      <c r="B1699" s="67"/>
      <c r="C1699" s="67"/>
      <c r="D1699" s="67"/>
      <c r="E1699" s="67"/>
      <c r="F1699" s="68"/>
      <c r="G1699" s="68"/>
      <c r="H1699" s="68"/>
      <c r="I1699" s="68"/>
      <c r="J1699" s="68"/>
      <c r="K1699" s="69">
        <v>1500.0</v>
      </c>
      <c r="L1699" s="69">
        <v>19.99</v>
      </c>
      <c r="M1699" s="68">
        <f t="shared" si="1"/>
        <v>41.87</v>
      </c>
    </row>
    <row r="1700">
      <c r="A1700" s="70"/>
      <c r="B1700" s="70"/>
      <c r="C1700" s="70"/>
      <c r="D1700" s="70"/>
      <c r="E1700" s="70"/>
      <c r="F1700" s="66"/>
      <c r="G1700" s="66"/>
      <c r="H1700" s="66"/>
      <c r="I1700" s="66"/>
      <c r="J1700" s="66"/>
      <c r="K1700" s="63">
        <v>2000.0</v>
      </c>
      <c r="L1700" s="63">
        <v>23.49</v>
      </c>
      <c r="M1700" s="66">
        <f t="shared" si="1"/>
        <v>65.6</v>
      </c>
    </row>
    <row r="1701">
      <c r="A1701" s="67"/>
      <c r="B1701" s="67"/>
      <c r="C1701" s="67"/>
      <c r="D1701" s="67"/>
      <c r="E1701" s="67"/>
      <c r="F1701" s="68"/>
      <c r="G1701" s="68"/>
      <c r="H1701" s="68"/>
      <c r="I1701" s="68"/>
      <c r="J1701" s="68"/>
      <c r="K1701" s="69">
        <v>2500.0</v>
      </c>
      <c r="L1701" s="69">
        <v>25.09</v>
      </c>
      <c r="M1701" s="68">
        <f t="shared" si="1"/>
        <v>87.58</v>
      </c>
    </row>
    <row r="1702">
      <c r="A1702" s="70"/>
      <c r="B1702" s="70"/>
      <c r="C1702" s="70"/>
      <c r="D1702" s="70"/>
      <c r="E1702" s="70"/>
      <c r="F1702" s="66"/>
      <c r="G1702" s="66"/>
      <c r="H1702" s="66"/>
      <c r="I1702" s="66"/>
      <c r="J1702" s="66"/>
      <c r="K1702" s="63">
        <v>3000.0</v>
      </c>
      <c r="L1702" s="63">
        <v>26.08</v>
      </c>
      <c r="M1702" s="66">
        <f t="shared" si="1"/>
        <v>109.24</v>
      </c>
    </row>
    <row r="1703">
      <c r="A1703" s="67"/>
      <c r="B1703" s="67"/>
      <c r="C1703" s="67"/>
      <c r="D1703" s="67"/>
      <c r="E1703" s="67"/>
      <c r="F1703" s="68"/>
      <c r="G1703" s="68"/>
      <c r="H1703" s="68"/>
      <c r="I1703" s="68"/>
      <c r="J1703" s="68"/>
      <c r="K1703" s="69">
        <v>3500.0</v>
      </c>
      <c r="L1703" s="69">
        <v>26.58</v>
      </c>
      <c r="M1703" s="68">
        <f t="shared" si="1"/>
        <v>129.89</v>
      </c>
    </row>
    <row r="1704">
      <c r="A1704" s="70"/>
      <c r="B1704" s="70"/>
      <c r="C1704" s="70"/>
      <c r="D1704" s="70"/>
      <c r="E1704" s="70"/>
      <c r="F1704" s="66"/>
      <c r="G1704" s="66"/>
      <c r="H1704" s="66"/>
      <c r="I1704" s="66"/>
      <c r="J1704" s="66"/>
      <c r="K1704" s="63">
        <v>4000.0</v>
      </c>
      <c r="L1704" s="63">
        <v>26.57</v>
      </c>
      <c r="M1704" s="66">
        <f t="shared" si="1"/>
        <v>148.39</v>
      </c>
    </row>
    <row r="1705">
      <c r="A1705" s="67"/>
      <c r="B1705" s="67"/>
      <c r="C1705" s="67"/>
      <c r="D1705" s="67"/>
      <c r="E1705" s="67"/>
      <c r="F1705" s="68"/>
      <c r="G1705" s="68"/>
      <c r="H1705" s="68"/>
      <c r="I1705" s="68"/>
      <c r="J1705" s="68"/>
      <c r="K1705" s="69">
        <v>4500.0</v>
      </c>
      <c r="L1705" s="69">
        <v>26.44</v>
      </c>
      <c r="M1705" s="68">
        <f t="shared" si="1"/>
        <v>166.13</v>
      </c>
    </row>
    <row r="1706">
      <c r="A1706" s="73"/>
      <c r="B1706" s="73"/>
      <c r="C1706" s="73"/>
      <c r="D1706" s="73"/>
      <c r="E1706" s="73"/>
      <c r="F1706" s="66"/>
      <c r="G1706" s="66"/>
      <c r="H1706" s="66"/>
      <c r="I1706" s="66"/>
      <c r="J1706" s="66"/>
      <c r="K1706" s="63">
        <v>5000.0</v>
      </c>
      <c r="L1706" s="63">
        <v>26.11</v>
      </c>
      <c r="M1706" s="66">
        <f t="shared" si="1"/>
        <v>182.28</v>
      </c>
    </row>
    <row r="1707">
      <c r="A1707" s="67"/>
      <c r="B1707" s="67"/>
      <c r="C1707" s="67"/>
      <c r="D1707" s="67"/>
      <c r="E1707" s="67"/>
      <c r="F1707" s="68"/>
      <c r="G1707" s="68"/>
      <c r="H1707" s="68"/>
      <c r="I1707" s="68"/>
      <c r="J1707" s="68"/>
      <c r="K1707" s="69">
        <v>5500.0</v>
      </c>
      <c r="L1707" s="69">
        <v>24.88</v>
      </c>
      <c r="M1707" s="68">
        <f t="shared" si="1"/>
        <v>191.06</v>
      </c>
    </row>
    <row r="1708">
      <c r="A1708" s="70"/>
      <c r="B1708" s="70"/>
      <c r="C1708" s="70"/>
      <c r="D1708" s="70"/>
      <c r="E1708" s="70"/>
      <c r="F1708" s="66"/>
      <c r="G1708" s="66"/>
      <c r="H1708" s="66"/>
      <c r="I1708" s="66"/>
      <c r="J1708" s="66"/>
      <c r="K1708" s="63">
        <v>6000.0</v>
      </c>
      <c r="L1708" s="63">
        <v>23.28</v>
      </c>
      <c r="M1708" s="66">
        <f t="shared" si="1"/>
        <v>195.03</v>
      </c>
    </row>
    <row r="1709">
      <c r="A1709" s="67"/>
      <c r="B1709" s="67"/>
      <c r="C1709" s="67"/>
      <c r="D1709" s="67"/>
      <c r="E1709" s="67"/>
      <c r="F1709" s="68"/>
      <c r="G1709" s="68"/>
      <c r="H1709" s="68"/>
      <c r="I1709" s="68"/>
      <c r="J1709" s="68"/>
      <c r="K1709" s="69">
        <v>6500.0</v>
      </c>
      <c r="L1709" s="69">
        <v>21.35</v>
      </c>
      <c r="M1709" s="68">
        <f t="shared" si="1"/>
        <v>193.77</v>
      </c>
    </row>
    <row r="1710">
      <c r="A1710" s="70"/>
      <c r="B1710" s="70"/>
      <c r="C1710" s="70"/>
      <c r="D1710" s="70"/>
      <c r="E1710" s="70"/>
      <c r="F1710" s="66"/>
      <c r="G1710" s="66"/>
      <c r="H1710" s="66"/>
      <c r="I1710" s="66"/>
      <c r="J1710" s="66"/>
      <c r="K1710" s="63">
        <v>7000.0</v>
      </c>
      <c r="L1710" s="63">
        <v>18.77</v>
      </c>
      <c r="M1710" s="66">
        <f t="shared" si="1"/>
        <v>183.45</v>
      </c>
    </row>
    <row r="1711">
      <c r="A1711" s="67"/>
      <c r="B1711" s="67"/>
      <c r="C1711" s="67"/>
      <c r="D1711" s="67"/>
      <c r="E1711" s="67"/>
      <c r="F1711" s="68"/>
      <c r="G1711" s="68"/>
      <c r="H1711" s="68"/>
      <c r="I1711" s="68"/>
      <c r="J1711" s="68"/>
      <c r="K1711" s="69">
        <v>7500.0</v>
      </c>
      <c r="L1711" s="69">
        <v>16.18</v>
      </c>
      <c r="M1711" s="68">
        <f t="shared" si="1"/>
        <v>169.44</v>
      </c>
    </row>
    <row r="1712">
      <c r="A1712" s="70"/>
      <c r="B1712" s="70"/>
      <c r="C1712" s="70"/>
      <c r="D1712" s="70"/>
      <c r="E1712" s="70"/>
      <c r="F1712" s="66"/>
      <c r="G1712" s="66"/>
      <c r="H1712" s="66"/>
      <c r="I1712" s="66"/>
      <c r="J1712" s="66"/>
      <c r="K1712" s="63">
        <v>8000.0</v>
      </c>
      <c r="L1712" s="63">
        <v>12.75</v>
      </c>
      <c r="M1712" s="66">
        <f t="shared" si="1"/>
        <v>142.42</v>
      </c>
    </row>
    <row r="1713">
      <c r="A1713" s="68">
        <v>116.0</v>
      </c>
      <c r="B1713" s="68">
        <v>179.0</v>
      </c>
      <c r="C1713" s="71" t="s">
        <v>396</v>
      </c>
      <c r="D1713" s="71" t="s">
        <v>397</v>
      </c>
      <c r="E1713" s="71" t="s">
        <v>398</v>
      </c>
      <c r="F1713" s="72">
        <v>7500.0</v>
      </c>
      <c r="G1713" s="72">
        <v>8000.0</v>
      </c>
      <c r="H1713" s="72">
        <v>700.0</v>
      </c>
      <c r="I1713" s="72">
        <v>4400.0</v>
      </c>
      <c r="J1713" s="72">
        <v>6800.0</v>
      </c>
      <c r="K1713" s="69">
        <v>500.0</v>
      </c>
      <c r="L1713" s="69">
        <v>20.77</v>
      </c>
      <c r="M1713" s="68">
        <f t="shared" si="1"/>
        <v>14.5</v>
      </c>
    </row>
    <row r="1714">
      <c r="A1714" s="70"/>
      <c r="B1714" s="70"/>
      <c r="C1714" s="70"/>
      <c r="D1714" s="70"/>
      <c r="E1714" s="70"/>
      <c r="F1714" s="66"/>
      <c r="G1714" s="66"/>
      <c r="H1714" s="66"/>
      <c r="I1714" s="66"/>
      <c r="J1714" s="66"/>
      <c r="K1714" s="63">
        <v>1000.0</v>
      </c>
      <c r="L1714" s="63">
        <v>23.83</v>
      </c>
      <c r="M1714" s="66">
        <f t="shared" si="1"/>
        <v>33.27</v>
      </c>
    </row>
    <row r="1715">
      <c r="A1715" s="67"/>
      <c r="B1715" s="67"/>
      <c r="C1715" s="67"/>
      <c r="D1715" s="67"/>
      <c r="E1715" s="67"/>
      <c r="F1715" s="68"/>
      <c r="G1715" s="68"/>
      <c r="H1715" s="68"/>
      <c r="I1715" s="68"/>
      <c r="J1715" s="68"/>
      <c r="K1715" s="69">
        <v>1500.0</v>
      </c>
      <c r="L1715" s="69">
        <v>25.2</v>
      </c>
      <c r="M1715" s="68">
        <f t="shared" si="1"/>
        <v>52.78</v>
      </c>
    </row>
    <row r="1716">
      <c r="A1716" s="70"/>
      <c r="B1716" s="70"/>
      <c r="C1716" s="70"/>
      <c r="D1716" s="70"/>
      <c r="E1716" s="70"/>
      <c r="F1716" s="66"/>
      <c r="G1716" s="66"/>
      <c r="H1716" s="66"/>
      <c r="I1716" s="66"/>
      <c r="J1716" s="66"/>
      <c r="K1716" s="63">
        <v>2000.0</v>
      </c>
      <c r="L1716" s="63">
        <v>26.81</v>
      </c>
      <c r="M1716" s="66">
        <f t="shared" si="1"/>
        <v>74.87</v>
      </c>
    </row>
    <row r="1717">
      <c r="A1717" s="67"/>
      <c r="B1717" s="67"/>
      <c r="C1717" s="67"/>
      <c r="D1717" s="67"/>
      <c r="E1717" s="67"/>
      <c r="F1717" s="68"/>
      <c r="G1717" s="68"/>
      <c r="H1717" s="68"/>
      <c r="I1717" s="68"/>
      <c r="J1717" s="68"/>
      <c r="K1717" s="69">
        <v>2500.0</v>
      </c>
      <c r="L1717" s="69">
        <v>27.73</v>
      </c>
      <c r="M1717" s="68">
        <f t="shared" si="1"/>
        <v>96.8</v>
      </c>
    </row>
    <row r="1718">
      <c r="A1718" s="70"/>
      <c r="B1718" s="70"/>
      <c r="C1718" s="70"/>
      <c r="D1718" s="70"/>
      <c r="E1718" s="70"/>
      <c r="F1718" s="66"/>
      <c r="G1718" s="66"/>
      <c r="H1718" s="66"/>
      <c r="I1718" s="66"/>
      <c r="J1718" s="66"/>
      <c r="K1718" s="63">
        <v>3000.0</v>
      </c>
      <c r="L1718" s="63">
        <v>29.67</v>
      </c>
      <c r="M1718" s="66">
        <f t="shared" si="1"/>
        <v>124.28</v>
      </c>
    </row>
    <row r="1719">
      <c r="A1719" s="67"/>
      <c r="B1719" s="67"/>
      <c r="C1719" s="67"/>
      <c r="D1719" s="67"/>
      <c r="E1719" s="67"/>
      <c r="F1719" s="68"/>
      <c r="G1719" s="68"/>
      <c r="H1719" s="68"/>
      <c r="I1719" s="68"/>
      <c r="J1719" s="68"/>
      <c r="K1719" s="69">
        <v>3500.0</v>
      </c>
      <c r="L1719" s="69">
        <v>32.48</v>
      </c>
      <c r="M1719" s="68">
        <f t="shared" si="1"/>
        <v>158.73</v>
      </c>
    </row>
    <row r="1720">
      <c r="A1720" s="70"/>
      <c r="B1720" s="70"/>
      <c r="C1720" s="70"/>
      <c r="D1720" s="70"/>
      <c r="E1720" s="70"/>
      <c r="F1720" s="66"/>
      <c r="G1720" s="66"/>
      <c r="H1720" s="66"/>
      <c r="I1720" s="66"/>
      <c r="J1720" s="66"/>
      <c r="K1720" s="63">
        <v>4000.0</v>
      </c>
      <c r="L1720" s="63">
        <v>35.14</v>
      </c>
      <c r="M1720" s="66">
        <f t="shared" si="1"/>
        <v>196.26</v>
      </c>
    </row>
    <row r="1721">
      <c r="A1721" s="67"/>
      <c r="B1721" s="67"/>
      <c r="C1721" s="67"/>
      <c r="D1721" s="67"/>
      <c r="E1721" s="67"/>
      <c r="F1721" s="68"/>
      <c r="G1721" s="68"/>
      <c r="H1721" s="68"/>
      <c r="I1721" s="68"/>
      <c r="J1721" s="68"/>
      <c r="K1721" s="69">
        <v>4500.0</v>
      </c>
      <c r="L1721" s="69">
        <v>36.0</v>
      </c>
      <c r="M1721" s="68">
        <f t="shared" si="1"/>
        <v>226.19</v>
      </c>
    </row>
    <row r="1722">
      <c r="A1722" s="70"/>
      <c r="B1722" s="70"/>
      <c r="C1722" s="70"/>
      <c r="D1722" s="70"/>
      <c r="E1722" s="70"/>
      <c r="F1722" s="66"/>
      <c r="G1722" s="66"/>
      <c r="H1722" s="66"/>
      <c r="I1722" s="66"/>
      <c r="J1722" s="66"/>
      <c r="K1722" s="63">
        <v>5000.0</v>
      </c>
      <c r="L1722" s="63">
        <v>36.13</v>
      </c>
      <c r="M1722" s="66">
        <f t="shared" si="1"/>
        <v>252.23</v>
      </c>
    </row>
    <row r="1723">
      <c r="A1723" s="67"/>
      <c r="B1723" s="67"/>
      <c r="C1723" s="67"/>
      <c r="D1723" s="67"/>
      <c r="E1723" s="67"/>
      <c r="F1723" s="68"/>
      <c r="G1723" s="68"/>
      <c r="H1723" s="68"/>
      <c r="I1723" s="68"/>
      <c r="J1723" s="68"/>
      <c r="K1723" s="69">
        <v>5500.0</v>
      </c>
      <c r="L1723" s="69">
        <v>35.83</v>
      </c>
      <c r="M1723" s="68">
        <f t="shared" si="1"/>
        <v>275.15</v>
      </c>
    </row>
    <row r="1724">
      <c r="A1724" s="70"/>
      <c r="B1724" s="70"/>
      <c r="C1724" s="70"/>
      <c r="D1724" s="70"/>
      <c r="E1724" s="70"/>
      <c r="F1724" s="66"/>
      <c r="G1724" s="66"/>
      <c r="H1724" s="66"/>
      <c r="I1724" s="66"/>
      <c r="J1724" s="66"/>
      <c r="K1724" s="63">
        <v>6000.0</v>
      </c>
      <c r="L1724" s="63">
        <v>35.12</v>
      </c>
      <c r="M1724" s="66">
        <f t="shared" si="1"/>
        <v>294.22</v>
      </c>
    </row>
    <row r="1725">
      <c r="A1725" s="67"/>
      <c r="B1725" s="67"/>
      <c r="C1725" s="67"/>
      <c r="D1725" s="67"/>
      <c r="E1725" s="67"/>
      <c r="F1725" s="68"/>
      <c r="G1725" s="68"/>
      <c r="H1725" s="68"/>
      <c r="I1725" s="68"/>
      <c r="J1725" s="68"/>
      <c r="K1725" s="69">
        <v>6500.0</v>
      </c>
      <c r="L1725" s="69">
        <v>32.99</v>
      </c>
      <c r="M1725" s="68">
        <f t="shared" si="1"/>
        <v>299.41</v>
      </c>
    </row>
    <row r="1726">
      <c r="A1726" s="70"/>
      <c r="B1726" s="70"/>
      <c r="C1726" s="70"/>
      <c r="D1726" s="70"/>
      <c r="E1726" s="70"/>
      <c r="F1726" s="66"/>
      <c r="G1726" s="66"/>
      <c r="H1726" s="66"/>
      <c r="I1726" s="66"/>
      <c r="J1726" s="66"/>
      <c r="K1726" s="63">
        <v>6800.0</v>
      </c>
      <c r="L1726" s="63">
        <v>31.48</v>
      </c>
      <c r="M1726" s="66">
        <f t="shared" si="1"/>
        <v>298.89</v>
      </c>
    </row>
    <row r="1727">
      <c r="A1727" s="67"/>
      <c r="B1727" s="67"/>
      <c r="C1727" s="67"/>
      <c r="D1727" s="67"/>
      <c r="E1727" s="67"/>
      <c r="F1727" s="68"/>
      <c r="G1727" s="68"/>
      <c r="H1727" s="68"/>
      <c r="I1727" s="68"/>
      <c r="J1727" s="68"/>
      <c r="K1727" s="69">
        <v>7500.0</v>
      </c>
      <c r="L1727" s="69">
        <v>28.2</v>
      </c>
      <c r="M1727" s="68">
        <f t="shared" si="1"/>
        <v>295.31</v>
      </c>
    </row>
    <row r="1728">
      <c r="A1728" s="70"/>
      <c r="B1728" s="70"/>
      <c r="C1728" s="70"/>
      <c r="D1728" s="70"/>
      <c r="E1728" s="70"/>
      <c r="F1728" s="66"/>
      <c r="G1728" s="66"/>
      <c r="H1728" s="66"/>
      <c r="I1728" s="66"/>
      <c r="J1728" s="66"/>
      <c r="K1728" s="63">
        <v>8000.0</v>
      </c>
      <c r="L1728" s="63">
        <v>25.47</v>
      </c>
      <c r="M1728" s="66">
        <f t="shared" si="1"/>
        <v>284.5</v>
      </c>
    </row>
    <row r="1729">
      <c r="A1729" s="68">
        <v>117.0</v>
      </c>
      <c r="B1729" s="68">
        <v>180.0</v>
      </c>
      <c r="C1729" s="71" t="s">
        <v>399</v>
      </c>
      <c r="D1729" s="71" t="s">
        <v>400</v>
      </c>
      <c r="E1729" s="71" t="s">
        <v>401</v>
      </c>
      <c r="F1729" s="72">
        <v>8000.0</v>
      </c>
      <c r="G1729" s="72">
        <v>8500.0</v>
      </c>
      <c r="H1729" s="72">
        <v>700.0</v>
      </c>
      <c r="I1729" s="72">
        <v>4400.0</v>
      </c>
      <c r="J1729" s="72">
        <v>6800.0</v>
      </c>
      <c r="K1729" s="69">
        <v>500.0</v>
      </c>
      <c r="L1729" s="69">
        <v>15.81</v>
      </c>
      <c r="M1729" s="68">
        <f t="shared" si="1"/>
        <v>11.04</v>
      </c>
    </row>
    <row r="1730">
      <c r="A1730" s="73"/>
      <c r="B1730" s="73"/>
      <c r="C1730" s="73"/>
      <c r="D1730" s="73"/>
      <c r="E1730" s="73"/>
      <c r="F1730" s="66"/>
      <c r="G1730" s="66"/>
      <c r="H1730" s="66"/>
      <c r="I1730" s="66"/>
      <c r="J1730" s="66"/>
      <c r="K1730" s="63">
        <v>1000.0</v>
      </c>
      <c r="L1730" s="63">
        <v>20.65</v>
      </c>
      <c r="M1730" s="66">
        <f t="shared" si="1"/>
        <v>28.83</v>
      </c>
    </row>
    <row r="1731">
      <c r="A1731" s="67"/>
      <c r="B1731" s="67"/>
      <c r="C1731" s="67"/>
      <c r="D1731" s="67"/>
      <c r="E1731" s="67"/>
      <c r="F1731" s="68"/>
      <c r="G1731" s="68"/>
      <c r="H1731" s="68"/>
      <c r="I1731" s="68"/>
      <c r="J1731" s="68"/>
      <c r="K1731" s="69">
        <v>1500.0</v>
      </c>
      <c r="L1731" s="69">
        <v>24.82</v>
      </c>
      <c r="M1731" s="68">
        <f t="shared" si="1"/>
        <v>51.98</v>
      </c>
    </row>
    <row r="1732">
      <c r="A1732" s="70"/>
      <c r="B1732" s="70"/>
      <c r="C1732" s="70"/>
      <c r="D1732" s="70"/>
      <c r="E1732" s="70"/>
      <c r="F1732" s="66"/>
      <c r="G1732" s="66"/>
      <c r="H1732" s="66"/>
      <c r="I1732" s="66"/>
      <c r="J1732" s="66"/>
      <c r="K1732" s="63">
        <v>2000.0</v>
      </c>
      <c r="L1732" s="63">
        <v>28.26</v>
      </c>
      <c r="M1732" s="66">
        <f t="shared" si="1"/>
        <v>78.92</v>
      </c>
    </row>
    <row r="1733">
      <c r="A1733" s="67"/>
      <c r="B1733" s="67"/>
      <c r="C1733" s="67"/>
      <c r="D1733" s="67"/>
      <c r="E1733" s="67"/>
      <c r="F1733" s="68"/>
      <c r="G1733" s="68"/>
      <c r="H1733" s="68"/>
      <c r="I1733" s="68"/>
      <c r="J1733" s="68"/>
      <c r="K1733" s="69">
        <v>2500.0</v>
      </c>
      <c r="L1733" s="69">
        <v>32.22</v>
      </c>
      <c r="M1733" s="68">
        <f t="shared" si="1"/>
        <v>112.47</v>
      </c>
    </row>
    <row r="1734">
      <c r="A1734" s="70"/>
      <c r="B1734" s="70"/>
      <c r="C1734" s="70"/>
      <c r="D1734" s="70"/>
      <c r="E1734" s="70"/>
      <c r="F1734" s="66"/>
      <c r="G1734" s="66"/>
      <c r="H1734" s="66"/>
      <c r="I1734" s="66"/>
      <c r="J1734" s="66"/>
      <c r="K1734" s="63">
        <v>3000.0</v>
      </c>
      <c r="L1734" s="63">
        <v>37.16</v>
      </c>
      <c r="M1734" s="66">
        <f t="shared" si="1"/>
        <v>155.65</v>
      </c>
    </row>
    <row r="1735">
      <c r="A1735" s="67"/>
      <c r="B1735" s="67"/>
      <c r="C1735" s="67"/>
      <c r="D1735" s="67"/>
      <c r="E1735" s="67"/>
      <c r="F1735" s="68"/>
      <c r="G1735" s="68"/>
      <c r="H1735" s="68"/>
      <c r="I1735" s="68"/>
      <c r="J1735" s="68"/>
      <c r="K1735" s="69">
        <v>3500.0</v>
      </c>
      <c r="L1735" s="69">
        <v>39.96</v>
      </c>
      <c r="M1735" s="68">
        <f t="shared" si="1"/>
        <v>195.28</v>
      </c>
    </row>
    <row r="1736">
      <c r="A1736" s="70"/>
      <c r="B1736" s="70"/>
      <c r="C1736" s="70"/>
      <c r="D1736" s="70"/>
      <c r="E1736" s="70"/>
      <c r="F1736" s="66"/>
      <c r="G1736" s="66"/>
      <c r="H1736" s="66"/>
      <c r="I1736" s="66"/>
      <c r="J1736" s="66"/>
      <c r="K1736" s="63">
        <v>4000.0</v>
      </c>
      <c r="L1736" s="63">
        <v>42.1</v>
      </c>
      <c r="M1736" s="66">
        <f t="shared" si="1"/>
        <v>235.13</v>
      </c>
    </row>
    <row r="1737">
      <c r="A1737" s="67"/>
      <c r="B1737" s="67"/>
      <c r="C1737" s="67"/>
      <c r="D1737" s="67"/>
      <c r="E1737" s="67"/>
      <c r="F1737" s="68"/>
      <c r="G1737" s="68"/>
      <c r="H1737" s="68"/>
      <c r="I1737" s="68"/>
      <c r="J1737" s="68"/>
      <c r="K1737" s="69">
        <v>4500.0</v>
      </c>
      <c r="L1737" s="69">
        <v>42.88</v>
      </c>
      <c r="M1737" s="68">
        <f t="shared" si="1"/>
        <v>269.42</v>
      </c>
    </row>
    <row r="1738">
      <c r="A1738" s="70"/>
      <c r="B1738" s="70"/>
      <c r="C1738" s="70"/>
      <c r="D1738" s="70"/>
      <c r="E1738" s="70"/>
      <c r="F1738" s="66"/>
      <c r="G1738" s="66"/>
      <c r="H1738" s="66"/>
      <c r="I1738" s="66"/>
      <c r="J1738" s="66"/>
      <c r="K1738" s="63">
        <v>5000.0</v>
      </c>
      <c r="L1738" s="63">
        <v>42.63</v>
      </c>
      <c r="M1738" s="66">
        <f t="shared" si="1"/>
        <v>297.61</v>
      </c>
    </row>
    <row r="1739">
      <c r="A1739" s="67"/>
      <c r="B1739" s="67"/>
      <c r="C1739" s="67"/>
      <c r="D1739" s="67"/>
      <c r="E1739" s="67"/>
      <c r="F1739" s="68"/>
      <c r="G1739" s="68"/>
      <c r="H1739" s="68"/>
      <c r="I1739" s="68"/>
      <c r="J1739" s="68"/>
      <c r="K1739" s="69">
        <v>5500.0</v>
      </c>
      <c r="L1739" s="69">
        <v>41.67</v>
      </c>
      <c r="M1739" s="68">
        <f t="shared" si="1"/>
        <v>320</v>
      </c>
    </row>
    <row r="1740">
      <c r="A1740" s="70"/>
      <c r="B1740" s="70"/>
      <c r="C1740" s="70"/>
      <c r="D1740" s="70"/>
      <c r="E1740" s="70"/>
      <c r="F1740" s="66"/>
      <c r="G1740" s="66"/>
      <c r="H1740" s="66"/>
      <c r="I1740" s="66"/>
      <c r="J1740" s="66"/>
      <c r="K1740" s="63">
        <v>6000.0</v>
      </c>
      <c r="L1740" s="63">
        <v>39.01</v>
      </c>
      <c r="M1740" s="66">
        <f t="shared" si="1"/>
        <v>326.81</v>
      </c>
    </row>
    <row r="1741">
      <c r="A1741" s="67"/>
      <c r="B1741" s="67"/>
      <c r="C1741" s="67"/>
      <c r="D1741" s="67"/>
      <c r="E1741" s="67"/>
      <c r="F1741" s="68"/>
      <c r="G1741" s="68"/>
      <c r="H1741" s="68"/>
      <c r="I1741" s="68"/>
      <c r="J1741" s="68"/>
      <c r="K1741" s="69">
        <v>6500.0</v>
      </c>
      <c r="L1741" s="69">
        <v>36.15</v>
      </c>
      <c r="M1741" s="68">
        <f t="shared" si="1"/>
        <v>328.09</v>
      </c>
    </row>
    <row r="1742">
      <c r="A1742" s="70"/>
      <c r="B1742" s="70"/>
      <c r="C1742" s="70"/>
      <c r="D1742" s="70"/>
      <c r="E1742" s="70"/>
      <c r="F1742" s="66"/>
      <c r="G1742" s="66"/>
      <c r="H1742" s="66"/>
      <c r="I1742" s="66"/>
      <c r="J1742" s="66"/>
      <c r="K1742" s="63">
        <v>6800.0</v>
      </c>
      <c r="L1742" s="63">
        <v>34.68</v>
      </c>
      <c r="M1742" s="66">
        <f t="shared" si="1"/>
        <v>329.27</v>
      </c>
    </row>
    <row r="1743">
      <c r="A1743" s="67"/>
      <c r="B1743" s="67"/>
      <c r="C1743" s="67"/>
      <c r="D1743" s="67"/>
      <c r="E1743" s="67"/>
      <c r="F1743" s="68"/>
      <c r="G1743" s="68"/>
      <c r="H1743" s="68"/>
      <c r="I1743" s="68"/>
      <c r="J1743" s="68"/>
      <c r="K1743" s="69">
        <v>7300.0</v>
      </c>
      <c r="L1743" s="69">
        <v>32.3</v>
      </c>
      <c r="M1743" s="68">
        <f t="shared" si="1"/>
        <v>329.22</v>
      </c>
    </row>
    <row r="1744">
      <c r="A1744" s="70"/>
      <c r="B1744" s="70"/>
      <c r="C1744" s="70"/>
      <c r="D1744" s="70"/>
      <c r="E1744" s="70"/>
      <c r="F1744" s="66"/>
      <c r="G1744" s="66"/>
      <c r="H1744" s="66"/>
      <c r="I1744" s="66"/>
      <c r="J1744" s="66"/>
      <c r="K1744" s="63">
        <v>8000.0</v>
      </c>
      <c r="L1744" s="63">
        <v>29.25</v>
      </c>
      <c r="M1744" s="66">
        <f t="shared" si="1"/>
        <v>326.72</v>
      </c>
    </row>
    <row r="1745">
      <c r="A1745" s="67"/>
      <c r="B1745" s="67"/>
      <c r="C1745" s="67"/>
      <c r="D1745" s="67"/>
      <c r="E1745" s="67"/>
      <c r="F1745" s="68"/>
      <c r="G1745" s="68"/>
      <c r="H1745" s="68"/>
      <c r="I1745" s="68"/>
      <c r="J1745" s="68"/>
      <c r="K1745" s="69">
        <v>8500.0</v>
      </c>
      <c r="L1745" s="69">
        <v>27.0</v>
      </c>
      <c r="M1745" s="68">
        <f t="shared" si="1"/>
        <v>320.44</v>
      </c>
    </row>
    <row r="1746">
      <c r="A1746" s="70"/>
      <c r="B1746" s="70"/>
      <c r="C1746" s="70"/>
      <c r="D1746" s="70"/>
      <c r="E1746" s="70"/>
      <c r="F1746" s="66"/>
      <c r="G1746" s="66"/>
      <c r="H1746" s="66"/>
      <c r="I1746" s="66"/>
      <c r="J1746" s="66"/>
      <c r="K1746" s="63">
        <v>9000.0</v>
      </c>
      <c r="L1746" s="63">
        <v>22.38</v>
      </c>
      <c r="M1746" s="66">
        <f t="shared" si="1"/>
        <v>281.23</v>
      </c>
    </row>
    <row r="1747">
      <c r="A1747" s="68">
        <v>118.0</v>
      </c>
      <c r="B1747" s="68">
        <v>181.0</v>
      </c>
      <c r="C1747" s="71" t="s">
        <v>402</v>
      </c>
      <c r="D1747" s="71" t="s">
        <v>403</v>
      </c>
      <c r="E1747" s="71" t="s">
        <v>404</v>
      </c>
      <c r="F1747" s="72">
        <v>7500.0</v>
      </c>
      <c r="G1747" s="72">
        <v>7500.0</v>
      </c>
      <c r="H1747" s="72">
        <v>700.0</v>
      </c>
      <c r="I1747" s="72">
        <v>4000.0</v>
      </c>
      <c r="J1747" s="72">
        <v>5600.0</v>
      </c>
      <c r="K1747" s="69">
        <v>500.0</v>
      </c>
      <c r="L1747" s="69">
        <v>15.6</v>
      </c>
      <c r="M1747" s="68">
        <f t="shared" si="1"/>
        <v>10.89</v>
      </c>
    </row>
    <row r="1748">
      <c r="A1748" s="70"/>
      <c r="B1748" s="70"/>
      <c r="C1748" s="70"/>
      <c r="D1748" s="70"/>
      <c r="E1748" s="70"/>
      <c r="F1748" s="66"/>
      <c r="G1748" s="66"/>
      <c r="H1748" s="66"/>
      <c r="I1748" s="66"/>
      <c r="J1748" s="66"/>
      <c r="K1748" s="63">
        <v>1000.0</v>
      </c>
      <c r="L1748" s="63">
        <v>18.0</v>
      </c>
      <c r="M1748" s="66">
        <f t="shared" si="1"/>
        <v>25.13</v>
      </c>
    </row>
    <row r="1749">
      <c r="A1749" s="67"/>
      <c r="B1749" s="67"/>
      <c r="C1749" s="67"/>
      <c r="D1749" s="67"/>
      <c r="E1749" s="67"/>
      <c r="F1749" s="68"/>
      <c r="G1749" s="68"/>
      <c r="H1749" s="68"/>
      <c r="I1749" s="68"/>
      <c r="J1749" s="68"/>
      <c r="K1749" s="69">
        <v>1500.0</v>
      </c>
      <c r="L1749" s="69">
        <v>23.0</v>
      </c>
      <c r="M1749" s="68">
        <f t="shared" si="1"/>
        <v>48.17</v>
      </c>
    </row>
    <row r="1750">
      <c r="A1750" s="70"/>
      <c r="B1750" s="70"/>
      <c r="C1750" s="70"/>
      <c r="D1750" s="70"/>
      <c r="E1750" s="70"/>
      <c r="F1750" s="66"/>
      <c r="G1750" s="66"/>
      <c r="H1750" s="66"/>
      <c r="I1750" s="66"/>
      <c r="J1750" s="66"/>
      <c r="K1750" s="63">
        <v>2000.0</v>
      </c>
      <c r="L1750" s="63">
        <v>39.6</v>
      </c>
      <c r="M1750" s="66">
        <f t="shared" si="1"/>
        <v>110.58</v>
      </c>
    </row>
    <row r="1751">
      <c r="A1751" s="67"/>
      <c r="B1751" s="67"/>
      <c r="C1751" s="67"/>
      <c r="D1751" s="67"/>
      <c r="E1751" s="67"/>
      <c r="F1751" s="68"/>
      <c r="G1751" s="68"/>
      <c r="H1751" s="68"/>
      <c r="I1751" s="68"/>
      <c r="J1751" s="68"/>
      <c r="K1751" s="69">
        <v>2500.0</v>
      </c>
      <c r="L1751" s="69">
        <v>61.2</v>
      </c>
      <c r="M1751" s="68">
        <f t="shared" si="1"/>
        <v>213.63</v>
      </c>
    </row>
    <row r="1752">
      <c r="A1752" s="70"/>
      <c r="B1752" s="70"/>
      <c r="C1752" s="70"/>
      <c r="D1752" s="70"/>
      <c r="E1752" s="70"/>
      <c r="F1752" s="66"/>
      <c r="G1752" s="66"/>
      <c r="H1752" s="66"/>
      <c r="I1752" s="66"/>
      <c r="J1752" s="66"/>
      <c r="K1752" s="63">
        <v>3000.0</v>
      </c>
      <c r="L1752" s="63">
        <v>71.8</v>
      </c>
      <c r="M1752" s="66">
        <f t="shared" si="1"/>
        <v>300.75</v>
      </c>
    </row>
    <row r="1753">
      <c r="A1753" s="67"/>
      <c r="B1753" s="67"/>
      <c r="C1753" s="67"/>
      <c r="D1753" s="67"/>
      <c r="E1753" s="67"/>
      <c r="F1753" s="68"/>
      <c r="G1753" s="68"/>
      <c r="H1753" s="68"/>
      <c r="I1753" s="68"/>
      <c r="J1753" s="68"/>
      <c r="K1753" s="69">
        <v>3500.0</v>
      </c>
      <c r="L1753" s="69">
        <v>75.0</v>
      </c>
      <c r="M1753" s="68">
        <f t="shared" si="1"/>
        <v>366.52</v>
      </c>
    </row>
    <row r="1754">
      <c r="A1754" s="73"/>
      <c r="B1754" s="73"/>
      <c r="C1754" s="73"/>
      <c r="D1754" s="73"/>
      <c r="E1754" s="73"/>
      <c r="F1754" s="66"/>
      <c r="G1754" s="66"/>
      <c r="H1754" s="66"/>
      <c r="I1754" s="66"/>
      <c r="J1754" s="66"/>
      <c r="K1754" s="63">
        <v>4000.0</v>
      </c>
      <c r="L1754" s="63">
        <v>75.0</v>
      </c>
      <c r="M1754" s="66">
        <f t="shared" si="1"/>
        <v>418.88</v>
      </c>
    </row>
    <row r="1755">
      <c r="A1755" s="67"/>
      <c r="B1755" s="67"/>
      <c r="C1755" s="67"/>
      <c r="D1755" s="67"/>
      <c r="E1755" s="67"/>
      <c r="F1755" s="68"/>
      <c r="G1755" s="68"/>
      <c r="H1755" s="68"/>
      <c r="I1755" s="68"/>
      <c r="J1755" s="68"/>
      <c r="K1755" s="69">
        <v>4500.0</v>
      </c>
      <c r="L1755" s="69">
        <v>74.6</v>
      </c>
      <c r="M1755" s="68">
        <f t="shared" si="1"/>
        <v>468.72</v>
      </c>
    </row>
    <row r="1756">
      <c r="A1756" s="70"/>
      <c r="B1756" s="70"/>
      <c r="C1756" s="70"/>
      <c r="D1756" s="70"/>
      <c r="E1756" s="70"/>
      <c r="F1756" s="66"/>
      <c r="G1756" s="66"/>
      <c r="H1756" s="66"/>
      <c r="I1756" s="66"/>
      <c r="J1756" s="66"/>
      <c r="K1756" s="63">
        <v>5000.0</v>
      </c>
      <c r="L1756" s="63">
        <v>69.6</v>
      </c>
      <c r="M1756" s="66">
        <f t="shared" si="1"/>
        <v>485.9</v>
      </c>
    </row>
    <row r="1757">
      <c r="A1757" s="67"/>
      <c r="B1757" s="67"/>
      <c r="C1757" s="67"/>
      <c r="D1757" s="67"/>
      <c r="E1757" s="67"/>
      <c r="F1757" s="68"/>
      <c r="G1757" s="68"/>
      <c r="H1757" s="68"/>
      <c r="I1757" s="68"/>
      <c r="J1757" s="68"/>
      <c r="K1757" s="69">
        <v>5600.0</v>
      </c>
      <c r="L1757" s="69">
        <v>62.6</v>
      </c>
      <c r="M1757" s="68">
        <f t="shared" si="1"/>
        <v>489.47</v>
      </c>
    </row>
    <row r="1758">
      <c r="A1758" s="70"/>
      <c r="B1758" s="70"/>
      <c r="C1758" s="70"/>
      <c r="D1758" s="70"/>
      <c r="E1758" s="70"/>
      <c r="F1758" s="66"/>
      <c r="G1758" s="66"/>
      <c r="H1758" s="66"/>
      <c r="I1758" s="66"/>
      <c r="J1758" s="66"/>
      <c r="K1758" s="63">
        <v>6000.0</v>
      </c>
      <c r="L1758" s="63">
        <v>58.4</v>
      </c>
      <c r="M1758" s="66">
        <f t="shared" si="1"/>
        <v>489.25</v>
      </c>
    </row>
    <row r="1759">
      <c r="A1759" s="67"/>
      <c r="B1759" s="67"/>
      <c r="C1759" s="67"/>
      <c r="D1759" s="67"/>
      <c r="E1759" s="67"/>
      <c r="F1759" s="68"/>
      <c r="G1759" s="68"/>
      <c r="H1759" s="68"/>
      <c r="I1759" s="68"/>
      <c r="J1759" s="68"/>
      <c r="K1759" s="69">
        <v>6500.0</v>
      </c>
      <c r="L1759" s="69">
        <v>53.6</v>
      </c>
      <c r="M1759" s="68">
        <f t="shared" si="1"/>
        <v>486.46</v>
      </c>
    </row>
    <row r="1760">
      <c r="A1760" s="70"/>
      <c r="B1760" s="70"/>
      <c r="C1760" s="70"/>
      <c r="D1760" s="70"/>
      <c r="E1760" s="70"/>
      <c r="F1760" s="66"/>
      <c r="G1760" s="66"/>
      <c r="H1760" s="66"/>
      <c r="I1760" s="66"/>
      <c r="J1760" s="66"/>
      <c r="K1760" s="63">
        <v>7000.0</v>
      </c>
      <c r="L1760" s="63">
        <v>48.8</v>
      </c>
      <c r="M1760" s="66">
        <f t="shared" si="1"/>
        <v>476.96</v>
      </c>
    </row>
    <row r="1761">
      <c r="A1761" s="67"/>
      <c r="B1761" s="67"/>
      <c r="C1761" s="67"/>
      <c r="D1761" s="67"/>
      <c r="E1761" s="67"/>
      <c r="F1761" s="68"/>
      <c r="G1761" s="68"/>
      <c r="H1761" s="68"/>
      <c r="I1761" s="68"/>
      <c r="J1761" s="68"/>
      <c r="K1761" s="69">
        <v>7500.0</v>
      </c>
      <c r="L1761" s="69">
        <v>43.2</v>
      </c>
      <c r="M1761" s="68">
        <f t="shared" si="1"/>
        <v>452.39</v>
      </c>
    </row>
    <row r="1762">
      <c r="A1762" s="70"/>
      <c r="B1762" s="70"/>
      <c r="C1762" s="70"/>
      <c r="D1762" s="70"/>
      <c r="E1762" s="70"/>
      <c r="F1762" s="66"/>
      <c r="G1762" s="66"/>
      <c r="H1762" s="66"/>
      <c r="I1762" s="66"/>
      <c r="J1762" s="66"/>
      <c r="K1762" s="63">
        <v>8000.0</v>
      </c>
      <c r="L1762" s="63">
        <v>37.4</v>
      </c>
      <c r="M1762" s="66">
        <f t="shared" si="1"/>
        <v>417.76</v>
      </c>
    </row>
    <row r="1763">
      <c r="A1763" s="68">
        <v>119.0</v>
      </c>
      <c r="B1763" s="68">
        <v>183.0</v>
      </c>
      <c r="C1763" s="71" t="s">
        <v>405</v>
      </c>
      <c r="D1763" s="71" t="s">
        <v>406</v>
      </c>
      <c r="E1763" s="71" t="s">
        <v>407</v>
      </c>
      <c r="F1763" s="72">
        <v>6500.0</v>
      </c>
      <c r="G1763" s="72">
        <v>6500.0</v>
      </c>
      <c r="H1763" s="72">
        <v>800.0</v>
      </c>
      <c r="I1763" s="72">
        <v>4000.0</v>
      </c>
      <c r="J1763" s="72">
        <v>5500.0</v>
      </c>
      <c r="K1763" s="69">
        <v>500.0</v>
      </c>
      <c r="L1763" s="69">
        <v>19.78</v>
      </c>
      <c r="M1763" s="68">
        <f t="shared" si="1"/>
        <v>13.81</v>
      </c>
    </row>
    <row r="1764">
      <c r="A1764" s="70"/>
      <c r="B1764" s="70"/>
      <c r="C1764" s="70"/>
      <c r="D1764" s="70"/>
      <c r="E1764" s="70"/>
      <c r="F1764" s="66"/>
      <c r="G1764" s="66"/>
      <c r="H1764" s="66"/>
      <c r="I1764" s="66"/>
      <c r="J1764" s="66"/>
      <c r="K1764" s="63">
        <v>1000.0</v>
      </c>
      <c r="L1764" s="63">
        <v>25.38</v>
      </c>
      <c r="M1764" s="66">
        <f t="shared" si="1"/>
        <v>35.44</v>
      </c>
    </row>
    <row r="1765">
      <c r="A1765" s="67"/>
      <c r="B1765" s="67"/>
      <c r="C1765" s="67"/>
      <c r="D1765" s="67"/>
      <c r="E1765" s="67"/>
      <c r="F1765" s="68"/>
      <c r="G1765" s="68"/>
      <c r="H1765" s="68"/>
      <c r="I1765" s="68"/>
      <c r="J1765" s="68"/>
      <c r="K1765" s="69">
        <v>1500.0</v>
      </c>
      <c r="L1765" s="69">
        <v>35.35</v>
      </c>
      <c r="M1765" s="68">
        <f t="shared" si="1"/>
        <v>74.04</v>
      </c>
    </row>
    <row r="1766">
      <c r="A1766" s="70"/>
      <c r="B1766" s="70"/>
      <c r="C1766" s="70"/>
      <c r="D1766" s="70"/>
      <c r="E1766" s="70"/>
      <c r="F1766" s="66"/>
      <c r="G1766" s="66"/>
      <c r="H1766" s="66"/>
      <c r="I1766" s="66"/>
      <c r="J1766" s="66"/>
      <c r="K1766" s="63">
        <v>2000.0</v>
      </c>
      <c r="L1766" s="63">
        <v>48.31</v>
      </c>
      <c r="M1766" s="66">
        <f t="shared" si="1"/>
        <v>134.91</v>
      </c>
    </row>
    <row r="1767">
      <c r="A1767" s="67"/>
      <c r="B1767" s="67"/>
      <c r="C1767" s="67"/>
      <c r="D1767" s="67"/>
      <c r="E1767" s="67"/>
      <c r="F1767" s="68"/>
      <c r="G1767" s="68"/>
      <c r="H1767" s="68"/>
      <c r="I1767" s="68"/>
      <c r="J1767" s="68"/>
      <c r="K1767" s="69">
        <v>2500.0</v>
      </c>
      <c r="L1767" s="69">
        <v>54.15</v>
      </c>
      <c r="M1767" s="68">
        <f t="shared" si="1"/>
        <v>189.02</v>
      </c>
    </row>
    <row r="1768">
      <c r="A1768" s="70"/>
      <c r="B1768" s="70"/>
      <c r="C1768" s="70"/>
      <c r="D1768" s="70"/>
      <c r="E1768" s="70"/>
      <c r="F1768" s="66"/>
      <c r="G1768" s="66"/>
      <c r="H1768" s="66"/>
      <c r="I1768" s="66"/>
      <c r="J1768" s="66"/>
      <c r="K1768" s="63">
        <v>3000.0</v>
      </c>
      <c r="L1768" s="63">
        <v>54.98</v>
      </c>
      <c r="M1768" s="66">
        <f t="shared" si="1"/>
        <v>230.3</v>
      </c>
    </row>
    <row r="1769">
      <c r="A1769" s="67"/>
      <c r="B1769" s="67"/>
      <c r="C1769" s="67"/>
      <c r="D1769" s="67"/>
      <c r="E1769" s="67"/>
      <c r="F1769" s="68"/>
      <c r="G1769" s="68"/>
      <c r="H1769" s="68"/>
      <c r="I1769" s="68"/>
      <c r="J1769" s="68"/>
      <c r="K1769" s="69">
        <v>3500.0</v>
      </c>
      <c r="L1769" s="69">
        <v>55.1</v>
      </c>
      <c r="M1769" s="68">
        <f t="shared" si="1"/>
        <v>269.27</v>
      </c>
    </row>
    <row r="1770">
      <c r="A1770" s="70"/>
      <c r="B1770" s="70"/>
      <c r="C1770" s="70"/>
      <c r="D1770" s="70"/>
      <c r="E1770" s="70"/>
      <c r="F1770" s="66"/>
      <c r="G1770" s="66"/>
      <c r="H1770" s="66"/>
      <c r="I1770" s="66"/>
      <c r="J1770" s="66"/>
      <c r="K1770" s="63">
        <v>4000.0</v>
      </c>
      <c r="L1770" s="63">
        <v>53.7</v>
      </c>
      <c r="M1770" s="66">
        <f t="shared" si="1"/>
        <v>299.92</v>
      </c>
    </row>
    <row r="1771">
      <c r="A1771" s="67"/>
      <c r="B1771" s="67"/>
      <c r="C1771" s="67"/>
      <c r="D1771" s="67"/>
      <c r="E1771" s="67"/>
      <c r="F1771" s="68"/>
      <c r="G1771" s="68"/>
      <c r="H1771" s="68"/>
      <c r="I1771" s="68"/>
      <c r="J1771" s="68"/>
      <c r="K1771" s="69">
        <v>4500.0</v>
      </c>
      <c r="L1771" s="69">
        <v>48.14</v>
      </c>
      <c r="M1771" s="68">
        <f t="shared" si="1"/>
        <v>302.47</v>
      </c>
    </row>
    <row r="1772">
      <c r="A1772" s="70"/>
      <c r="B1772" s="70"/>
      <c r="C1772" s="70"/>
      <c r="D1772" s="70"/>
      <c r="E1772" s="70"/>
      <c r="F1772" s="66"/>
      <c r="G1772" s="66"/>
      <c r="H1772" s="66"/>
      <c r="I1772" s="66"/>
      <c r="J1772" s="66"/>
      <c r="K1772" s="63">
        <v>5000.0</v>
      </c>
      <c r="L1772" s="63">
        <v>42.88</v>
      </c>
      <c r="M1772" s="66">
        <f t="shared" si="1"/>
        <v>299.36</v>
      </c>
    </row>
    <row r="1773">
      <c r="A1773" s="67"/>
      <c r="B1773" s="67"/>
      <c r="C1773" s="67"/>
      <c r="D1773" s="67"/>
      <c r="E1773" s="67"/>
      <c r="F1773" s="68"/>
      <c r="G1773" s="68"/>
      <c r="H1773" s="68"/>
      <c r="I1773" s="68"/>
      <c r="J1773" s="68"/>
      <c r="K1773" s="69">
        <v>5500.0</v>
      </c>
      <c r="L1773" s="69">
        <v>37.15</v>
      </c>
      <c r="M1773" s="68">
        <f t="shared" si="1"/>
        <v>285.29</v>
      </c>
    </row>
    <row r="1774">
      <c r="A1774" s="70"/>
      <c r="B1774" s="70"/>
      <c r="C1774" s="70"/>
      <c r="D1774" s="70"/>
      <c r="E1774" s="70"/>
      <c r="F1774" s="66"/>
      <c r="G1774" s="66"/>
      <c r="H1774" s="66"/>
      <c r="I1774" s="66"/>
      <c r="J1774" s="66"/>
      <c r="K1774" s="63">
        <v>6000.0</v>
      </c>
      <c r="L1774" s="63">
        <v>30.45</v>
      </c>
      <c r="M1774" s="66">
        <f t="shared" si="1"/>
        <v>255.1</v>
      </c>
    </row>
    <row r="1775">
      <c r="A1775" s="67"/>
      <c r="B1775" s="67"/>
      <c r="C1775" s="67"/>
      <c r="D1775" s="67"/>
      <c r="E1775" s="67"/>
      <c r="F1775" s="68"/>
      <c r="G1775" s="68"/>
      <c r="H1775" s="68"/>
      <c r="I1775" s="68"/>
      <c r="J1775" s="68"/>
      <c r="K1775" s="69">
        <v>6500.0</v>
      </c>
      <c r="L1775" s="69">
        <v>20.83</v>
      </c>
      <c r="M1775" s="68">
        <f t="shared" si="1"/>
        <v>189.05</v>
      </c>
    </row>
    <row r="1776">
      <c r="A1776" s="66">
        <v>120.0</v>
      </c>
      <c r="B1776" s="66">
        <v>184.0</v>
      </c>
      <c r="C1776" s="74" t="s">
        <v>408</v>
      </c>
      <c r="D1776" s="74" t="s">
        <v>409</v>
      </c>
      <c r="E1776" s="74" t="s">
        <v>410</v>
      </c>
      <c r="F1776" s="65">
        <v>8000.0</v>
      </c>
      <c r="G1776" s="65">
        <v>8400.0</v>
      </c>
      <c r="H1776" s="65">
        <v>750.0</v>
      </c>
      <c r="I1776" s="65">
        <v>5300.0</v>
      </c>
      <c r="J1776" s="65">
        <v>7300.0</v>
      </c>
      <c r="K1776" s="63">
        <v>500.0</v>
      </c>
      <c r="L1776" s="63">
        <v>20.0</v>
      </c>
      <c r="M1776" s="66">
        <f t="shared" si="1"/>
        <v>13.96</v>
      </c>
    </row>
    <row r="1777">
      <c r="A1777" s="67"/>
      <c r="B1777" s="67"/>
      <c r="C1777" s="67"/>
      <c r="D1777" s="67"/>
      <c r="E1777" s="67"/>
      <c r="F1777" s="68"/>
      <c r="G1777" s="68"/>
      <c r="H1777" s="68"/>
      <c r="I1777" s="68"/>
      <c r="J1777" s="68"/>
      <c r="K1777" s="69">
        <v>1000.0</v>
      </c>
      <c r="L1777" s="69">
        <v>23.3</v>
      </c>
      <c r="M1777" s="68">
        <f t="shared" si="1"/>
        <v>32.53</v>
      </c>
    </row>
    <row r="1778">
      <c r="A1778" s="73"/>
      <c r="B1778" s="73"/>
      <c r="C1778" s="73"/>
      <c r="D1778" s="73"/>
      <c r="E1778" s="73"/>
      <c r="F1778" s="66"/>
      <c r="G1778" s="66"/>
      <c r="H1778" s="66"/>
      <c r="I1778" s="66"/>
      <c r="J1778" s="66"/>
      <c r="K1778" s="63">
        <v>1500.0</v>
      </c>
      <c r="L1778" s="63">
        <v>25.3</v>
      </c>
      <c r="M1778" s="66">
        <f t="shared" si="1"/>
        <v>52.99</v>
      </c>
    </row>
    <row r="1779">
      <c r="A1779" s="67"/>
      <c r="B1779" s="67"/>
      <c r="C1779" s="67"/>
      <c r="D1779" s="67"/>
      <c r="E1779" s="67"/>
      <c r="F1779" s="68"/>
      <c r="G1779" s="68"/>
      <c r="H1779" s="68"/>
      <c r="I1779" s="68"/>
      <c r="J1779" s="68"/>
      <c r="K1779" s="69">
        <v>2000.0</v>
      </c>
      <c r="L1779" s="69">
        <v>26.4</v>
      </c>
      <c r="M1779" s="68">
        <f t="shared" si="1"/>
        <v>73.72</v>
      </c>
    </row>
    <row r="1780">
      <c r="A1780" s="70"/>
      <c r="B1780" s="70"/>
      <c r="C1780" s="70"/>
      <c r="D1780" s="70"/>
      <c r="E1780" s="70"/>
      <c r="F1780" s="66"/>
      <c r="G1780" s="66"/>
      <c r="H1780" s="66"/>
      <c r="I1780" s="66"/>
      <c r="J1780" s="66"/>
      <c r="K1780" s="63">
        <v>2500.0</v>
      </c>
      <c r="L1780" s="63">
        <v>27.1</v>
      </c>
      <c r="M1780" s="66">
        <f t="shared" si="1"/>
        <v>94.6</v>
      </c>
    </row>
    <row r="1781">
      <c r="A1781" s="67"/>
      <c r="B1781" s="67"/>
      <c r="C1781" s="67"/>
      <c r="D1781" s="67"/>
      <c r="E1781" s="67"/>
      <c r="F1781" s="68"/>
      <c r="G1781" s="68"/>
      <c r="H1781" s="68"/>
      <c r="I1781" s="68"/>
      <c r="J1781" s="68"/>
      <c r="K1781" s="69">
        <v>3000.0</v>
      </c>
      <c r="L1781" s="69">
        <v>28.0</v>
      </c>
      <c r="M1781" s="68">
        <f t="shared" si="1"/>
        <v>117.29</v>
      </c>
    </row>
    <row r="1782">
      <c r="A1782" s="70"/>
      <c r="B1782" s="70"/>
      <c r="C1782" s="70"/>
      <c r="D1782" s="70"/>
      <c r="E1782" s="70"/>
      <c r="F1782" s="66"/>
      <c r="G1782" s="66"/>
      <c r="H1782" s="66"/>
      <c r="I1782" s="66"/>
      <c r="J1782" s="66"/>
      <c r="K1782" s="63">
        <v>3500.0</v>
      </c>
      <c r="L1782" s="63">
        <v>29.87</v>
      </c>
      <c r="M1782" s="66">
        <f t="shared" si="1"/>
        <v>145.97</v>
      </c>
    </row>
    <row r="1783">
      <c r="A1783" s="67"/>
      <c r="B1783" s="67"/>
      <c r="C1783" s="67"/>
      <c r="D1783" s="67"/>
      <c r="E1783" s="67"/>
      <c r="F1783" s="68"/>
      <c r="G1783" s="68"/>
      <c r="H1783" s="68"/>
      <c r="I1783" s="68"/>
      <c r="J1783" s="68"/>
      <c r="K1783" s="69">
        <v>4000.0</v>
      </c>
      <c r="L1783" s="69">
        <v>29.97</v>
      </c>
      <c r="M1783" s="68">
        <f t="shared" si="1"/>
        <v>167.38</v>
      </c>
    </row>
    <row r="1784">
      <c r="A1784" s="70"/>
      <c r="B1784" s="70"/>
      <c r="C1784" s="70"/>
      <c r="D1784" s="70"/>
      <c r="E1784" s="70"/>
      <c r="F1784" s="66"/>
      <c r="G1784" s="66"/>
      <c r="H1784" s="66"/>
      <c r="I1784" s="66"/>
      <c r="J1784" s="66"/>
      <c r="K1784" s="63">
        <v>4500.0</v>
      </c>
      <c r="L1784" s="63">
        <v>30.0</v>
      </c>
      <c r="M1784" s="66">
        <f t="shared" si="1"/>
        <v>188.49</v>
      </c>
    </row>
    <row r="1785">
      <c r="A1785" s="67"/>
      <c r="B1785" s="67"/>
      <c r="C1785" s="67"/>
      <c r="D1785" s="67"/>
      <c r="E1785" s="67"/>
      <c r="F1785" s="68"/>
      <c r="G1785" s="68"/>
      <c r="H1785" s="68"/>
      <c r="I1785" s="68"/>
      <c r="J1785" s="68"/>
      <c r="K1785" s="69">
        <v>5000.0</v>
      </c>
      <c r="L1785" s="69">
        <v>30.82</v>
      </c>
      <c r="M1785" s="68">
        <f t="shared" si="1"/>
        <v>215.16</v>
      </c>
    </row>
    <row r="1786">
      <c r="A1786" s="70"/>
      <c r="B1786" s="70"/>
      <c r="C1786" s="70"/>
      <c r="D1786" s="70"/>
      <c r="E1786" s="70"/>
      <c r="F1786" s="66"/>
      <c r="G1786" s="66"/>
      <c r="H1786" s="66"/>
      <c r="I1786" s="66"/>
      <c r="J1786" s="66"/>
      <c r="K1786" s="63">
        <v>5500.0</v>
      </c>
      <c r="L1786" s="63">
        <v>31.0</v>
      </c>
      <c r="M1786" s="66">
        <f t="shared" si="1"/>
        <v>238.06</v>
      </c>
    </row>
    <row r="1787">
      <c r="A1787" s="67"/>
      <c r="B1787" s="67"/>
      <c r="C1787" s="67"/>
      <c r="D1787" s="67"/>
      <c r="E1787" s="67"/>
      <c r="F1787" s="68"/>
      <c r="G1787" s="68"/>
      <c r="H1787" s="68"/>
      <c r="I1787" s="68"/>
      <c r="J1787" s="68"/>
      <c r="K1787" s="69">
        <v>6000.0</v>
      </c>
      <c r="L1787" s="69">
        <v>30.4</v>
      </c>
      <c r="M1787" s="68">
        <f t="shared" si="1"/>
        <v>254.68</v>
      </c>
    </row>
    <row r="1788">
      <c r="A1788" s="70"/>
      <c r="B1788" s="70"/>
      <c r="C1788" s="70"/>
      <c r="D1788" s="70"/>
      <c r="E1788" s="70"/>
      <c r="F1788" s="66"/>
      <c r="G1788" s="66"/>
      <c r="H1788" s="66"/>
      <c r="I1788" s="66"/>
      <c r="J1788" s="66"/>
      <c r="K1788" s="63">
        <v>6500.0</v>
      </c>
      <c r="L1788" s="63">
        <v>30.1</v>
      </c>
      <c r="M1788" s="66">
        <f t="shared" si="1"/>
        <v>273.18</v>
      </c>
    </row>
    <row r="1789">
      <c r="A1789" s="67"/>
      <c r="B1789" s="67"/>
      <c r="C1789" s="67"/>
      <c r="D1789" s="67"/>
      <c r="E1789" s="67"/>
      <c r="F1789" s="68"/>
      <c r="G1789" s="68"/>
      <c r="H1789" s="68"/>
      <c r="I1789" s="68"/>
      <c r="J1789" s="68"/>
      <c r="K1789" s="69">
        <v>7000.0</v>
      </c>
      <c r="L1789" s="69">
        <v>28.6</v>
      </c>
      <c r="M1789" s="68">
        <f t="shared" si="1"/>
        <v>279.53</v>
      </c>
    </row>
    <row r="1790">
      <c r="A1790" s="70"/>
      <c r="B1790" s="70"/>
      <c r="C1790" s="70"/>
      <c r="D1790" s="70"/>
      <c r="E1790" s="70"/>
      <c r="F1790" s="66"/>
      <c r="G1790" s="66"/>
      <c r="H1790" s="66"/>
      <c r="I1790" s="66"/>
      <c r="J1790" s="66"/>
      <c r="K1790" s="63">
        <v>7500.0</v>
      </c>
      <c r="L1790" s="63">
        <v>26.2</v>
      </c>
      <c r="M1790" s="66">
        <f t="shared" si="1"/>
        <v>274.36</v>
      </c>
    </row>
    <row r="1791">
      <c r="A1791" s="67"/>
      <c r="B1791" s="67"/>
      <c r="C1791" s="67"/>
      <c r="D1791" s="67"/>
      <c r="E1791" s="67"/>
      <c r="F1791" s="68"/>
      <c r="G1791" s="68"/>
      <c r="H1791" s="68"/>
      <c r="I1791" s="68"/>
      <c r="J1791" s="68"/>
      <c r="K1791" s="69">
        <v>8000.0</v>
      </c>
      <c r="L1791" s="69">
        <v>23.8</v>
      </c>
      <c r="M1791" s="68">
        <f t="shared" si="1"/>
        <v>265.85</v>
      </c>
    </row>
    <row r="1792">
      <c r="A1792" s="70"/>
      <c r="B1792" s="70"/>
      <c r="C1792" s="70"/>
      <c r="D1792" s="70"/>
      <c r="E1792" s="70"/>
      <c r="F1792" s="66"/>
      <c r="G1792" s="66"/>
      <c r="H1792" s="66"/>
      <c r="I1792" s="66"/>
      <c r="J1792" s="66"/>
      <c r="K1792" s="63">
        <v>8500.0</v>
      </c>
      <c r="L1792" s="63">
        <v>21.1</v>
      </c>
      <c r="M1792" s="66">
        <f t="shared" si="1"/>
        <v>250.42</v>
      </c>
    </row>
    <row r="1793">
      <c r="A1793" s="67"/>
      <c r="B1793" s="67"/>
      <c r="C1793" s="67"/>
      <c r="D1793" s="67"/>
      <c r="E1793" s="67"/>
      <c r="F1793" s="68"/>
      <c r="G1793" s="68"/>
      <c r="H1793" s="68"/>
      <c r="I1793" s="68"/>
      <c r="J1793" s="68"/>
      <c r="K1793" s="69">
        <v>9000.0</v>
      </c>
      <c r="L1793" s="69">
        <v>17.7</v>
      </c>
      <c r="M1793" s="68">
        <f t="shared" si="1"/>
        <v>222.42</v>
      </c>
    </row>
    <row r="1794">
      <c r="A1794" s="66">
        <v>121.0</v>
      </c>
      <c r="B1794" s="66">
        <v>186.0</v>
      </c>
      <c r="C1794" s="74" t="s">
        <v>411</v>
      </c>
      <c r="D1794" s="74" t="s">
        <v>412</v>
      </c>
      <c r="E1794" s="74" t="s">
        <v>413</v>
      </c>
      <c r="F1794" s="65">
        <v>9500.0</v>
      </c>
      <c r="G1794" s="65">
        <v>9500.0</v>
      </c>
      <c r="H1794" s="65">
        <v>900.0</v>
      </c>
      <c r="I1794" s="65">
        <v>8000.0</v>
      </c>
      <c r="J1794" s="65">
        <v>9500.0</v>
      </c>
      <c r="K1794" s="63">
        <v>500.0</v>
      </c>
      <c r="L1794" s="63">
        <v>23.0</v>
      </c>
      <c r="M1794" s="66">
        <f t="shared" si="1"/>
        <v>16.06</v>
      </c>
    </row>
    <row r="1795">
      <c r="A1795" s="67"/>
      <c r="B1795" s="67"/>
      <c r="C1795" s="67"/>
      <c r="D1795" s="67"/>
      <c r="E1795" s="67"/>
      <c r="F1795" s="68"/>
      <c r="G1795" s="68"/>
      <c r="H1795" s="68"/>
      <c r="I1795" s="68"/>
      <c r="J1795" s="68"/>
      <c r="K1795" s="69">
        <v>1000.0</v>
      </c>
      <c r="L1795" s="69">
        <v>25.75</v>
      </c>
      <c r="M1795" s="68">
        <f t="shared" si="1"/>
        <v>35.95</v>
      </c>
    </row>
    <row r="1796">
      <c r="A1796" s="70"/>
      <c r="B1796" s="70"/>
      <c r="C1796" s="70"/>
      <c r="D1796" s="70"/>
      <c r="E1796" s="70"/>
      <c r="F1796" s="66"/>
      <c r="G1796" s="66"/>
      <c r="H1796" s="66"/>
      <c r="I1796" s="66"/>
      <c r="J1796" s="66"/>
      <c r="K1796" s="63">
        <v>1500.0</v>
      </c>
      <c r="L1796" s="63">
        <v>27.75</v>
      </c>
      <c r="M1796" s="66">
        <f t="shared" si="1"/>
        <v>58.12</v>
      </c>
    </row>
    <row r="1797">
      <c r="A1797" s="67"/>
      <c r="B1797" s="67"/>
      <c r="C1797" s="67"/>
      <c r="D1797" s="67"/>
      <c r="E1797" s="67"/>
      <c r="F1797" s="68"/>
      <c r="G1797" s="68"/>
      <c r="H1797" s="68"/>
      <c r="I1797" s="68"/>
      <c r="J1797" s="68"/>
      <c r="K1797" s="69">
        <v>2000.0</v>
      </c>
      <c r="L1797" s="69">
        <v>29.38</v>
      </c>
      <c r="M1797" s="68">
        <f t="shared" si="1"/>
        <v>82.04</v>
      </c>
    </row>
    <row r="1798">
      <c r="A1798" s="70"/>
      <c r="B1798" s="70"/>
      <c r="C1798" s="70"/>
      <c r="D1798" s="70"/>
      <c r="E1798" s="70"/>
      <c r="F1798" s="66"/>
      <c r="G1798" s="66"/>
      <c r="H1798" s="66"/>
      <c r="I1798" s="66"/>
      <c r="J1798" s="66"/>
      <c r="K1798" s="63">
        <v>2500.0</v>
      </c>
      <c r="L1798" s="63">
        <v>30.5</v>
      </c>
      <c r="M1798" s="66">
        <f t="shared" si="1"/>
        <v>106.46</v>
      </c>
    </row>
    <row r="1799">
      <c r="A1799" s="67"/>
      <c r="B1799" s="67"/>
      <c r="C1799" s="67"/>
      <c r="D1799" s="67"/>
      <c r="E1799" s="67"/>
      <c r="F1799" s="68"/>
      <c r="G1799" s="68"/>
      <c r="H1799" s="68"/>
      <c r="I1799" s="68"/>
      <c r="J1799" s="68"/>
      <c r="K1799" s="69">
        <v>3000.0</v>
      </c>
      <c r="L1799" s="69">
        <v>31.25</v>
      </c>
      <c r="M1799" s="68">
        <f t="shared" si="1"/>
        <v>130.9</v>
      </c>
    </row>
    <row r="1800">
      <c r="A1800" s="70"/>
      <c r="B1800" s="70"/>
      <c r="C1800" s="70"/>
      <c r="D1800" s="70"/>
      <c r="E1800" s="70"/>
      <c r="F1800" s="66"/>
      <c r="G1800" s="66"/>
      <c r="H1800" s="66"/>
      <c r="I1800" s="66"/>
      <c r="J1800" s="66"/>
      <c r="K1800" s="63">
        <v>3500.0</v>
      </c>
      <c r="L1800" s="63">
        <v>31.88</v>
      </c>
      <c r="M1800" s="66">
        <f t="shared" si="1"/>
        <v>155.79</v>
      </c>
    </row>
    <row r="1801">
      <c r="A1801" s="67"/>
      <c r="B1801" s="67"/>
      <c r="C1801" s="67"/>
      <c r="D1801" s="67"/>
      <c r="E1801" s="67"/>
      <c r="F1801" s="68"/>
      <c r="G1801" s="68"/>
      <c r="H1801" s="68"/>
      <c r="I1801" s="68"/>
      <c r="J1801" s="68"/>
      <c r="K1801" s="69">
        <v>4000.0</v>
      </c>
      <c r="L1801" s="69">
        <v>32.38</v>
      </c>
      <c r="M1801" s="68">
        <f t="shared" si="1"/>
        <v>180.84</v>
      </c>
    </row>
    <row r="1802">
      <c r="A1802" s="73"/>
      <c r="B1802" s="73"/>
      <c r="C1802" s="73"/>
      <c r="D1802" s="73"/>
      <c r="E1802" s="73"/>
      <c r="F1802" s="66"/>
      <c r="G1802" s="66"/>
      <c r="H1802" s="66"/>
      <c r="I1802" s="66"/>
      <c r="J1802" s="66"/>
      <c r="K1802" s="63">
        <v>4500.0</v>
      </c>
      <c r="L1802" s="63">
        <v>34.01</v>
      </c>
      <c r="M1802" s="66">
        <f t="shared" si="1"/>
        <v>213.69</v>
      </c>
    </row>
    <row r="1803">
      <c r="A1803" s="67"/>
      <c r="B1803" s="67"/>
      <c r="C1803" s="67"/>
      <c r="D1803" s="67"/>
      <c r="E1803" s="67"/>
      <c r="F1803" s="68"/>
      <c r="G1803" s="68"/>
      <c r="H1803" s="68"/>
      <c r="I1803" s="68"/>
      <c r="J1803" s="68"/>
      <c r="K1803" s="69">
        <v>5000.0</v>
      </c>
      <c r="L1803" s="69">
        <v>36.01</v>
      </c>
      <c r="M1803" s="68">
        <f t="shared" si="1"/>
        <v>251.4</v>
      </c>
    </row>
    <row r="1804">
      <c r="A1804" s="70"/>
      <c r="B1804" s="70"/>
      <c r="C1804" s="70"/>
      <c r="D1804" s="70"/>
      <c r="E1804" s="70"/>
      <c r="F1804" s="66"/>
      <c r="G1804" s="66"/>
      <c r="H1804" s="66"/>
      <c r="I1804" s="66"/>
      <c r="J1804" s="66"/>
      <c r="K1804" s="63">
        <v>5500.0</v>
      </c>
      <c r="L1804" s="63">
        <v>38.26</v>
      </c>
      <c r="M1804" s="66">
        <f t="shared" si="1"/>
        <v>293.81</v>
      </c>
    </row>
    <row r="1805">
      <c r="A1805" s="67"/>
      <c r="B1805" s="67"/>
      <c r="C1805" s="67"/>
      <c r="D1805" s="67"/>
      <c r="E1805" s="67"/>
      <c r="F1805" s="68"/>
      <c r="G1805" s="68"/>
      <c r="H1805" s="68"/>
      <c r="I1805" s="68"/>
      <c r="J1805" s="68"/>
      <c r="K1805" s="69">
        <v>6000.0</v>
      </c>
      <c r="L1805" s="69">
        <v>39.13</v>
      </c>
      <c r="M1805" s="68">
        <f t="shared" si="1"/>
        <v>327.81</v>
      </c>
    </row>
    <row r="1806">
      <c r="A1806" s="70"/>
      <c r="B1806" s="70"/>
      <c r="C1806" s="70"/>
      <c r="D1806" s="70"/>
      <c r="E1806" s="70"/>
      <c r="F1806" s="66"/>
      <c r="G1806" s="66"/>
      <c r="H1806" s="66"/>
      <c r="I1806" s="66"/>
      <c r="J1806" s="66"/>
      <c r="K1806" s="63">
        <v>6500.0</v>
      </c>
      <c r="L1806" s="63">
        <v>39.63</v>
      </c>
      <c r="M1806" s="66">
        <f t="shared" si="1"/>
        <v>359.67</v>
      </c>
    </row>
    <row r="1807">
      <c r="A1807" s="67"/>
      <c r="B1807" s="67"/>
      <c r="C1807" s="67"/>
      <c r="D1807" s="67"/>
      <c r="E1807" s="67"/>
      <c r="F1807" s="68"/>
      <c r="G1807" s="68"/>
      <c r="H1807" s="68"/>
      <c r="I1807" s="68"/>
      <c r="J1807" s="68"/>
      <c r="K1807" s="69">
        <v>7000.0</v>
      </c>
      <c r="L1807" s="69">
        <v>40.01</v>
      </c>
      <c r="M1807" s="68">
        <f t="shared" si="1"/>
        <v>391.05</v>
      </c>
    </row>
    <row r="1808">
      <c r="A1808" s="70"/>
      <c r="B1808" s="70"/>
      <c r="C1808" s="70"/>
      <c r="D1808" s="70"/>
      <c r="E1808" s="70"/>
      <c r="F1808" s="66"/>
      <c r="G1808" s="66"/>
      <c r="H1808" s="66"/>
      <c r="I1808" s="66"/>
      <c r="J1808" s="66"/>
      <c r="K1808" s="63">
        <v>7500.0</v>
      </c>
      <c r="L1808" s="63">
        <v>40.51</v>
      </c>
      <c r="M1808" s="66">
        <f t="shared" si="1"/>
        <v>424.22</v>
      </c>
    </row>
    <row r="1809">
      <c r="A1809" s="67"/>
      <c r="B1809" s="67"/>
      <c r="C1809" s="67"/>
      <c r="D1809" s="67"/>
      <c r="E1809" s="67"/>
      <c r="F1809" s="68"/>
      <c r="G1809" s="68"/>
      <c r="H1809" s="68"/>
      <c r="I1809" s="68"/>
      <c r="J1809" s="68"/>
      <c r="K1809" s="69">
        <v>8000.0</v>
      </c>
      <c r="L1809" s="69">
        <v>40.5</v>
      </c>
      <c r="M1809" s="68">
        <f t="shared" si="1"/>
        <v>452.39</v>
      </c>
    </row>
    <row r="1810">
      <c r="A1810" s="70"/>
      <c r="B1810" s="70"/>
      <c r="C1810" s="70"/>
      <c r="D1810" s="70"/>
      <c r="E1810" s="70"/>
      <c r="F1810" s="66"/>
      <c r="G1810" s="66"/>
      <c r="H1810" s="66"/>
      <c r="I1810" s="66"/>
      <c r="J1810" s="66"/>
      <c r="K1810" s="63">
        <v>8500.0</v>
      </c>
      <c r="L1810" s="63">
        <v>40.25</v>
      </c>
      <c r="M1810" s="66">
        <f t="shared" si="1"/>
        <v>477.69</v>
      </c>
    </row>
    <row r="1811">
      <c r="A1811" s="67"/>
      <c r="B1811" s="67"/>
      <c r="C1811" s="67"/>
      <c r="D1811" s="67"/>
      <c r="E1811" s="67"/>
      <c r="F1811" s="68"/>
      <c r="G1811" s="68"/>
      <c r="H1811" s="68"/>
      <c r="I1811" s="68"/>
      <c r="J1811" s="68"/>
      <c r="K1811" s="69">
        <v>9000.0</v>
      </c>
      <c r="L1811" s="69">
        <v>39.51</v>
      </c>
      <c r="M1811" s="68">
        <f t="shared" si="1"/>
        <v>496.5</v>
      </c>
    </row>
    <row r="1812">
      <c r="A1812" s="70"/>
      <c r="B1812" s="70"/>
      <c r="C1812" s="70"/>
      <c r="D1812" s="70"/>
      <c r="E1812" s="70"/>
      <c r="F1812" s="66"/>
      <c r="G1812" s="66"/>
      <c r="H1812" s="66"/>
      <c r="I1812" s="66"/>
      <c r="J1812" s="66"/>
      <c r="K1812" s="63">
        <v>9500.0</v>
      </c>
      <c r="L1812" s="63">
        <v>37.76</v>
      </c>
      <c r="M1812" s="66">
        <f t="shared" si="1"/>
        <v>500.87</v>
      </c>
    </row>
    <row r="1813">
      <c r="A1813" s="67"/>
      <c r="B1813" s="67"/>
      <c r="C1813" s="67"/>
      <c r="D1813" s="67"/>
      <c r="E1813" s="67"/>
      <c r="F1813" s="68"/>
      <c r="G1813" s="68"/>
      <c r="H1813" s="68"/>
      <c r="I1813" s="68"/>
      <c r="J1813" s="68"/>
      <c r="K1813" s="69">
        <v>10000.0</v>
      </c>
      <c r="L1813" s="69">
        <v>35.38</v>
      </c>
      <c r="M1813" s="68">
        <f t="shared" si="1"/>
        <v>494</v>
      </c>
    </row>
    <row r="1814">
      <c r="A1814" s="70"/>
      <c r="B1814" s="70"/>
      <c r="C1814" s="70"/>
      <c r="D1814" s="70"/>
      <c r="E1814" s="70"/>
      <c r="F1814" s="66"/>
      <c r="G1814" s="66"/>
      <c r="H1814" s="66"/>
      <c r="I1814" s="66"/>
      <c r="J1814" s="66"/>
      <c r="K1814" s="63">
        <v>10500.0</v>
      </c>
      <c r="L1814" s="63">
        <v>31.88</v>
      </c>
      <c r="M1814" s="66">
        <f t="shared" si="1"/>
        <v>467.38</v>
      </c>
    </row>
    <row r="1815">
      <c r="A1815" s="68">
        <v>122.0</v>
      </c>
      <c r="B1815" s="68">
        <v>187.0</v>
      </c>
      <c r="C1815" s="71" t="s">
        <v>414</v>
      </c>
      <c r="D1815" s="71" t="s">
        <v>415</v>
      </c>
      <c r="E1815" s="71" t="s">
        <v>416</v>
      </c>
      <c r="F1815" s="72">
        <v>8400.0</v>
      </c>
      <c r="G1815" s="72">
        <v>9000.0</v>
      </c>
      <c r="H1815" s="72">
        <v>700.0</v>
      </c>
      <c r="I1815" s="72">
        <v>7500.0</v>
      </c>
      <c r="J1815" s="72">
        <v>8200.0</v>
      </c>
      <c r="K1815" s="69">
        <v>500.0</v>
      </c>
      <c r="L1815" s="69">
        <v>10.8</v>
      </c>
      <c r="M1815" s="68">
        <f t="shared" si="1"/>
        <v>7.54</v>
      </c>
    </row>
    <row r="1816">
      <c r="A1816" s="70"/>
      <c r="B1816" s="70"/>
      <c r="C1816" s="70"/>
      <c r="D1816" s="70"/>
      <c r="E1816" s="70"/>
      <c r="F1816" s="66"/>
      <c r="G1816" s="66"/>
      <c r="H1816" s="66"/>
      <c r="I1816" s="66"/>
      <c r="J1816" s="66"/>
      <c r="K1816" s="63">
        <v>1000.0</v>
      </c>
      <c r="L1816" s="63">
        <v>12.0</v>
      </c>
      <c r="M1816" s="66">
        <f t="shared" si="1"/>
        <v>16.76</v>
      </c>
    </row>
    <row r="1817">
      <c r="A1817" s="67"/>
      <c r="B1817" s="67"/>
      <c r="C1817" s="67"/>
      <c r="D1817" s="67"/>
      <c r="E1817" s="67"/>
      <c r="F1817" s="68"/>
      <c r="G1817" s="68"/>
      <c r="H1817" s="68"/>
      <c r="I1817" s="68"/>
      <c r="J1817" s="68"/>
      <c r="K1817" s="69">
        <v>1500.0</v>
      </c>
      <c r="L1817" s="69">
        <v>12.6</v>
      </c>
      <c r="M1817" s="68">
        <f t="shared" si="1"/>
        <v>26.39</v>
      </c>
    </row>
    <row r="1818">
      <c r="A1818" s="70"/>
      <c r="B1818" s="70"/>
      <c r="C1818" s="70"/>
      <c r="D1818" s="70"/>
      <c r="E1818" s="70"/>
      <c r="F1818" s="66"/>
      <c r="G1818" s="66"/>
      <c r="H1818" s="66"/>
      <c r="I1818" s="66"/>
      <c r="J1818" s="66"/>
      <c r="K1818" s="63">
        <v>2000.0</v>
      </c>
      <c r="L1818" s="63">
        <v>13.2</v>
      </c>
      <c r="M1818" s="66">
        <f t="shared" si="1"/>
        <v>36.86</v>
      </c>
    </row>
    <row r="1819">
      <c r="A1819" s="67"/>
      <c r="B1819" s="67"/>
      <c r="C1819" s="67"/>
      <c r="D1819" s="67"/>
      <c r="E1819" s="67"/>
      <c r="F1819" s="68"/>
      <c r="G1819" s="68"/>
      <c r="H1819" s="68"/>
      <c r="I1819" s="68"/>
      <c r="J1819" s="68"/>
      <c r="K1819" s="69">
        <v>2500.0</v>
      </c>
      <c r="L1819" s="69">
        <v>13.65</v>
      </c>
      <c r="M1819" s="68">
        <f t="shared" si="1"/>
        <v>47.65</v>
      </c>
    </row>
    <row r="1820">
      <c r="A1820" s="70"/>
      <c r="B1820" s="70"/>
      <c r="C1820" s="70"/>
      <c r="D1820" s="70"/>
      <c r="E1820" s="70"/>
      <c r="F1820" s="66"/>
      <c r="G1820" s="66"/>
      <c r="H1820" s="66"/>
      <c r="I1820" s="66"/>
      <c r="J1820" s="66"/>
      <c r="K1820" s="63">
        <v>3000.0</v>
      </c>
      <c r="L1820" s="63">
        <v>14.3</v>
      </c>
      <c r="M1820" s="66">
        <f t="shared" si="1"/>
        <v>59.9</v>
      </c>
    </row>
    <row r="1821">
      <c r="A1821" s="67"/>
      <c r="B1821" s="67"/>
      <c r="C1821" s="67"/>
      <c r="D1821" s="67"/>
      <c r="E1821" s="67"/>
      <c r="F1821" s="68"/>
      <c r="G1821" s="68"/>
      <c r="H1821" s="68"/>
      <c r="I1821" s="68"/>
      <c r="J1821" s="68"/>
      <c r="K1821" s="69">
        <v>3500.0</v>
      </c>
      <c r="L1821" s="69">
        <v>14.0</v>
      </c>
      <c r="M1821" s="68">
        <f t="shared" si="1"/>
        <v>68.42</v>
      </c>
    </row>
    <row r="1822">
      <c r="A1822" s="70"/>
      <c r="B1822" s="70"/>
      <c r="C1822" s="70"/>
      <c r="D1822" s="70"/>
      <c r="E1822" s="70"/>
      <c r="F1822" s="66"/>
      <c r="G1822" s="66"/>
      <c r="H1822" s="66"/>
      <c r="I1822" s="66"/>
      <c r="J1822" s="66"/>
      <c r="K1822" s="63">
        <v>4000.0</v>
      </c>
      <c r="L1822" s="63">
        <v>14.0</v>
      </c>
      <c r="M1822" s="66">
        <f t="shared" si="1"/>
        <v>78.19</v>
      </c>
    </row>
    <row r="1823">
      <c r="A1823" s="67"/>
      <c r="B1823" s="67"/>
      <c r="C1823" s="67"/>
      <c r="D1823" s="67"/>
      <c r="E1823" s="67"/>
      <c r="F1823" s="68"/>
      <c r="G1823" s="68"/>
      <c r="H1823" s="68"/>
      <c r="I1823" s="68"/>
      <c r="J1823" s="68"/>
      <c r="K1823" s="69">
        <v>4500.0</v>
      </c>
      <c r="L1823" s="69">
        <v>14.15</v>
      </c>
      <c r="M1823" s="68">
        <f t="shared" si="1"/>
        <v>88.91</v>
      </c>
    </row>
    <row r="1824">
      <c r="A1824" s="70"/>
      <c r="B1824" s="70"/>
      <c r="C1824" s="70"/>
      <c r="D1824" s="70"/>
      <c r="E1824" s="70"/>
      <c r="F1824" s="66"/>
      <c r="G1824" s="66"/>
      <c r="H1824" s="66"/>
      <c r="I1824" s="66"/>
      <c r="J1824" s="66"/>
      <c r="K1824" s="63">
        <v>5000.0</v>
      </c>
      <c r="L1824" s="63">
        <v>14.3</v>
      </c>
      <c r="M1824" s="66">
        <f t="shared" si="1"/>
        <v>99.83</v>
      </c>
    </row>
    <row r="1825">
      <c r="A1825" s="67"/>
      <c r="B1825" s="67"/>
      <c r="C1825" s="67"/>
      <c r="D1825" s="67"/>
      <c r="E1825" s="67"/>
      <c r="F1825" s="68"/>
      <c r="G1825" s="68"/>
      <c r="H1825" s="68"/>
      <c r="I1825" s="68"/>
      <c r="J1825" s="68"/>
      <c r="K1825" s="69">
        <v>5500.0</v>
      </c>
      <c r="L1825" s="69">
        <v>14.5</v>
      </c>
      <c r="M1825" s="68">
        <f t="shared" si="1"/>
        <v>111.35</v>
      </c>
    </row>
    <row r="1826">
      <c r="A1826" s="73"/>
      <c r="B1826" s="73"/>
      <c r="C1826" s="73"/>
      <c r="D1826" s="73"/>
      <c r="E1826" s="73"/>
      <c r="F1826" s="66"/>
      <c r="G1826" s="66"/>
      <c r="H1826" s="66"/>
      <c r="I1826" s="66"/>
      <c r="J1826" s="66"/>
      <c r="K1826" s="63">
        <v>6000.0</v>
      </c>
      <c r="L1826" s="63">
        <v>15.0</v>
      </c>
      <c r="M1826" s="66">
        <f t="shared" si="1"/>
        <v>125.66</v>
      </c>
    </row>
    <row r="1827">
      <c r="A1827" s="67"/>
      <c r="B1827" s="67"/>
      <c r="C1827" s="67"/>
      <c r="D1827" s="67"/>
      <c r="E1827" s="67"/>
      <c r="F1827" s="68"/>
      <c r="G1827" s="68"/>
      <c r="H1827" s="68"/>
      <c r="I1827" s="68"/>
      <c r="J1827" s="68"/>
      <c r="K1827" s="69">
        <v>6500.0</v>
      </c>
      <c r="L1827" s="69">
        <v>15.4</v>
      </c>
      <c r="M1827" s="68">
        <f t="shared" si="1"/>
        <v>139.77</v>
      </c>
    </row>
    <row r="1828">
      <c r="A1828" s="70"/>
      <c r="B1828" s="70"/>
      <c r="C1828" s="70"/>
      <c r="D1828" s="70"/>
      <c r="E1828" s="70"/>
      <c r="F1828" s="66"/>
      <c r="G1828" s="66"/>
      <c r="H1828" s="66"/>
      <c r="I1828" s="66"/>
      <c r="J1828" s="66"/>
      <c r="K1828" s="63">
        <v>7000.0</v>
      </c>
      <c r="L1828" s="63">
        <v>15.8</v>
      </c>
      <c r="M1828" s="66">
        <f t="shared" si="1"/>
        <v>154.43</v>
      </c>
    </row>
    <row r="1829">
      <c r="A1829" s="67"/>
      <c r="B1829" s="67"/>
      <c r="C1829" s="67"/>
      <c r="D1829" s="67"/>
      <c r="E1829" s="67"/>
      <c r="F1829" s="68"/>
      <c r="G1829" s="68"/>
      <c r="H1829" s="68"/>
      <c r="I1829" s="68"/>
      <c r="J1829" s="68"/>
      <c r="K1829" s="69">
        <v>7500.0</v>
      </c>
      <c r="L1829" s="69">
        <v>16.3</v>
      </c>
      <c r="M1829" s="68">
        <f t="shared" si="1"/>
        <v>170.69</v>
      </c>
    </row>
    <row r="1830">
      <c r="A1830" s="70"/>
      <c r="B1830" s="70"/>
      <c r="C1830" s="70"/>
      <c r="D1830" s="70"/>
      <c r="E1830" s="70"/>
      <c r="F1830" s="66"/>
      <c r="G1830" s="66"/>
      <c r="H1830" s="66"/>
      <c r="I1830" s="66"/>
      <c r="J1830" s="66"/>
      <c r="K1830" s="63">
        <v>8000.0</v>
      </c>
      <c r="L1830" s="63">
        <v>16.52</v>
      </c>
      <c r="M1830" s="66">
        <f t="shared" si="1"/>
        <v>184.53</v>
      </c>
    </row>
    <row r="1831">
      <c r="A1831" s="67"/>
      <c r="B1831" s="67"/>
      <c r="C1831" s="67"/>
      <c r="D1831" s="67"/>
      <c r="E1831" s="67"/>
      <c r="F1831" s="68"/>
      <c r="G1831" s="68"/>
      <c r="H1831" s="68"/>
      <c r="I1831" s="68"/>
      <c r="J1831" s="68"/>
      <c r="K1831" s="69">
        <v>8200.0</v>
      </c>
      <c r="L1831" s="69">
        <v>16.12</v>
      </c>
      <c r="M1831" s="68">
        <f t="shared" si="1"/>
        <v>184.56</v>
      </c>
    </row>
    <row r="1832">
      <c r="A1832" s="70"/>
      <c r="B1832" s="70"/>
      <c r="C1832" s="70"/>
      <c r="D1832" s="70"/>
      <c r="E1832" s="70"/>
      <c r="F1832" s="66"/>
      <c r="G1832" s="66"/>
      <c r="H1832" s="66"/>
      <c r="I1832" s="66"/>
      <c r="J1832" s="66"/>
      <c r="K1832" s="63">
        <v>9000.0</v>
      </c>
      <c r="L1832" s="63">
        <v>14.4</v>
      </c>
      <c r="M1832" s="66">
        <f t="shared" si="1"/>
        <v>180.96</v>
      </c>
    </row>
    <row r="1833">
      <c r="A1833" s="67"/>
      <c r="B1833" s="67"/>
      <c r="C1833" s="67"/>
      <c r="D1833" s="67"/>
      <c r="E1833" s="67"/>
      <c r="F1833" s="68"/>
      <c r="G1833" s="68"/>
      <c r="H1833" s="68"/>
      <c r="I1833" s="68"/>
      <c r="J1833" s="68"/>
      <c r="K1833" s="69">
        <v>9500.0</v>
      </c>
      <c r="L1833" s="69">
        <v>11.85</v>
      </c>
      <c r="M1833" s="68">
        <f t="shared" si="1"/>
        <v>157.18</v>
      </c>
    </row>
    <row r="1834">
      <c r="A1834" s="66">
        <v>123.0</v>
      </c>
      <c r="B1834" s="66">
        <v>188.0</v>
      </c>
      <c r="C1834" s="74" t="s">
        <v>417</v>
      </c>
      <c r="D1834" s="74" t="s">
        <v>418</v>
      </c>
      <c r="E1834" s="74" t="s">
        <v>419</v>
      </c>
      <c r="F1834" s="65">
        <v>7000.0</v>
      </c>
      <c r="G1834" s="65">
        <v>7200.0</v>
      </c>
      <c r="H1834" s="65">
        <v>700.0</v>
      </c>
      <c r="I1834" s="65">
        <v>4000.0</v>
      </c>
      <c r="J1834" s="65">
        <v>6500.0</v>
      </c>
      <c r="K1834" s="63">
        <v>500.0</v>
      </c>
      <c r="L1834" s="63">
        <v>11.35</v>
      </c>
      <c r="M1834" s="66">
        <f t="shared" si="1"/>
        <v>7.92</v>
      </c>
    </row>
    <row r="1835">
      <c r="A1835" s="67"/>
      <c r="B1835" s="67"/>
      <c r="C1835" s="67"/>
      <c r="D1835" s="67"/>
      <c r="E1835" s="67"/>
      <c r="F1835" s="68"/>
      <c r="G1835" s="68"/>
      <c r="H1835" s="68"/>
      <c r="I1835" s="68"/>
      <c r="J1835" s="68"/>
      <c r="K1835" s="69">
        <v>1000.0</v>
      </c>
      <c r="L1835" s="69">
        <v>13.69</v>
      </c>
      <c r="M1835" s="68">
        <f t="shared" si="1"/>
        <v>19.11</v>
      </c>
    </row>
    <row r="1836">
      <c r="A1836" s="70"/>
      <c r="B1836" s="70"/>
      <c r="C1836" s="70"/>
      <c r="D1836" s="70"/>
      <c r="E1836" s="70"/>
      <c r="F1836" s="66"/>
      <c r="G1836" s="66"/>
      <c r="H1836" s="66"/>
      <c r="I1836" s="66"/>
      <c r="J1836" s="66"/>
      <c r="K1836" s="63">
        <v>1500.0</v>
      </c>
      <c r="L1836" s="63">
        <v>17.74</v>
      </c>
      <c r="M1836" s="66">
        <f t="shared" si="1"/>
        <v>37.15</v>
      </c>
    </row>
    <row r="1837">
      <c r="A1837" s="67"/>
      <c r="B1837" s="67"/>
      <c r="C1837" s="67"/>
      <c r="D1837" s="67"/>
      <c r="E1837" s="67"/>
      <c r="F1837" s="68"/>
      <c r="G1837" s="68"/>
      <c r="H1837" s="68"/>
      <c r="I1837" s="68"/>
      <c r="J1837" s="68"/>
      <c r="K1837" s="69">
        <v>2000.0</v>
      </c>
      <c r="L1837" s="69">
        <v>22.97</v>
      </c>
      <c r="M1837" s="68">
        <f t="shared" si="1"/>
        <v>64.14</v>
      </c>
    </row>
    <row r="1838">
      <c r="A1838" s="70"/>
      <c r="B1838" s="70"/>
      <c r="C1838" s="70"/>
      <c r="D1838" s="70"/>
      <c r="E1838" s="70"/>
      <c r="F1838" s="66"/>
      <c r="G1838" s="66"/>
      <c r="H1838" s="66"/>
      <c r="I1838" s="66"/>
      <c r="J1838" s="66"/>
      <c r="K1838" s="63">
        <v>2500.0</v>
      </c>
      <c r="L1838" s="63">
        <v>26.0</v>
      </c>
      <c r="M1838" s="66">
        <f t="shared" si="1"/>
        <v>90.76</v>
      </c>
    </row>
    <row r="1839">
      <c r="A1839" s="67"/>
      <c r="B1839" s="67"/>
      <c r="C1839" s="67"/>
      <c r="D1839" s="67"/>
      <c r="E1839" s="67"/>
      <c r="F1839" s="68"/>
      <c r="G1839" s="68"/>
      <c r="H1839" s="68"/>
      <c r="I1839" s="68"/>
      <c r="J1839" s="68"/>
      <c r="K1839" s="69">
        <v>3000.0</v>
      </c>
      <c r="L1839" s="69">
        <v>27.28</v>
      </c>
      <c r="M1839" s="68">
        <f t="shared" si="1"/>
        <v>114.27</v>
      </c>
    </row>
    <row r="1840">
      <c r="A1840" s="70"/>
      <c r="B1840" s="70"/>
      <c r="C1840" s="70"/>
      <c r="D1840" s="70"/>
      <c r="E1840" s="70"/>
      <c r="F1840" s="66"/>
      <c r="G1840" s="66"/>
      <c r="H1840" s="66"/>
      <c r="I1840" s="66"/>
      <c r="J1840" s="66"/>
      <c r="K1840" s="63">
        <v>3500.0</v>
      </c>
      <c r="L1840" s="63">
        <v>28.03</v>
      </c>
      <c r="M1840" s="66">
        <f t="shared" si="1"/>
        <v>136.98</v>
      </c>
    </row>
    <row r="1841">
      <c r="A1841" s="67"/>
      <c r="B1841" s="67"/>
      <c r="C1841" s="67"/>
      <c r="D1841" s="67"/>
      <c r="E1841" s="67"/>
      <c r="F1841" s="68"/>
      <c r="G1841" s="68"/>
      <c r="H1841" s="68"/>
      <c r="I1841" s="68"/>
      <c r="J1841" s="68"/>
      <c r="K1841" s="69">
        <v>4000.0</v>
      </c>
      <c r="L1841" s="69">
        <v>28.06</v>
      </c>
      <c r="M1841" s="68">
        <f t="shared" si="1"/>
        <v>156.72</v>
      </c>
    </row>
    <row r="1842">
      <c r="A1842" s="70"/>
      <c r="B1842" s="70"/>
      <c r="C1842" s="70"/>
      <c r="D1842" s="70"/>
      <c r="E1842" s="70"/>
      <c r="F1842" s="66"/>
      <c r="G1842" s="66"/>
      <c r="H1842" s="66"/>
      <c r="I1842" s="66"/>
      <c r="J1842" s="66"/>
      <c r="K1842" s="63">
        <v>4500.0</v>
      </c>
      <c r="L1842" s="63">
        <v>28.03</v>
      </c>
      <c r="M1842" s="66">
        <f t="shared" si="1"/>
        <v>176.12</v>
      </c>
    </row>
    <row r="1843">
      <c r="A1843" s="67"/>
      <c r="B1843" s="67"/>
      <c r="C1843" s="67"/>
      <c r="D1843" s="67"/>
      <c r="E1843" s="67"/>
      <c r="F1843" s="68"/>
      <c r="G1843" s="68"/>
      <c r="H1843" s="68"/>
      <c r="I1843" s="68"/>
      <c r="J1843" s="68"/>
      <c r="K1843" s="69">
        <v>5000.0</v>
      </c>
      <c r="L1843" s="69">
        <v>27.83</v>
      </c>
      <c r="M1843" s="68">
        <f t="shared" si="1"/>
        <v>194.29</v>
      </c>
    </row>
    <row r="1844">
      <c r="A1844" s="70"/>
      <c r="B1844" s="70"/>
      <c r="C1844" s="70"/>
      <c r="D1844" s="70"/>
      <c r="E1844" s="70"/>
      <c r="F1844" s="66"/>
      <c r="G1844" s="66"/>
      <c r="H1844" s="66"/>
      <c r="I1844" s="66"/>
      <c r="J1844" s="66"/>
      <c r="K1844" s="63">
        <v>5500.0</v>
      </c>
      <c r="L1844" s="63">
        <v>26.97</v>
      </c>
      <c r="M1844" s="66">
        <f t="shared" si="1"/>
        <v>207.11</v>
      </c>
    </row>
    <row r="1845">
      <c r="A1845" s="67"/>
      <c r="B1845" s="67"/>
      <c r="C1845" s="67"/>
      <c r="D1845" s="67"/>
      <c r="E1845" s="67"/>
      <c r="F1845" s="68"/>
      <c r="G1845" s="68"/>
      <c r="H1845" s="68"/>
      <c r="I1845" s="68"/>
      <c r="J1845" s="68"/>
      <c r="K1845" s="69">
        <v>6000.0</v>
      </c>
      <c r="L1845" s="69">
        <v>25.6</v>
      </c>
      <c r="M1845" s="68">
        <f t="shared" si="1"/>
        <v>214.47</v>
      </c>
    </row>
    <row r="1846">
      <c r="A1846" s="70"/>
      <c r="B1846" s="70"/>
      <c r="C1846" s="70"/>
      <c r="D1846" s="70"/>
      <c r="E1846" s="70"/>
      <c r="F1846" s="66"/>
      <c r="G1846" s="66"/>
      <c r="H1846" s="66"/>
      <c r="I1846" s="66"/>
      <c r="J1846" s="66"/>
      <c r="K1846" s="63">
        <v>6500.0</v>
      </c>
      <c r="L1846" s="63">
        <v>23.7</v>
      </c>
      <c r="M1846" s="66">
        <f t="shared" si="1"/>
        <v>215.09</v>
      </c>
    </row>
    <row r="1847">
      <c r="A1847" s="67"/>
      <c r="B1847" s="67"/>
      <c r="C1847" s="67"/>
      <c r="D1847" s="67"/>
      <c r="E1847" s="67"/>
      <c r="F1847" s="68"/>
      <c r="G1847" s="68"/>
      <c r="H1847" s="68"/>
      <c r="I1847" s="68"/>
      <c r="J1847" s="68"/>
      <c r="K1847" s="69">
        <v>7000.0</v>
      </c>
      <c r="L1847" s="69">
        <v>21.8</v>
      </c>
      <c r="M1847" s="68">
        <f t="shared" si="1"/>
        <v>213.07</v>
      </c>
    </row>
    <row r="1848">
      <c r="A1848" s="70"/>
      <c r="B1848" s="70"/>
      <c r="C1848" s="70"/>
      <c r="D1848" s="70"/>
      <c r="E1848" s="70"/>
      <c r="F1848" s="66"/>
      <c r="G1848" s="66"/>
      <c r="H1848" s="66"/>
      <c r="I1848" s="66"/>
      <c r="J1848" s="66"/>
      <c r="K1848" s="63">
        <v>7500.0</v>
      </c>
      <c r="L1848" s="63">
        <v>19.53</v>
      </c>
      <c r="M1848" s="66">
        <f t="shared" si="1"/>
        <v>204.52</v>
      </c>
    </row>
    <row r="1849">
      <c r="A1849" s="68">
        <v>124.0</v>
      </c>
      <c r="B1849" s="68">
        <v>189.0</v>
      </c>
      <c r="C1849" s="71" t="s">
        <v>420</v>
      </c>
      <c r="D1849" s="71" t="s">
        <v>421</v>
      </c>
      <c r="E1849" s="71" t="s">
        <v>422</v>
      </c>
      <c r="F1849" s="72">
        <v>7000.0</v>
      </c>
      <c r="G1849" s="72">
        <v>7000.0</v>
      </c>
      <c r="H1849" s="72">
        <v>800.0</v>
      </c>
      <c r="I1849" s="72">
        <v>3500.0</v>
      </c>
      <c r="J1849" s="72">
        <v>5500.0</v>
      </c>
      <c r="K1849" s="69">
        <v>500.0</v>
      </c>
      <c r="L1849" s="69">
        <v>19.1</v>
      </c>
      <c r="M1849" s="68">
        <f t="shared" si="1"/>
        <v>13.33</v>
      </c>
    </row>
    <row r="1850">
      <c r="A1850" s="73"/>
      <c r="B1850" s="73"/>
      <c r="C1850" s="73"/>
      <c r="D1850" s="73"/>
      <c r="E1850" s="73"/>
      <c r="F1850" s="66"/>
      <c r="G1850" s="66"/>
      <c r="H1850" s="66"/>
      <c r="I1850" s="66"/>
      <c r="J1850" s="66"/>
      <c r="K1850" s="63">
        <v>1000.0</v>
      </c>
      <c r="L1850" s="63">
        <v>23.4</v>
      </c>
      <c r="M1850" s="66">
        <f t="shared" si="1"/>
        <v>32.67</v>
      </c>
    </row>
    <row r="1851">
      <c r="A1851" s="67"/>
      <c r="B1851" s="67"/>
      <c r="C1851" s="67"/>
      <c r="D1851" s="67"/>
      <c r="E1851" s="67"/>
      <c r="F1851" s="68"/>
      <c r="G1851" s="68"/>
      <c r="H1851" s="68"/>
      <c r="I1851" s="68"/>
      <c r="J1851" s="68"/>
      <c r="K1851" s="69">
        <v>1500.0</v>
      </c>
      <c r="L1851" s="69">
        <v>34.55</v>
      </c>
      <c r="M1851" s="68">
        <f t="shared" si="1"/>
        <v>72.36</v>
      </c>
    </row>
    <row r="1852">
      <c r="A1852" s="70"/>
      <c r="B1852" s="70"/>
      <c r="C1852" s="70"/>
      <c r="D1852" s="70"/>
      <c r="E1852" s="70"/>
      <c r="F1852" s="66"/>
      <c r="G1852" s="66"/>
      <c r="H1852" s="66"/>
      <c r="I1852" s="66"/>
      <c r="J1852" s="66"/>
      <c r="K1852" s="63">
        <v>2000.0</v>
      </c>
      <c r="L1852" s="63">
        <v>43.5</v>
      </c>
      <c r="M1852" s="66">
        <f t="shared" si="1"/>
        <v>121.47</v>
      </c>
    </row>
    <row r="1853">
      <c r="A1853" s="67"/>
      <c r="B1853" s="67"/>
      <c r="C1853" s="67"/>
      <c r="D1853" s="67"/>
      <c r="E1853" s="67"/>
      <c r="F1853" s="68"/>
      <c r="G1853" s="68"/>
      <c r="H1853" s="68"/>
      <c r="I1853" s="68"/>
      <c r="J1853" s="68"/>
      <c r="K1853" s="69">
        <v>2500.0</v>
      </c>
      <c r="L1853" s="69">
        <v>51.2</v>
      </c>
      <c r="M1853" s="68">
        <f t="shared" si="1"/>
        <v>178.72</v>
      </c>
    </row>
    <row r="1854">
      <c r="A1854" s="70"/>
      <c r="B1854" s="70"/>
      <c r="C1854" s="70"/>
      <c r="D1854" s="70"/>
      <c r="E1854" s="70"/>
      <c r="F1854" s="66"/>
      <c r="G1854" s="66"/>
      <c r="H1854" s="66"/>
      <c r="I1854" s="66"/>
      <c r="J1854" s="66"/>
      <c r="K1854" s="63">
        <v>3000.0</v>
      </c>
      <c r="L1854" s="63">
        <v>54.65</v>
      </c>
      <c r="M1854" s="66">
        <f t="shared" si="1"/>
        <v>228.92</v>
      </c>
    </row>
    <row r="1855">
      <c r="A1855" s="67"/>
      <c r="B1855" s="67"/>
      <c r="C1855" s="67"/>
      <c r="D1855" s="67"/>
      <c r="E1855" s="67"/>
      <c r="F1855" s="68"/>
      <c r="G1855" s="68"/>
      <c r="H1855" s="68"/>
      <c r="I1855" s="68"/>
      <c r="J1855" s="68"/>
      <c r="K1855" s="69">
        <v>3500.0</v>
      </c>
      <c r="L1855" s="69">
        <v>55.0</v>
      </c>
      <c r="M1855" s="68">
        <f t="shared" si="1"/>
        <v>268.78</v>
      </c>
    </row>
    <row r="1856">
      <c r="A1856" s="70"/>
      <c r="B1856" s="70"/>
      <c r="C1856" s="70"/>
      <c r="D1856" s="70"/>
      <c r="E1856" s="70"/>
      <c r="F1856" s="66"/>
      <c r="G1856" s="66"/>
      <c r="H1856" s="66"/>
      <c r="I1856" s="66"/>
      <c r="J1856" s="66"/>
      <c r="K1856" s="63">
        <v>4000.0</v>
      </c>
      <c r="L1856" s="63">
        <v>51.35</v>
      </c>
      <c r="M1856" s="66">
        <f t="shared" si="1"/>
        <v>286.79</v>
      </c>
    </row>
    <row r="1857">
      <c r="A1857" s="67"/>
      <c r="B1857" s="67"/>
      <c r="C1857" s="67"/>
      <c r="D1857" s="67"/>
      <c r="E1857" s="67"/>
      <c r="F1857" s="68"/>
      <c r="G1857" s="68"/>
      <c r="H1857" s="68"/>
      <c r="I1857" s="68"/>
      <c r="J1857" s="68"/>
      <c r="K1857" s="69">
        <v>4500.0</v>
      </c>
      <c r="L1857" s="69">
        <v>47.65</v>
      </c>
      <c r="M1857" s="68">
        <f t="shared" si="1"/>
        <v>299.39</v>
      </c>
    </row>
    <row r="1858">
      <c r="A1858" s="70"/>
      <c r="B1858" s="70"/>
      <c r="C1858" s="70"/>
      <c r="D1858" s="70"/>
      <c r="E1858" s="70"/>
      <c r="F1858" s="66"/>
      <c r="G1858" s="66"/>
      <c r="H1858" s="66"/>
      <c r="I1858" s="66"/>
      <c r="J1858" s="66"/>
      <c r="K1858" s="63">
        <v>5000.0</v>
      </c>
      <c r="L1858" s="63">
        <v>43.95</v>
      </c>
      <c r="M1858" s="66">
        <f t="shared" si="1"/>
        <v>306.83</v>
      </c>
    </row>
    <row r="1859">
      <c r="A1859" s="67"/>
      <c r="B1859" s="67"/>
      <c r="C1859" s="67"/>
      <c r="D1859" s="67"/>
      <c r="E1859" s="67"/>
      <c r="F1859" s="68"/>
      <c r="G1859" s="68"/>
      <c r="H1859" s="68"/>
      <c r="I1859" s="68"/>
      <c r="J1859" s="68"/>
      <c r="K1859" s="69">
        <v>5500.0</v>
      </c>
      <c r="L1859" s="69">
        <v>40.0</v>
      </c>
      <c r="M1859" s="68">
        <f t="shared" si="1"/>
        <v>307.18</v>
      </c>
    </row>
    <row r="1860">
      <c r="A1860" s="70"/>
      <c r="B1860" s="70"/>
      <c r="C1860" s="70"/>
      <c r="D1860" s="70"/>
      <c r="E1860" s="70"/>
      <c r="F1860" s="66"/>
      <c r="G1860" s="66"/>
      <c r="H1860" s="66"/>
      <c r="I1860" s="66"/>
      <c r="J1860" s="66"/>
      <c r="K1860" s="63">
        <v>6000.0</v>
      </c>
      <c r="L1860" s="63">
        <v>35.9</v>
      </c>
      <c r="M1860" s="66">
        <f t="shared" si="1"/>
        <v>300.75</v>
      </c>
    </row>
    <row r="1861">
      <c r="A1861" s="67"/>
      <c r="B1861" s="67"/>
      <c r="C1861" s="67"/>
      <c r="D1861" s="67"/>
      <c r="E1861" s="67"/>
      <c r="F1861" s="68"/>
      <c r="G1861" s="68"/>
      <c r="H1861" s="68"/>
      <c r="I1861" s="68"/>
      <c r="J1861" s="68"/>
      <c r="K1861" s="69">
        <v>6500.0</v>
      </c>
      <c r="L1861" s="69">
        <v>31.55</v>
      </c>
      <c r="M1861" s="68">
        <f t="shared" si="1"/>
        <v>286.34</v>
      </c>
    </row>
    <row r="1862">
      <c r="A1862" s="70"/>
      <c r="B1862" s="70"/>
      <c r="C1862" s="70"/>
      <c r="D1862" s="70"/>
      <c r="E1862" s="70"/>
      <c r="F1862" s="66"/>
      <c r="G1862" s="66"/>
      <c r="H1862" s="66"/>
      <c r="I1862" s="66"/>
      <c r="J1862" s="66"/>
      <c r="K1862" s="63">
        <v>7000.0</v>
      </c>
      <c r="L1862" s="63">
        <v>26.7</v>
      </c>
      <c r="M1862" s="66">
        <f t="shared" si="1"/>
        <v>260.96</v>
      </c>
    </row>
    <row r="1863">
      <c r="A1863" s="67"/>
      <c r="B1863" s="67"/>
      <c r="C1863" s="67"/>
      <c r="D1863" s="67"/>
      <c r="E1863" s="67"/>
      <c r="F1863" s="68"/>
      <c r="G1863" s="68"/>
      <c r="H1863" s="68"/>
      <c r="I1863" s="68"/>
      <c r="J1863" s="68"/>
      <c r="K1863" s="69">
        <v>7500.0</v>
      </c>
      <c r="L1863" s="69">
        <v>12.0</v>
      </c>
      <c r="M1863" s="68">
        <f t="shared" si="1"/>
        <v>125.66</v>
      </c>
    </row>
    <row r="1864">
      <c r="A1864" s="66">
        <v>125.0</v>
      </c>
      <c r="B1864" s="66">
        <v>190.0</v>
      </c>
      <c r="C1864" s="74" t="s">
        <v>423</v>
      </c>
      <c r="D1864" s="74" t="s">
        <v>424</v>
      </c>
      <c r="E1864" s="74" t="s">
        <v>425</v>
      </c>
      <c r="F1864" s="65">
        <v>7000.0</v>
      </c>
      <c r="G1864" s="65">
        <v>7000.0</v>
      </c>
      <c r="H1864" s="65">
        <v>800.0</v>
      </c>
      <c r="I1864" s="65">
        <v>3500.0</v>
      </c>
      <c r="J1864" s="65">
        <v>5250.0</v>
      </c>
      <c r="K1864" s="63">
        <v>500.0</v>
      </c>
      <c r="L1864" s="63">
        <v>16.4</v>
      </c>
      <c r="M1864" s="66">
        <f t="shared" si="1"/>
        <v>11.45</v>
      </c>
    </row>
    <row r="1865">
      <c r="A1865" s="67"/>
      <c r="B1865" s="67"/>
      <c r="C1865" s="67"/>
      <c r="D1865" s="67"/>
      <c r="E1865" s="67"/>
      <c r="F1865" s="68"/>
      <c r="G1865" s="68"/>
      <c r="H1865" s="68"/>
      <c r="I1865" s="68"/>
      <c r="J1865" s="68"/>
      <c r="K1865" s="69">
        <v>1000.0</v>
      </c>
      <c r="L1865" s="69">
        <v>17.7</v>
      </c>
      <c r="M1865" s="68">
        <f t="shared" si="1"/>
        <v>24.71</v>
      </c>
    </row>
    <row r="1866">
      <c r="A1866" s="70"/>
      <c r="B1866" s="70"/>
      <c r="C1866" s="70"/>
      <c r="D1866" s="70"/>
      <c r="E1866" s="70"/>
      <c r="F1866" s="66"/>
      <c r="G1866" s="66"/>
      <c r="H1866" s="66"/>
      <c r="I1866" s="66"/>
      <c r="J1866" s="66"/>
      <c r="K1866" s="63">
        <v>1500.0</v>
      </c>
      <c r="L1866" s="63">
        <v>22.85</v>
      </c>
      <c r="M1866" s="66">
        <f t="shared" si="1"/>
        <v>47.86</v>
      </c>
    </row>
    <row r="1867">
      <c r="A1867" s="67"/>
      <c r="B1867" s="67"/>
      <c r="C1867" s="67"/>
      <c r="D1867" s="67"/>
      <c r="E1867" s="67"/>
      <c r="F1867" s="68"/>
      <c r="G1867" s="68"/>
      <c r="H1867" s="68"/>
      <c r="I1867" s="68"/>
      <c r="J1867" s="68"/>
      <c r="K1867" s="69">
        <v>2000.0</v>
      </c>
      <c r="L1867" s="69">
        <v>36.9</v>
      </c>
      <c r="M1867" s="68">
        <f t="shared" si="1"/>
        <v>103.04</v>
      </c>
    </row>
    <row r="1868">
      <c r="A1868" s="70"/>
      <c r="B1868" s="70"/>
      <c r="C1868" s="70"/>
      <c r="D1868" s="70"/>
      <c r="E1868" s="70"/>
      <c r="F1868" s="66"/>
      <c r="G1868" s="66"/>
      <c r="H1868" s="66"/>
      <c r="I1868" s="66"/>
      <c r="J1868" s="66"/>
      <c r="K1868" s="63">
        <v>2500.0</v>
      </c>
      <c r="L1868" s="63">
        <v>44.45</v>
      </c>
      <c r="M1868" s="66">
        <f t="shared" si="1"/>
        <v>155.16</v>
      </c>
    </row>
    <row r="1869">
      <c r="A1869" s="67"/>
      <c r="B1869" s="67"/>
      <c r="C1869" s="67"/>
      <c r="D1869" s="67"/>
      <c r="E1869" s="67"/>
      <c r="F1869" s="68"/>
      <c r="G1869" s="68"/>
      <c r="H1869" s="68"/>
      <c r="I1869" s="68"/>
      <c r="J1869" s="68"/>
      <c r="K1869" s="69">
        <v>3000.0</v>
      </c>
      <c r="L1869" s="69">
        <v>50.3</v>
      </c>
      <c r="M1869" s="68">
        <f t="shared" si="1"/>
        <v>210.7</v>
      </c>
    </row>
    <row r="1870">
      <c r="A1870" s="70"/>
      <c r="B1870" s="70"/>
      <c r="C1870" s="70"/>
      <c r="D1870" s="70"/>
      <c r="E1870" s="70"/>
      <c r="F1870" s="66"/>
      <c r="G1870" s="66"/>
      <c r="H1870" s="66"/>
      <c r="I1870" s="66"/>
      <c r="J1870" s="66"/>
      <c r="K1870" s="63">
        <v>3500.0</v>
      </c>
      <c r="L1870" s="63">
        <v>54.0</v>
      </c>
      <c r="M1870" s="66">
        <f t="shared" si="1"/>
        <v>263.89</v>
      </c>
    </row>
    <row r="1871">
      <c r="A1871" s="67"/>
      <c r="B1871" s="67"/>
      <c r="C1871" s="67"/>
      <c r="D1871" s="67"/>
      <c r="E1871" s="67"/>
      <c r="F1871" s="68"/>
      <c r="G1871" s="68"/>
      <c r="H1871" s="68"/>
      <c r="I1871" s="68"/>
      <c r="J1871" s="68"/>
      <c r="K1871" s="69">
        <v>4000.0</v>
      </c>
      <c r="L1871" s="69">
        <v>51.05</v>
      </c>
      <c r="M1871" s="68">
        <f t="shared" si="1"/>
        <v>285.12</v>
      </c>
    </row>
    <row r="1872">
      <c r="A1872" s="70"/>
      <c r="B1872" s="70"/>
      <c r="C1872" s="70"/>
      <c r="D1872" s="70"/>
      <c r="E1872" s="70"/>
      <c r="F1872" s="66"/>
      <c r="G1872" s="66"/>
      <c r="H1872" s="66"/>
      <c r="I1872" s="66"/>
      <c r="J1872" s="66"/>
      <c r="K1872" s="63">
        <v>4500.0</v>
      </c>
      <c r="L1872" s="63">
        <v>47.05</v>
      </c>
      <c r="M1872" s="66">
        <f t="shared" si="1"/>
        <v>295.62</v>
      </c>
    </row>
    <row r="1873">
      <c r="A1873" s="67"/>
      <c r="B1873" s="67"/>
      <c r="C1873" s="67"/>
      <c r="D1873" s="67"/>
      <c r="E1873" s="67"/>
      <c r="F1873" s="68"/>
      <c r="G1873" s="68"/>
      <c r="H1873" s="68"/>
      <c r="I1873" s="68"/>
      <c r="J1873" s="68"/>
      <c r="K1873" s="69">
        <v>5000.0</v>
      </c>
      <c r="L1873" s="69">
        <v>42.9</v>
      </c>
      <c r="M1873" s="68">
        <f t="shared" si="1"/>
        <v>299.5</v>
      </c>
    </row>
    <row r="1874">
      <c r="A1874" s="73"/>
      <c r="B1874" s="73"/>
      <c r="C1874" s="73"/>
      <c r="D1874" s="73"/>
      <c r="E1874" s="73"/>
      <c r="F1874" s="66"/>
      <c r="G1874" s="66"/>
      <c r="H1874" s="66"/>
      <c r="I1874" s="66"/>
      <c r="J1874" s="66"/>
      <c r="K1874" s="63">
        <v>5250.0</v>
      </c>
      <c r="L1874" s="63">
        <v>41.0</v>
      </c>
      <c r="M1874" s="66">
        <f t="shared" si="1"/>
        <v>300.54</v>
      </c>
    </row>
    <row r="1875">
      <c r="A1875" s="67"/>
      <c r="B1875" s="67"/>
      <c r="C1875" s="67"/>
      <c r="D1875" s="67"/>
      <c r="E1875" s="67"/>
      <c r="F1875" s="68"/>
      <c r="G1875" s="68"/>
      <c r="H1875" s="68"/>
      <c r="I1875" s="68"/>
      <c r="J1875" s="68"/>
      <c r="K1875" s="69">
        <v>6000.0</v>
      </c>
      <c r="L1875" s="69">
        <v>34.25</v>
      </c>
      <c r="M1875" s="68">
        <f t="shared" si="1"/>
        <v>286.93</v>
      </c>
    </row>
    <row r="1876">
      <c r="A1876" s="70"/>
      <c r="B1876" s="70"/>
      <c r="C1876" s="70"/>
      <c r="D1876" s="70"/>
      <c r="E1876" s="70"/>
      <c r="F1876" s="66"/>
      <c r="G1876" s="66"/>
      <c r="H1876" s="66"/>
      <c r="I1876" s="66"/>
      <c r="J1876" s="66"/>
      <c r="K1876" s="63">
        <v>6500.0</v>
      </c>
      <c r="L1876" s="63">
        <v>29.0</v>
      </c>
      <c r="M1876" s="66">
        <f t="shared" si="1"/>
        <v>263.19</v>
      </c>
    </row>
    <row r="1877">
      <c r="A1877" s="67"/>
      <c r="B1877" s="67"/>
      <c r="C1877" s="67"/>
      <c r="D1877" s="67"/>
      <c r="E1877" s="67"/>
      <c r="F1877" s="68"/>
      <c r="G1877" s="68"/>
      <c r="H1877" s="68"/>
      <c r="I1877" s="68"/>
      <c r="J1877" s="68"/>
      <c r="K1877" s="69">
        <v>7000.0</v>
      </c>
      <c r="L1877" s="69">
        <v>23.25</v>
      </c>
      <c r="M1877" s="68">
        <f t="shared" si="1"/>
        <v>227.24</v>
      </c>
    </row>
    <row r="1878">
      <c r="A1878" s="70"/>
      <c r="B1878" s="70"/>
      <c r="C1878" s="70"/>
      <c r="D1878" s="70"/>
      <c r="E1878" s="70"/>
      <c r="F1878" s="66"/>
      <c r="G1878" s="66"/>
      <c r="H1878" s="66"/>
      <c r="I1878" s="66"/>
      <c r="J1878" s="66"/>
      <c r="K1878" s="63">
        <v>7500.0</v>
      </c>
      <c r="L1878" s="63">
        <v>12.0</v>
      </c>
      <c r="M1878" s="66">
        <f t="shared" si="1"/>
        <v>125.66</v>
      </c>
    </row>
    <row r="1879">
      <c r="A1879" s="68">
        <v>126.0</v>
      </c>
      <c r="B1879" s="68">
        <v>193.0</v>
      </c>
      <c r="C1879" s="71" t="s">
        <v>426</v>
      </c>
      <c r="D1879" s="71" t="s">
        <v>427</v>
      </c>
      <c r="E1879" s="71" t="s">
        <v>428</v>
      </c>
      <c r="F1879" s="72">
        <v>8000.0</v>
      </c>
      <c r="G1879" s="72">
        <v>8000.0</v>
      </c>
      <c r="H1879" s="72">
        <v>600.0</v>
      </c>
      <c r="I1879" s="72">
        <v>3500.0</v>
      </c>
      <c r="J1879" s="72">
        <v>6500.0</v>
      </c>
      <c r="K1879" s="69">
        <v>500.0</v>
      </c>
      <c r="L1879" s="69">
        <v>29.92</v>
      </c>
      <c r="M1879" s="68">
        <f t="shared" si="1"/>
        <v>20.89</v>
      </c>
    </row>
    <row r="1880">
      <c r="A1880" s="70"/>
      <c r="B1880" s="70"/>
      <c r="C1880" s="70"/>
      <c r="D1880" s="70"/>
      <c r="E1880" s="70"/>
      <c r="F1880" s="66"/>
      <c r="G1880" s="66"/>
      <c r="H1880" s="66"/>
      <c r="I1880" s="66"/>
      <c r="J1880" s="66"/>
      <c r="K1880" s="63">
        <v>1000.0</v>
      </c>
      <c r="L1880" s="63">
        <v>34.08</v>
      </c>
      <c r="M1880" s="66">
        <f t="shared" si="1"/>
        <v>47.58</v>
      </c>
    </row>
    <row r="1881">
      <c r="A1881" s="67"/>
      <c r="B1881" s="67"/>
      <c r="C1881" s="67"/>
      <c r="D1881" s="67"/>
      <c r="E1881" s="67"/>
      <c r="F1881" s="68"/>
      <c r="G1881" s="68"/>
      <c r="H1881" s="68"/>
      <c r="I1881" s="68"/>
      <c r="J1881" s="68"/>
      <c r="K1881" s="69">
        <v>1500.0</v>
      </c>
      <c r="L1881" s="69">
        <v>37.82</v>
      </c>
      <c r="M1881" s="68">
        <f t="shared" si="1"/>
        <v>79.21</v>
      </c>
    </row>
    <row r="1882">
      <c r="A1882" s="70"/>
      <c r="B1882" s="70"/>
      <c r="C1882" s="70"/>
      <c r="D1882" s="70"/>
      <c r="E1882" s="70"/>
      <c r="F1882" s="66"/>
      <c r="G1882" s="66"/>
      <c r="H1882" s="66"/>
      <c r="I1882" s="66"/>
      <c r="J1882" s="66"/>
      <c r="K1882" s="63">
        <v>2000.0</v>
      </c>
      <c r="L1882" s="63">
        <v>41.13</v>
      </c>
      <c r="M1882" s="66">
        <f t="shared" si="1"/>
        <v>114.86</v>
      </c>
    </row>
    <row r="1883">
      <c r="A1883" s="67"/>
      <c r="B1883" s="67"/>
      <c r="C1883" s="67"/>
      <c r="D1883" s="67"/>
      <c r="E1883" s="67"/>
      <c r="F1883" s="68"/>
      <c r="G1883" s="68"/>
      <c r="H1883" s="68"/>
      <c r="I1883" s="68"/>
      <c r="J1883" s="68"/>
      <c r="K1883" s="69">
        <v>2500.0</v>
      </c>
      <c r="L1883" s="69">
        <v>44.85</v>
      </c>
      <c r="M1883" s="68">
        <f t="shared" si="1"/>
        <v>156.56</v>
      </c>
    </row>
    <row r="1884">
      <c r="A1884" s="70"/>
      <c r="B1884" s="70"/>
      <c r="C1884" s="70"/>
      <c r="D1884" s="70"/>
      <c r="E1884" s="70"/>
      <c r="F1884" s="66"/>
      <c r="G1884" s="66"/>
      <c r="H1884" s="66"/>
      <c r="I1884" s="66"/>
      <c r="J1884" s="66"/>
      <c r="K1884" s="63">
        <v>3000.0</v>
      </c>
      <c r="L1884" s="63">
        <v>47.87</v>
      </c>
      <c r="M1884" s="66">
        <f t="shared" si="1"/>
        <v>200.52</v>
      </c>
    </row>
    <row r="1885">
      <c r="A1885" s="67"/>
      <c r="B1885" s="67"/>
      <c r="C1885" s="67"/>
      <c r="D1885" s="67"/>
      <c r="E1885" s="67"/>
      <c r="F1885" s="68"/>
      <c r="G1885" s="68"/>
      <c r="H1885" s="68"/>
      <c r="I1885" s="68"/>
      <c r="J1885" s="68"/>
      <c r="K1885" s="69">
        <v>3500.0</v>
      </c>
      <c r="L1885" s="69">
        <v>49.53</v>
      </c>
      <c r="M1885" s="68">
        <f t="shared" si="1"/>
        <v>242.05</v>
      </c>
    </row>
    <row r="1886">
      <c r="A1886" s="70"/>
      <c r="B1886" s="70"/>
      <c r="C1886" s="70"/>
      <c r="D1886" s="70"/>
      <c r="E1886" s="70"/>
      <c r="F1886" s="66"/>
      <c r="G1886" s="66"/>
      <c r="H1886" s="66"/>
      <c r="I1886" s="66"/>
      <c r="J1886" s="66"/>
      <c r="K1886" s="63">
        <v>4000.0</v>
      </c>
      <c r="L1886" s="63">
        <v>50.0</v>
      </c>
      <c r="M1886" s="66">
        <f t="shared" si="1"/>
        <v>279.25</v>
      </c>
    </row>
    <row r="1887">
      <c r="A1887" s="67"/>
      <c r="B1887" s="67"/>
      <c r="C1887" s="67"/>
      <c r="D1887" s="67"/>
      <c r="E1887" s="67"/>
      <c r="F1887" s="68"/>
      <c r="G1887" s="68"/>
      <c r="H1887" s="68"/>
      <c r="I1887" s="68"/>
      <c r="J1887" s="68"/>
      <c r="K1887" s="69">
        <v>4500.0</v>
      </c>
      <c r="L1887" s="69">
        <v>50.15</v>
      </c>
      <c r="M1887" s="68">
        <f t="shared" si="1"/>
        <v>315.1</v>
      </c>
    </row>
    <row r="1888">
      <c r="A1888" s="70"/>
      <c r="B1888" s="70"/>
      <c r="C1888" s="70"/>
      <c r="D1888" s="70"/>
      <c r="E1888" s="70"/>
      <c r="F1888" s="66"/>
      <c r="G1888" s="66"/>
      <c r="H1888" s="66"/>
      <c r="I1888" s="66"/>
      <c r="J1888" s="66"/>
      <c r="K1888" s="63">
        <v>5000.0</v>
      </c>
      <c r="L1888" s="63">
        <v>49.77</v>
      </c>
      <c r="M1888" s="66">
        <f t="shared" si="1"/>
        <v>347.46</v>
      </c>
    </row>
    <row r="1889">
      <c r="A1889" s="67"/>
      <c r="B1889" s="67"/>
      <c r="C1889" s="67"/>
      <c r="D1889" s="67"/>
      <c r="E1889" s="67"/>
      <c r="F1889" s="68"/>
      <c r="G1889" s="68"/>
      <c r="H1889" s="68"/>
      <c r="I1889" s="68"/>
      <c r="J1889" s="68"/>
      <c r="K1889" s="69">
        <v>5500.0</v>
      </c>
      <c r="L1889" s="69">
        <v>48.62</v>
      </c>
      <c r="M1889" s="68">
        <f t="shared" si="1"/>
        <v>373.37</v>
      </c>
    </row>
    <row r="1890">
      <c r="A1890" s="70"/>
      <c r="B1890" s="70"/>
      <c r="C1890" s="70"/>
      <c r="D1890" s="70"/>
      <c r="E1890" s="70"/>
      <c r="F1890" s="66"/>
      <c r="G1890" s="66"/>
      <c r="H1890" s="66"/>
      <c r="I1890" s="66"/>
      <c r="J1890" s="66"/>
      <c r="K1890" s="63">
        <v>6000.0</v>
      </c>
      <c r="L1890" s="63">
        <v>46.8</v>
      </c>
      <c r="M1890" s="66">
        <f t="shared" si="1"/>
        <v>392.07</v>
      </c>
    </row>
    <row r="1891">
      <c r="A1891" s="67"/>
      <c r="B1891" s="67"/>
      <c r="C1891" s="67"/>
      <c r="D1891" s="67"/>
      <c r="E1891" s="67"/>
      <c r="F1891" s="68"/>
      <c r="G1891" s="68"/>
      <c r="H1891" s="68"/>
      <c r="I1891" s="68"/>
      <c r="J1891" s="68"/>
      <c r="K1891" s="69">
        <v>6500.0</v>
      </c>
      <c r="L1891" s="69">
        <v>44.0</v>
      </c>
      <c r="M1891" s="68">
        <f t="shared" si="1"/>
        <v>399.33</v>
      </c>
    </row>
    <row r="1892">
      <c r="A1892" s="70"/>
      <c r="B1892" s="70"/>
      <c r="C1892" s="70"/>
      <c r="D1892" s="70"/>
      <c r="E1892" s="70"/>
      <c r="F1892" s="66"/>
      <c r="G1892" s="66"/>
      <c r="H1892" s="66"/>
      <c r="I1892" s="66"/>
      <c r="J1892" s="66"/>
      <c r="K1892" s="63">
        <v>7000.0</v>
      </c>
      <c r="L1892" s="63">
        <v>40.25</v>
      </c>
      <c r="M1892" s="66">
        <f t="shared" si="1"/>
        <v>393.4</v>
      </c>
    </row>
    <row r="1893">
      <c r="A1893" s="67"/>
      <c r="B1893" s="67"/>
      <c r="C1893" s="67"/>
      <c r="D1893" s="67"/>
      <c r="E1893" s="67"/>
      <c r="F1893" s="68"/>
      <c r="G1893" s="68"/>
      <c r="H1893" s="68"/>
      <c r="I1893" s="68"/>
      <c r="J1893" s="68"/>
      <c r="K1893" s="69">
        <v>7500.0</v>
      </c>
      <c r="L1893" s="69">
        <v>35.25</v>
      </c>
      <c r="M1893" s="68">
        <f t="shared" si="1"/>
        <v>369.14</v>
      </c>
    </row>
    <row r="1894">
      <c r="A1894" s="70"/>
      <c r="B1894" s="70"/>
      <c r="C1894" s="70"/>
      <c r="D1894" s="70"/>
      <c r="E1894" s="70"/>
      <c r="F1894" s="66"/>
      <c r="G1894" s="66"/>
      <c r="H1894" s="66"/>
      <c r="I1894" s="66"/>
      <c r="J1894" s="66"/>
      <c r="K1894" s="63">
        <v>8000.0</v>
      </c>
      <c r="L1894" s="63">
        <v>29.05</v>
      </c>
      <c r="M1894" s="66">
        <f t="shared" si="1"/>
        <v>324.49</v>
      </c>
    </row>
    <row r="1895">
      <c r="A1895" s="68">
        <v>127.0</v>
      </c>
      <c r="B1895" s="68">
        <v>194.0</v>
      </c>
      <c r="C1895" s="71" t="s">
        <v>429</v>
      </c>
      <c r="D1895" s="71" t="s">
        <v>430</v>
      </c>
      <c r="E1895" s="71" t="s">
        <v>431</v>
      </c>
      <c r="F1895" s="72">
        <v>9000.0</v>
      </c>
      <c r="G1895" s="72">
        <v>9500.0</v>
      </c>
      <c r="H1895" s="72">
        <v>900.0</v>
      </c>
      <c r="I1895" s="72">
        <v>7200.0</v>
      </c>
      <c r="J1895" s="72">
        <v>8600.0</v>
      </c>
      <c r="K1895" s="69">
        <v>500.0</v>
      </c>
      <c r="L1895" s="69">
        <v>9.15</v>
      </c>
      <c r="M1895" s="68">
        <f t="shared" si="1"/>
        <v>6.39</v>
      </c>
    </row>
    <row r="1896">
      <c r="A1896" s="70"/>
      <c r="B1896" s="70"/>
      <c r="C1896" s="70"/>
      <c r="D1896" s="70"/>
      <c r="E1896" s="70"/>
      <c r="F1896" s="66"/>
      <c r="G1896" s="66"/>
      <c r="H1896" s="66"/>
      <c r="I1896" s="66"/>
      <c r="J1896" s="66"/>
      <c r="K1896" s="63">
        <v>1000.0</v>
      </c>
      <c r="L1896" s="63">
        <v>9.9</v>
      </c>
      <c r="M1896" s="66">
        <f t="shared" si="1"/>
        <v>13.82</v>
      </c>
    </row>
    <row r="1897">
      <c r="A1897" s="67"/>
      <c r="B1897" s="67"/>
      <c r="C1897" s="67"/>
      <c r="D1897" s="67"/>
      <c r="E1897" s="67"/>
      <c r="F1897" s="68"/>
      <c r="G1897" s="68"/>
      <c r="H1897" s="68"/>
      <c r="I1897" s="68"/>
      <c r="J1897" s="68"/>
      <c r="K1897" s="69">
        <v>1500.0</v>
      </c>
      <c r="L1897" s="69">
        <v>10.13</v>
      </c>
      <c r="M1897" s="68">
        <f t="shared" si="1"/>
        <v>21.22</v>
      </c>
    </row>
    <row r="1898">
      <c r="A1898" s="73"/>
      <c r="B1898" s="73"/>
      <c r="C1898" s="73"/>
      <c r="D1898" s="73"/>
      <c r="E1898" s="73"/>
      <c r="F1898" s="66"/>
      <c r="G1898" s="66"/>
      <c r="H1898" s="66"/>
      <c r="I1898" s="66"/>
      <c r="J1898" s="66"/>
      <c r="K1898" s="63">
        <v>2000.0</v>
      </c>
      <c r="L1898" s="63">
        <v>10.22</v>
      </c>
      <c r="M1898" s="66">
        <f t="shared" si="1"/>
        <v>28.54</v>
      </c>
    </row>
    <row r="1899">
      <c r="A1899" s="67"/>
      <c r="B1899" s="67"/>
      <c r="C1899" s="67"/>
      <c r="D1899" s="67"/>
      <c r="E1899" s="67"/>
      <c r="F1899" s="68"/>
      <c r="G1899" s="68"/>
      <c r="H1899" s="68"/>
      <c r="I1899" s="68"/>
      <c r="J1899" s="68"/>
      <c r="K1899" s="69">
        <v>2500.0</v>
      </c>
      <c r="L1899" s="69">
        <v>10.25</v>
      </c>
      <c r="M1899" s="68">
        <f t="shared" si="1"/>
        <v>35.78</v>
      </c>
    </row>
    <row r="1900">
      <c r="A1900" s="70"/>
      <c r="B1900" s="70"/>
      <c r="C1900" s="70"/>
      <c r="D1900" s="70"/>
      <c r="E1900" s="70"/>
      <c r="F1900" s="66"/>
      <c r="G1900" s="66"/>
      <c r="H1900" s="66"/>
      <c r="I1900" s="66"/>
      <c r="J1900" s="66"/>
      <c r="K1900" s="63">
        <v>3000.0</v>
      </c>
      <c r="L1900" s="63">
        <v>10.68</v>
      </c>
      <c r="M1900" s="66">
        <f t="shared" si="1"/>
        <v>44.74</v>
      </c>
    </row>
    <row r="1901">
      <c r="A1901" s="67"/>
      <c r="B1901" s="67"/>
      <c r="C1901" s="67"/>
      <c r="D1901" s="67"/>
      <c r="E1901" s="67"/>
      <c r="F1901" s="68"/>
      <c r="G1901" s="68"/>
      <c r="H1901" s="68"/>
      <c r="I1901" s="68"/>
      <c r="J1901" s="68"/>
      <c r="K1901" s="69">
        <v>3500.0</v>
      </c>
      <c r="L1901" s="69">
        <v>11.27</v>
      </c>
      <c r="M1901" s="68">
        <f t="shared" si="1"/>
        <v>55.08</v>
      </c>
    </row>
    <row r="1902">
      <c r="A1902" s="70"/>
      <c r="B1902" s="70"/>
      <c r="C1902" s="70"/>
      <c r="D1902" s="70"/>
      <c r="E1902" s="70"/>
      <c r="F1902" s="66"/>
      <c r="G1902" s="66"/>
      <c r="H1902" s="66"/>
      <c r="I1902" s="66"/>
      <c r="J1902" s="66"/>
      <c r="K1902" s="63">
        <v>4000.0</v>
      </c>
      <c r="L1902" s="63">
        <v>12.55</v>
      </c>
      <c r="M1902" s="66">
        <f t="shared" si="1"/>
        <v>70.09</v>
      </c>
    </row>
    <row r="1903">
      <c r="A1903" s="67"/>
      <c r="B1903" s="67"/>
      <c r="C1903" s="67"/>
      <c r="D1903" s="67"/>
      <c r="E1903" s="67"/>
      <c r="F1903" s="68"/>
      <c r="G1903" s="68"/>
      <c r="H1903" s="68"/>
      <c r="I1903" s="68"/>
      <c r="J1903" s="68"/>
      <c r="K1903" s="69">
        <v>4500.0</v>
      </c>
      <c r="L1903" s="69">
        <v>13.9</v>
      </c>
      <c r="M1903" s="68">
        <f t="shared" si="1"/>
        <v>87.34</v>
      </c>
    </row>
    <row r="1904">
      <c r="A1904" s="70"/>
      <c r="B1904" s="70"/>
      <c r="C1904" s="70"/>
      <c r="D1904" s="70"/>
      <c r="E1904" s="70"/>
      <c r="F1904" s="66"/>
      <c r="G1904" s="66"/>
      <c r="H1904" s="66"/>
      <c r="I1904" s="66"/>
      <c r="J1904" s="66"/>
      <c r="K1904" s="63">
        <v>5000.0</v>
      </c>
      <c r="L1904" s="63">
        <v>15.17</v>
      </c>
      <c r="M1904" s="66">
        <f t="shared" si="1"/>
        <v>105.91</v>
      </c>
    </row>
    <row r="1905">
      <c r="A1905" s="67"/>
      <c r="B1905" s="67"/>
      <c r="C1905" s="67"/>
      <c r="D1905" s="67"/>
      <c r="E1905" s="67"/>
      <c r="F1905" s="68"/>
      <c r="G1905" s="68"/>
      <c r="H1905" s="68"/>
      <c r="I1905" s="68"/>
      <c r="J1905" s="68"/>
      <c r="K1905" s="69">
        <v>5500.0</v>
      </c>
      <c r="L1905" s="69">
        <v>16.4</v>
      </c>
      <c r="M1905" s="68">
        <f t="shared" si="1"/>
        <v>125.94</v>
      </c>
    </row>
    <row r="1906">
      <c r="A1906" s="70"/>
      <c r="B1906" s="70"/>
      <c r="C1906" s="70"/>
      <c r="D1906" s="70"/>
      <c r="E1906" s="70"/>
      <c r="F1906" s="66"/>
      <c r="G1906" s="66"/>
      <c r="H1906" s="66"/>
      <c r="I1906" s="66"/>
      <c r="J1906" s="66"/>
      <c r="K1906" s="63">
        <v>6000.0</v>
      </c>
      <c r="L1906" s="63">
        <v>18.05</v>
      </c>
      <c r="M1906" s="66">
        <f t="shared" si="1"/>
        <v>151.21</v>
      </c>
    </row>
    <row r="1907">
      <c r="A1907" s="67"/>
      <c r="B1907" s="67"/>
      <c r="C1907" s="67"/>
      <c r="D1907" s="67"/>
      <c r="E1907" s="67"/>
      <c r="F1907" s="68"/>
      <c r="G1907" s="68"/>
      <c r="H1907" s="68"/>
      <c r="I1907" s="68"/>
      <c r="J1907" s="68"/>
      <c r="K1907" s="69">
        <v>6500.0</v>
      </c>
      <c r="L1907" s="69">
        <v>19.62</v>
      </c>
      <c r="M1907" s="68">
        <f t="shared" si="1"/>
        <v>178.06</v>
      </c>
    </row>
    <row r="1908">
      <c r="A1908" s="70"/>
      <c r="B1908" s="70"/>
      <c r="C1908" s="70"/>
      <c r="D1908" s="70"/>
      <c r="E1908" s="70"/>
      <c r="F1908" s="66"/>
      <c r="G1908" s="66"/>
      <c r="H1908" s="66"/>
      <c r="I1908" s="66"/>
      <c r="J1908" s="66"/>
      <c r="K1908" s="63">
        <v>7000.0</v>
      </c>
      <c r="L1908" s="63">
        <v>20.05</v>
      </c>
      <c r="M1908" s="66">
        <f t="shared" si="1"/>
        <v>195.96</v>
      </c>
    </row>
    <row r="1909">
      <c r="A1909" s="67"/>
      <c r="B1909" s="67"/>
      <c r="C1909" s="67"/>
      <c r="D1909" s="67"/>
      <c r="E1909" s="67"/>
      <c r="F1909" s="68"/>
      <c r="G1909" s="68"/>
      <c r="H1909" s="68"/>
      <c r="I1909" s="68"/>
      <c r="J1909" s="68"/>
      <c r="K1909" s="69">
        <v>7200.0</v>
      </c>
      <c r="L1909" s="69">
        <v>20.0</v>
      </c>
      <c r="M1909" s="68">
        <f t="shared" si="1"/>
        <v>201.06</v>
      </c>
    </row>
    <row r="1910">
      <c r="A1910" s="70"/>
      <c r="B1910" s="70"/>
      <c r="C1910" s="70"/>
      <c r="D1910" s="70"/>
      <c r="E1910" s="70"/>
      <c r="F1910" s="66"/>
      <c r="G1910" s="66"/>
      <c r="H1910" s="66"/>
      <c r="I1910" s="66"/>
      <c r="J1910" s="66"/>
      <c r="K1910" s="63">
        <v>8000.0</v>
      </c>
      <c r="L1910" s="63">
        <v>19.73</v>
      </c>
      <c r="M1910" s="66">
        <f t="shared" si="1"/>
        <v>220.39</v>
      </c>
    </row>
    <row r="1911">
      <c r="A1911" s="67"/>
      <c r="B1911" s="67"/>
      <c r="C1911" s="67"/>
      <c r="D1911" s="67"/>
      <c r="E1911" s="67"/>
      <c r="F1911" s="68"/>
      <c r="G1911" s="68"/>
      <c r="H1911" s="68"/>
      <c r="I1911" s="68"/>
      <c r="J1911" s="68"/>
      <c r="K1911" s="69">
        <v>8600.0</v>
      </c>
      <c r="L1911" s="69">
        <v>18.65</v>
      </c>
      <c r="M1911" s="68">
        <f t="shared" si="1"/>
        <v>223.95</v>
      </c>
    </row>
    <row r="1912">
      <c r="A1912" s="70"/>
      <c r="B1912" s="70"/>
      <c r="C1912" s="70"/>
      <c r="D1912" s="70"/>
      <c r="E1912" s="70"/>
      <c r="F1912" s="66"/>
      <c r="G1912" s="66"/>
      <c r="H1912" s="66"/>
      <c r="I1912" s="66"/>
      <c r="J1912" s="66"/>
      <c r="K1912" s="63">
        <v>9000.0</v>
      </c>
      <c r="L1912" s="63">
        <v>17.65</v>
      </c>
      <c r="M1912" s="66">
        <f t="shared" si="1"/>
        <v>221.8</v>
      </c>
    </row>
    <row r="1913">
      <c r="A1913" s="67"/>
      <c r="B1913" s="67"/>
      <c r="C1913" s="67"/>
      <c r="D1913" s="67"/>
      <c r="E1913" s="67"/>
      <c r="F1913" s="68"/>
      <c r="G1913" s="68"/>
      <c r="H1913" s="68"/>
      <c r="I1913" s="68"/>
      <c r="J1913" s="68"/>
      <c r="K1913" s="69">
        <v>9500.0</v>
      </c>
      <c r="L1913" s="69">
        <v>16.15</v>
      </c>
      <c r="M1913" s="68">
        <f t="shared" si="1"/>
        <v>214.22</v>
      </c>
    </row>
    <row r="1914">
      <c r="A1914" s="70"/>
      <c r="B1914" s="70"/>
      <c r="C1914" s="70"/>
      <c r="D1914" s="70"/>
      <c r="E1914" s="70"/>
      <c r="F1914" s="66"/>
      <c r="G1914" s="66"/>
      <c r="H1914" s="66"/>
      <c r="I1914" s="66"/>
      <c r="J1914" s="66"/>
      <c r="K1914" s="63">
        <v>10000.0</v>
      </c>
      <c r="L1914" s="63">
        <v>14.08</v>
      </c>
      <c r="M1914" s="66">
        <f t="shared" si="1"/>
        <v>196.59</v>
      </c>
    </row>
    <row r="1915">
      <c r="A1915" s="68">
        <v>128.0</v>
      </c>
      <c r="B1915" s="68">
        <v>197.0</v>
      </c>
      <c r="C1915" s="71" t="s">
        <v>432</v>
      </c>
      <c r="D1915" s="71" t="s">
        <v>433</v>
      </c>
      <c r="E1915" s="71" t="s">
        <v>434</v>
      </c>
      <c r="F1915" s="72">
        <v>6800.0</v>
      </c>
      <c r="G1915" s="72">
        <v>7000.0</v>
      </c>
      <c r="H1915" s="72">
        <v>1000.0</v>
      </c>
      <c r="I1915" s="72">
        <v>5500.0</v>
      </c>
      <c r="J1915" s="72">
        <v>6500.0</v>
      </c>
      <c r="K1915" s="69">
        <v>500.0</v>
      </c>
      <c r="L1915" s="69">
        <v>7.05</v>
      </c>
      <c r="M1915" s="68">
        <f t="shared" si="1"/>
        <v>4.92</v>
      </c>
    </row>
    <row r="1916">
      <c r="A1916" s="70"/>
      <c r="B1916" s="70"/>
      <c r="C1916" s="70"/>
      <c r="D1916" s="70"/>
      <c r="E1916" s="70"/>
      <c r="F1916" s="66"/>
      <c r="G1916" s="66"/>
      <c r="H1916" s="66"/>
      <c r="I1916" s="66"/>
      <c r="J1916" s="66"/>
      <c r="K1916" s="63">
        <v>1000.0</v>
      </c>
      <c r="L1916" s="63">
        <v>8.65</v>
      </c>
      <c r="M1916" s="66">
        <f t="shared" si="1"/>
        <v>12.08</v>
      </c>
    </row>
    <row r="1917">
      <c r="A1917" s="67"/>
      <c r="B1917" s="67"/>
      <c r="C1917" s="67"/>
      <c r="D1917" s="67"/>
      <c r="E1917" s="67"/>
      <c r="F1917" s="68"/>
      <c r="G1917" s="68"/>
      <c r="H1917" s="68"/>
      <c r="I1917" s="68"/>
      <c r="J1917" s="68"/>
      <c r="K1917" s="69">
        <v>1500.0</v>
      </c>
      <c r="L1917" s="69">
        <v>10.05</v>
      </c>
      <c r="M1917" s="68">
        <f t="shared" si="1"/>
        <v>21.05</v>
      </c>
    </row>
    <row r="1918">
      <c r="A1918" s="70"/>
      <c r="B1918" s="70"/>
      <c r="C1918" s="70"/>
      <c r="D1918" s="70"/>
      <c r="E1918" s="70"/>
      <c r="F1918" s="66"/>
      <c r="G1918" s="66"/>
      <c r="H1918" s="66"/>
      <c r="I1918" s="66"/>
      <c r="J1918" s="66"/>
      <c r="K1918" s="63">
        <v>2000.0</v>
      </c>
      <c r="L1918" s="63">
        <v>11.35</v>
      </c>
      <c r="M1918" s="66">
        <f t="shared" si="1"/>
        <v>31.7</v>
      </c>
    </row>
    <row r="1919">
      <c r="A1919" s="67"/>
      <c r="B1919" s="67"/>
      <c r="C1919" s="67"/>
      <c r="D1919" s="67"/>
      <c r="E1919" s="67"/>
      <c r="F1919" s="68"/>
      <c r="G1919" s="68"/>
      <c r="H1919" s="68"/>
      <c r="I1919" s="68"/>
      <c r="J1919" s="68"/>
      <c r="K1919" s="69">
        <v>2500.0</v>
      </c>
      <c r="L1919" s="69">
        <v>12.45</v>
      </c>
      <c r="M1919" s="68">
        <f t="shared" si="1"/>
        <v>43.46</v>
      </c>
    </row>
    <row r="1920">
      <c r="A1920" s="70"/>
      <c r="B1920" s="70"/>
      <c r="C1920" s="70"/>
      <c r="D1920" s="70"/>
      <c r="E1920" s="70"/>
      <c r="F1920" s="66"/>
      <c r="G1920" s="66"/>
      <c r="H1920" s="66"/>
      <c r="I1920" s="66"/>
      <c r="J1920" s="66"/>
      <c r="K1920" s="63">
        <v>3000.0</v>
      </c>
      <c r="L1920" s="63">
        <v>13.4</v>
      </c>
      <c r="M1920" s="66">
        <f t="shared" si="1"/>
        <v>56.13</v>
      </c>
    </row>
    <row r="1921">
      <c r="A1921" s="67"/>
      <c r="B1921" s="67"/>
      <c r="C1921" s="67"/>
      <c r="D1921" s="67"/>
      <c r="E1921" s="67"/>
      <c r="F1921" s="68"/>
      <c r="G1921" s="68"/>
      <c r="H1921" s="68"/>
      <c r="I1921" s="68"/>
      <c r="J1921" s="68"/>
      <c r="K1921" s="69">
        <v>3500.0</v>
      </c>
      <c r="L1921" s="69">
        <v>14.25</v>
      </c>
      <c r="M1921" s="68">
        <f t="shared" si="1"/>
        <v>69.64</v>
      </c>
    </row>
    <row r="1922">
      <c r="A1922" s="73"/>
      <c r="B1922" s="73"/>
      <c r="C1922" s="73"/>
      <c r="D1922" s="73"/>
      <c r="E1922" s="73"/>
      <c r="F1922" s="66"/>
      <c r="G1922" s="66"/>
      <c r="H1922" s="66"/>
      <c r="I1922" s="66"/>
      <c r="J1922" s="66"/>
      <c r="K1922" s="63">
        <v>4000.0</v>
      </c>
      <c r="L1922" s="63">
        <v>14.85</v>
      </c>
      <c r="M1922" s="66">
        <f t="shared" si="1"/>
        <v>82.94</v>
      </c>
    </row>
    <row r="1923">
      <c r="A1923" s="67"/>
      <c r="B1923" s="67"/>
      <c r="C1923" s="67"/>
      <c r="D1923" s="67"/>
      <c r="E1923" s="67"/>
      <c r="F1923" s="68"/>
      <c r="G1923" s="68"/>
      <c r="H1923" s="68"/>
      <c r="I1923" s="68"/>
      <c r="J1923" s="68"/>
      <c r="K1923" s="69">
        <v>4500.0</v>
      </c>
      <c r="L1923" s="69">
        <v>15.25</v>
      </c>
      <c r="M1923" s="68">
        <f t="shared" si="1"/>
        <v>95.82</v>
      </c>
    </row>
    <row r="1924">
      <c r="A1924" s="70"/>
      <c r="B1924" s="70"/>
      <c r="C1924" s="70"/>
      <c r="D1924" s="70"/>
      <c r="E1924" s="70"/>
      <c r="F1924" s="66"/>
      <c r="G1924" s="66"/>
      <c r="H1924" s="66"/>
      <c r="I1924" s="66"/>
      <c r="J1924" s="66"/>
      <c r="K1924" s="63">
        <v>5000.0</v>
      </c>
      <c r="L1924" s="63">
        <v>15.55</v>
      </c>
      <c r="M1924" s="66">
        <f t="shared" si="1"/>
        <v>108.56</v>
      </c>
    </row>
    <row r="1925">
      <c r="A1925" s="67"/>
      <c r="B1925" s="67"/>
      <c r="C1925" s="67"/>
      <c r="D1925" s="67"/>
      <c r="E1925" s="67"/>
      <c r="F1925" s="68"/>
      <c r="G1925" s="68"/>
      <c r="H1925" s="68"/>
      <c r="I1925" s="68"/>
      <c r="J1925" s="68"/>
      <c r="K1925" s="69">
        <v>5500.0</v>
      </c>
      <c r="L1925" s="69">
        <v>15.6</v>
      </c>
      <c r="M1925" s="68">
        <f t="shared" si="1"/>
        <v>119.8</v>
      </c>
    </row>
    <row r="1926">
      <c r="A1926" s="70"/>
      <c r="B1926" s="70"/>
      <c r="C1926" s="70"/>
      <c r="D1926" s="70"/>
      <c r="E1926" s="70"/>
      <c r="F1926" s="66"/>
      <c r="G1926" s="66"/>
      <c r="H1926" s="66"/>
      <c r="I1926" s="66"/>
      <c r="J1926" s="66"/>
      <c r="K1926" s="63">
        <v>6000.0</v>
      </c>
      <c r="L1926" s="63">
        <v>14.95</v>
      </c>
      <c r="M1926" s="66">
        <f t="shared" si="1"/>
        <v>125.24</v>
      </c>
    </row>
    <row r="1927">
      <c r="A1927" s="67"/>
      <c r="B1927" s="67"/>
      <c r="C1927" s="67"/>
      <c r="D1927" s="67"/>
      <c r="E1927" s="67"/>
      <c r="F1927" s="68"/>
      <c r="G1927" s="68"/>
      <c r="H1927" s="68"/>
      <c r="I1927" s="68"/>
      <c r="J1927" s="68"/>
      <c r="K1927" s="69">
        <v>6500.0</v>
      </c>
      <c r="L1927" s="69">
        <v>14.0</v>
      </c>
      <c r="M1927" s="68">
        <f t="shared" si="1"/>
        <v>127.06</v>
      </c>
    </row>
    <row r="1928">
      <c r="A1928" s="70"/>
      <c r="B1928" s="70"/>
      <c r="C1928" s="70"/>
      <c r="D1928" s="70"/>
      <c r="E1928" s="70"/>
      <c r="F1928" s="66"/>
      <c r="G1928" s="66"/>
      <c r="H1928" s="66"/>
      <c r="I1928" s="66"/>
      <c r="J1928" s="66"/>
      <c r="K1928" s="63">
        <v>7000.0</v>
      </c>
      <c r="L1928" s="63">
        <v>12.6</v>
      </c>
      <c r="M1928" s="66">
        <f t="shared" si="1"/>
        <v>123.15</v>
      </c>
    </row>
    <row r="1929">
      <c r="A1929" s="67"/>
      <c r="B1929" s="67"/>
      <c r="C1929" s="67"/>
      <c r="D1929" s="67"/>
      <c r="E1929" s="67"/>
      <c r="F1929" s="68"/>
      <c r="G1929" s="68"/>
      <c r="H1929" s="68"/>
      <c r="I1929" s="68"/>
      <c r="J1929" s="68"/>
      <c r="K1929" s="69">
        <v>7500.0</v>
      </c>
      <c r="L1929" s="69">
        <v>11.0</v>
      </c>
      <c r="M1929" s="68">
        <f t="shared" si="1"/>
        <v>115.19</v>
      </c>
    </row>
    <row r="1930">
      <c r="A1930" s="66">
        <v>129.0</v>
      </c>
      <c r="B1930" s="66">
        <v>198.0</v>
      </c>
      <c r="C1930" s="74" t="s">
        <v>435</v>
      </c>
      <c r="D1930" s="74" t="s">
        <v>436</v>
      </c>
      <c r="E1930" s="74" t="s">
        <v>437</v>
      </c>
      <c r="F1930" s="65">
        <v>6500.0</v>
      </c>
      <c r="G1930" s="65">
        <v>6500.0</v>
      </c>
      <c r="H1930" s="65">
        <v>800.0</v>
      </c>
      <c r="I1930" s="65">
        <v>3000.0</v>
      </c>
      <c r="J1930" s="65">
        <v>6000.0</v>
      </c>
      <c r="K1930" s="63">
        <v>500.0</v>
      </c>
      <c r="L1930" s="63">
        <v>8.3</v>
      </c>
      <c r="M1930" s="66">
        <f t="shared" si="1"/>
        <v>5.79</v>
      </c>
    </row>
    <row r="1931">
      <c r="A1931" s="67"/>
      <c r="B1931" s="67"/>
      <c r="C1931" s="67"/>
      <c r="D1931" s="67"/>
      <c r="E1931" s="67"/>
      <c r="F1931" s="68"/>
      <c r="G1931" s="68"/>
      <c r="H1931" s="68"/>
      <c r="I1931" s="68"/>
      <c r="J1931" s="68"/>
      <c r="K1931" s="69">
        <v>1000.0</v>
      </c>
      <c r="L1931" s="69">
        <v>9.3</v>
      </c>
      <c r="M1931" s="68">
        <f t="shared" si="1"/>
        <v>12.99</v>
      </c>
    </row>
    <row r="1932">
      <c r="A1932" s="70"/>
      <c r="B1932" s="70"/>
      <c r="C1932" s="70"/>
      <c r="D1932" s="70"/>
      <c r="E1932" s="70"/>
      <c r="F1932" s="66"/>
      <c r="G1932" s="66"/>
      <c r="H1932" s="66"/>
      <c r="I1932" s="66"/>
      <c r="J1932" s="66"/>
      <c r="K1932" s="63">
        <v>1500.0</v>
      </c>
      <c r="L1932" s="63">
        <v>9.95</v>
      </c>
      <c r="M1932" s="66">
        <f t="shared" si="1"/>
        <v>20.84</v>
      </c>
    </row>
    <row r="1933">
      <c r="A1933" s="67"/>
      <c r="B1933" s="67"/>
      <c r="C1933" s="67"/>
      <c r="D1933" s="67"/>
      <c r="E1933" s="67"/>
      <c r="F1933" s="68"/>
      <c r="G1933" s="68"/>
      <c r="H1933" s="68"/>
      <c r="I1933" s="68"/>
      <c r="J1933" s="68"/>
      <c r="K1933" s="69">
        <v>2000.0</v>
      </c>
      <c r="L1933" s="69">
        <v>10.3</v>
      </c>
      <c r="M1933" s="68">
        <f t="shared" si="1"/>
        <v>28.76</v>
      </c>
    </row>
    <row r="1934">
      <c r="A1934" s="70"/>
      <c r="B1934" s="70"/>
      <c r="C1934" s="70"/>
      <c r="D1934" s="70"/>
      <c r="E1934" s="70"/>
      <c r="F1934" s="66"/>
      <c r="G1934" s="66"/>
      <c r="H1934" s="66"/>
      <c r="I1934" s="66"/>
      <c r="J1934" s="66"/>
      <c r="K1934" s="63">
        <v>2500.0</v>
      </c>
      <c r="L1934" s="63">
        <v>10.65</v>
      </c>
      <c r="M1934" s="66">
        <f t="shared" si="1"/>
        <v>37.18</v>
      </c>
    </row>
    <row r="1935">
      <c r="A1935" s="67"/>
      <c r="B1935" s="67"/>
      <c r="C1935" s="67"/>
      <c r="D1935" s="67"/>
      <c r="E1935" s="67"/>
      <c r="F1935" s="68"/>
      <c r="G1935" s="68"/>
      <c r="H1935" s="68"/>
      <c r="I1935" s="68"/>
      <c r="J1935" s="68"/>
      <c r="K1935" s="69">
        <v>3000.0</v>
      </c>
      <c r="L1935" s="69">
        <v>10.9</v>
      </c>
      <c r="M1935" s="68">
        <f t="shared" si="1"/>
        <v>45.66</v>
      </c>
    </row>
    <row r="1936">
      <c r="A1936" s="70"/>
      <c r="B1936" s="70"/>
      <c r="C1936" s="70"/>
      <c r="D1936" s="70"/>
      <c r="E1936" s="70"/>
      <c r="F1936" s="66"/>
      <c r="G1936" s="66"/>
      <c r="H1936" s="66"/>
      <c r="I1936" s="66"/>
      <c r="J1936" s="66"/>
      <c r="K1936" s="63">
        <v>3500.0</v>
      </c>
      <c r="L1936" s="63">
        <v>10.85</v>
      </c>
      <c r="M1936" s="66">
        <f t="shared" si="1"/>
        <v>53.02</v>
      </c>
    </row>
    <row r="1937">
      <c r="A1937" s="67"/>
      <c r="B1937" s="67"/>
      <c r="C1937" s="67"/>
      <c r="D1937" s="67"/>
      <c r="E1937" s="67"/>
      <c r="F1937" s="68"/>
      <c r="G1937" s="68"/>
      <c r="H1937" s="68"/>
      <c r="I1937" s="68"/>
      <c r="J1937" s="68"/>
      <c r="K1937" s="69">
        <v>4000.0</v>
      </c>
      <c r="L1937" s="69">
        <v>10.7</v>
      </c>
      <c r="M1937" s="68">
        <f t="shared" si="1"/>
        <v>59.76</v>
      </c>
    </row>
    <row r="1938">
      <c r="A1938" s="70"/>
      <c r="B1938" s="70"/>
      <c r="C1938" s="70"/>
      <c r="D1938" s="70"/>
      <c r="E1938" s="70"/>
      <c r="F1938" s="66"/>
      <c r="G1938" s="66"/>
      <c r="H1938" s="66"/>
      <c r="I1938" s="66"/>
      <c r="J1938" s="66"/>
      <c r="K1938" s="63">
        <v>4500.0</v>
      </c>
      <c r="L1938" s="63">
        <v>10.45</v>
      </c>
      <c r="M1938" s="66">
        <f t="shared" si="1"/>
        <v>65.66</v>
      </c>
    </row>
    <row r="1939">
      <c r="A1939" s="67"/>
      <c r="B1939" s="67"/>
      <c r="C1939" s="67"/>
      <c r="D1939" s="67"/>
      <c r="E1939" s="67"/>
      <c r="F1939" s="68"/>
      <c r="G1939" s="68"/>
      <c r="H1939" s="68"/>
      <c r="I1939" s="68"/>
      <c r="J1939" s="68"/>
      <c r="K1939" s="69">
        <v>5000.0</v>
      </c>
      <c r="L1939" s="69">
        <v>10.1</v>
      </c>
      <c r="M1939" s="68">
        <f t="shared" si="1"/>
        <v>70.51</v>
      </c>
    </row>
    <row r="1940">
      <c r="A1940" s="70"/>
      <c r="B1940" s="70"/>
      <c r="C1940" s="70"/>
      <c r="D1940" s="70"/>
      <c r="E1940" s="70"/>
      <c r="F1940" s="66"/>
      <c r="G1940" s="66"/>
      <c r="H1940" s="66"/>
      <c r="I1940" s="66"/>
      <c r="J1940" s="66"/>
      <c r="K1940" s="63">
        <v>5500.0</v>
      </c>
      <c r="L1940" s="63">
        <v>9.75</v>
      </c>
      <c r="M1940" s="66">
        <f t="shared" si="1"/>
        <v>74.87</v>
      </c>
    </row>
    <row r="1941">
      <c r="A1941" s="67"/>
      <c r="B1941" s="67"/>
      <c r="C1941" s="67"/>
      <c r="D1941" s="67"/>
      <c r="E1941" s="67"/>
      <c r="F1941" s="68"/>
      <c r="G1941" s="68"/>
      <c r="H1941" s="68"/>
      <c r="I1941" s="68"/>
      <c r="J1941" s="68"/>
      <c r="K1941" s="69">
        <v>6000.0</v>
      </c>
      <c r="L1941" s="69">
        <v>9.2</v>
      </c>
      <c r="M1941" s="68">
        <f t="shared" si="1"/>
        <v>77.07</v>
      </c>
    </row>
    <row r="1942">
      <c r="A1942" s="70"/>
      <c r="B1942" s="70"/>
      <c r="C1942" s="70"/>
      <c r="D1942" s="70"/>
      <c r="E1942" s="70"/>
      <c r="F1942" s="66"/>
      <c r="G1942" s="66"/>
      <c r="H1942" s="66"/>
      <c r="I1942" s="66"/>
      <c r="J1942" s="66"/>
      <c r="K1942" s="63">
        <v>6500.0</v>
      </c>
      <c r="L1942" s="63">
        <v>8.35</v>
      </c>
      <c r="M1942" s="66">
        <f t="shared" si="1"/>
        <v>75.78</v>
      </c>
    </row>
    <row r="1943">
      <c r="A1943" s="67"/>
      <c r="B1943" s="67"/>
      <c r="C1943" s="67"/>
      <c r="D1943" s="67"/>
      <c r="E1943" s="67"/>
      <c r="F1943" s="68"/>
      <c r="G1943" s="68"/>
      <c r="H1943" s="68"/>
      <c r="I1943" s="68"/>
      <c r="J1943" s="68"/>
      <c r="K1943" s="69">
        <v>7000.0</v>
      </c>
      <c r="L1943" s="69">
        <v>6.9</v>
      </c>
      <c r="M1943" s="68">
        <f t="shared" si="1"/>
        <v>67.44</v>
      </c>
    </row>
    <row r="1944">
      <c r="A1944" s="66">
        <v>130.0</v>
      </c>
      <c r="B1944" s="66">
        <v>199.0</v>
      </c>
      <c r="C1944" s="74" t="s">
        <v>438</v>
      </c>
      <c r="D1944" s="74" t="s">
        <v>439</v>
      </c>
      <c r="E1944" s="74" t="s">
        <v>440</v>
      </c>
      <c r="F1944" s="65">
        <v>5500.0</v>
      </c>
      <c r="G1944" s="65">
        <v>6000.0</v>
      </c>
      <c r="H1944" s="65">
        <v>700.0</v>
      </c>
      <c r="I1944" s="65">
        <v>3500.0</v>
      </c>
      <c r="J1944" s="65">
        <v>4400.0</v>
      </c>
      <c r="K1944" s="63">
        <v>500.0</v>
      </c>
      <c r="L1944" s="63">
        <v>2.3</v>
      </c>
      <c r="M1944" s="66">
        <f t="shared" si="1"/>
        <v>1.61</v>
      </c>
    </row>
    <row r="1945">
      <c r="A1945" s="67"/>
      <c r="B1945" s="67"/>
      <c r="C1945" s="67"/>
      <c r="D1945" s="67"/>
      <c r="E1945" s="67"/>
      <c r="F1945" s="68"/>
      <c r="G1945" s="68"/>
      <c r="H1945" s="68"/>
      <c r="I1945" s="68"/>
      <c r="J1945" s="68"/>
      <c r="K1945" s="69">
        <v>1000.0</v>
      </c>
      <c r="L1945" s="69">
        <v>2.8</v>
      </c>
      <c r="M1945" s="68">
        <f t="shared" si="1"/>
        <v>3.91</v>
      </c>
    </row>
    <row r="1946">
      <c r="A1946" s="73"/>
      <c r="B1946" s="73"/>
      <c r="C1946" s="73"/>
      <c r="D1946" s="73"/>
      <c r="E1946" s="73"/>
      <c r="F1946" s="66"/>
      <c r="G1946" s="66"/>
      <c r="H1946" s="66"/>
      <c r="I1946" s="66"/>
      <c r="J1946" s="66"/>
      <c r="K1946" s="63">
        <v>1500.0</v>
      </c>
      <c r="L1946" s="63">
        <v>2.91</v>
      </c>
      <c r="M1946" s="66">
        <f t="shared" si="1"/>
        <v>6.09</v>
      </c>
    </row>
    <row r="1947">
      <c r="A1947" s="67"/>
      <c r="B1947" s="67"/>
      <c r="C1947" s="67"/>
      <c r="D1947" s="67"/>
      <c r="E1947" s="67"/>
      <c r="F1947" s="68"/>
      <c r="G1947" s="68"/>
      <c r="H1947" s="68"/>
      <c r="I1947" s="68"/>
      <c r="J1947" s="68"/>
      <c r="K1947" s="69">
        <v>2000.0</v>
      </c>
      <c r="L1947" s="69">
        <v>2.88</v>
      </c>
      <c r="M1947" s="68">
        <f t="shared" si="1"/>
        <v>8.04</v>
      </c>
    </row>
    <row r="1948">
      <c r="A1948" s="70"/>
      <c r="B1948" s="70"/>
      <c r="C1948" s="70"/>
      <c r="D1948" s="70"/>
      <c r="E1948" s="70"/>
      <c r="F1948" s="66"/>
      <c r="G1948" s="66"/>
      <c r="H1948" s="66"/>
      <c r="I1948" s="66"/>
      <c r="J1948" s="66"/>
      <c r="K1948" s="63">
        <v>2500.0</v>
      </c>
      <c r="L1948" s="63">
        <v>2.78</v>
      </c>
      <c r="M1948" s="66">
        <f t="shared" si="1"/>
        <v>9.7</v>
      </c>
    </row>
    <row r="1949">
      <c r="A1949" s="67"/>
      <c r="B1949" s="67"/>
      <c r="C1949" s="67"/>
      <c r="D1949" s="67"/>
      <c r="E1949" s="67"/>
      <c r="F1949" s="68"/>
      <c r="G1949" s="68"/>
      <c r="H1949" s="68"/>
      <c r="I1949" s="68"/>
      <c r="J1949" s="68"/>
      <c r="K1949" s="69">
        <v>3000.0</v>
      </c>
      <c r="L1949" s="69">
        <v>2.95</v>
      </c>
      <c r="M1949" s="68">
        <f t="shared" si="1"/>
        <v>12.36</v>
      </c>
    </row>
    <row r="1950">
      <c r="A1950" s="70"/>
      <c r="B1950" s="70"/>
      <c r="C1950" s="70"/>
      <c r="D1950" s="70"/>
      <c r="E1950" s="70"/>
      <c r="F1950" s="66"/>
      <c r="G1950" s="66"/>
      <c r="H1950" s="66"/>
      <c r="I1950" s="66"/>
      <c r="J1950" s="66"/>
      <c r="K1950" s="63">
        <v>3500.0</v>
      </c>
      <c r="L1950" s="63">
        <v>3.1</v>
      </c>
      <c r="M1950" s="66">
        <f t="shared" si="1"/>
        <v>15.15</v>
      </c>
    </row>
    <row r="1951">
      <c r="A1951" s="67"/>
      <c r="B1951" s="67"/>
      <c r="C1951" s="67"/>
      <c r="D1951" s="67"/>
      <c r="E1951" s="67"/>
      <c r="F1951" s="68"/>
      <c r="G1951" s="68"/>
      <c r="H1951" s="68"/>
      <c r="I1951" s="68"/>
      <c r="J1951" s="68"/>
      <c r="K1951" s="69">
        <v>4000.0</v>
      </c>
      <c r="L1951" s="69">
        <v>3.2</v>
      </c>
      <c r="M1951" s="68">
        <f t="shared" si="1"/>
        <v>17.87</v>
      </c>
    </row>
    <row r="1952">
      <c r="A1952" s="70"/>
      <c r="B1952" s="70"/>
      <c r="C1952" s="70"/>
      <c r="D1952" s="70"/>
      <c r="E1952" s="70"/>
      <c r="F1952" s="66"/>
      <c r="G1952" s="66"/>
      <c r="H1952" s="66"/>
      <c r="I1952" s="66"/>
      <c r="J1952" s="66"/>
      <c r="K1952" s="63">
        <v>4400.0</v>
      </c>
      <c r="L1952" s="63">
        <v>3.0</v>
      </c>
      <c r="M1952" s="66">
        <f t="shared" si="1"/>
        <v>18.43</v>
      </c>
    </row>
    <row r="1953">
      <c r="A1953" s="67"/>
      <c r="B1953" s="67"/>
      <c r="C1953" s="67"/>
      <c r="D1953" s="67"/>
      <c r="E1953" s="67"/>
      <c r="F1953" s="68"/>
      <c r="G1953" s="68"/>
      <c r="H1953" s="68"/>
      <c r="I1953" s="68"/>
      <c r="J1953" s="68"/>
      <c r="K1953" s="69">
        <v>5000.0</v>
      </c>
      <c r="L1953" s="69">
        <v>2.6</v>
      </c>
      <c r="M1953" s="68">
        <f t="shared" si="1"/>
        <v>18.15</v>
      </c>
    </row>
    <row r="1954">
      <c r="A1954" s="70"/>
      <c r="B1954" s="70"/>
      <c r="C1954" s="70"/>
      <c r="D1954" s="70"/>
      <c r="E1954" s="70"/>
      <c r="F1954" s="66"/>
      <c r="G1954" s="66"/>
      <c r="H1954" s="66"/>
      <c r="I1954" s="66"/>
      <c r="J1954" s="66"/>
      <c r="K1954" s="63">
        <v>5500.0</v>
      </c>
      <c r="L1954" s="63">
        <v>2.22</v>
      </c>
      <c r="M1954" s="66">
        <f t="shared" si="1"/>
        <v>17.05</v>
      </c>
    </row>
    <row r="1955">
      <c r="A1955" s="67"/>
      <c r="B1955" s="67"/>
      <c r="C1955" s="67"/>
      <c r="D1955" s="67"/>
      <c r="E1955" s="67"/>
      <c r="F1955" s="68"/>
      <c r="G1955" s="68"/>
      <c r="H1955" s="68"/>
      <c r="I1955" s="68"/>
      <c r="J1955" s="68"/>
      <c r="K1955" s="69">
        <v>6000.0</v>
      </c>
      <c r="L1955" s="69">
        <v>1.75</v>
      </c>
      <c r="M1955" s="68">
        <f t="shared" si="1"/>
        <v>14.66</v>
      </c>
    </row>
    <row r="1956">
      <c r="A1956" s="66">
        <v>131.0</v>
      </c>
      <c r="B1956" s="66">
        <v>200.0</v>
      </c>
      <c r="C1956" s="74" t="s">
        <v>441</v>
      </c>
      <c r="D1956" s="74" t="s">
        <v>442</v>
      </c>
      <c r="E1956" s="74" t="s">
        <v>443</v>
      </c>
      <c r="F1956" s="65">
        <v>8000.0</v>
      </c>
      <c r="G1956" s="65">
        <v>8000.0</v>
      </c>
      <c r="H1956" s="65">
        <v>700.0</v>
      </c>
      <c r="I1956" s="65">
        <v>5000.0</v>
      </c>
      <c r="J1956" s="65">
        <v>7000.0</v>
      </c>
      <c r="K1956" s="63">
        <v>500.0</v>
      </c>
      <c r="L1956" s="63">
        <v>16.73</v>
      </c>
      <c r="M1956" s="66">
        <f t="shared" si="1"/>
        <v>11.68</v>
      </c>
    </row>
    <row r="1957">
      <c r="A1957" s="67"/>
      <c r="B1957" s="67"/>
      <c r="C1957" s="67"/>
      <c r="D1957" s="67"/>
      <c r="E1957" s="67"/>
      <c r="F1957" s="68"/>
      <c r="G1957" s="68"/>
      <c r="H1957" s="68"/>
      <c r="I1957" s="68"/>
      <c r="J1957" s="68"/>
      <c r="K1957" s="69">
        <v>1000.0</v>
      </c>
      <c r="L1957" s="69">
        <v>18.9</v>
      </c>
      <c r="M1957" s="68">
        <f t="shared" si="1"/>
        <v>26.39</v>
      </c>
    </row>
    <row r="1958">
      <c r="A1958" s="70"/>
      <c r="B1958" s="70"/>
      <c r="C1958" s="70"/>
      <c r="D1958" s="70"/>
      <c r="E1958" s="70"/>
      <c r="F1958" s="66"/>
      <c r="G1958" s="66"/>
      <c r="H1958" s="66"/>
      <c r="I1958" s="66"/>
      <c r="J1958" s="66"/>
      <c r="K1958" s="63">
        <v>1500.0</v>
      </c>
      <c r="L1958" s="63">
        <v>20.33</v>
      </c>
      <c r="M1958" s="66">
        <f t="shared" si="1"/>
        <v>42.58</v>
      </c>
    </row>
    <row r="1959">
      <c r="A1959" s="67"/>
      <c r="B1959" s="67"/>
      <c r="C1959" s="67"/>
      <c r="D1959" s="67"/>
      <c r="E1959" s="67"/>
      <c r="F1959" s="68"/>
      <c r="G1959" s="68"/>
      <c r="H1959" s="68"/>
      <c r="I1959" s="68"/>
      <c r="J1959" s="68"/>
      <c r="K1959" s="69">
        <v>2000.0</v>
      </c>
      <c r="L1959" s="69">
        <v>21.3</v>
      </c>
      <c r="M1959" s="68">
        <f t="shared" si="1"/>
        <v>59.48</v>
      </c>
    </row>
    <row r="1960">
      <c r="A1960" s="70"/>
      <c r="B1960" s="70"/>
      <c r="C1960" s="70"/>
      <c r="D1960" s="70"/>
      <c r="E1960" s="70"/>
      <c r="F1960" s="66"/>
      <c r="G1960" s="66"/>
      <c r="H1960" s="66"/>
      <c r="I1960" s="66"/>
      <c r="J1960" s="66"/>
      <c r="K1960" s="63">
        <v>2500.0</v>
      </c>
      <c r="L1960" s="63">
        <v>22.2</v>
      </c>
      <c r="M1960" s="66">
        <f t="shared" si="1"/>
        <v>77.49</v>
      </c>
    </row>
    <row r="1961">
      <c r="A1961" s="67"/>
      <c r="B1961" s="67"/>
      <c r="C1961" s="67"/>
      <c r="D1961" s="67"/>
      <c r="E1961" s="67"/>
      <c r="F1961" s="68"/>
      <c r="G1961" s="68"/>
      <c r="H1961" s="68"/>
      <c r="I1961" s="68"/>
      <c r="J1961" s="68"/>
      <c r="K1961" s="69">
        <v>3000.0</v>
      </c>
      <c r="L1961" s="69">
        <v>22.5</v>
      </c>
      <c r="M1961" s="68">
        <f t="shared" si="1"/>
        <v>94.25</v>
      </c>
    </row>
    <row r="1962">
      <c r="A1962" s="70"/>
      <c r="B1962" s="70"/>
      <c r="C1962" s="70"/>
      <c r="D1962" s="70"/>
      <c r="E1962" s="70"/>
      <c r="F1962" s="66"/>
      <c r="G1962" s="66"/>
      <c r="H1962" s="66"/>
      <c r="I1962" s="66"/>
      <c r="J1962" s="66"/>
      <c r="K1962" s="63">
        <v>3500.0</v>
      </c>
      <c r="L1962" s="63">
        <v>22.65</v>
      </c>
      <c r="M1962" s="66">
        <f t="shared" si="1"/>
        <v>110.69</v>
      </c>
    </row>
    <row r="1963">
      <c r="A1963" s="67"/>
      <c r="B1963" s="67"/>
      <c r="C1963" s="67"/>
      <c r="D1963" s="67"/>
      <c r="E1963" s="67"/>
      <c r="F1963" s="68"/>
      <c r="G1963" s="68"/>
      <c r="H1963" s="68"/>
      <c r="I1963" s="68"/>
      <c r="J1963" s="68"/>
      <c r="K1963" s="69">
        <v>4000.0</v>
      </c>
      <c r="L1963" s="69">
        <v>22.8</v>
      </c>
      <c r="M1963" s="68">
        <f t="shared" si="1"/>
        <v>127.34</v>
      </c>
    </row>
    <row r="1964">
      <c r="A1964" s="70"/>
      <c r="B1964" s="70"/>
      <c r="C1964" s="70"/>
      <c r="D1964" s="70"/>
      <c r="E1964" s="70"/>
      <c r="F1964" s="66"/>
      <c r="G1964" s="66"/>
      <c r="H1964" s="66"/>
      <c r="I1964" s="66"/>
      <c r="J1964" s="66"/>
      <c r="K1964" s="63">
        <v>4500.0</v>
      </c>
      <c r="L1964" s="63">
        <v>22.95</v>
      </c>
      <c r="M1964" s="66">
        <f t="shared" si="1"/>
        <v>144.2</v>
      </c>
    </row>
    <row r="1965">
      <c r="A1965" s="67"/>
      <c r="B1965" s="67"/>
      <c r="C1965" s="67"/>
      <c r="D1965" s="67"/>
      <c r="E1965" s="67"/>
      <c r="F1965" s="68"/>
      <c r="G1965" s="68"/>
      <c r="H1965" s="68"/>
      <c r="I1965" s="68"/>
      <c r="J1965" s="68"/>
      <c r="K1965" s="69">
        <v>5000.0</v>
      </c>
      <c r="L1965" s="69">
        <v>23.0</v>
      </c>
      <c r="M1965" s="68">
        <f t="shared" si="1"/>
        <v>160.57</v>
      </c>
    </row>
    <row r="1966">
      <c r="A1966" s="70"/>
      <c r="B1966" s="70"/>
      <c r="C1966" s="70"/>
      <c r="D1966" s="70"/>
      <c r="E1966" s="70"/>
      <c r="F1966" s="66"/>
      <c r="G1966" s="66"/>
      <c r="H1966" s="66"/>
      <c r="I1966" s="66"/>
      <c r="J1966" s="66"/>
      <c r="K1966" s="63">
        <v>5500.0</v>
      </c>
      <c r="L1966" s="63">
        <v>22.88</v>
      </c>
      <c r="M1966" s="66">
        <f t="shared" si="1"/>
        <v>175.71</v>
      </c>
    </row>
    <row r="1967">
      <c r="A1967" s="67"/>
      <c r="B1967" s="67"/>
      <c r="C1967" s="67"/>
      <c r="D1967" s="67"/>
      <c r="E1967" s="67"/>
      <c r="F1967" s="68"/>
      <c r="G1967" s="68"/>
      <c r="H1967" s="68"/>
      <c r="I1967" s="68"/>
      <c r="J1967" s="68"/>
      <c r="K1967" s="69">
        <v>6000.0</v>
      </c>
      <c r="L1967" s="69">
        <v>22.5</v>
      </c>
      <c r="M1967" s="68">
        <f t="shared" si="1"/>
        <v>188.49</v>
      </c>
    </row>
    <row r="1968">
      <c r="A1968" s="70"/>
      <c r="B1968" s="70"/>
      <c r="C1968" s="70"/>
      <c r="D1968" s="70"/>
      <c r="E1968" s="70"/>
      <c r="F1968" s="66"/>
      <c r="G1968" s="66"/>
      <c r="H1968" s="66"/>
      <c r="I1968" s="66"/>
      <c r="J1968" s="66"/>
      <c r="K1968" s="63">
        <v>6500.0</v>
      </c>
      <c r="L1968" s="63">
        <v>21.9</v>
      </c>
      <c r="M1968" s="66">
        <f t="shared" si="1"/>
        <v>198.76</v>
      </c>
    </row>
    <row r="1969">
      <c r="A1969" s="67"/>
      <c r="B1969" s="67"/>
      <c r="C1969" s="67"/>
      <c r="D1969" s="67"/>
      <c r="E1969" s="67"/>
      <c r="F1969" s="68"/>
      <c r="G1969" s="68"/>
      <c r="H1969" s="68"/>
      <c r="I1969" s="68"/>
      <c r="J1969" s="68"/>
      <c r="K1969" s="69">
        <v>7000.0</v>
      </c>
      <c r="L1969" s="69">
        <v>21.0</v>
      </c>
      <c r="M1969" s="68">
        <f t="shared" si="1"/>
        <v>205.25</v>
      </c>
    </row>
    <row r="1970">
      <c r="A1970" s="73"/>
      <c r="B1970" s="73"/>
      <c r="C1970" s="73"/>
      <c r="D1970" s="73"/>
      <c r="E1970" s="73"/>
      <c r="F1970" s="66"/>
      <c r="G1970" s="66"/>
      <c r="H1970" s="66"/>
      <c r="I1970" s="66"/>
      <c r="J1970" s="66"/>
      <c r="K1970" s="63">
        <v>7500.0</v>
      </c>
      <c r="L1970" s="63">
        <v>19.42</v>
      </c>
      <c r="M1970" s="66">
        <f t="shared" si="1"/>
        <v>203.36</v>
      </c>
    </row>
    <row r="1971">
      <c r="A1971" s="67"/>
      <c r="B1971" s="67"/>
      <c r="C1971" s="67"/>
      <c r="D1971" s="67"/>
      <c r="E1971" s="67"/>
      <c r="F1971" s="68"/>
      <c r="G1971" s="68"/>
      <c r="H1971" s="68"/>
      <c r="I1971" s="68"/>
      <c r="J1971" s="68"/>
      <c r="K1971" s="69">
        <v>8000.0</v>
      </c>
      <c r="L1971" s="69">
        <v>16.8</v>
      </c>
      <c r="M1971" s="68">
        <f t="shared" si="1"/>
        <v>187.66</v>
      </c>
    </row>
    <row r="1972">
      <c r="A1972" s="66">
        <v>132.0</v>
      </c>
      <c r="B1972" s="66">
        <v>201.0</v>
      </c>
      <c r="C1972" s="74" t="s">
        <v>444</v>
      </c>
      <c r="D1972" s="74" t="s">
        <v>445</v>
      </c>
      <c r="E1972" s="74" t="s">
        <v>446</v>
      </c>
      <c r="F1972" s="65">
        <v>7500.0</v>
      </c>
      <c r="G1972" s="65">
        <v>7500.0</v>
      </c>
      <c r="H1972" s="65">
        <v>900.0</v>
      </c>
      <c r="I1972" s="65">
        <v>5600.0</v>
      </c>
      <c r="J1972" s="65">
        <v>7000.0</v>
      </c>
      <c r="K1972" s="63">
        <v>500.0</v>
      </c>
      <c r="L1972" s="63">
        <v>10.8</v>
      </c>
      <c r="M1972" s="66">
        <f t="shared" si="1"/>
        <v>7.54</v>
      </c>
    </row>
    <row r="1973">
      <c r="A1973" s="67"/>
      <c r="B1973" s="67"/>
      <c r="C1973" s="67"/>
      <c r="D1973" s="67"/>
      <c r="E1973" s="67"/>
      <c r="F1973" s="68"/>
      <c r="G1973" s="68"/>
      <c r="H1973" s="68"/>
      <c r="I1973" s="68"/>
      <c r="J1973" s="68"/>
      <c r="K1973" s="69">
        <v>1000.0</v>
      </c>
      <c r="L1973" s="69">
        <v>12.25</v>
      </c>
      <c r="M1973" s="68">
        <f t="shared" si="1"/>
        <v>17.1</v>
      </c>
    </row>
    <row r="1974">
      <c r="A1974" s="70"/>
      <c r="B1974" s="70"/>
      <c r="C1974" s="70"/>
      <c r="D1974" s="70"/>
      <c r="E1974" s="70"/>
      <c r="F1974" s="66"/>
      <c r="G1974" s="66"/>
      <c r="H1974" s="66"/>
      <c r="I1974" s="66"/>
      <c r="J1974" s="66"/>
      <c r="K1974" s="63">
        <v>1500.0</v>
      </c>
      <c r="L1974" s="63">
        <v>13.2</v>
      </c>
      <c r="M1974" s="66">
        <f t="shared" si="1"/>
        <v>27.65</v>
      </c>
    </row>
    <row r="1975">
      <c r="A1975" s="67"/>
      <c r="B1975" s="67"/>
      <c r="C1975" s="67"/>
      <c r="D1975" s="67"/>
      <c r="E1975" s="67"/>
      <c r="F1975" s="68"/>
      <c r="G1975" s="68"/>
      <c r="H1975" s="68"/>
      <c r="I1975" s="68"/>
      <c r="J1975" s="68"/>
      <c r="K1975" s="69">
        <v>2000.0</v>
      </c>
      <c r="L1975" s="69">
        <v>13.8</v>
      </c>
      <c r="M1975" s="68">
        <f t="shared" si="1"/>
        <v>38.54</v>
      </c>
    </row>
    <row r="1976">
      <c r="A1976" s="70"/>
      <c r="B1976" s="70"/>
      <c r="C1976" s="70"/>
      <c r="D1976" s="70"/>
      <c r="E1976" s="70"/>
      <c r="F1976" s="66"/>
      <c r="G1976" s="66"/>
      <c r="H1976" s="66"/>
      <c r="I1976" s="66"/>
      <c r="J1976" s="66"/>
      <c r="K1976" s="63">
        <v>2500.0</v>
      </c>
      <c r="L1976" s="63">
        <v>14.0</v>
      </c>
      <c r="M1976" s="66">
        <f t="shared" si="1"/>
        <v>48.87</v>
      </c>
    </row>
    <row r="1977">
      <c r="A1977" s="67"/>
      <c r="B1977" s="67"/>
      <c r="C1977" s="67"/>
      <c r="D1977" s="67"/>
      <c r="E1977" s="67"/>
      <c r="F1977" s="68"/>
      <c r="G1977" s="68"/>
      <c r="H1977" s="68"/>
      <c r="I1977" s="68"/>
      <c r="J1977" s="68"/>
      <c r="K1977" s="69">
        <v>3000.0</v>
      </c>
      <c r="L1977" s="69">
        <v>14.2</v>
      </c>
      <c r="M1977" s="68">
        <f t="shared" si="1"/>
        <v>59.48</v>
      </c>
    </row>
    <row r="1978">
      <c r="A1978" s="70"/>
      <c r="B1978" s="70"/>
      <c r="C1978" s="70"/>
      <c r="D1978" s="70"/>
      <c r="E1978" s="70"/>
      <c r="F1978" s="66"/>
      <c r="G1978" s="66"/>
      <c r="H1978" s="66"/>
      <c r="I1978" s="66"/>
      <c r="J1978" s="66"/>
      <c r="K1978" s="63">
        <v>3500.0</v>
      </c>
      <c r="L1978" s="63">
        <v>14.9</v>
      </c>
      <c r="M1978" s="66">
        <f t="shared" si="1"/>
        <v>72.81</v>
      </c>
    </row>
    <row r="1979">
      <c r="A1979" s="67"/>
      <c r="B1979" s="67"/>
      <c r="C1979" s="67"/>
      <c r="D1979" s="67"/>
      <c r="E1979" s="67"/>
      <c r="F1979" s="68"/>
      <c r="G1979" s="68"/>
      <c r="H1979" s="68"/>
      <c r="I1979" s="68"/>
      <c r="J1979" s="68"/>
      <c r="K1979" s="69">
        <v>4000.0</v>
      </c>
      <c r="L1979" s="69">
        <v>15.45</v>
      </c>
      <c r="M1979" s="68">
        <f t="shared" si="1"/>
        <v>86.29</v>
      </c>
    </row>
    <row r="1980">
      <c r="A1980" s="70"/>
      <c r="B1980" s="70"/>
      <c r="C1980" s="70"/>
      <c r="D1980" s="70"/>
      <c r="E1980" s="70"/>
      <c r="F1980" s="66"/>
      <c r="G1980" s="66"/>
      <c r="H1980" s="66"/>
      <c r="I1980" s="66"/>
      <c r="J1980" s="66"/>
      <c r="K1980" s="63">
        <v>4500.0</v>
      </c>
      <c r="L1980" s="63">
        <v>16.3</v>
      </c>
      <c r="M1980" s="66">
        <f t="shared" si="1"/>
        <v>102.42</v>
      </c>
    </row>
    <row r="1981">
      <c r="A1981" s="67"/>
      <c r="B1981" s="67"/>
      <c r="C1981" s="67"/>
      <c r="D1981" s="67"/>
      <c r="E1981" s="67"/>
      <c r="F1981" s="68"/>
      <c r="G1981" s="68"/>
      <c r="H1981" s="68"/>
      <c r="I1981" s="68"/>
      <c r="J1981" s="68"/>
      <c r="K1981" s="69">
        <v>5000.0</v>
      </c>
      <c r="L1981" s="69">
        <v>16.89</v>
      </c>
      <c r="M1981" s="68">
        <f t="shared" si="1"/>
        <v>117.91</v>
      </c>
    </row>
    <row r="1982">
      <c r="A1982" s="70"/>
      <c r="B1982" s="70"/>
      <c r="C1982" s="70"/>
      <c r="D1982" s="70"/>
      <c r="E1982" s="70"/>
      <c r="F1982" s="66"/>
      <c r="G1982" s="66"/>
      <c r="H1982" s="66"/>
      <c r="I1982" s="66"/>
      <c r="J1982" s="66"/>
      <c r="K1982" s="63">
        <v>5600.0</v>
      </c>
      <c r="L1982" s="63">
        <v>16.85</v>
      </c>
      <c r="M1982" s="66">
        <f t="shared" si="1"/>
        <v>131.75</v>
      </c>
    </row>
    <row r="1983">
      <c r="A1983" s="67"/>
      <c r="B1983" s="67"/>
      <c r="C1983" s="67"/>
      <c r="D1983" s="67"/>
      <c r="E1983" s="67"/>
      <c r="F1983" s="68"/>
      <c r="G1983" s="68"/>
      <c r="H1983" s="68"/>
      <c r="I1983" s="68"/>
      <c r="J1983" s="68"/>
      <c r="K1983" s="69">
        <v>6000.0</v>
      </c>
      <c r="L1983" s="69">
        <v>16.55</v>
      </c>
      <c r="M1983" s="68">
        <f t="shared" si="1"/>
        <v>138.65</v>
      </c>
    </row>
    <row r="1984">
      <c r="A1984" s="70"/>
      <c r="B1984" s="70"/>
      <c r="C1984" s="70"/>
      <c r="D1984" s="70"/>
      <c r="E1984" s="70"/>
      <c r="F1984" s="66"/>
      <c r="G1984" s="66"/>
      <c r="H1984" s="66"/>
      <c r="I1984" s="66"/>
      <c r="J1984" s="66"/>
      <c r="K1984" s="63">
        <v>6500.0</v>
      </c>
      <c r="L1984" s="63">
        <v>15.85</v>
      </c>
      <c r="M1984" s="66">
        <f t="shared" si="1"/>
        <v>143.85</v>
      </c>
    </row>
    <row r="1985">
      <c r="A1985" s="67"/>
      <c r="B1985" s="67"/>
      <c r="C1985" s="67"/>
      <c r="D1985" s="67"/>
      <c r="E1985" s="67"/>
      <c r="F1985" s="68"/>
      <c r="G1985" s="68"/>
      <c r="H1985" s="68"/>
      <c r="I1985" s="68"/>
      <c r="J1985" s="68"/>
      <c r="K1985" s="69">
        <v>7000.0</v>
      </c>
      <c r="L1985" s="69">
        <v>14.82</v>
      </c>
      <c r="M1985" s="68">
        <f t="shared" si="1"/>
        <v>144.85</v>
      </c>
    </row>
    <row r="1986">
      <c r="A1986" s="70"/>
      <c r="B1986" s="70"/>
      <c r="C1986" s="70"/>
      <c r="D1986" s="70"/>
      <c r="E1986" s="70"/>
      <c r="F1986" s="66"/>
      <c r="G1986" s="66"/>
      <c r="H1986" s="66"/>
      <c r="I1986" s="66"/>
      <c r="J1986" s="66"/>
      <c r="K1986" s="63">
        <v>7500.0</v>
      </c>
      <c r="L1986" s="63">
        <v>13.6</v>
      </c>
      <c r="M1986" s="66">
        <f t="shared" si="1"/>
        <v>142.42</v>
      </c>
    </row>
    <row r="1987">
      <c r="A1987" s="67"/>
      <c r="B1987" s="67"/>
      <c r="C1987" s="67"/>
      <c r="D1987" s="67"/>
      <c r="E1987" s="67"/>
      <c r="F1987" s="68"/>
      <c r="G1987" s="68"/>
      <c r="H1987" s="68"/>
      <c r="I1987" s="68"/>
      <c r="J1987" s="68"/>
      <c r="K1987" s="69">
        <v>8000.0</v>
      </c>
      <c r="L1987" s="69">
        <v>11.85</v>
      </c>
      <c r="M1987" s="68">
        <f t="shared" si="1"/>
        <v>132.37</v>
      </c>
    </row>
    <row r="1988">
      <c r="A1988" s="66">
        <v>133.0</v>
      </c>
      <c r="B1988" s="66">
        <v>203.0</v>
      </c>
      <c r="C1988" s="74" t="s">
        <v>447</v>
      </c>
      <c r="D1988" s="74" t="s">
        <v>448</v>
      </c>
      <c r="E1988" s="74" t="s">
        <v>449</v>
      </c>
      <c r="F1988" s="65">
        <v>8000.0</v>
      </c>
      <c r="G1988" s="65">
        <v>8200.0</v>
      </c>
      <c r="H1988" s="65">
        <v>800.0</v>
      </c>
      <c r="I1988" s="65">
        <v>4400.0</v>
      </c>
      <c r="J1988" s="65">
        <v>6000.0</v>
      </c>
      <c r="K1988" s="63">
        <v>500.0</v>
      </c>
      <c r="L1988" s="63">
        <v>17.48</v>
      </c>
      <c r="M1988" s="66">
        <f t="shared" si="1"/>
        <v>12.2</v>
      </c>
    </row>
    <row r="1989">
      <c r="A1989" s="67"/>
      <c r="B1989" s="67"/>
      <c r="C1989" s="67"/>
      <c r="D1989" s="67"/>
      <c r="E1989" s="67"/>
      <c r="F1989" s="68"/>
      <c r="G1989" s="68"/>
      <c r="H1989" s="68"/>
      <c r="I1989" s="68"/>
      <c r="J1989" s="68"/>
      <c r="K1989" s="69">
        <v>1000.0</v>
      </c>
      <c r="L1989" s="69">
        <v>18.46</v>
      </c>
      <c r="M1989" s="68">
        <f t="shared" si="1"/>
        <v>25.77</v>
      </c>
    </row>
    <row r="1990">
      <c r="A1990" s="70"/>
      <c r="B1990" s="70"/>
      <c r="C1990" s="70"/>
      <c r="D1990" s="70"/>
      <c r="E1990" s="70"/>
      <c r="F1990" s="66"/>
      <c r="G1990" s="66"/>
      <c r="H1990" s="66"/>
      <c r="I1990" s="66"/>
      <c r="J1990" s="66"/>
      <c r="K1990" s="63">
        <v>1500.0</v>
      </c>
      <c r="L1990" s="63">
        <v>20.19</v>
      </c>
      <c r="M1990" s="66">
        <f t="shared" si="1"/>
        <v>42.29</v>
      </c>
    </row>
    <row r="1991">
      <c r="A1991" s="67"/>
      <c r="B1991" s="67"/>
      <c r="C1991" s="67"/>
      <c r="D1991" s="67"/>
      <c r="E1991" s="67"/>
      <c r="F1991" s="68"/>
      <c r="G1991" s="68"/>
      <c r="H1991" s="68"/>
      <c r="I1991" s="68"/>
      <c r="J1991" s="68"/>
      <c r="K1991" s="69">
        <v>2000.0</v>
      </c>
      <c r="L1991" s="69">
        <v>24.47</v>
      </c>
      <c r="M1991" s="68">
        <f t="shared" si="1"/>
        <v>68.33</v>
      </c>
    </row>
    <row r="1992">
      <c r="A1992" s="70"/>
      <c r="B1992" s="70"/>
      <c r="C1992" s="70"/>
      <c r="D1992" s="70"/>
      <c r="E1992" s="70"/>
      <c r="F1992" s="66"/>
      <c r="G1992" s="66"/>
      <c r="H1992" s="66"/>
      <c r="I1992" s="66"/>
      <c r="J1992" s="66"/>
      <c r="K1992" s="63">
        <v>2500.0</v>
      </c>
      <c r="L1992" s="63">
        <v>33.65</v>
      </c>
      <c r="M1992" s="66">
        <f t="shared" si="1"/>
        <v>117.46</v>
      </c>
    </row>
    <row r="1993">
      <c r="A1993" s="67"/>
      <c r="B1993" s="67"/>
      <c r="C1993" s="67"/>
      <c r="D1993" s="67"/>
      <c r="E1993" s="67"/>
      <c r="F1993" s="68"/>
      <c r="G1993" s="68"/>
      <c r="H1993" s="68"/>
      <c r="I1993" s="68"/>
      <c r="J1993" s="68"/>
      <c r="K1993" s="69">
        <v>3000.0</v>
      </c>
      <c r="L1993" s="69">
        <v>37.71</v>
      </c>
      <c r="M1993" s="68">
        <f t="shared" si="1"/>
        <v>157.96</v>
      </c>
    </row>
    <row r="1994">
      <c r="A1994" s="73"/>
      <c r="B1994" s="73"/>
      <c r="C1994" s="73"/>
      <c r="D1994" s="73"/>
      <c r="E1994" s="73"/>
      <c r="F1994" s="66"/>
      <c r="G1994" s="66"/>
      <c r="H1994" s="66"/>
      <c r="I1994" s="66"/>
      <c r="J1994" s="66"/>
      <c r="K1994" s="63">
        <v>3500.0</v>
      </c>
      <c r="L1994" s="63">
        <v>39.75</v>
      </c>
      <c r="M1994" s="66">
        <f t="shared" si="1"/>
        <v>194.25</v>
      </c>
    </row>
    <row r="1995">
      <c r="A1995" s="67"/>
      <c r="B1995" s="67"/>
      <c r="C1995" s="67"/>
      <c r="D1995" s="67"/>
      <c r="E1995" s="67"/>
      <c r="F1995" s="68"/>
      <c r="G1995" s="68"/>
      <c r="H1995" s="68"/>
      <c r="I1995" s="68"/>
      <c r="J1995" s="68"/>
      <c r="K1995" s="69">
        <v>4000.0</v>
      </c>
      <c r="L1995" s="69">
        <v>40.09</v>
      </c>
      <c r="M1995" s="68">
        <f t="shared" si="1"/>
        <v>223.9</v>
      </c>
    </row>
    <row r="1996">
      <c r="A1996" s="70"/>
      <c r="B1996" s="70"/>
      <c r="C1996" s="70"/>
      <c r="D1996" s="70"/>
      <c r="E1996" s="70"/>
      <c r="F1996" s="66"/>
      <c r="G1996" s="66"/>
      <c r="H1996" s="66"/>
      <c r="I1996" s="66"/>
      <c r="J1996" s="66"/>
      <c r="K1996" s="63">
        <v>4500.0</v>
      </c>
      <c r="L1996" s="63">
        <v>40.18</v>
      </c>
      <c r="M1996" s="66">
        <f t="shared" si="1"/>
        <v>252.46</v>
      </c>
    </row>
    <row r="1997">
      <c r="A1997" s="67"/>
      <c r="B1997" s="67"/>
      <c r="C1997" s="67"/>
      <c r="D1997" s="67"/>
      <c r="E1997" s="67"/>
      <c r="F1997" s="68"/>
      <c r="G1997" s="68"/>
      <c r="H1997" s="68"/>
      <c r="I1997" s="68"/>
      <c r="J1997" s="68"/>
      <c r="K1997" s="69">
        <v>5000.0</v>
      </c>
      <c r="L1997" s="69">
        <v>39.71</v>
      </c>
      <c r="M1997" s="68">
        <f t="shared" si="1"/>
        <v>277.23</v>
      </c>
    </row>
    <row r="1998">
      <c r="A1998" s="70"/>
      <c r="B1998" s="70"/>
      <c r="C1998" s="70"/>
      <c r="D1998" s="70"/>
      <c r="E1998" s="70"/>
      <c r="F1998" s="66"/>
      <c r="G1998" s="66"/>
      <c r="H1998" s="66"/>
      <c r="I1998" s="66"/>
      <c r="J1998" s="66"/>
      <c r="K1998" s="63">
        <v>5500.0</v>
      </c>
      <c r="L1998" s="63">
        <v>38.92</v>
      </c>
      <c r="M1998" s="66">
        <f t="shared" si="1"/>
        <v>298.88</v>
      </c>
    </row>
    <row r="1999">
      <c r="A1999" s="67"/>
      <c r="B1999" s="67"/>
      <c r="C1999" s="67"/>
      <c r="D1999" s="67"/>
      <c r="E1999" s="67"/>
      <c r="F1999" s="68"/>
      <c r="G1999" s="68"/>
      <c r="H1999" s="68"/>
      <c r="I1999" s="68"/>
      <c r="J1999" s="68"/>
      <c r="K1999" s="69">
        <v>6000.0</v>
      </c>
      <c r="L1999" s="69">
        <v>36.97</v>
      </c>
      <c r="M1999" s="68">
        <f t="shared" si="1"/>
        <v>309.72</v>
      </c>
    </row>
    <row r="2000">
      <c r="A2000" s="70"/>
      <c r="B2000" s="70"/>
      <c r="C2000" s="70"/>
      <c r="D2000" s="70"/>
      <c r="E2000" s="70"/>
      <c r="F2000" s="66"/>
      <c r="G2000" s="66"/>
      <c r="H2000" s="66"/>
      <c r="I2000" s="66"/>
      <c r="J2000" s="66"/>
      <c r="K2000" s="63">
        <v>6500.0</v>
      </c>
      <c r="L2000" s="63">
        <v>34.06</v>
      </c>
      <c r="M2000" s="66">
        <f t="shared" si="1"/>
        <v>309.12</v>
      </c>
    </row>
    <row r="2001">
      <c r="A2001" s="67"/>
      <c r="B2001" s="67"/>
      <c r="C2001" s="67"/>
      <c r="D2001" s="67"/>
      <c r="E2001" s="67"/>
      <c r="F2001" s="68"/>
      <c r="G2001" s="68"/>
      <c r="H2001" s="68"/>
      <c r="I2001" s="68"/>
      <c r="J2001" s="68"/>
      <c r="K2001" s="69">
        <v>7000.0</v>
      </c>
      <c r="L2001" s="69">
        <v>30.75</v>
      </c>
      <c r="M2001" s="68">
        <f t="shared" si="1"/>
        <v>300.54</v>
      </c>
    </row>
    <row r="2002">
      <c r="A2002" s="70"/>
      <c r="B2002" s="70"/>
      <c r="C2002" s="70"/>
      <c r="D2002" s="70"/>
      <c r="E2002" s="70"/>
      <c r="F2002" s="66"/>
      <c r="G2002" s="66"/>
      <c r="H2002" s="66"/>
      <c r="I2002" s="66"/>
      <c r="J2002" s="66"/>
      <c r="K2002" s="63">
        <v>7500.0</v>
      </c>
      <c r="L2002" s="63">
        <v>26.88</v>
      </c>
      <c r="M2002" s="66">
        <f t="shared" si="1"/>
        <v>281.49</v>
      </c>
    </row>
    <row r="2003">
      <c r="A2003" s="67"/>
      <c r="B2003" s="67"/>
      <c r="C2003" s="67"/>
      <c r="D2003" s="67"/>
      <c r="E2003" s="67"/>
      <c r="F2003" s="68"/>
      <c r="G2003" s="68"/>
      <c r="H2003" s="68"/>
      <c r="I2003" s="68"/>
      <c r="J2003" s="68"/>
      <c r="K2003" s="69">
        <v>8000.0</v>
      </c>
      <c r="L2003" s="69">
        <v>21.38</v>
      </c>
      <c r="M2003" s="68">
        <f t="shared" si="1"/>
        <v>238.82</v>
      </c>
    </row>
    <row r="2004">
      <c r="A2004" s="70"/>
      <c r="B2004" s="70"/>
      <c r="C2004" s="70"/>
      <c r="D2004" s="70"/>
      <c r="E2004" s="70"/>
      <c r="F2004" s="66"/>
      <c r="G2004" s="66"/>
      <c r="H2004" s="66"/>
      <c r="I2004" s="66"/>
      <c r="J2004" s="66"/>
      <c r="K2004" s="63">
        <v>8500.0</v>
      </c>
      <c r="L2004" s="63">
        <v>11.88</v>
      </c>
      <c r="M2004" s="66">
        <f t="shared" si="1"/>
        <v>140.99</v>
      </c>
    </row>
    <row r="2005">
      <c r="A2005" s="68">
        <v>134.0</v>
      </c>
      <c r="B2005" s="68">
        <v>206.0</v>
      </c>
      <c r="C2005" s="71" t="s">
        <v>450</v>
      </c>
      <c r="D2005" s="71" t="s">
        <v>451</v>
      </c>
      <c r="E2005" s="71" t="s">
        <v>452</v>
      </c>
      <c r="F2005" s="72">
        <v>5500.0</v>
      </c>
      <c r="G2005" s="72">
        <v>5800.0</v>
      </c>
      <c r="H2005" s="72">
        <v>800.0</v>
      </c>
      <c r="I2005" s="72">
        <v>4500.0</v>
      </c>
      <c r="J2005" s="72">
        <v>5750.0</v>
      </c>
      <c r="K2005" s="69">
        <v>500.0</v>
      </c>
      <c r="L2005" s="69">
        <v>19.8</v>
      </c>
      <c r="M2005" s="68">
        <f t="shared" si="1"/>
        <v>13.82</v>
      </c>
    </row>
    <row r="2006">
      <c r="A2006" s="70"/>
      <c r="B2006" s="70"/>
      <c r="C2006" s="70"/>
      <c r="D2006" s="70"/>
      <c r="E2006" s="70"/>
      <c r="F2006" s="66"/>
      <c r="G2006" s="66"/>
      <c r="H2006" s="66"/>
      <c r="I2006" s="66"/>
      <c r="J2006" s="66"/>
      <c r="K2006" s="63">
        <v>1000.0</v>
      </c>
      <c r="L2006" s="63">
        <v>21.0</v>
      </c>
      <c r="M2006" s="66">
        <f t="shared" si="1"/>
        <v>29.32</v>
      </c>
    </row>
    <row r="2007">
      <c r="A2007" s="67"/>
      <c r="B2007" s="67"/>
      <c r="C2007" s="67"/>
      <c r="D2007" s="67"/>
      <c r="E2007" s="67"/>
      <c r="F2007" s="68"/>
      <c r="G2007" s="68"/>
      <c r="H2007" s="68"/>
      <c r="I2007" s="68"/>
      <c r="J2007" s="68"/>
      <c r="K2007" s="69">
        <v>1500.0</v>
      </c>
      <c r="L2007" s="69">
        <v>22.6</v>
      </c>
      <c r="M2007" s="68">
        <f t="shared" si="1"/>
        <v>47.33</v>
      </c>
    </row>
    <row r="2008">
      <c r="A2008" s="70"/>
      <c r="B2008" s="70"/>
      <c r="C2008" s="70"/>
      <c r="D2008" s="70"/>
      <c r="E2008" s="70"/>
      <c r="F2008" s="66"/>
      <c r="G2008" s="66"/>
      <c r="H2008" s="66"/>
      <c r="I2008" s="66"/>
      <c r="J2008" s="66"/>
      <c r="K2008" s="63">
        <v>2000.0</v>
      </c>
      <c r="L2008" s="63">
        <v>25.5</v>
      </c>
      <c r="M2008" s="66">
        <f t="shared" si="1"/>
        <v>71.21</v>
      </c>
    </row>
    <row r="2009">
      <c r="A2009" s="67"/>
      <c r="B2009" s="67"/>
      <c r="C2009" s="67"/>
      <c r="D2009" s="67"/>
      <c r="E2009" s="67"/>
      <c r="F2009" s="68"/>
      <c r="G2009" s="68"/>
      <c r="H2009" s="68"/>
      <c r="I2009" s="68"/>
      <c r="J2009" s="68"/>
      <c r="K2009" s="69">
        <v>2500.0</v>
      </c>
      <c r="L2009" s="69">
        <v>28.7</v>
      </c>
      <c r="M2009" s="68">
        <f t="shared" si="1"/>
        <v>100.18</v>
      </c>
    </row>
    <row r="2010">
      <c r="A2010" s="70"/>
      <c r="B2010" s="70"/>
      <c r="C2010" s="70"/>
      <c r="D2010" s="70"/>
      <c r="E2010" s="70"/>
      <c r="F2010" s="66"/>
      <c r="G2010" s="66"/>
      <c r="H2010" s="66"/>
      <c r="I2010" s="66"/>
      <c r="J2010" s="66"/>
      <c r="K2010" s="63">
        <v>3000.0</v>
      </c>
      <c r="L2010" s="63">
        <v>31.4</v>
      </c>
      <c r="M2010" s="66">
        <f t="shared" si="1"/>
        <v>131.53</v>
      </c>
    </row>
    <row r="2011">
      <c r="A2011" s="67"/>
      <c r="B2011" s="67"/>
      <c r="C2011" s="67"/>
      <c r="D2011" s="67"/>
      <c r="E2011" s="67"/>
      <c r="F2011" s="68"/>
      <c r="G2011" s="68"/>
      <c r="H2011" s="68"/>
      <c r="I2011" s="68"/>
      <c r="J2011" s="68"/>
      <c r="K2011" s="69">
        <v>3500.0</v>
      </c>
      <c r="L2011" s="69">
        <v>33.7</v>
      </c>
      <c r="M2011" s="68">
        <f t="shared" si="1"/>
        <v>164.69</v>
      </c>
    </row>
    <row r="2012">
      <c r="A2012" s="70"/>
      <c r="B2012" s="70"/>
      <c r="C2012" s="70"/>
      <c r="D2012" s="70"/>
      <c r="E2012" s="70"/>
      <c r="F2012" s="66"/>
      <c r="G2012" s="66"/>
      <c r="H2012" s="66"/>
      <c r="I2012" s="66"/>
      <c r="J2012" s="66"/>
      <c r="K2012" s="63">
        <v>4000.0</v>
      </c>
      <c r="L2012" s="63">
        <v>35.3</v>
      </c>
      <c r="M2012" s="66">
        <f t="shared" si="1"/>
        <v>197.15</v>
      </c>
    </row>
    <row r="2013">
      <c r="A2013" s="67"/>
      <c r="B2013" s="67"/>
      <c r="C2013" s="67"/>
      <c r="D2013" s="67"/>
      <c r="E2013" s="67"/>
      <c r="F2013" s="68"/>
      <c r="G2013" s="68"/>
      <c r="H2013" s="68"/>
      <c r="I2013" s="68"/>
      <c r="J2013" s="68"/>
      <c r="K2013" s="69">
        <v>4500.0</v>
      </c>
      <c r="L2013" s="69">
        <v>36.4</v>
      </c>
      <c r="M2013" s="68">
        <f t="shared" si="1"/>
        <v>228.71</v>
      </c>
    </row>
    <row r="2014">
      <c r="A2014" s="70"/>
      <c r="B2014" s="70"/>
      <c r="C2014" s="70"/>
      <c r="D2014" s="70"/>
      <c r="E2014" s="70"/>
      <c r="F2014" s="66"/>
      <c r="G2014" s="66"/>
      <c r="H2014" s="66"/>
      <c r="I2014" s="66"/>
      <c r="J2014" s="66"/>
      <c r="K2014" s="63">
        <v>5000.0</v>
      </c>
      <c r="L2014" s="63">
        <v>36.0</v>
      </c>
      <c r="M2014" s="66">
        <f t="shared" si="1"/>
        <v>251.33</v>
      </c>
    </row>
    <row r="2015">
      <c r="A2015" s="67"/>
      <c r="B2015" s="67"/>
      <c r="C2015" s="67"/>
      <c r="D2015" s="67"/>
      <c r="E2015" s="67"/>
      <c r="F2015" s="68"/>
      <c r="G2015" s="68"/>
      <c r="H2015" s="68"/>
      <c r="I2015" s="68"/>
      <c r="J2015" s="68"/>
      <c r="K2015" s="69">
        <v>5750.0</v>
      </c>
      <c r="L2015" s="69">
        <v>32.3</v>
      </c>
      <c r="M2015" s="68">
        <f t="shared" si="1"/>
        <v>259.32</v>
      </c>
    </row>
    <row r="2016">
      <c r="A2016" s="70"/>
      <c r="B2016" s="70"/>
      <c r="C2016" s="70"/>
      <c r="D2016" s="70"/>
      <c r="E2016" s="70"/>
      <c r="F2016" s="66"/>
      <c r="G2016" s="66"/>
      <c r="H2016" s="66"/>
      <c r="I2016" s="66"/>
      <c r="J2016" s="66"/>
      <c r="K2016" s="63">
        <v>6000.0</v>
      </c>
      <c r="L2016" s="63">
        <v>30.0</v>
      </c>
      <c r="M2016" s="66">
        <f t="shared" si="1"/>
        <v>251.33</v>
      </c>
    </row>
    <row r="2017">
      <c r="A2017" s="67"/>
      <c r="B2017" s="67"/>
      <c r="C2017" s="67"/>
      <c r="D2017" s="67"/>
      <c r="E2017" s="67"/>
      <c r="F2017" s="68"/>
      <c r="G2017" s="68"/>
      <c r="H2017" s="68"/>
      <c r="I2017" s="68"/>
      <c r="J2017" s="68"/>
      <c r="K2017" s="69">
        <v>6500.0</v>
      </c>
      <c r="L2017" s="69">
        <v>25.6</v>
      </c>
      <c r="M2017" s="68">
        <f t="shared" si="1"/>
        <v>232.34</v>
      </c>
    </row>
    <row r="2018">
      <c r="A2018" s="63">
        <v>135.0</v>
      </c>
      <c r="B2018" s="63">
        <v>208.0</v>
      </c>
      <c r="C2018" s="64" t="s">
        <v>453</v>
      </c>
      <c r="D2018" s="64" t="s">
        <v>454</v>
      </c>
      <c r="E2018" s="64" t="s">
        <v>455</v>
      </c>
      <c r="F2018" s="65">
        <v>6500.0</v>
      </c>
      <c r="G2018" s="65">
        <v>6500.0</v>
      </c>
      <c r="H2018" s="65">
        <v>700.0</v>
      </c>
      <c r="I2018" s="65">
        <v>2750.0</v>
      </c>
      <c r="J2018" s="65">
        <v>5500.0</v>
      </c>
      <c r="K2018" s="63">
        <v>500.0</v>
      </c>
      <c r="L2018" s="63">
        <v>15.38</v>
      </c>
      <c r="M2018" s="66">
        <f t="shared" si="1"/>
        <v>10.74</v>
      </c>
    </row>
    <row r="2019">
      <c r="A2019" s="67"/>
      <c r="B2019" s="67"/>
      <c r="C2019" s="67"/>
      <c r="D2019" s="67"/>
      <c r="E2019" s="67"/>
      <c r="F2019" s="68"/>
      <c r="G2019" s="68"/>
      <c r="H2019" s="68"/>
      <c r="I2019" s="68"/>
      <c r="J2019" s="68"/>
      <c r="K2019" s="69">
        <v>1000.0</v>
      </c>
      <c r="L2019" s="69">
        <v>17.63</v>
      </c>
      <c r="M2019" s="68">
        <f t="shared" si="1"/>
        <v>24.62</v>
      </c>
    </row>
    <row r="2020">
      <c r="A2020" s="70"/>
      <c r="B2020" s="70"/>
      <c r="C2020" s="70"/>
      <c r="D2020" s="70"/>
      <c r="E2020" s="70"/>
      <c r="F2020" s="66"/>
      <c r="G2020" s="66"/>
      <c r="H2020" s="66"/>
      <c r="I2020" s="66"/>
      <c r="J2020" s="66"/>
      <c r="K2020" s="63">
        <v>1500.0</v>
      </c>
      <c r="L2020" s="63">
        <v>19.42</v>
      </c>
      <c r="M2020" s="66">
        <f t="shared" si="1"/>
        <v>40.67</v>
      </c>
    </row>
    <row r="2021">
      <c r="A2021" s="67"/>
      <c r="B2021" s="67"/>
      <c r="C2021" s="67"/>
      <c r="D2021" s="67"/>
      <c r="E2021" s="67"/>
      <c r="F2021" s="68"/>
      <c r="G2021" s="68"/>
      <c r="H2021" s="68"/>
      <c r="I2021" s="68"/>
      <c r="J2021" s="68"/>
      <c r="K2021" s="69">
        <v>2000.0</v>
      </c>
      <c r="L2021" s="69">
        <v>20.7</v>
      </c>
      <c r="M2021" s="68">
        <f t="shared" si="1"/>
        <v>57.81</v>
      </c>
    </row>
    <row r="2022">
      <c r="A2022" s="70"/>
      <c r="B2022" s="70"/>
      <c r="C2022" s="70"/>
      <c r="D2022" s="70"/>
      <c r="E2022" s="70"/>
      <c r="F2022" s="66"/>
      <c r="G2022" s="66"/>
      <c r="H2022" s="66"/>
      <c r="I2022" s="66"/>
      <c r="J2022" s="66"/>
      <c r="K2022" s="63">
        <v>2750.0</v>
      </c>
      <c r="L2022" s="63">
        <v>21.1</v>
      </c>
      <c r="M2022" s="66">
        <f t="shared" si="1"/>
        <v>81.02</v>
      </c>
    </row>
    <row r="2023">
      <c r="A2023" s="67"/>
      <c r="B2023" s="67"/>
      <c r="C2023" s="67"/>
      <c r="D2023" s="67"/>
      <c r="E2023" s="67"/>
      <c r="F2023" s="68"/>
      <c r="G2023" s="68"/>
      <c r="H2023" s="68"/>
      <c r="I2023" s="68"/>
      <c r="J2023" s="68"/>
      <c r="K2023" s="69">
        <v>3000.0</v>
      </c>
      <c r="L2023" s="69">
        <v>21.08</v>
      </c>
      <c r="M2023" s="68">
        <f t="shared" si="1"/>
        <v>88.3</v>
      </c>
    </row>
    <row r="2024">
      <c r="A2024" s="70"/>
      <c r="B2024" s="70"/>
      <c r="C2024" s="70"/>
      <c r="D2024" s="70"/>
      <c r="E2024" s="70"/>
      <c r="F2024" s="66"/>
      <c r="G2024" s="66"/>
      <c r="H2024" s="66"/>
      <c r="I2024" s="66"/>
      <c r="J2024" s="66"/>
      <c r="K2024" s="63">
        <v>3500.0</v>
      </c>
      <c r="L2024" s="63">
        <v>20.77</v>
      </c>
      <c r="M2024" s="66">
        <f t="shared" si="1"/>
        <v>101.5</v>
      </c>
    </row>
    <row r="2025">
      <c r="A2025" s="67"/>
      <c r="B2025" s="67"/>
      <c r="C2025" s="67"/>
      <c r="D2025" s="67"/>
      <c r="E2025" s="67"/>
      <c r="F2025" s="68"/>
      <c r="G2025" s="68"/>
      <c r="H2025" s="68"/>
      <c r="I2025" s="68"/>
      <c r="J2025" s="68"/>
      <c r="K2025" s="69">
        <v>4000.0</v>
      </c>
      <c r="L2025" s="69">
        <v>20.48</v>
      </c>
      <c r="M2025" s="68">
        <f t="shared" si="1"/>
        <v>114.38</v>
      </c>
    </row>
    <row r="2026">
      <c r="A2026" s="70"/>
      <c r="B2026" s="70"/>
      <c r="C2026" s="70"/>
      <c r="D2026" s="70"/>
      <c r="E2026" s="70"/>
      <c r="F2026" s="66"/>
      <c r="G2026" s="66"/>
      <c r="H2026" s="66"/>
      <c r="I2026" s="66"/>
      <c r="J2026" s="66"/>
      <c r="K2026" s="63">
        <v>4500.0</v>
      </c>
      <c r="L2026" s="63">
        <v>19.2</v>
      </c>
      <c r="M2026" s="66">
        <f t="shared" si="1"/>
        <v>120.64</v>
      </c>
    </row>
    <row r="2027">
      <c r="A2027" s="67"/>
      <c r="B2027" s="67"/>
      <c r="C2027" s="67"/>
      <c r="D2027" s="67"/>
      <c r="E2027" s="67"/>
      <c r="F2027" s="68"/>
      <c r="G2027" s="68"/>
      <c r="H2027" s="68"/>
      <c r="I2027" s="68"/>
      <c r="J2027" s="68"/>
      <c r="K2027" s="69">
        <v>5000.0</v>
      </c>
      <c r="L2027" s="69">
        <v>17.63</v>
      </c>
      <c r="M2027" s="68">
        <f t="shared" si="1"/>
        <v>123.08</v>
      </c>
    </row>
    <row r="2028">
      <c r="A2028" s="70"/>
      <c r="B2028" s="70"/>
      <c r="C2028" s="70"/>
      <c r="D2028" s="70"/>
      <c r="E2028" s="70"/>
      <c r="F2028" s="66"/>
      <c r="G2028" s="66"/>
      <c r="H2028" s="66"/>
      <c r="I2028" s="66"/>
      <c r="J2028" s="66"/>
      <c r="K2028" s="63">
        <v>5500.0</v>
      </c>
      <c r="L2028" s="63">
        <v>16.0</v>
      </c>
      <c r="M2028" s="66">
        <f t="shared" si="1"/>
        <v>122.87</v>
      </c>
    </row>
    <row r="2029">
      <c r="A2029" s="67"/>
      <c r="B2029" s="67"/>
      <c r="C2029" s="67"/>
      <c r="D2029" s="67"/>
      <c r="E2029" s="67"/>
      <c r="F2029" s="68"/>
      <c r="G2029" s="68"/>
      <c r="H2029" s="68"/>
      <c r="I2029" s="68"/>
      <c r="J2029" s="68"/>
      <c r="K2029" s="69">
        <v>6000.0</v>
      </c>
      <c r="L2029" s="69">
        <v>14.25</v>
      </c>
      <c r="M2029" s="68">
        <f t="shared" si="1"/>
        <v>119.38</v>
      </c>
    </row>
    <row r="2030">
      <c r="A2030" s="70"/>
      <c r="B2030" s="70"/>
      <c r="C2030" s="70"/>
      <c r="D2030" s="70"/>
      <c r="E2030" s="70"/>
      <c r="F2030" s="66"/>
      <c r="G2030" s="66"/>
      <c r="H2030" s="66"/>
      <c r="I2030" s="66"/>
      <c r="J2030" s="66"/>
      <c r="K2030" s="63">
        <v>6500.0</v>
      </c>
      <c r="L2030" s="63">
        <v>12.45</v>
      </c>
      <c r="M2030" s="66">
        <f t="shared" si="1"/>
        <v>112.99</v>
      </c>
    </row>
    <row r="2031">
      <c r="A2031" s="67"/>
      <c r="B2031" s="67"/>
      <c r="C2031" s="67"/>
      <c r="D2031" s="67"/>
      <c r="E2031" s="67"/>
      <c r="F2031" s="68"/>
      <c r="G2031" s="68"/>
      <c r="H2031" s="68"/>
      <c r="I2031" s="68"/>
      <c r="J2031" s="68"/>
      <c r="K2031" s="69">
        <v>7000.0</v>
      </c>
      <c r="L2031" s="69">
        <v>10.65</v>
      </c>
      <c r="M2031" s="68">
        <f t="shared" si="1"/>
        <v>104.09</v>
      </c>
    </row>
    <row r="2032">
      <c r="A2032" s="66">
        <v>136.0</v>
      </c>
      <c r="B2032" s="66">
        <v>209.0</v>
      </c>
      <c r="C2032" s="74" t="s">
        <v>456</v>
      </c>
      <c r="D2032" s="74" t="s">
        <v>457</v>
      </c>
      <c r="E2032" s="74" t="s">
        <v>458</v>
      </c>
      <c r="F2032" s="65">
        <v>6500.0</v>
      </c>
      <c r="G2032" s="65">
        <v>6700.0</v>
      </c>
      <c r="H2032" s="65">
        <v>700.0</v>
      </c>
      <c r="I2032" s="65">
        <v>4900.0</v>
      </c>
      <c r="J2032" s="65">
        <v>6200.0</v>
      </c>
      <c r="K2032" s="63">
        <v>500.0</v>
      </c>
      <c r="L2032" s="63">
        <v>11.85</v>
      </c>
      <c r="M2032" s="66">
        <f t="shared" si="1"/>
        <v>8.27</v>
      </c>
    </row>
    <row r="2033">
      <c r="A2033" s="67"/>
      <c r="B2033" s="67"/>
      <c r="C2033" s="67"/>
      <c r="D2033" s="67"/>
      <c r="E2033" s="67"/>
      <c r="F2033" s="68"/>
      <c r="G2033" s="68"/>
      <c r="H2033" s="68"/>
      <c r="I2033" s="68"/>
      <c r="J2033" s="68"/>
      <c r="K2033" s="69">
        <v>1000.0</v>
      </c>
      <c r="L2033" s="69">
        <v>13.25</v>
      </c>
      <c r="M2033" s="68">
        <f t="shared" si="1"/>
        <v>18.5</v>
      </c>
    </row>
    <row r="2034">
      <c r="A2034" s="70"/>
      <c r="B2034" s="70"/>
      <c r="C2034" s="70"/>
      <c r="D2034" s="70"/>
      <c r="E2034" s="70"/>
      <c r="F2034" s="66"/>
      <c r="G2034" s="66"/>
      <c r="H2034" s="66"/>
      <c r="I2034" s="66"/>
      <c r="J2034" s="66"/>
      <c r="K2034" s="63">
        <v>1500.0</v>
      </c>
      <c r="L2034" s="63">
        <v>13.9</v>
      </c>
      <c r="M2034" s="66">
        <f t="shared" si="1"/>
        <v>29.11</v>
      </c>
    </row>
    <row r="2035">
      <c r="A2035" s="67"/>
      <c r="B2035" s="67"/>
      <c r="C2035" s="67"/>
      <c r="D2035" s="67"/>
      <c r="E2035" s="67"/>
      <c r="F2035" s="68"/>
      <c r="G2035" s="68"/>
      <c r="H2035" s="68"/>
      <c r="I2035" s="68"/>
      <c r="J2035" s="68"/>
      <c r="K2035" s="69">
        <v>2000.0</v>
      </c>
      <c r="L2035" s="69">
        <v>14.7</v>
      </c>
      <c r="M2035" s="68">
        <f t="shared" si="1"/>
        <v>41.05</v>
      </c>
    </row>
    <row r="2036">
      <c r="A2036" s="70"/>
      <c r="B2036" s="70"/>
      <c r="C2036" s="70"/>
      <c r="D2036" s="70"/>
      <c r="E2036" s="70"/>
      <c r="F2036" s="66"/>
      <c r="G2036" s="66"/>
      <c r="H2036" s="66"/>
      <c r="I2036" s="66"/>
      <c r="J2036" s="66"/>
      <c r="K2036" s="63">
        <v>2500.0</v>
      </c>
      <c r="L2036" s="63">
        <v>15.6</v>
      </c>
      <c r="M2036" s="66">
        <f t="shared" si="1"/>
        <v>54.45</v>
      </c>
    </row>
    <row r="2037">
      <c r="A2037" s="67"/>
      <c r="B2037" s="67"/>
      <c r="C2037" s="67"/>
      <c r="D2037" s="67"/>
      <c r="E2037" s="67"/>
      <c r="F2037" s="68"/>
      <c r="G2037" s="68"/>
      <c r="H2037" s="68"/>
      <c r="I2037" s="68"/>
      <c r="J2037" s="68"/>
      <c r="K2037" s="69">
        <v>3000.0</v>
      </c>
      <c r="L2037" s="69">
        <v>16.75</v>
      </c>
      <c r="M2037" s="68">
        <f t="shared" si="1"/>
        <v>70.16</v>
      </c>
    </row>
    <row r="2038">
      <c r="A2038" s="70"/>
      <c r="B2038" s="70"/>
      <c r="C2038" s="70"/>
      <c r="D2038" s="70"/>
      <c r="E2038" s="70"/>
      <c r="F2038" s="66"/>
      <c r="G2038" s="66"/>
      <c r="H2038" s="66"/>
      <c r="I2038" s="66"/>
      <c r="J2038" s="66"/>
      <c r="K2038" s="63">
        <v>3500.0</v>
      </c>
      <c r="L2038" s="63">
        <v>18.1</v>
      </c>
      <c r="M2038" s="66">
        <f t="shared" si="1"/>
        <v>88.45</v>
      </c>
    </row>
    <row r="2039">
      <c r="A2039" s="67"/>
      <c r="B2039" s="67"/>
      <c r="C2039" s="67"/>
      <c r="D2039" s="67"/>
      <c r="E2039" s="67"/>
      <c r="F2039" s="68"/>
      <c r="G2039" s="68"/>
      <c r="H2039" s="68"/>
      <c r="I2039" s="68"/>
      <c r="J2039" s="68"/>
      <c r="K2039" s="69">
        <v>4000.0</v>
      </c>
      <c r="L2039" s="69">
        <v>19.0</v>
      </c>
      <c r="M2039" s="68">
        <f t="shared" si="1"/>
        <v>106.12</v>
      </c>
    </row>
    <row r="2040">
      <c r="A2040" s="70"/>
      <c r="B2040" s="70"/>
      <c r="C2040" s="70"/>
      <c r="D2040" s="70"/>
      <c r="E2040" s="70"/>
      <c r="F2040" s="66"/>
      <c r="G2040" s="66"/>
      <c r="H2040" s="66"/>
      <c r="I2040" s="66"/>
      <c r="J2040" s="66"/>
      <c r="K2040" s="63">
        <v>4500.0</v>
      </c>
      <c r="L2040" s="63">
        <v>19.3</v>
      </c>
      <c r="M2040" s="66">
        <f t="shared" si="1"/>
        <v>121.27</v>
      </c>
    </row>
    <row r="2041">
      <c r="A2041" s="67"/>
      <c r="B2041" s="67"/>
      <c r="C2041" s="67"/>
      <c r="D2041" s="67"/>
      <c r="E2041" s="67"/>
      <c r="F2041" s="68"/>
      <c r="G2041" s="68"/>
      <c r="H2041" s="68"/>
      <c r="I2041" s="68"/>
      <c r="J2041" s="68"/>
      <c r="K2041" s="69">
        <v>5000.0</v>
      </c>
      <c r="L2041" s="69">
        <v>19.4</v>
      </c>
      <c r="M2041" s="68">
        <f t="shared" si="1"/>
        <v>135.44</v>
      </c>
    </row>
    <row r="2042">
      <c r="A2042" s="73"/>
      <c r="B2042" s="73"/>
      <c r="C2042" s="73"/>
      <c r="D2042" s="73"/>
      <c r="E2042" s="73"/>
      <c r="F2042" s="66"/>
      <c r="G2042" s="66"/>
      <c r="H2042" s="66"/>
      <c r="I2042" s="66"/>
      <c r="J2042" s="66"/>
      <c r="K2042" s="63">
        <v>5500.0</v>
      </c>
      <c r="L2042" s="63">
        <v>19.25</v>
      </c>
      <c r="M2042" s="66">
        <f t="shared" si="1"/>
        <v>147.83</v>
      </c>
    </row>
    <row r="2043">
      <c r="A2043" s="67"/>
      <c r="B2043" s="67"/>
      <c r="C2043" s="67"/>
      <c r="D2043" s="67"/>
      <c r="E2043" s="67"/>
      <c r="F2043" s="68"/>
      <c r="G2043" s="68"/>
      <c r="H2043" s="68"/>
      <c r="I2043" s="68"/>
      <c r="J2043" s="68"/>
      <c r="K2043" s="69">
        <v>6000.0</v>
      </c>
      <c r="L2043" s="69">
        <v>18.5</v>
      </c>
      <c r="M2043" s="68">
        <f t="shared" si="1"/>
        <v>154.98</v>
      </c>
    </row>
    <row r="2044">
      <c r="A2044" s="70"/>
      <c r="B2044" s="70"/>
      <c r="C2044" s="70"/>
      <c r="D2044" s="70"/>
      <c r="E2044" s="70"/>
      <c r="F2044" s="66"/>
      <c r="G2044" s="66"/>
      <c r="H2044" s="66"/>
      <c r="I2044" s="66"/>
      <c r="J2044" s="66"/>
      <c r="K2044" s="63">
        <v>6200.0</v>
      </c>
      <c r="L2044" s="63">
        <v>18.0</v>
      </c>
      <c r="M2044" s="66">
        <f t="shared" si="1"/>
        <v>155.82</v>
      </c>
    </row>
    <row r="2045">
      <c r="A2045" s="67"/>
      <c r="B2045" s="67"/>
      <c r="C2045" s="67"/>
      <c r="D2045" s="67"/>
      <c r="E2045" s="67"/>
      <c r="F2045" s="68"/>
      <c r="G2045" s="68"/>
      <c r="H2045" s="68"/>
      <c r="I2045" s="68"/>
      <c r="J2045" s="68"/>
      <c r="K2045" s="69">
        <v>6800.0</v>
      </c>
      <c r="L2045" s="69">
        <v>16.15</v>
      </c>
      <c r="M2045" s="68">
        <f t="shared" si="1"/>
        <v>153.34</v>
      </c>
    </row>
    <row r="2046">
      <c r="A2046" s="70"/>
      <c r="B2046" s="70"/>
      <c r="C2046" s="70"/>
      <c r="D2046" s="70"/>
      <c r="E2046" s="70"/>
      <c r="F2046" s="66"/>
      <c r="G2046" s="66"/>
      <c r="H2046" s="66"/>
      <c r="I2046" s="66"/>
      <c r="J2046" s="66"/>
      <c r="K2046" s="63">
        <v>7300.0</v>
      </c>
      <c r="L2046" s="63">
        <v>14.15</v>
      </c>
      <c r="M2046" s="66">
        <f t="shared" si="1"/>
        <v>144.23</v>
      </c>
    </row>
    <row r="2047">
      <c r="A2047" s="68">
        <v>137.0</v>
      </c>
      <c r="B2047" s="68">
        <v>211.0</v>
      </c>
      <c r="C2047" s="71" t="s">
        <v>459</v>
      </c>
      <c r="D2047" s="71" t="s">
        <v>460</v>
      </c>
      <c r="E2047" s="71" t="s">
        <v>461</v>
      </c>
      <c r="F2047" s="72">
        <v>6500.0</v>
      </c>
      <c r="G2047" s="72">
        <v>7000.0</v>
      </c>
      <c r="H2047" s="72">
        <v>700.0</v>
      </c>
      <c r="I2047" s="72">
        <v>4500.0</v>
      </c>
      <c r="J2047" s="72">
        <v>7000.0</v>
      </c>
      <c r="K2047" s="69">
        <v>500.0</v>
      </c>
      <c r="L2047" s="69">
        <v>12.9</v>
      </c>
      <c r="M2047" s="68">
        <f t="shared" si="1"/>
        <v>9.01</v>
      </c>
    </row>
    <row r="2048">
      <c r="A2048" s="70"/>
      <c r="B2048" s="70"/>
      <c r="C2048" s="70"/>
      <c r="D2048" s="70"/>
      <c r="E2048" s="70"/>
      <c r="F2048" s="66"/>
      <c r="G2048" s="66"/>
      <c r="H2048" s="66"/>
      <c r="I2048" s="66"/>
      <c r="J2048" s="66"/>
      <c r="K2048" s="63">
        <v>1000.0</v>
      </c>
      <c r="L2048" s="63">
        <v>14.3</v>
      </c>
      <c r="M2048" s="66">
        <f t="shared" si="1"/>
        <v>19.97</v>
      </c>
    </row>
    <row r="2049">
      <c r="A2049" s="67"/>
      <c r="B2049" s="67"/>
      <c r="C2049" s="67"/>
      <c r="D2049" s="67"/>
      <c r="E2049" s="67"/>
      <c r="F2049" s="68"/>
      <c r="G2049" s="68"/>
      <c r="H2049" s="68"/>
      <c r="I2049" s="68"/>
      <c r="J2049" s="68"/>
      <c r="K2049" s="69">
        <v>1500.0</v>
      </c>
      <c r="L2049" s="69">
        <v>14.9</v>
      </c>
      <c r="M2049" s="68">
        <f t="shared" si="1"/>
        <v>31.21</v>
      </c>
    </row>
    <row r="2050">
      <c r="A2050" s="70"/>
      <c r="B2050" s="70"/>
      <c r="C2050" s="70"/>
      <c r="D2050" s="70"/>
      <c r="E2050" s="70"/>
      <c r="F2050" s="66"/>
      <c r="G2050" s="66"/>
      <c r="H2050" s="66"/>
      <c r="I2050" s="66"/>
      <c r="J2050" s="66"/>
      <c r="K2050" s="63">
        <v>2000.0</v>
      </c>
      <c r="L2050" s="63">
        <v>15.1</v>
      </c>
      <c r="M2050" s="66">
        <f t="shared" si="1"/>
        <v>42.17</v>
      </c>
    </row>
    <row r="2051">
      <c r="A2051" s="67"/>
      <c r="B2051" s="67"/>
      <c r="C2051" s="67"/>
      <c r="D2051" s="67"/>
      <c r="E2051" s="67"/>
      <c r="F2051" s="68"/>
      <c r="G2051" s="68"/>
      <c r="H2051" s="68"/>
      <c r="I2051" s="68"/>
      <c r="J2051" s="68"/>
      <c r="K2051" s="69">
        <v>2500.0</v>
      </c>
      <c r="L2051" s="69">
        <v>15.35</v>
      </c>
      <c r="M2051" s="68">
        <f t="shared" si="1"/>
        <v>53.58</v>
      </c>
    </row>
    <row r="2052">
      <c r="A2052" s="70"/>
      <c r="B2052" s="70"/>
      <c r="C2052" s="70"/>
      <c r="D2052" s="70"/>
      <c r="E2052" s="70"/>
      <c r="F2052" s="66"/>
      <c r="G2052" s="66"/>
      <c r="H2052" s="66"/>
      <c r="I2052" s="66"/>
      <c r="J2052" s="66"/>
      <c r="K2052" s="63">
        <v>3000.0</v>
      </c>
      <c r="L2052" s="63">
        <v>15.8</v>
      </c>
      <c r="M2052" s="66">
        <f t="shared" si="1"/>
        <v>66.18</v>
      </c>
    </row>
    <row r="2053">
      <c r="A2053" s="67"/>
      <c r="B2053" s="67"/>
      <c r="C2053" s="67"/>
      <c r="D2053" s="67"/>
      <c r="E2053" s="67"/>
      <c r="F2053" s="68"/>
      <c r="G2053" s="68"/>
      <c r="H2053" s="68"/>
      <c r="I2053" s="68"/>
      <c r="J2053" s="68"/>
      <c r="K2053" s="69">
        <v>3500.0</v>
      </c>
      <c r="L2053" s="69">
        <v>16.55</v>
      </c>
      <c r="M2053" s="68">
        <f t="shared" si="1"/>
        <v>80.88</v>
      </c>
    </row>
    <row r="2054">
      <c r="A2054" s="70"/>
      <c r="B2054" s="70"/>
      <c r="C2054" s="70"/>
      <c r="D2054" s="70"/>
      <c r="E2054" s="70"/>
      <c r="F2054" s="66"/>
      <c r="G2054" s="66"/>
      <c r="H2054" s="66"/>
      <c r="I2054" s="66"/>
      <c r="J2054" s="66"/>
      <c r="K2054" s="63">
        <v>4000.0</v>
      </c>
      <c r="L2054" s="63">
        <v>17.35</v>
      </c>
      <c r="M2054" s="66">
        <f t="shared" si="1"/>
        <v>96.9</v>
      </c>
    </row>
    <row r="2055">
      <c r="A2055" s="67"/>
      <c r="B2055" s="67"/>
      <c r="C2055" s="67"/>
      <c r="D2055" s="67"/>
      <c r="E2055" s="67"/>
      <c r="F2055" s="68"/>
      <c r="G2055" s="68"/>
      <c r="H2055" s="68"/>
      <c r="I2055" s="68"/>
      <c r="J2055" s="68"/>
      <c r="K2055" s="69">
        <v>4500.0</v>
      </c>
      <c r="L2055" s="69">
        <v>17.7</v>
      </c>
      <c r="M2055" s="68">
        <f t="shared" si="1"/>
        <v>111.21</v>
      </c>
    </row>
    <row r="2056">
      <c r="A2056" s="70"/>
      <c r="B2056" s="70"/>
      <c r="C2056" s="70"/>
      <c r="D2056" s="70"/>
      <c r="E2056" s="70"/>
      <c r="F2056" s="66"/>
      <c r="G2056" s="66"/>
      <c r="H2056" s="66"/>
      <c r="I2056" s="66"/>
      <c r="J2056" s="66"/>
      <c r="K2056" s="63">
        <v>5000.0</v>
      </c>
      <c r="L2056" s="63">
        <v>17.7</v>
      </c>
      <c r="M2056" s="66">
        <f t="shared" si="1"/>
        <v>123.57</v>
      </c>
    </row>
    <row r="2057">
      <c r="A2057" s="67"/>
      <c r="B2057" s="67"/>
      <c r="C2057" s="67"/>
      <c r="D2057" s="67"/>
      <c r="E2057" s="67"/>
      <c r="F2057" s="68"/>
      <c r="G2057" s="68"/>
      <c r="H2057" s="68"/>
      <c r="I2057" s="68"/>
      <c r="J2057" s="68"/>
      <c r="K2057" s="69">
        <v>5500.0</v>
      </c>
      <c r="L2057" s="69">
        <v>17.5</v>
      </c>
      <c r="M2057" s="68">
        <f t="shared" si="1"/>
        <v>134.39</v>
      </c>
    </row>
    <row r="2058">
      <c r="A2058" s="70"/>
      <c r="B2058" s="70"/>
      <c r="C2058" s="70"/>
      <c r="D2058" s="70"/>
      <c r="E2058" s="70"/>
      <c r="F2058" s="66"/>
      <c r="G2058" s="66"/>
      <c r="H2058" s="66"/>
      <c r="I2058" s="66"/>
      <c r="J2058" s="66"/>
      <c r="K2058" s="63">
        <v>6000.0</v>
      </c>
      <c r="L2058" s="63">
        <v>17.2</v>
      </c>
      <c r="M2058" s="66">
        <f t="shared" si="1"/>
        <v>144.09</v>
      </c>
    </row>
    <row r="2059">
      <c r="A2059" s="67"/>
      <c r="B2059" s="67"/>
      <c r="C2059" s="67"/>
      <c r="D2059" s="67"/>
      <c r="E2059" s="67"/>
      <c r="F2059" s="68"/>
      <c r="G2059" s="68"/>
      <c r="H2059" s="68"/>
      <c r="I2059" s="68"/>
      <c r="J2059" s="68"/>
      <c r="K2059" s="69">
        <v>6500.0</v>
      </c>
      <c r="L2059" s="69">
        <v>16.7</v>
      </c>
      <c r="M2059" s="68">
        <f t="shared" si="1"/>
        <v>151.56</v>
      </c>
    </row>
    <row r="2060">
      <c r="A2060" s="70"/>
      <c r="B2060" s="70"/>
      <c r="C2060" s="70"/>
      <c r="D2060" s="70"/>
      <c r="E2060" s="70"/>
      <c r="F2060" s="66"/>
      <c r="G2060" s="66"/>
      <c r="H2060" s="66"/>
      <c r="I2060" s="66"/>
      <c r="J2060" s="66"/>
      <c r="K2060" s="63">
        <v>7000.0</v>
      </c>
      <c r="L2060" s="63">
        <v>16.0</v>
      </c>
      <c r="M2060" s="66">
        <f t="shared" si="1"/>
        <v>156.38</v>
      </c>
    </row>
    <row r="2061">
      <c r="A2061" s="67"/>
      <c r="B2061" s="67"/>
      <c r="C2061" s="67"/>
      <c r="D2061" s="67"/>
      <c r="E2061" s="67"/>
      <c r="F2061" s="68"/>
      <c r="G2061" s="68"/>
      <c r="H2061" s="68"/>
      <c r="I2061" s="68"/>
      <c r="J2061" s="68"/>
      <c r="K2061" s="69">
        <v>7500.0</v>
      </c>
      <c r="L2061" s="69">
        <v>14.45</v>
      </c>
      <c r="M2061" s="68">
        <f t="shared" si="1"/>
        <v>151.32</v>
      </c>
    </row>
    <row r="2062">
      <c r="A2062" s="70"/>
      <c r="B2062" s="70"/>
      <c r="C2062" s="70"/>
      <c r="D2062" s="70"/>
      <c r="E2062" s="70"/>
      <c r="F2062" s="66"/>
      <c r="G2062" s="66"/>
      <c r="H2062" s="66"/>
      <c r="I2062" s="66"/>
      <c r="J2062" s="66"/>
      <c r="K2062" s="63">
        <v>8000.0</v>
      </c>
      <c r="L2062" s="63">
        <v>10.35</v>
      </c>
      <c r="M2062" s="66">
        <f t="shared" si="1"/>
        <v>115.61</v>
      </c>
    </row>
    <row r="2063">
      <c r="A2063" s="68">
        <v>138.0</v>
      </c>
      <c r="B2063" s="68">
        <v>212.0</v>
      </c>
      <c r="C2063" s="71" t="s">
        <v>462</v>
      </c>
      <c r="D2063" s="71" t="s">
        <v>463</v>
      </c>
      <c r="E2063" s="71" t="s">
        <v>464</v>
      </c>
      <c r="F2063" s="72">
        <v>5900.0</v>
      </c>
      <c r="G2063" s="72">
        <v>6200.0</v>
      </c>
      <c r="H2063" s="72">
        <v>800.0</v>
      </c>
      <c r="I2063" s="72">
        <v>4000.0</v>
      </c>
      <c r="J2063" s="72">
        <v>6000.0</v>
      </c>
      <c r="K2063" s="69">
        <v>500.0</v>
      </c>
      <c r="L2063" s="69">
        <v>28.5</v>
      </c>
      <c r="M2063" s="68">
        <f t="shared" si="1"/>
        <v>19.9</v>
      </c>
    </row>
    <row r="2064">
      <c r="A2064" s="70"/>
      <c r="B2064" s="70"/>
      <c r="C2064" s="70"/>
      <c r="D2064" s="70"/>
      <c r="E2064" s="70"/>
      <c r="F2064" s="66"/>
      <c r="G2064" s="66"/>
      <c r="H2064" s="66"/>
      <c r="I2064" s="66"/>
      <c r="J2064" s="66"/>
      <c r="K2064" s="63">
        <v>1000.0</v>
      </c>
      <c r="L2064" s="63">
        <v>36.0</v>
      </c>
      <c r="M2064" s="66">
        <f t="shared" si="1"/>
        <v>50.27</v>
      </c>
    </row>
    <row r="2065">
      <c r="A2065" s="67"/>
      <c r="B2065" s="67"/>
      <c r="C2065" s="67"/>
      <c r="D2065" s="67"/>
      <c r="E2065" s="67"/>
      <c r="F2065" s="68"/>
      <c r="G2065" s="68"/>
      <c r="H2065" s="68"/>
      <c r="I2065" s="68"/>
      <c r="J2065" s="68"/>
      <c r="K2065" s="69">
        <v>1500.0</v>
      </c>
      <c r="L2065" s="69">
        <v>40.05</v>
      </c>
      <c r="M2065" s="68">
        <f t="shared" si="1"/>
        <v>83.88</v>
      </c>
    </row>
    <row r="2066">
      <c r="A2066" s="73"/>
      <c r="B2066" s="73"/>
      <c r="C2066" s="73"/>
      <c r="D2066" s="73"/>
      <c r="E2066" s="73"/>
      <c r="F2066" s="66"/>
      <c r="G2066" s="66"/>
      <c r="H2066" s="66"/>
      <c r="I2066" s="66"/>
      <c r="J2066" s="66"/>
      <c r="K2066" s="63">
        <v>2000.0</v>
      </c>
      <c r="L2066" s="63">
        <v>42.9</v>
      </c>
      <c r="M2066" s="66">
        <f t="shared" si="1"/>
        <v>119.8</v>
      </c>
    </row>
    <row r="2067">
      <c r="A2067" s="67"/>
      <c r="B2067" s="67"/>
      <c r="C2067" s="67"/>
      <c r="D2067" s="67"/>
      <c r="E2067" s="67"/>
      <c r="F2067" s="68"/>
      <c r="G2067" s="68"/>
      <c r="H2067" s="68"/>
      <c r="I2067" s="68"/>
      <c r="J2067" s="68"/>
      <c r="K2067" s="69">
        <v>2500.0</v>
      </c>
      <c r="L2067" s="69">
        <v>45.0</v>
      </c>
      <c r="M2067" s="68">
        <f t="shared" si="1"/>
        <v>157.08</v>
      </c>
    </row>
    <row r="2068">
      <c r="A2068" s="70"/>
      <c r="B2068" s="70"/>
      <c r="C2068" s="70"/>
      <c r="D2068" s="70"/>
      <c r="E2068" s="70"/>
      <c r="F2068" s="66"/>
      <c r="G2068" s="66"/>
      <c r="H2068" s="66"/>
      <c r="I2068" s="66"/>
      <c r="J2068" s="66"/>
      <c r="K2068" s="63">
        <v>3000.0</v>
      </c>
      <c r="L2068" s="63">
        <v>46.65</v>
      </c>
      <c r="M2068" s="66">
        <f t="shared" si="1"/>
        <v>195.41</v>
      </c>
    </row>
    <row r="2069">
      <c r="A2069" s="67"/>
      <c r="B2069" s="67"/>
      <c r="C2069" s="67"/>
      <c r="D2069" s="67"/>
      <c r="E2069" s="67"/>
      <c r="F2069" s="68"/>
      <c r="G2069" s="68"/>
      <c r="H2069" s="68"/>
      <c r="I2069" s="68"/>
      <c r="J2069" s="68"/>
      <c r="K2069" s="69">
        <v>3500.0</v>
      </c>
      <c r="L2069" s="69">
        <v>48.0</v>
      </c>
      <c r="M2069" s="68">
        <f t="shared" si="1"/>
        <v>234.57</v>
      </c>
    </row>
    <row r="2070">
      <c r="A2070" s="70"/>
      <c r="B2070" s="70"/>
      <c r="C2070" s="70"/>
      <c r="D2070" s="70"/>
      <c r="E2070" s="70"/>
      <c r="F2070" s="66"/>
      <c r="G2070" s="66"/>
      <c r="H2070" s="66"/>
      <c r="I2070" s="66"/>
      <c r="J2070" s="66"/>
      <c r="K2070" s="63">
        <v>4000.0</v>
      </c>
      <c r="L2070" s="63">
        <v>48.8</v>
      </c>
      <c r="M2070" s="66">
        <f t="shared" si="1"/>
        <v>272.55</v>
      </c>
    </row>
    <row r="2071">
      <c r="A2071" s="67"/>
      <c r="B2071" s="67"/>
      <c r="C2071" s="67"/>
      <c r="D2071" s="67"/>
      <c r="E2071" s="67"/>
      <c r="F2071" s="68"/>
      <c r="G2071" s="68"/>
      <c r="H2071" s="68"/>
      <c r="I2071" s="68"/>
      <c r="J2071" s="68"/>
      <c r="K2071" s="69">
        <v>4500.0</v>
      </c>
      <c r="L2071" s="69">
        <v>47.4</v>
      </c>
      <c r="M2071" s="68">
        <f t="shared" si="1"/>
        <v>297.82</v>
      </c>
    </row>
    <row r="2072">
      <c r="A2072" s="70"/>
      <c r="B2072" s="70"/>
      <c r="C2072" s="70"/>
      <c r="D2072" s="70"/>
      <c r="E2072" s="70"/>
      <c r="F2072" s="66"/>
      <c r="G2072" s="66"/>
      <c r="H2072" s="66"/>
      <c r="I2072" s="66"/>
      <c r="J2072" s="66"/>
      <c r="K2072" s="63">
        <v>5000.0</v>
      </c>
      <c r="L2072" s="63">
        <v>45.75</v>
      </c>
      <c r="M2072" s="66">
        <f t="shared" si="1"/>
        <v>319.39</v>
      </c>
    </row>
    <row r="2073">
      <c r="A2073" s="67"/>
      <c r="B2073" s="67"/>
      <c r="C2073" s="67"/>
      <c r="D2073" s="67"/>
      <c r="E2073" s="67"/>
      <c r="F2073" s="68"/>
      <c r="G2073" s="68"/>
      <c r="H2073" s="68"/>
      <c r="I2073" s="68"/>
      <c r="J2073" s="68"/>
      <c r="K2073" s="69">
        <v>5500.0</v>
      </c>
      <c r="L2073" s="69">
        <v>43.05</v>
      </c>
      <c r="M2073" s="68">
        <f t="shared" si="1"/>
        <v>330.6</v>
      </c>
    </row>
    <row r="2074">
      <c r="A2074" s="70"/>
      <c r="B2074" s="70"/>
      <c r="C2074" s="70"/>
      <c r="D2074" s="70"/>
      <c r="E2074" s="70"/>
      <c r="F2074" s="66"/>
      <c r="G2074" s="66"/>
      <c r="H2074" s="66"/>
      <c r="I2074" s="66"/>
      <c r="J2074" s="66"/>
      <c r="K2074" s="63">
        <v>6000.0</v>
      </c>
      <c r="L2074" s="63">
        <v>40.0</v>
      </c>
      <c r="M2074" s="66">
        <f t="shared" si="1"/>
        <v>335.1</v>
      </c>
    </row>
    <row r="2075">
      <c r="A2075" s="67"/>
      <c r="B2075" s="67"/>
      <c r="C2075" s="67"/>
      <c r="D2075" s="67"/>
      <c r="E2075" s="67"/>
      <c r="F2075" s="68"/>
      <c r="G2075" s="68"/>
      <c r="H2075" s="68"/>
      <c r="I2075" s="68"/>
      <c r="J2075" s="68"/>
      <c r="K2075" s="69">
        <v>6500.0</v>
      </c>
      <c r="L2075" s="69">
        <v>36.0</v>
      </c>
      <c r="M2075" s="68">
        <f t="shared" si="1"/>
        <v>326.72</v>
      </c>
    </row>
    <row r="2076">
      <c r="A2076" s="70"/>
      <c r="B2076" s="70"/>
      <c r="C2076" s="70"/>
      <c r="D2076" s="70"/>
      <c r="E2076" s="70"/>
      <c r="F2076" s="66"/>
      <c r="G2076" s="66"/>
      <c r="H2076" s="66"/>
      <c r="I2076" s="66"/>
      <c r="J2076" s="66"/>
      <c r="K2076" s="63">
        <v>7000.0</v>
      </c>
      <c r="L2076" s="63">
        <v>30.45</v>
      </c>
      <c r="M2076" s="66">
        <f t="shared" si="1"/>
        <v>297.61</v>
      </c>
    </row>
    <row r="2077">
      <c r="A2077" s="67"/>
      <c r="B2077" s="67"/>
      <c r="C2077" s="67"/>
      <c r="D2077" s="67"/>
      <c r="E2077" s="67"/>
      <c r="F2077" s="68"/>
      <c r="G2077" s="68"/>
      <c r="H2077" s="68"/>
      <c r="I2077" s="68"/>
      <c r="J2077" s="68"/>
      <c r="K2077" s="69">
        <v>7500.0</v>
      </c>
      <c r="L2077" s="69">
        <v>22.65</v>
      </c>
      <c r="M2077" s="68">
        <f t="shared" si="1"/>
        <v>237.19</v>
      </c>
    </row>
    <row r="2078">
      <c r="A2078" s="66">
        <v>139.0</v>
      </c>
      <c r="B2078" s="66">
        <v>215.0</v>
      </c>
      <c r="C2078" s="74" t="s">
        <v>465</v>
      </c>
      <c r="D2078" s="74" t="s">
        <v>466</v>
      </c>
      <c r="E2078" s="74" t="s">
        <v>467</v>
      </c>
      <c r="F2078" s="65">
        <v>6600.0</v>
      </c>
      <c r="G2078" s="65">
        <v>6800.0</v>
      </c>
      <c r="H2078" s="65">
        <v>700.0</v>
      </c>
      <c r="I2078" s="65">
        <v>3500.0</v>
      </c>
      <c r="J2078" s="65">
        <v>5900.0</v>
      </c>
      <c r="K2078" s="63">
        <v>500.0</v>
      </c>
      <c r="L2078" s="63">
        <v>19.3</v>
      </c>
      <c r="M2078" s="66">
        <f t="shared" si="1"/>
        <v>13.47</v>
      </c>
    </row>
    <row r="2079">
      <c r="A2079" s="67"/>
      <c r="B2079" s="67"/>
      <c r="C2079" s="67"/>
      <c r="D2079" s="67"/>
      <c r="E2079" s="67"/>
      <c r="F2079" s="68"/>
      <c r="G2079" s="68"/>
      <c r="H2079" s="68"/>
      <c r="I2079" s="68"/>
      <c r="J2079" s="68"/>
      <c r="K2079" s="69">
        <v>1000.0</v>
      </c>
      <c r="L2079" s="69">
        <v>22.8</v>
      </c>
      <c r="M2079" s="68">
        <f t="shared" si="1"/>
        <v>31.83</v>
      </c>
    </row>
    <row r="2080">
      <c r="A2080" s="70"/>
      <c r="B2080" s="70"/>
      <c r="C2080" s="70"/>
      <c r="D2080" s="70"/>
      <c r="E2080" s="70"/>
      <c r="F2080" s="66"/>
      <c r="G2080" s="66"/>
      <c r="H2080" s="66"/>
      <c r="I2080" s="66"/>
      <c r="J2080" s="66"/>
      <c r="K2080" s="63">
        <v>1500.0</v>
      </c>
      <c r="L2080" s="63">
        <v>25.8</v>
      </c>
      <c r="M2080" s="66">
        <f t="shared" si="1"/>
        <v>54.04</v>
      </c>
    </row>
    <row r="2081">
      <c r="A2081" s="67"/>
      <c r="B2081" s="67"/>
      <c r="C2081" s="67"/>
      <c r="D2081" s="67"/>
      <c r="E2081" s="67"/>
      <c r="F2081" s="68"/>
      <c r="G2081" s="68"/>
      <c r="H2081" s="68"/>
      <c r="I2081" s="68"/>
      <c r="J2081" s="68"/>
      <c r="K2081" s="69">
        <v>2000.0</v>
      </c>
      <c r="L2081" s="69">
        <v>28.4</v>
      </c>
      <c r="M2081" s="68">
        <f t="shared" si="1"/>
        <v>79.31</v>
      </c>
    </row>
    <row r="2082">
      <c r="A2082" s="70"/>
      <c r="B2082" s="70"/>
      <c r="C2082" s="70"/>
      <c r="D2082" s="70"/>
      <c r="E2082" s="70"/>
      <c r="F2082" s="66"/>
      <c r="G2082" s="66"/>
      <c r="H2082" s="66"/>
      <c r="I2082" s="66"/>
      <c r="J2082" s="66"/>
      <c r="K2082" s="63">
        <v>2500.0</v>
      </c>
      <c r="L2082" s="63">
        <v>29.9</v>
      </c>
      <c r="M2082" s="66">
        <f t="shared" si="1"/>
        <v>104.37</v>
      </c>
    </row>
    <row r="2083">
      <c r="A2083" s="67"/>
      <c r="B2083" s="67"/>
      <c r="C2083" s="67"/>
      <c r="D2083" s="67"/>
      <c r="E2083" s="67"/>
      <c r="F2083" s="68"/>
      <c r="G2083" s="68"/>
      <c r="H2083" s="68"/>
      <c r="I2083" s="68"/>
      <c r="J2083" s="68"/>
      <c r="K2083" s="69">
        <v>3000.0</v>
      </c>
      <c r="L2083" s="69">
        <v>30.3</v>
      </c>
      <c r="M2083" s="68">
        <f t="shared" si="1"/>
        <v>126.92</v>
      </c>
    </row>
    <row r="2084">
      <c r="A2084" s="70"/>
      <c r="B2084" s="70"/>
      <c r="C2084" s="70"/>
      <c r="D2084" s="70"/>
      <c r="E2084" s="70"/>
      <c r="F2084" s="66"/>
      <c r="G2084" s="66"/>
      <c r="H2084" s="66"/>
      <c r="I2084" s="66"/>
      <c r="J2084" s="66"/>
      <c r="K2084" s="63">
        <v>3500.0</v>
      </c>
      <c r="L2084" s="63">
        <v>30.6</v>
      </c>
      <c r="M2084" s="66">
        <f t="shared" si="1"/>
        <v>149.54</v>
      </c>
    </row>
    <row r="2085">
      <c r="A2085" s="67"/>
      <c r="B2085" s="67"/>
      <c r="C2085" s="67"/>
      <c r="D2085" s="67"/>
      <c r="E2085" s="67"/>
      <c r="F2085" s="68"/>
      <c r="G2085" s="68"/>
      <c r="H2085" s="68"/>
      <c r="I2085" s="68"/>
      <c r="J2085" s="68"/>
      <c r="K2085" s="69">
        <v>4000.0</v>
      </c>
      <c r="L2085" s="69">
        <v>30.5</v>
      </c>
      <c r="M2085" s="68">
        <f t="shared" si="1"/>
        <v>170.34</v>
      </c>
    </row>
    <row r="2086">
      <c r="A2086" s="70"/>
      <c r="B2086" s="70"/>
      <c r="C2086" s="70"/>
      <c r="D2086" s="70"/>
      <c r="E2086" s="70"/>
      <c r="F2086" s="66"/>
      <c r="G2086" s="66"/>
      <c r="H2086" s="66"/>
      <c r="I2086" s="66"/>
      <c r="J2086" s="66"/>
      <c r="K2086" s="63">
        <v>4500.0</v>
      </c>
      <c r="L2086" s="63">
        <v>30.3</v>
      </c>
      <c r="M2086" s="66">
        <f t="shared" si="1"/>
        <v>190.38</v>
      </c>
    </row>
    <row r="2087">
      <c r="A2087" s="67"/>
      <c r="B2087" s="67"/>
      <c r="C2087" s="67"/>
      <c r="D2087" s="67"/>
      <c r="E2087" s="67"/>
      <c r="F2087" s="68"/>
      <c r="G2087" s="68"/>
      <c r="H2087" s="68"/>
      <c r="I2087" s="68"/>
      <c r="J2087" s="68"/>
      <c r="K2087" s="69">
        <v>5000.0</v>
      </c>
      <c r="L2087" s="69">
        <v>29.8</v>
      </c>
      <c r="M2087" s="68">
        <f t="shared" si="1"/>
        <v>208.04</v>
      </c>
    </row>
    <row r="2088">
      <c r="A2088" s="70"/>
      <c r="B2088" s="70"/>
      <c r="C2088" s="70"/>
      <c r="D2088" s="70"/>
      <c r="E2088" s="70"/>
      <c r="F2088" s="66"/>
      <c r="G2088" s="66"/>
      <c r="H2088" s="66"/>
      <c r="I2088" s="66"/>
      <c r="J2088" s="66"/>
      <c r="K2088" s="63">
        <v>5500.0</v>
      </c>
      <c r="L2088" s="63">
        <v>28.9</v>
      </c>
      <c r="M2088" s="66">
        <f t="shared" si="1"/>
        <v>221.94</v>
      </c>
    </row>
    <row r="2089">
      <c r="A2089" s="67"/>
      <c r="B2089" s="67"/>
      <c r="C2089" s="67"/>
      <c r="D2089" s="67"/>
      <c r="E2089" s="67"/>
      <c r="F2089" s="68"/>
      <c r="G2089" s="68"/>
      <c r="H2089" s="68"/>
      <c r="I2089" s="68"/>
      <c r="J2089" s="68"/>
      <c r="K2089" s="69">
        <v>5900.0</v>
      </c>
      <c r="L2089" s="69">
        <v>28.0</v>
      </c>
      <c r="M2089" s="68">
        <f t="shared" si="1"/>
        <v>230.66</v>
      </c>
    </row>
    <row r="2090">
      <c r="A2090" s="73"/>
      <c r="B2090" s="73"/>
      <c r="C2090" s="73"/>
      <c r="D2090" s="73"/>
      <c r="E2090" s="73"/>
      <c r="F2090" s="66"/>
      <c r="G2090" s="66"/>
      <c r="H2090" s="66"/>
      <c r="I2090" s="66"/>
      <c r="J2090" s="66"/>
      <c r="K2090" s="63">
        <v>6500.0</v>
      </c>
      <c r="L2090" s="63">
        <v>25.0</v>
      </c>
      <c r="M2090" s="66">
        <f t="shared" si="1"/>
        <v>226.89</v>
      </c>
    </row>
    <row r="2091">
      <c r="A2091" s="67"/>
      <c r="B2091" s="67"/>
      <c r="C2091" s="67"/>
      <c r="D2091" s="67"/>
      <c r="E2091" s="67"/>
      <c r="F2091" s="68"/>
      <c r="G2091" s="68"/>
      <c r="H2091" s="68"/>
      <c r="I2091" s="68"/>
      <c r="J2091" s="68"/>
      <c r="K2091" s="69">
        <v>7000.0</v>
      </c>
      <c r="L2091" s="69">
        <v>21.0</v>
      </c>
      <c r="M2091" s="68">
        <f t="shared" si="1"/>
        <v>205.25</v>
      </c>
    </row>
    <row r="2092">
      <c r="A2092" s="66">
        <v>140.0</v>
      </c>
      <c r="B2092" s="66">
        <v>216.0</v>
      </c>
      <c r="C2092" s="74" t="s">
        <v>468</v>
      </c>
      <c r="D2092" s="74" t="s">
        <v>469</v>
      </c>
      <c r="E2092" s="74" t="s">
        <v>470</v>
      </c>
      <c r="F2092" s="65">
        <v>5000.0</v>
      </c>
      <c r="G2092" s="65">
        <v>5000.0</v>
      </c>
      <c r="H2092" s="65">
        <v>700.0</v>
      </c>
      <c r="I2092" s="65">
        <v>2000.0</v>
      </c>
      <c r="J2092" s="65">
        <v>3400.0</v>
      </c>
      <c r="K2092" s="63">
        <v>500.0</v>
      </c>
      <c r="L2092" s="63">
        <v>6.35</v>
      </c>
      <c r="M2092" s="66">
        <f t="shared" si="1"/>
        <v>4.43</v>
      </c>
    </row>
    <row r="2093">
      <c r="A2093" s="67"/>
      <c r="B2093" s="67"/>
      <c r="C2093" s="67"/>
      <c r="D2093" s="67"/>
      <c r="E2093" s="67"/>
      <c r="F2093" s="68"/>
      <c r="G2093" s="68"/>
      <c r="H2093" s="68"/>
      <c r="I2093" s="68"/>
      <c r="J2093" s="68"/>
      <c r="K2093" s="69">
        <v>1000.0</v>
      </c>
      <c r="L2093" s="69">
        <v>7.15</v>
      </c>
      <c r="M2093" s="68">
        <f t="shared" si="1"/>
        <v>9.98</v>
      </c>
    </row>
    <row r="2094">
      <c r="A2094" s="70"/>
      <c r="B2094" s="70"/>
      <c r="C2094" s="70"/>
      <c r="D2094" s="70"/>
      <c r="E2094" s="70"/>
      <c r="F2094" s="66"/>
      <c r="G2094" s="66"/>
      <c r="H2094" s="66"/>
      <c r="I2094" s="66"/>
      <c r="J2094" s="66"/>
      <c r="K2094" s="63">
        <v>1500.0</v>
      </c>
      <c r="L2094" s="63">
        <v>7.6</v>
      </c>
      <c r="M2094" s="66">
        <f t="shared" si="1"/>
        <v>15.92</v>
      </c>
    </row>
    <row r="2095">
      <c r="A2095" s="67"/>
      <c r="B2095" s="67"/>
      <c r="C2095" s="67"/>
      <c r="D2095" s="67"/>
      <c r="E2095" s="67"/>
      <c r="F2095" s="68"/>
      <c r="G2095" s="68"/>
      <c r="H2095" s="68"/>
      <c r="I2095" s="68"/>
      <c r="J2095" s="68"/>
      <c r="K2095" s="69">
        <v>2000.0</v>
      </c>
      <c r="L2095" s="69">
        <v>7.7</v>
      </c>
      <c r="M2095" s="68">
        <f t="shared" si="1"/>
        <v>21.5</v>
      </c>
    </row>
    <row r="2096">
      <c r="A2096" s="70"/>
      <c r="B2096" s="70"/>
      <c r="C2096" s="70"/>
      <c r="D2096" s="70"/>
      <c r="E2096" s="70"/>
      <c r="F2096" s="66"/>
      <c r="G2096" s="66"/>
      <c r="H2096" s="66"/>
      <c r="I2096" s="66"/>
      <c r="J2096" s="66"/>
      <c r="K2096" s="63">
        <v>2500.0</v>
      </c>
      <c r="L2096" s="63">
        <v>7.45</v>
      </c>
      <c r="M2096" s="66">
        <f t="shared" si="1"/>
        <v>26.01</v>
      </c>
    </row>
    <row r="2097">
      <c r="A2097" s="67"/>
      <c r="B2097" s="67"/>
      <c r="C2097" s="67"/>
      <c r="D2097" s="67"/>
      <c r="E2097" s="67"/>
      <c r="F2097" s="68"/>
      <c r="G2097" s="68"/>
      <c r="H2097" s="68"/>
      <c r="I2097" s="68"/>
      <c r="J2097" s="68"/>
      <c r="K2097" s="69">
        <v>3000.0</v>
      </c>
      <c r="L2097" s="69">
        <v>7.0</v>
      </c>
      <c r="M2097" s="68">
        <f t="shared" si="1"/>
        <v>29.32</v>
      </c>
    </row>
    <row r="2098">
      <c r="A2098" s="70"/>
      <c r="B2098" s="70"/>
      <c r="C2098" s="70"/>
      <c r="D2098" s="70"/>
      <c r="E2098" s="70"/>
      <c r="F2098" s="66"/>
      <c r="G2098" s="66"/>
      <c r="H2098" s="66"/>
      <c r="I2098" s="66"/>
      <c r="J2098" s="66"/>
      <c r="K2098" s="63">
        <v>3400.0</v>
      </c>
      <c r="L2098" s="63">
        <v>6.4</v>
      </c>
      <c r="M2098" s="66">
        <f t="shared" si="1"/>
        <v>30.38</v>
      </c>
    </row>
    <row r="2099">
      <c r="A2099" s="67"/>
      <c r="B2099" s="67"/>
      <c r="C2099" s="67"/>
      <c r="D2099" s="67"/>
      <c r="E2099" s="67"/>
      <c r="F2099" s="68"/>
      <c r="G2099" s="68"/>
      <c r="H2099" s="68"/>
      <c r="I2099" s="68"/>
      <c r="J2099" s="68"/>
      <c r="K2099" s="69">
        <v>4000.0</v>
      </c>
      <c r="L2099" s="69">
        <v>5.22</v>
      </c>
      <c r="M2099" s="68">
        <f t="shared" si="1"/>
        <v>29.15</v>
      </c>
    </row>
    <row r="2100">
      <c r="A2100" s="70"/>
      <c r="B2100" s="70"/>
      <c r="C2100" s="70"/>
      <c r="D2100" s="70"/>
      <c r="E2100" s="70"/>
      <c r="F2100" s="66"/>
      <c r="G2100" s="66"/>
      <c r="H2100" s="66"/>
      <c r="I2100" s="66"/>
      <c r="J2100" s="66"/>
      <c r="K2100" s="63">
        <v>4500.0</v>
      </c>
      <c r="L2100" s="63">
        <v>3.78</v>
      </c>
      <c r="M2100" s="66">
        <f t="shared" si="1"/>
        <v>23.75</v>
      </c>
    </row>
    <row r="2101">
      <c r="A2101" s="67"/>
      <c r="B2101" s="67"/>
      <c r="C2101" s="67"/>
      <c r="D2101" s="67"/>
      <c r="E2101" s="67"/>
      <c r="F2101" s="68"/>
      <c r="G2101" s="68"/>
      <c r="H2101" s="68"/>
      <c r="I2101" s="68"/>
      <c r="J2101" s="68"/>
      <c r="K2101" s="69">
        <v>5000.0</v>
      </c>
      <c r="L2101" s="69">
        <v>2.22</v>
      </c>
      <c r="M2101" s="68">
        <f t="shared" si="1"/>
        <v>15.5</v>
      </c>
    </row>
    <row r="2102">
      <c r="A2102" s="66">
        <v>141.0</v>
      </c>
      <c r="B2102" s="66">
        <v>218.0</v>
      </c>
      <c r="C2102" s="74" t="s">
        <v>471</v>
      </c>
      <c r="D2102" s="74" t="s">
        <v>472</v>
      </c>
      <c r="E2102" s="74" t="s">
        <v>473</v>
      </c>
      <c r="F2102" s="65">
        <v>8500.0</v>
      </c>
      <c r="G2102" s="65">
        <v>8500.0</v>
      </c>
      <c r="H2102" s="65">
        <v>850.0</v>
      </c>
      <c r="I2102" s="65">
        <v>4000.0</v>
      </c>
      <c r="J2102" s="65">
        <v>6500.0</v>
      </c>
      <c r="K2102" s="63">
        <v>500.0</v>
      </c>
      <c r="L2102" s="63">
        <v>3.6</v>
      </c>
      <c r="M2102" s="66">
        <f t="shared" si="1"/>
        <v>2.51</v>
      </c>
    </row>
    <row r="2103">
      <c r="A2103" s="67"/>
      <c r="B2103" s="67"/>
      <c r="C2103" s="67"/>
      <c r="D2103" s="67"/>
      <c r="E2103" s="67"/>
      <c r="F2103" s="68"/>
      <c r="G2103" s="68"/>
      <c r="H2103" s="68"/>
      <c r="I2103" s="68"/>
      <c r="J2103" s="68"/>
      <c r="K2103" s="69">
        <v>1000.0</v>
      </c>
      <c r="L2103" s="69">
        <v>4.76</v>
      </c>
      <c r="M2103" s="68">
        <f t="shared" si="1"/>
        <v>6.65</v>
      </c>
    </row>
    <row r="2104">
      <c r="A2104" s="70"/>
      <c r="B2104" s="70"/>
      <c r="C2104" s="70"/>
      <c r="D2104" s="70"/>
      <c r="E2104" s="70"/>
      <c r="F2104" s="66"/>
      <c r="G2104" s="66"/>
      <c r="H2104" s="66"/>
      <c r="I2104" s="66"/>
      <c r="J2104" s="66"/>
      <c r="K2104" s="63">
        <v>1500.0</v>
      </c>
      <c r="L2104" s="63">
        <v>5.82</v>
      </c>
      <c r="M2104" s="66">
        <f t="shared" si="1"/>
        <v>12.19</v>
      </c>
    </row>
    <row r="2105">
      <c r="A2105" s="67"/>
      <c r="B2105" s="67"/>
      <c r="C2105" s="67"/>
      <c r="D2105" s="67"/>
      <c r="E2105" s="67"/>
      <c r="F2105" s="68"/>
      <c r="G2105" s="68"/>
      <c r="H2105" s="68"/>
      <c r="I2105" s="68"/>
      <c r="J2105" s="68"/>
      <c r="K2105" s="69">
        <v>2000.0</v>
      </c>
      <c r="L2105" s="69">
        <v>6.75</v>
      </c>
      <c r="M2105" s="68">
        <f t="shared" si="1"/>
        <v>18.85</v>
      </c>
    </row>
    <row r="2106">
      <c r="A2106" s="70"/>
      <c r="B2106" s="70"/>
      <c r="C2106" s="70"/>
      <c r="D2106" s="70"/>
      <c r="E2106" s="70"/>
      <c r="F2106" s="66"/>
      <c r="G2106" s="66"/>
      <c r="H2106" s="66"/>
      <c r="I2106" s="66"/>
      <c r="J2106" s="66"/>
      <c r="K2106" s="63">
        <v>2500.0</v>
      </c>
      <c r="L2106" s="63">
        <v>7.58</v>
      </c>
      <c r="M2106" s="66">
        <f t="shared" si="1"/>
        <v>26.46</v>
      </c>
    </row>
    <row r="2107">
      <c r="A2107" s="67"/>
      <c r="B2107" s="67"/>
      <c r="C2107" s="67"/>
      <c r="D2107" s="67"/>
      <c r="E2107" s="67"/>
      <c r="F2107" s="68"/>
      <c r="G2107" s="68"/>
      <c r="H2107" s="68"/>
      <c r="I2107" s="68"/>
      <c r="J2107" s="68"/>
      <c r="K2107" s="69">
        <v>3000.0</v>
      </c>
      <c r="L2107" s="69">
        <v>8.2</v>
      </c>
      <c r="M2107" s="68">
        <f t="shared" si="1"/>
        <v>34.35</v>
      </c>
    </row>
    <row r="2108">
      <c r="A2108" s="70"/>
      <c r="B2108" s="70"/>
      <c r="C2108" s="70"/>
      <c r="D2108" s="70"/>
      <c r="E2108" s="70"/>
      <c r="F2108" s="66"/>
      <c r="G2108" s="66"/>
      <c r="H2108" s="66"/>
      <c r="I2108" s="66"/>
      <c r="J2108" s="66"/>
      <c r="K2108" s="63">
        <v>3500.0</v>
      </c>
      <c r="L2108" s="63">
        <v>8.5</v>
      </c>
      <c r="M2108" s="66">
        <f t="shared" si="1"/>
        <v>41.54</v>
      </c>
    </row>
    <row r="2109">
      <c r="A2109" s="67"/>
      <c r="B2109" s="67"/>
      <c r="C2109" s="67"/>
      <c r="D2109" s="67"/>
      <c r="E2109" s="67"/>
      <c r="F2109" s="68"/>
      <c r="G2109" s="68"/>
      <c r="H2109" s="68"/>
      <c r="I2109" s="68"/>
      <c r="J2109" s="68"/>
      <c r="K2109" s="69">
        <v>4000.0</v>
      </c>
      <c r="L2109" s="69">
        <v>8.7</v>
      </c>
      <c r="M2109" s="68">
        <f t="shared" si="1"/>
        <v>48.59</v>
      </c>
    </row>
    <row r="2110">
      <c r="A2110" s="70"/>
      <c r="B2110" s="70"/>
      <c r="C2110" s="70"/>
      <c r="D2110" s="70"/>
      <c r="E2110" s="70"/>
      <c r="F2110" s="66"/>
      <c r="G2110" s="66"/>
      <c r="H2110" s="66"/>
      <c r="I2110" s="66"/>
      <c r="J2110" s="66"/>
      <c r="K2110" s="63">
        <v>4500.0</v>
      </c>
      <c r="L2110" s="63">
        <v>8.58</v>
      </c>
      <c r="M2110" s="66">
        <f t="shared" si="1"/>
        <v>53.91</v>
      </c>
    </row>
    <row r="2111">
      <c r="A2111" s="67"/>
      <c r="B2111" s="67"/>
      <c r="C2111" s="67"/>
      <c r="D2111" s="67"/>
      <c r="E2111" s="67"/>
      <c r="F2111" s="68"/>
      <c r="G2111" s="68"/>
      <c r="H2111" s="68"/>
      <c r="I2111" s="68"/>
      <c r="J2111" s="68"/>
      <c r="K2111" s="69">
        <v>5000.0</v>
      </c>
      <c r="L2111" s="69">
        <v>8.38</v>
      </c>
      <c r="M2111" s="68">
        <f t="shared" si="1"/>
        <v>58.5</v>
      </c>
    </row>
    <row r="2112">
      <c r="A2112" s="70"/>
      <c r="B2112" s="70"/>
      <c r="C2112" s="70"/>
      <c r="D2112" s="70"/>
      <c r="E2112" s="70"/>
      <c r="F2112" s="66"/>
      <c r="G2112" s="66"/>
      <c r="H2112" s="66"/>
      <c r="I2112" s="66"/>
      <c r="J2112" s="66"/>
      <c r="K2112" s="63">
        <v>5500.0</v>
      </c>
      <c r="L2112" s="63">
        <v>8.03</v>
      </c>
      <c r="M2112" s="66">
        <f t="shared" si="1"/>
        <v>61.67</v>
      </c>
    </row>
    <row r="2113">
      <c r="A2113" s="67"/>
      <c r="B2113" s="67"/>
      <c r="C2113" s="67"/>
      <c r="D2113" s="67"/>
      <c r="E2113" s="67"/>
      <c r="F2113" s="68"/>
      <c r="G2113" s="68"/>
      <c r="H2113" s="68"/>
      <c r="I2113" s="68"/>
      <c r="J2113" s="68"/>
      <c r="K2113" s="69">
        <v>6000.0</v>
      </c>
      <c r="L2113" s="69">
        <v>7.6</v>
      </c>
      <c r="M2113" s="68">
        <f t="shared" si="1"/>
        <v>63.67</v>
      </c>
    </row>
    <row r="2114">
      <c r="A2114" s="73"/>
      <c r="B2114" s="73"/>
      <c r="C2114" s="73"/>
      <c r="D2114" s="73"/>
      <c r="E2114" s="73"/>
      <c r="F2114" s="66"/>
      <c r="G2114" s="66"/>
      <c r="H2114" s="66"/>
      <c r="I2114" s="66"/>
      <c r="J2114" s="66"/>
      <c r="K2114" s="63">
        <v>6500.0</v>
      </c>
      <c r="L2114" s="63">
        <v>7.05</v>
      </c>
      <c r="M2114" s="66">
        <f t="shared" si="1"/>
        <v>63.98</v>
      </c>
    </row>
    <row r="2115">
      <c r="A2115" s="67"/>
      <c r="B2115" s="67"/>
      <c r="C2115" s="67"/>
      <c r="D2115" s="67"/>
      <c r="E2115" s="67"/>
      <c r="F2115" s="68"/>
      <c r="G2115" s="68"/>
      <c r="H2115" s="68"/>
      <c r="I2115" s="68"/>
      <c r="J2115" s="68"/>
      <c r="K2115" s="69">
        <v>7000.0</v>
      </c>
      <c r="L2115" s="69">
        <v>6.4</v>
      </c>
      <c r="M2115" s="68">
        <f t="shared" si="1"/>
        <v>62.55</v>
      </c>
    </row>
    <row r="2116">
      <c r="A2116" s="70"/>
      <c r="B2116" s="70"/>
      <c r="C2116" s="70"/>
      <c r="D2116" s="70"/>
      <c r="E2116" s="70"/>
      <c r="F2116" s="66"/>
      <c r="G2116" s="66"/>
      <c r="H2116" s="66"/>
      <c r="I2116" s="66"/>
      <c r="J2116" s="66"/>
      <c r="K2116" s="63">
        <v>7500.0</v>
      </c>
      <c r="L2116" s="63">
        <v>5.7</v>
      </c>
      <c r="M2116" s="66">
        <f t="shared" si="1"/>
        <v>59.69</v>
      </c>
    </row>
    <row r="2117">
      <c r="A2117" s="67"/>
      <c r="B2117" s="67"/>
      <c r="C2117" s="67"/>
      <c r="D2117" s="67"/>
      <c r="E2117" s="67"/>
      <c r="F2117" s="68"/>
      <c r="G2117" s="68"/>
      <c r="H2117" s="68"/>
      <c r="I2117" s="68"/>
      <c r="J2117" s="68"/>
      <c r="K2117" s="69">
        <v>8000.0</v>
      </c>
      <c r="L2117" s="69">
        <v>4.93</v>
      </c>
      <c r="M2117" s="68">
        <f t="shared" si="1"/>
        <v>55.07</v>
      </c>
    </row>
    <row r="2118">
      <c r="A2118" s="70"/>
      <c r="B2118" s="70"/>
      <c r="C2118" s="70"/>
      <c r="D2118" s="70"/>
      <c r="E2118" s="70"/>
      <c r="F2118" s="66"/>
      <c r="G2118" s="66"/>
      <c r="H2118" s="66"/>
      <c r="I2118" s="66"/>
      <c r="J2118" s="66"/>
      <c r="K2118" s="63">
        <v>8500.0</v>
      </c>
      <c r="L2118" s="63">
        <v>4.1</v>
      </c>
      <c r="M2118" s="66">
        <f t="shared" si="1"/>
        <v>48.66</v>
      </c>
    </row>
    <row r="2119">
      <c r="A2119" s="67"/>
      <c r="B2119" s="67"/>
      <c r="C2119" s="67"/>
      <c r="D2119" s="67"/>
      <c r="E2119" s="67"/>
      <c r="F2119" s="68"/>
      <c r="G2119" s="68"/>
      <c r="H2119" s="68"/>
      <c r="I2119" s="68"/>
      <c r="J2119" s="68"/>
      <c r="K2119" s="69">
        <v>9000.0</v>
      </c>
      <c r="L2119" s="69">
        <v>3.3</v>
      </c>
      <c r="M2119" s="68">
        <f t="shared" si="1"/>
        <v>41.47</v>
      </c>
    </row>
    <row r="2120">
      <c r="A2120" s="66">
        <v>142.0</v>
      </c>
      <c r="B2120" s="66">
        <v>222.0</v>
      </c>
      <c r="C2120" s="74" t="s">
        <v>474</v>
      </c>
      <c r="D2120" s="74" t="s">
        <v>475</v>
      </c>
      <c r="E2120" s="74" t="s">
        <v>476</v>
      </c>
      <c r="F2120" s="65">
        <v>8000.0</v>
      </c>
      <c r="G2120" s="65">
        <v>8200.0</v>
      </c>
      <c r="H2120" s="65">
        <v>700.0</v>
      </c>
      <c r="I2120" s="65">
        <v>4400.0</v>
      </c>
      <c r="J2120" s="65">
        <v>6800.0</v>
      </c>
      <c r="K2120" s="63">
        <v>500.0</v>
      </c>
      <c r="L2120" s="63">
        <v>17.6</v>
      </c>
      <c r="M2120" s="66">
        <f t="shared" si="1"/>
        <v>12.29</v>
      </c>
    </row>
    <row r="2121">
      <c r="A2121" s="67"/>
      <c r="B2121" s="67"/>
      <c r="C2121" s="67"/>
      <c r="D2121" s="67"/>
      <c r="E2121" s="67"/>
      <c r="F2121" s="68"/>
      <c r="G2121" s="68"/>
      <c r="H2121" s="68"/>
      <c r="I2121" s="68"/>
      <c r="J2121" s="68"/>
      <c r="K2121" s="69">
        <v>1000.0</v>
      </c>
      <c r="L2121" s="69">
        <v>18.8</v>
      </c>
      <c r="M2121" s="68">
        <f t="shared" si="1"/>
        <v>26.25</v>
      </c>
    </row>
    <row r="2122">
      <c r="A2122" s="70"/>
      <c r="B2122" s="70"/>
      <c r="C2122" s="70"/>
      <c r="D2122" s="70"/>
      <c r="E2122" s="70"/>
      <c r="F2122" s="66"/>
      <c r="G2122" s="66"/>
      <c r="H2122" s="66"/>
      <c r="I2122" s="66"/>
      <c r="J2122" s="66"/>
      <c r="K2122" s="63">
        <v>1500.0</v>
      </c>
      <c r="L2122" s="63">
        <v>21.0</v>
      </c>
      <c r="M2122" s="66">
        <f t="shared" si="1"/>
        <v>43.98</v>
      </c>
    </row>
    <row r="2123">
      <c r="A2123" s="67"/>
      <c r="B2123" s="67"/>
      <c r="C2123" s="67"/>
      <c r="D2123" s="67"/>
      <c r="E2123" s="67"/>
      <c r="F2123" s="68"/>
      <c r="G2123" s="68"/>
      <c r="H2123" s="68"/>
      <c r="I2123" s="68"/>
      <c r="J2123" s="68"/>
      <c r="K2123" s="69">
        <v>2000.0</v>
      </c>
      <c r="L2123" s="69">
        <v>23.5</v>
      </c>
      <c r="M2123" s="68">
        <f t="shared" si="1"/>
        <v>65.62</v>
      </c>
    </row>
    <row r="2124">
      <c r="A2124" s="70"/>
      <c r="B2124" s="70"/>
      <c r="C2124" s="70"/>
      <c r="D2124" s="70"/>
      <c r="E2124" s="70"/>
      <c r="F2124" s="66"/>
      <c r="G2124" s="66"/>
      <c r="H2124" s="66"/>
      <c r="I2124" s="66"/>
      <c r="J2124" s="66"/>
      <c r="K2124" s="63">
        <v>2500.0</v>
      </c>
      <c r="L2124" s="63">
        <v>26.26</v>
      </c>
      <c r="M2124" s="66">
        <f t="shared" si="1"/>
        <v>91.66</v>
      </c>
    </row>
    <row r="2125">
      <c r="A2125" s="67"/>
      <c r="B2125" s="67"/>
      <c r="C2125" s="67"/>
      <c r="D2125" s="67"/>
      <c r="E2125" s="67"/>
      <c r="F2125" s="68"/>
      <c r="G2125" s="68"/>
      <c r="H2125" s="68"/>
      <c r="I2125" s="68"/>
      <c r="J2125" s="68"/>
      <c r="K2125" s="69">
        <v>3000.0</v>
      </c>
      <c r="L2125" s="69">
        <v>28.92</v>
      </c>
      <c r="M2125" s="68">
        <f t="shared" si="1"/>
        <v>121.14</v>
      </c>
    </row>
    <row r="2126">
      <c r="A2126" s="70"/>
      <c r="B2126" s="70"/>
      <c r="C2126" s="70"/>
      <c r="D2126" s="70"/>
      <c r="E2126" s="70"/>
      <c r="F2126" s="66"/>
      <c r="G2126" s="66"/>
      <c r="H2126" s="66"/>
      <c r="I2126" s="66"/>
      <c r="J2126" s="66"/>
      <c r="K2126" s="63">
        <v>3500.0</v>
      </c>
      <c r="L2126" s="63">
        <v>32.77</v>
      </c>
      <c r="M2126" s="66">
        <f t="shared" si="1"/>
        <v>160.14</v>
      </c>
    </row>
    <row r="2127">
      <c r="A2127" s="67"/>
      <c r="B2127" s="67"/>
      <c r="C2127" s="67"/>
      <c r="D2127" s="67"/>
      <c r="E2127" s="67"/>
      <c r="F2127" s="68"/>
      <c r="G2127" s="68"/>
      <c r="H2127" s="68"/>
      <c r="I2127" s="68"/>
      <c r="J2127" s="68"/>
      <c r="K2127" s="69">
        <v>4000.0</v>
      </c>
      <c r="L2127" s="69">
        <v>36.5</v>
      </c>
      <c r="M2127" s="68">
        <f t="shared" si="1"/>
        <v>203.85</v>
      </c>
    </row>
    <row r="2128">
      <c r="A2128" s="70"/>
      <c r="B2128" s="70"/>
      <c r="C2128" s="70"/>
      <c r="D2128" s="70"/>
      <c r="E2128" s="70"/>
      <c r="F2128" s="66"/>
      <c r="G2128" s="66"/>
      <c r="H2128" s="66"/>
      <c r="I2128" s="66"/>
      <c r="J2128" s="66"/>
      <c r="K2128" s="63">
        <v>4500.0</v>
      </c>
      <c r="L2128" s="63">
        <v>40.7</v>
      </c>
      <c r="M2128" s="66">
        <f t="shared" si="1"/>
        <v>255.72</v>
      </c>
    </row>
    <row r="2129">
      <c r="A2129" s="67"/>
      <c r="B2129" s="67"/>
      <c r="C2129" s="67"/>
      <c r="D2129" s="67"/>
      <c r="E2129" s="67"/>
      <c r="F2129" s="68"/>
      <c r="G2129" s="68"/>
      <c r="H2129" s="68"/>
      <c r="I2129" s="68"/>
      <c r="J2129" s="68"/>
      <c r="K2129" s="69">
        <v>5000.0</v>
      </c>
      <c r="L2129" s="69">
        <v>40.4</v>
      </c>
      <c r="M2129" s="68">
        <f t="shared" si="1"/>
        <v>282.04</v>
      </c>
    </row>
    <row r="2130">
      <c r="A2130" s="70"/>
      <c r="B2130" s="70"/>
      <c r="C2130" s="70"/>
      <c r="D2130" s="70"/>
      <c r="E2130" s="70"/>
      <c r="F2130" s="66"/>
      <c r="G2130" s="66"/>
      <c r="H2130" s="66"/>
      <c r="I2130" s="66"/>
      <c r="J2130" s="66"/>
      <c r="K2130" s="63">
        <v>5500.0</v>
      </c>
      <c r="L2130" s="63">
        <v>38.43</v>
      </c>
      <c r="M2130" s="66">
        <f t="shared" si="1"/>
        <v>295.12</v>
      </c>
    </row>
    <row r="2131">
      <c r="A2131" s="67"/>
      <c r="B2131" s="67"/>
      <c r="C2131" s="67"/>
      <c r="D2131" s="67"/>
      <c r="E2131" s="67"/>
      <c r="F2131" s="68"/>
      <c r="G2131" s="68"/>
      <c r="H2131" s="68"/>
      <c r="I2131" s="68"/>
      <c r="J2131" s="68"/>
      <c r="K2131" s="69">
        <v>6000.0</v>
      </c>
      <c r="L2131" s="69">
        <v>35.7</v>
      </c>
      <c r="M2131" s="68">
        <f t="shared" si="1"/>
        <v>299.08</v>
      </c>
    </row>
    <row r="2132">
      <c r="A2132" s="70"/>
      <c r="B2132" s="70"/>
      <c r="C2132" s="70"/>
      <c r="D2132" s="70"/>
      <c r="E2132" s="70"/>
      <c r="F2132" s="66"/>
      <c r="G2132" s="66"/>
      <c r="H2132" s="66"/>
      <c r="I2132" s="66"/>
      <c r="J2132" s="66"/>
      <c r="K2132" s="63">
        <v>6500.0</v>
      </c>
      <c r="L2132" s="63">
        <v>33.03</v>
      </c>
      <c r="M2132" s="66">
        <f t="shared" si="1"/>
        <v>299.77</v>
      </c>
    </row>
    <row r="2133">
      <c r="A2133" s="67"/>
      <c r="B2133" s="67"/>
      <c r="C2133" s="67"/>
      <c r="D2133" s="67"/>
      <c r="E2133" s="67"/>
      <c r="F2133" s="68"/>
      <c r="G2133" s="68"/>
      <c r="H2133" s="68"/>
      <c r="I2133" s="68"/>
      <c r="J2133" s="68"/>
      <c r="K2133" s="69">
        <v>7000.0</v>
      </c>
      <c r="L2133" s="69">
        <v>30.68</v>
      </c>
      <c r="M2133" s="68">
        <f t="shared" si="1"/>
        <v>299.86</v>
      </c>
    </row>
    <row r="2134">
      <c r="A2134" s="70"/>
      <c r="B2134" s="70"/>
      <c r="C2134" s="70"/>
      <c r="D2134" s="70"/>
      <c r="E2134" s="70"/>
      <c r="F2134" s="66"/>
      <c r="G2134" s="66"/>
      <c r="H2134" s="66"/>
      <c r="I2134" s="66"/>
      <c r="J2134" s="66"/>
      <c r="K2134" s="63">
        <v>7500.0</v>
      </c>
      <c r="L2134" s="63">
        <v>28.5</v>
      </c>
      <c r="M2134" s="66">
        <f t="shared" si="1"/>
        <v>298.45</v>
      </c>
    </row>
    <row r="2135">
      <c r="A2135" s="67"/>
      <c r="B2135" s="67"/>
      <c r="C2135" s="67"/>
      <c r="D2135" s="67"/>
      <c r="E2135" s="67"/>
      <c r="F2135" s="68"/>
      <c r="G2135" s="68"/>
      <c r="H2135" s="68"/>
      <c r="I2135" s="68"/>
      <c r="J2135" s="68"/>
      <c r="K2135" s="69">
        <v>8000.0</v>
      </c>
      <c r="L2135" s="69">
        <v>26.1</v>
      </c>
      <c r="M2135" s="68">
        <f t="shared" si="1"/>
        <v>291.54</v>
      </c>
    </row>
    <row r="2136">
      <c r="A2136" s="70"/>
      <c r="B2136" s="70"/>
      <c r="C2136" s="70"/>
      <c r="D2136" s="70"/>
      <c r="E2136" s="70"/>
      <c r="F2136" s="66"/>
      <c r="G2136" s="66"/>
      <c r="H2136" s="66"/>
      <c r="I2136" s="66"/>
      <c r="J2136" s="66"/>
      <c r="K2136" s="63">
        <v>8500.0</v>
      </c>
      <c r="L2136" s="63">
        <v>23.5</v>
      </c>
      <c r="M2136" s="66">
        <f t="shared" si="1"/>
        <v>278.9</v>
      </c>
    </row>
    <row r="2137">
      <c r="A2137" s="68">
        <v>143.0</v>
      </c>
      <c r="B2137" s="68">
        <v>225.0</v>
      </c>
      <c r="C2137" s="71" t="s">
        <v>477</v>
      </c>
      <c r="D2137" s="71" t="s">
        <v>478</v>
      </c>
      <c r="E2137" s="71" t="s">
        <v>479</v>
      </c>
      <c r="F2137" s="72">
        <v>9000.0</v>
      </c>
      <c r="G2137" s="72">
        <v>9000.0</v>
      </c>
      <c r="H2137" s="72">
        <v>600.0</v>
      </c>
      <c r="I2137" s="72">
        <v>5500.0</v>
      </c>
      <c r="J2137" s="72">
        <v>8500.0</v>
      </c>
      <c r="K2137" s="69">
        <v>500.0</v>
      </c>
      <c r="L2137" s="69">
        <v>12.15</v>
      </c>
      <c r="M2137" s="68">
        <f t="shared" si="1"/>
        <v>8.48</v>
      </c>
    </row>
    <row r="2138">
      <c r="A2138" s="73"/>
      <c r="B2138" s="73"/>
      <c r="C2138" s="73"/>
      <c r="D2138" s="73"/>
      <c r="E2138" s="73"/>
      <c r="F2138" s="66"/>
      <c r="G2138" s="66"/>
      <c r="H2138" s="66"/>
      <c r="I2138" s="66"/>
      <c r="J2138" s="66"/>
      <c r="K2138" s="63">
        <v>1000.0</v>
      </c>
      <c r="L2138" s="63">
        <v>14.02</v>
      </c>
      <c r="M2138" s="66">
        <f t="shared" si="1"/>
        <v>19.58</v>
      </c>
    </row>
    <row r="2139">
      <c r="A2139" s="67"/>
      <c r="B2139" s="67"/>
      <c r="C2139" s="67"/>
      <c r="D2139" s="67"/>
      <c r="E2139" s="67"/>
      <c r="F2139" s="68"/>
      <c r="G2139" s="68"/>
      <c r="H2139" s="68"/>
      <c r="I2139" s="68"/>
      <c r="J2139" s="68"/>
      <c r="K2139" s="69">
        <v>1500.0</v>
      </c>
      <c r="L2139" s="69">
        <v>15.88</v>
      </c>
      <c r="M2139" s="68">
        <f t="shared" si="1"/>
        <v>33.26</v>
      </c>
    </row>
    <row r="2140">
      <c r="A2140" s="70"/>
      <c r="B2140" s="70"/>
      <c r="C2140" s="70"/>
      <c r="D2140" s="70"/>
      <c r="E2140" s="70"/>
      <c r="F2140" s="66"/>
      <c r="G2140" s="66"/>
      <c r="H2140" s="66"/>
      <c r="I2140" s="66"/>
      <c r="J2140" s="66"/>
      <c r="K2140" s="63">
        <v>2000.0</v>
      </c>
      <c r="L2140" s="63">
        <v>17.37</v>
      </c>
      <c r="M2140" s="66">
        <f t="shared" si="1"/>
        <v>48.51</v>
      </c>
    </row>
    <row r="2141">
      <c r="A2141" s="67"/>
      <c r="B2141" s="67"/>
      <c r="C2141" s="67"/>
      <c r="D2141" s="67"/>
      <c r="E2141" s="67"/>
      <c r="F2141" s="68"/>
      <c r="G2141" s="68"/>
      <c r="H2141" s="68"/>
      <c r="I2141" s="68"/>
      <c r="J2141" s="68"/>
      <c r="K2141" s="69">
        <v>2500.0</v>
      </c>
      <c r="L2141" s="69">
        <v>18.52</v>
      </c>
      <c r="M2141" s="68">
        <f t="shared" si="1"/>
        <v>64.65</v>
      </c>
    </row>
    <row r="2142">
      <c r="A2142" s="70"/>
      <c r="B2142" s="70"/>
      <c r="C2142" s="70"/>
      <c r="D2142" s="70"/>
      <c r="E2142" s="70"/>
      <c r="F2142" s="66"/>
      <c r="G2142" s="66"/>
      <c r="H2142" s="66"/>
      <c r="I2142" s="66"/>
      <c r="J2142" s="66"/>
      <c r="K2142" s="63">
        <v>3000.0</v>
      </c>
      <c r="L2142" s="63">
        <v>19.37</v>
      </c>
      <c r="M2142" s="66">
        <f t="shared" si="1"/>
        <v>81.14</v>
      </c>
    </row>
    <row r="2143">
      <c r="A2143" s="67"/>
      <c r="B2143" s="67"/>
      <c r="C2143" s="67"/>
      <c r="D2143" s="67"/>
      <c r="E2143" s="67"/>
      <c r="F2143" s="68"/>
      <c r="G2143" s="68"/>
      <c r="H2143" s="68"/>
      <c r="I2143" s="68"/>
      <c r="J2143" s="68"/>
      <c r="K2143" s="69">
        <v>3500.0</v>
      </c>
      <c r="L2143" s="69">
        <v>19.63</v>
      </c>
      <c r="M2143" s="68">
        <f t="shared" si="1"/>
        <v>95.93</v>
      </c>
    </row>
    <row r="2144">
      <c r="A2144" s="70"/>
      <c r="B2144" s="70"/>
      <c r="C2144" s="70"/>
      <c r="D2144" s="70"/>
      <c r="E2144" s="70"/>
      <c r="F2144" s="66"/>
      <c r="G2144" s="66"/>
      <c r="H2144" s="66"/>
      <c r="I2144" s="66"/>
      <c r="J2144" s="66"/>
      <c r="K2144" s="63">
        <v>4000.0</v>
      </c>
      <c r="L2144" s="63">
        <v>19.88</v>
      </c>
      <c r="M2144" s="66">
        <f t="shared" si="1"/>
        <v>111.03</v>
      </c>
    </row>
    <row r="2145">
      <c r="A2145" s="67"/>
      <c r="B2145" s="67"/>
      <c r="C2145" s="67"/>
      <c r="D2145" s="67"/>
      <c r="E2145" s="67"/>
      <c r="F2145" s="68"/>
      <c r="G2145" s="68"/>
      <c r="H2145" s="68"/>
      <c r="I2145" s="68"/>
      <c r="J2145" s="68"/>
      <c r="K2145" s="69">
        <v>4500.0</v>
      </c>
      <c r="L2145" s="69">
        <v>20.23</v>
      </c>
      <c r="M2145" s="68">
        <f t="shared" si="1"/>
        <v>127.11</v>
      </c>
    </row>
    <row r="2146">
      <c r="A2146" s="70"/>
      <c r="B2146" s="70"/>
      <c r="C2146" s="70"/>
      <c r="D2146" s="70"/>
      <c r="E2146" s="70"/>
      <c r="F2146" s="66"/>
      <c r="G2146" s="66"/>
      <c r="H2146" s="66"/>
      <c r="I2146" s="66"/>
      <c r="J2146" s="66"/>
      <c r="K2146" s="63">
        <v>5000.0</v>
      </c>
      <c r="L2146" s="63">
        <v>20.34</v>
      </c>
      <c r="M2146" s="66">
        <f t="shared" si="1"/>
        <v>142</v>
      </c>
    </row>
    <row r="2147">
      <c r="A2147" s="67"/>
      <c r="B2147" s="67"/>
      <c r="C2147" s="67"/>
      <c r="D2147" s="67"/>
      <c r="E2147" s="67"/>
      <c r="F2147" s="68"/>
      <c r="G2147" s="68"/>
      <c r="H2147" s="68"/>
      <c r="I2147" s="68"/>
      <c r="J2147" s="68"/>
      <c r="K2147" s="69">
        <v>5500.0</v>
      </c>
      <c r="L2147" s="69">
        <v>20.9</v>
      </c>
      <c r="M2147" s="68">
        <f t="shared" si="1"/>
        <v>160.5</v>
      </c>
    </row>
    <row r="2148">
      <c r="A2148" s="70"/>
      <c r="B2148" s="70"/>
      <c r="C2148" s="70"/>
      <c r="D2148" s="70"/>
      <c r="E2148" s="70"/>
      <c r="F2148" s="66"/>
      <c r="G2148" s="66"/>
      <c r="H2148" s="66"/>
      <c r="I2148" s="66"/>
      <c r="J2148" s="66"/>
      <c r="K2148" s="63">
        <v>6000.0</v>
      </c>
      <c r="L2148" s="63">
        <v>20.22</v>
      </c>
      <c r="M2148" s="66">
        <f t="shared" si="1"/>
        <v>169.39</v>
      </c>
    </row>
    <row r="2149">
      <c r="A2149" s="67"/>
      <c r="B2149" s="67"/>
      <c r="C2149" s="67"/>
      <c r="D2149" s="67"/>
      <c r="E2149" s="67"/>
      <c r="F2149" s="68"/>
      <c r="G2149" s="68"/>
      <c r="H2149" s="68"/>
      <c r="I2149" s="68"/>
      <c r="J2149" s="68"/>
      <c r="K2149" s="69">
        <v>6500.0</v>
      </c>
      <c r="L2149" s="69">
        <v>20.47</v>
      </c>
      <c r="M2149" s="68">
        <f t="shared" si="1"/>
        <v>185.78</v>
      </c>
    </row>
    <row r="2150">
      <c r="A2150" s="70"/>
      <c r="B2150" s="70"/>
      <c r="C2150" s="70"/>
      <c r="D2150" s="70"/>
      <c r="E2150" s="70"/>
      <c r="F2150" s="66"/>
      <c r="G2150" s="66"/>
      <c r="H2150" s="66"/>
      <c r="I2150" s="66"/>
      <c r="J2150" s="66"/>
      <c r="K2150" s="63">
        <v>7000.0</v>
      </c>
      <c r="L2150" s="63">
        <v>20.59</v>
      </c>
      <c r="M2150" s="66">
        <f t="shared" si="1"/>
        <v>201.24</v>
      </c>
    </row>
    <row r="2151">
      <c r="A2151" s="67"/>
      <c r="B2151" s="67"/>
      <c r="C2151" s="67"/>
      <c r="D2151" s="67"/>
      <c r="E2151" s="67"/>
      <c r="F2151" s="68"/>
      <c r="G2151" s="68"/>
      <c r="H2151" s="68"/>
      <c r="I2151" s="68"/>
      <c r="J2151" s="68"/>
      <c r="K2151" s="69">
        <v>7500.0</v>
      </c>
      <c r="L2151" s="69">
        <v>20.06</v>
      </c>
      <c r="M2151" s="68">
        <f t="shared" si="1"/>
        <v>210.07</v>
      </c>
    </row>
    <row r="2152">
      <c r="A2152" s="70"/>
      <c r="B2152" s="70"/>
      <c r="C2152" s="70"/>
      <c r="D2152" s="70"/>
      <c r="E2152" s="70"/>
      <c r="F2152" s="66"/>
      <c r="G2152" s="66"/>
      <c r="H2152" s="66"/>
      <c r="I2152" s="66"/>
      <c r="J2152" s="66"/>
      <c r="K2152" s="63">
        <v>8000.0</v>
      </c>
      <c r="L2152" s="63">
        <v>19.91</v>
      </c>
      <c r="M2152" s="66">
        <f t="shared" si="1"/>
        <v>222.4</v>
      </c>
    </row>
    <row r="2153">
      <c r="A2153" s="67"/>
      <c r="B2153" s="67"/>
      <c r="C2153" s="67"/>
      <c r="D2153" s="67"/>
      <c r="E2153" s="67"/>
      <c r="F2153" s="68"/>
      <c r="G2153" s="68"/>
      <c r="H2153" s="68"/>
      <c r="I2153" s="68"/>
      <c r="J2153" s="68"/>
      <c r="K2153" s="69">
        <v>8500.0</v>
      </c>
      <c r="L2153" s="69">
        <v>19.35</v>
      </c>
      <c r="M2153" s="68">
        <f t="shared" si="1"/>
        <v>229.65</v>
      </c>
    </row>
    <row r="2154">
      <c r="A2154" s="70"/>
      <c r="B2154" s="70"/>
      <c r="C2154" s="70"/>
      <c r="D2154" s="70"/>
      <c r="E2154" s="70"/>
      <c r="F2154" s="66"/>
      <c r="G2154" s="66"/>
      <c r="H2154" s="66"/>
      <c r="I2154" s="66"/>
      <c r="J2154" s="66"/>
      <c r="K2154" s="63">
        <v>9000.0</v>
      </c>
      <c r="L2154" s="63">
        <v>17.8</v>
      </c>
      <c r="M2154" s="66">
        <f t="shared" si="1"/>
        <v>223.68</v>
      </c>
    </row>
    <row r="2155">
      <c r="A2155" s="67"/>
      <c r="B2155" s="67"/>
      <c r="C2155" s="67"/>
      <c r="D2155" s="67"/>
      <c r="E2155" s="67"/>
      <c r="F2155" s="68"/>
      <c r="G2155" s="68"/>
      <c r="H2155" s="68"/>
      <c r="I2155" s="68"/>
      <c r="J2155" s="68"/>
      <c r="K2155" s="69">
        <v>9500.0</v>
      </c>
      <c r="L2155" s="69">
        <v>15.22</v>
      </c>
      <c r="M2155" s="68">
        <f t="shared" si="1"/>
        <v>201.88</v>
      </c>
    </row>
    <row r="2156">
      <c r="A2156" s="66">
        <v>144.0</v>
      </c>
      <c r="B2156" s="66">
        <v>229.0</v>
      </c>
      <c r="C2156" s="74" t="s">
        <v>480</v>
      </c>
      <c r="D2156" s="74" t="s">
        <v>481</v>
      </c>
      <c r="E2156" s="74" t="s">
        <v>482</v>
      </c>
      <c r="F2156" s="65">
        <v>6000.0</v>
      </c>
      <c r="G2156" s="65">
        <v>6000.0</v>
      </c>
      <c r="H2156" s="65">
        <v>700.0</v>
      </c>
      <c r="I2156" s="65">
        <v>2500.0</v>
      </c>
      <c r="J2156" s="65">
        <v>5250.0</v>
      </c>
      <c r="K2156" s="63">
        <v>500.0</v>
      </c>
      <c r="L2156" s="63">
        <v>14.8</v>
      </c>
      <c r="M2156" s="66">
        <f t="shared" si="1"/>
        <v>10.33</v>
      </c>
    </row>
    <row r="2157">
      <c r="A2157" s="67"/>
      <c r="B2157" s="67"/>
      <c r="C2157" s="67"/>
      <c r="D2157" s="67"/>
      <c r="E2157" s="67"/>
      <c r="F2157" s="68"/>
      <c r="G2157" s="68"/>
      <c r="H2157" s="68"/>
      <c r="I2157" s="68"/>
      <c r="J2157" s="68"/>
      <c r="K2157" s="69">
        <v>1000.0</v>
      </c>
      <c r="L2157" s="69">
        <v>16.7</v>
      </c>
      <c r="M2157" s="68">
        <f t="shared" si="1"/>
        <v>23.32</v>
      </c>
    </row>
    <row r="2158">
      <c r="A2158" s="70"/>
      <c r="B2158" s="70"/>
      <c r="C2158" s="70"/>
      <c r="D2158" s="70"/>
      <c r="E2158" s="70"/>
      <c r="F2158" s="66"/>
      <c r="G2158" s="66"/>
      <c r="H2158" s="66"/>
      <c r="I2158" s="66"/>
      <c r="J2158" s="66"/>
      <c r="K2158" s="63">
        <v>1500.0</v>
      </c>
      <c r="L2158" s="63">
        <v>18.05</v>
      </c>
      <c r="M2158" s="66">
        <f t="shared" si="1"/>
        <v>37.8</v>
      </c>
    </row>
    <row r="2159">
      <c r="A2159" s="67"/>
      <c r="B2159" s="67"/>
      <c r="C2159" s="67"/>
      <c r="D2159" s="67"/>
      <c r="E2159" s="67"/>
      <c r="F2159" s="68"/>
      <c r="G2159" s="68"/>
      <c r="H2159" s="68"/>
      <c r="I2159" s="68"/>
      <c r="J2159" s="68"/>
      <c r="K2159" s="69">
        <v>2000.0</v>
      </c>
      <c r="L2159" s="69">
        <v>18.9</v>
      </c>
      <c r="M2159" s="68">
        <f t="shared" si="1"/>
        <v>52.78</v>
      </c>
    </row>
    <row r="2160">
      <c r="A2160" s="70"/>
      <c r="B2160" s="70"/>
      <c r="C2160" s="70"/>
      <c r="D2160" s="70"/>
      <c r="E2160" s="70"/>
      <c r="F2160" s="66"/>
      <c r="G2160" s="66"/>
      <c r="H2160" s="66"/>
      <c r="I2160" s="66"/>
      <c r="J2160" s="66"/>
      <c r="K2160" s="63">
        <v>2500.0</v>
      </c>
      <c r="L2160" s="63">
        <v>19.2</v>
      </c>
      <c r="M2160" s="66">
        <f t="shared" si="1"/>
        <v>67.02</v>
      </c>
    </row>
    <row r="2161">
      <c r="A2161" s="67"/>
      <c r="B2161" s="67"/>
      <c r="C2161" s="67"/>
      <c r="D2161" s="67"/>
      <c r="E2161" s="67"/>
      <c r="F2161" s="68"/>
      <c r="G2161" s="68"/>
      <c r="H2161" s="68"/>
      <c r="I2161" s="68"/>
      <c r="J2161" s="68"/>
      <c r="K2161" s="69">
        <v>3000.0</v>
      </c>
      <c r="L2161" s="69">
        <v>18.95</v>
      </c>
      <c r="M2161" s="68">
        <f t="shared" si="1"/>
        <v>79.38</v>
      </c>
    </row>
    <row r="2162">
      <c r="A2162" s="73"/>
      <c r="B2162" s="73"/>
      <c r="C2162" s="73"/>
      <c r="D2162" s="73"/>
      <c r="E2162" s="73"/>
      <c r="F2162" s="66"/>
      <c r="G2162" s="66"/>
      <c r="H2162" s="66"/>
      <c r="I2162" s="66"/>
      <c r="J2162" s="66"/>
      <c r="K2162" s="63">
        <v>3500.0</v>
      </c>
      <c r="L2162" s="63">
        <v>18.55</v>
      </c>
      <c r="M2162" s="66">
        <f t="shared" si="1"/>
        <v>90.65</v>
      </c>
    </row>
    <row r="2163">
      <c r="A2163" s="67"/>
      <c r="B2163" s="67"/>
      <c r="C2163" s="67"/>
      <c r="D2163" s="67"/>
      <c r="E2163" s="67"/>
      <c r="F2163" s="68"/>
      <c r="G2163" s="68"/>
      <c r="H2163" s="68"/>
      <c r="I2163" s="68"/>
      <c r="J2163" s="68"/>
      <c r="K2163" s="69">
        <v>4000.0</v>
      </c>
      <c r="L2163" s="69">
        <v>18.15</v>
      </c>
      <c r="M2163" s="68">
        <f t="shared" si="1"/>
        <v>101.37</v>
      </c>
    </row>
    <row r="2164">
      <c r="A2164" s="70"/>
      <c r="B2164" s="70"/>
      <c r="C2164" s="70"/>
      <c r="D2164" s="70"/>
      <c r="E2164" s="70"/>
      <c r="F2164" s="66"/>
      <c r="G2164" s="66"/>
      <c r="H2164" s="66"/>
      <c r="I2164" s="66"/>
      <c r="J2164" s="66"/>
      <c r="K2164" s="63">
        <v>4500.0</v>
      </c>
      <c r="L2164" s="63">
        <v>17.65</v>
      </c>
      <c r="M2164" s="66">
        <f t="shared" si="1"/>
        <v>110.9</v>
      </c>
    </row>
    <row r="2165">
      <c r="A2165" s="67"/>
      <c r="B2165" s="67"/>
      <c r="C2165" s="67"/>
      <c r="D2165" s="67"/>
      <c r="E2165" s="67"/>
      <c r="F2165" s="68"/>
      <c r="G2165" s="68"/>
      <c r="H2165" s="68"/>
      <c r="I2165" s="68"/>
      <c r="J2165" s="68"/>
      <c r="K2165" s="69">
        <v>5000.0</v>
      </c>
      <c r="L2165" s="69">
        <v>17.15</v>
      </c>
      <c r="M2165" s="68">
        <f t="shared" si="1"/>
        <v>119.73</v>
      </c>
    </row>
    <row r="2166">
      <c r="A2166" s="70"/>
      <c r="B2166" s="70"/>
      <c r="C2166" s="70"/>
      <c r="D2166" s="70"/>
      <c r="E2166" s="70"/>
      <c r="F2166" s="66"/>
      <c r="G2166" s="66"/>
      <c r="H2166" s="66"/>
      <c r="I2166" s="66"/>
      <c r="J2166" s="66"/>
      <c r="K2166" s="63">
        <v>5250.0</v>
      </c>
      <c r="L2166" s="63">
        <v>16.65</v>
      </c>
      <c r="M2166" s="66">
        <f t="shared" si="1"/>
        <v>122.05</v>
      </c>
    </row>
    <row r="2167">
      <c r="A2167" s="67"/>
      <c r="B2167" s="67"/>
      <c r="C2167" s="67"/>
      <c r="D2167" s="67"/>
      <c r="E2167" s="67"/>
      <c r="F2167" s="68"/>
      <c r="G2167" s="68"/>
      <c r="H2167" s="68"/>
      <c r="I2167" s="68"/>
      <c r="J2167" s="68"/>
      <c r="K2167" s="69">
        <v>6000.0</v>
      </c>
      <c r="L2167" s="69">
        <v>14.4</v>
      </c>
      <c r="M2167" s="68">
        <f t="shared" si="1"/>
        <v>120.64</v>
      </c>
    </row>
    <row r="2168">
      <c r="A2168" s="70"/>
      <c r="B2168" s="70"/>
      <c r="C2168" s="70"/>
      <c r="D2168" s="70"/>
      <c r="E2168" s="70"/>
      <c r="F2168" s="66"/>
      <c r="G2168" s="66"/>
      <c r="H2168" s="66"/>
      <c r="I2168" s="66"/>
      <c r="J2168" s="66"/>
      <c r="K2168" s="63">
        <v>6500.0</v>
      </c>
      <c r="L2168" s="63">
        <v>11.9</v>
      </c>
      <c r="M2168" s="66">
        <f t="shared" si="1"/>
        <v>108</v>
      </c>
    </row>
    <row r="2169">
      <c r="A2169" s="67"/>
      <c r="B2169" s="67"/>
      <c r="C2169" s="67"/>
      <c r="D2169" s="67"/>
      <c r="E2169" s="67"/>
      <c r="F2169" s="68"/>
      <c r="G2169" s="68"/>
      <c r="H2169" s="68"/>
      <c r="I2169" s="68"/>
      <c r="J2169" s="68"/>
      <c r="K2169" s="69">
        <v>7000.0</v>
      </c>
      <c r="L2169" s="69">
        <v>9.0</v>
      </c>
      <c r="M2169" s="68">
        <f t="shared" si="1"/>
        <v>87.96</v>
      </c>
    </row>
    <row r="2170">
      <c r="A2170" s="66">
        <v>145.0</v>
      </c>
      <c r="B2170" s="66">
        <v>230.0</v>
      </c>
      <c r="C2170" s="74" t="s">
        <v>483</v>
      </c>
      <c r="D2170" s="74" t="s">
        <v>484</v>
      </c>
      <c r="E2170" s="74" t="s">
        <v>485</v>
      </c>
      <c r="F2170" s="65">
        <v>6500.0</v>
      </c>
      <c r="G2170" s="65">
        <v>6700.0</v>
      </c>
      <c r="H2170" s="65">
        <v>800.0</v>
      </c>
      <c r="I2170" s="65">
        <v>2500.0</v>
      </c>
      <c r="J2170" s="65">
        <v>5750.0</v>
      </c>
      <c r="K2170" s="63">
        <v>500.0</v>
      </c>
      <c r="L2170" s="63">
        <v>14.8</v>
      </c>
      <c r="M2170" s="66">
        <f t="shared" si="1"/>
        <v>10.33</v>
      </c>
    </row>
    <row r="2171">
      <c r="A2171" s="67"/>
      <c r="B2171" s="67"/>
      <c r="C2171" s="67"/>
      <c r="D2171" s="67"/>
      <c r="E2171" s="67"/>
      <c r="F2171" s="68"/>
      <c r="G2171" s="68"/>
      <c r="H2171" s="68"/>
      <c r="I2171" s="68"/>
      <c r="J2171" s="68"/>
      <c r="K2171" s="69">
        <v>1000.0</v>
      </c>
      <c r="L2171" s="69">
        <v>15.6</v>
      </c>
      <c r="M2171" s="68">
        <f t="shared" si="1"/>
        <v>21.78</v>
      </c>
    </row>
    <row r="2172">
      <c r="A2172" s="70"/>
      <c r="B2172" s="70"/>
      <c r="C2172" s="70"/>
      <c r="D2172" s="70"/>
      <c r="E2172" s="70"/>
      <c r="F2172" s="66"/>
      <c r="G2172" s="66"/>
      <c r="H2172" s="66"/>
      <c r="I2172" s="66"/>
      <c r="J2172" s="66"/>
      <c r="K2172" s="63">
        <v>1500.0</v>
      </c>
      <c r="L2172" s="63">
        <v>16.8</v>
      </c>
      <c r="M2172" s="66">
        <f t="shared" si="1"/>
        <v>35.19</v>
      </c>
    </row>
    <row r="2173">
      <c r="A2173" s="67"/>
      <c r="B2173" s="67"/>
      <c r="C2173" s="67"/>
      <c r="D2173" s="67"/>
      <c r="E2173" s="67"/>
      <c r="F2173" s="68"/>
      <c r="G2173" s="68"/>
      <c r="H2173" s="68"/>
      <c r="I2173" s="68"/>
      <c r="J2173" s="68"/>
      <c r="K2173" s="69">
        <v>2000.0</v>
      </c>
      <c r="L2173" s="69">
        <v>19.8</v>
      </c>
      <c r="M2173" s="68">
        <f t="shared" si="1"/>
        <v>55.29</v>
      </c>
    </row>
    <row r="2174">
      <c r="A2174" s="70"/>
      <c r="B2174" s="70"/>
      <c r="C2174" s="70"/>
      <c r="D2174" s="70"/>
      <c r="E2174" s="70"/>
      <c r="F2174" s="66"/>
      <c r="G2174" s="66"/>
      <c r="H2174" s="66"/>
      <c r="I2174" s="66"/>
      <c r="J2174" s="66"/>
      <c r="K2174" s="63">
        <v>2500.0</v>
      </c>
      <c r="L2174" s="63">
        <v>26.5</v>
      </c>
      <c r="M2174" s="66">
        <f t="shared" si="1"/>
        <v>92.5</v>
      </c>
    </row>
    <row r="2175">
      <c r="A2175" s="67"/>
      <c r="B2175" s="67"/>
      <c r="C2175" s="67"/>
      <c r="D2175" s="67"/>
      <c r="E2175" s="67"/>
      <c r="F2175" s="68"/>
      <c r="G2175" s="68"/>
      <c r="H2175" s="68"/>
      <c r="I2175" s="68"/>
      <c r="J2175" s="68"/>
      <c r="K2175" s="69">
        <v>3000.0</v>
      </c>
      <c r="L2175" s="69">
        <v>30.0</v>
      </c>
      <c r="M2175" s="68">
        <f t="shared" si="1"/>
        <v>125.66</v>
      </c>
    </row>
    <row r="2176">
      <c r="A2176" s="70"/>
      <c r="B2176" s="70"/>
      <c r="C2176" s="70"/>
      <c r="D2176" s="70"/>
      <c r="E2176" s="70"/>
      <c r="F2176" s="66"/>
      <c r="G2176" s="66"/>
      <c r="H2176" s="66"/>
      <c r="I2176" s="66"/>
      <c r="J2176" s="66"/>
      <c r="K2176" s="63">
        <v>3500.0</v>
      </c>
      <c r="L2176" s="63">
        <v>31.58</v>
      </c>
      <c r="M2176" s="66">
        <f t="shared" si="1"/>
        <v>154.33</v>
      </c>
    </row>
    <row r="2177">
      <c r="A2177" s="67"/>
      <c r="B2177" s="67"/>
      <c r="C2177" s="67"/>
      <c r="D2177" s="67"/>
      <c r="E2177" s="67"/>
      <c r="F2177" s="68"/>
      <c r="G2177" s="68"/>
      <c r="H2177" s="68"/>
      <c r="I2177" s="68"/>
      <c r="J2177" s="68"/>
      <c r="K2177" s="69">
        <v>4000.0</v>
      </c>
      <c r="L2177" s="69">
        <v>32.0</v>
      </c>
      <c r="M2177" s="68">
        <f t="shared" si="1"/>
        <v>178.72</v>
      </c>
    </row>
    <row r="2178">
      <c r="A2178" s="70"/>
      <c r="B2178" s="70"/>
      <c r="C2178" s="70"/>
      <c r="D2178" s="70"/>
      <c r="E2178" s="70"/>
      <c r="F2178" s="66"/>
      <c r="G2178" s="66"/>
      <c r="H2178" s="66"/>
      <c r="I2178" s="66"/>
      <c r="J2178" s="66"/>
      <c r="K2178" s="63">
        <v>4500.0</v>
      </c>
      <c r="L2178" s="63">
        <v>30.84</v>
      </c>
      <c r="M2178" s="66">
        <f t="shared" si="1"/>
        <v>193.77</v>
      </c>
    </row>
    <row r="2179">
      <c r="A2179" s="67"/>
      <c r="B2179" s="67"/>
      <c r="C2179" s="67"/>
      <c r="D2179" s="67"/>
      <c r="E2179" s="67"/>
      <c r="F2179" s="68"/>
      <c r="G2179" s="68"/>
      <c r="H2179" s="68"/>
      <c r="I2179" s="68"/>
      <c r="J2179" s="68"/>
      <c r="K2179" s="69">
        <v>5000.0</v>
      </c>
      <c r="L2179" s="69">
        <v>28.97</v>
      </c>
      <c r="M2179" s="68">
        <f t="shared" si="1"/>
        <v>202.25</v>
      </c>
    </row>
    <row r="2180">
      <c r="A2180" s="70"/>
      <c r="B2180" s="70"/>
      <c r="C2180" s="70"/>
      <c r="D2180" s="70"/>
      <c r="E2180" s="70"/>
      <c r="F2180" s="66"/>
      <c r="G2180" s="66"/>
      <c r="H2180" s="66"/>
      <c r="I2180" s="66"/>
      <c r="J2180" s="66"/>
      <c r="K2180" s="63">
        <v>5500.0</v>
      </c>
      <c r="L2180" s="63">
        <v>27.0</v>
      </c>
      <c r="M2180" s="66">
        <f t="shared" si="1"/>
        <v>207.34</v>
      </c>
    </row>
    <row r="2181">
      <c r="A2181" s="67"/>
      <c r="B2181" s="67"/>
      <c r="C2181" s="67"/>
      <c r="D2181" s="67"/>
      <c r="E2181" s="67"/>
      <c r="F2181" s="68"/>
      <c r="G2181" s="68"/>
      <c r="H2181" s="68"/>
      <c r="I2181" s="68"/>
      <c r="J2181" s="68"/>
      <c r="K2181" s="69">
        <v>5750.0</v>
      </c>
      <c r="L2181" s="69">
        <v>25.8</v>
      </c>
      <c r="M2181" s="68">
        <f t="shared" si="1"/>
        <v>207.13</v>
      </c>
    </row>
    <row r="2182">
      <c r="A2182" s="70"/>
      <c r="B2182" s="70"/>
      <c r="C2182" s="70"/>
      <c r="D2182" s="70"/>
      <c r="E2182" s="70"/>
      <c r="F2182" s="66"/>
      <c r="G2182" s="66"/>
      <c r="H2182" s="66"/>
      <c r="I2182" s="66"/>
      <c r="J2182" s="66"/>
      <c r="K2182" s="63">
        <v>6200.0</v>
      </c>
      <c r="L2182" s="63">
        <v>23.7</v>
      </c>
      <c r="M2182" s="66">
        <f t="shared" si="1"/>
        <v>205.17</v>
      </c>
    </row>
    <row r="2183">
      <c r="A2183" s="67"/>
      <c r="B2183" s="67"/>
      <c r="C2183" s="67"/>
      <c r="D2183" s="67"/>
      <c r="E2183" s="67"/>
      <c r="F2183" s="68"/>
      <c r="G2183" s="68"/>
      <c r="H2183" s="68"/>
      <c r="I2183" s="68"/>
      <c r="J2183" s="68"/>
      <c r="K2183" s="69">
        <v>6800.0</v>
      </c>
      <c r="L2183" s="69">
        <v>20.3</v>
      </c>
      <c r="M2183" s="68">
        <f t="shared" si="1"/>
        <v>192.74</v>
      </c>
    </row>
    <row r="2184">
      <c r="A2184" s="70"/>
      <c r="B2184" s="70"/>
      <c r="C2184" s="70"/>
      <c r="D2184" s="70"/>
      <c r="E2184" s="70"/>
      <c r="F2184" s="66"/>
      <c r="G2184" s="66"/>
      <c r="H2184" s="66"/>
      <c r="I2184" s="66"/>
      <c r="J2184" s="66"/>
      <c r="K2184" s="63">
        <v>7500.0</v>
      </c>
      <c r="L2184" s="63">
        <v>16.0</v>
      </c>
      <c r="M2184" s="66">
        <f t="shared" si="1"/>
        <v>167.55</v>
      </c>
    </row>
    <row r="2185">
      <c r="A2185" s="68">
        <v>146.0</v>
      </c>
      <c r="B2185" s="68">
        <v>231.0</v>
      </c>
      <c r="C2185" s="71" t="s">
        <v>486</v>
      </c>
      <c r="D2185" s="71" t="s">
        <v>487</v>
      </c>
      <c r="E2185" s="71" t="s">
        <v>488</v>
      </c>
      <c r="F2185" s="72">
        <v>6500.0</v>
      </c>
      <c r="G2185" s="72">
        <v>6600.0</v>
      </c>
      <c r="H2185" s="72">
        <v>700.0</v>
      </c>
      <c r="I2185" s="72">
        <v>4000.0</v>
      </c>
      <c r="J2185" s="72">
        <v>6000.0</v>
      </c>
      <c r="K2185" s="69">
        <v>500.0</v>
      </c>
      <c r="L2185" s="69">
        <v>9.05</v>
      </c>
      <c r="M2185" s="68">
        <f t="shared" si="1"/>
        <v>6.32</v>
      </c>
    </row>
    <row r="2186">
      <c r="A2186" s="73"/>
      <c r="B2186" s="73"/>
      <c r="C2186" s="73"/>
      <c r="D2186" s="73"/>
      <c r="E2186" s="73"/>
      <c r="F2186" s="66"/>
      <c r="G2186" s="66"/>
      <c r="H2186" s="66"/>
      <c r="I2186" s="66"/>
      <c r="J2186" s="66"/>
      <c r="K2186" s="63">
        <v>1000.0</v>
      </c>
      <c r="L2186" s="63">
        <v>9.7</v>
      </c>
      <c r="M2186" s="66">
        <f t="shared" si="1"/>
        <v>13.54</v>
      </c>
    </row>
    <row r="2187">
      <c r="A2187" s="67"/>
      <c r="B2187" s="67"/>
      <c r="C2187" s="67"/>
      <c r="D2187" s="67"/>
      <c r="E2187" s="67"/>
      <c r="F2187" s="68"/>
      <c r="G2187" s="68"/>
      <c r="H2187" s="68"/>
      <c r="I2187" s="68"/>
      <c r="J2187" s="68"/>
      <c r="K2187" s="69">
        <v>1500.0</v>
      </c>
      <c r="L2187" s="69">
        <v>10.45</v>
      </c>
      <c r="M2187" s="68">
        <f t="shared" si="1"/>
        <v>21.89</v>
      </c>
    </row>
    <row r="2188">
      <c r="A2188" s="70"/>
      <c r="B2188" s="70"/>
      <c r="C2188" s="70"/>
      <c r="D2188" s="70"/>
      <c r="E2188" s="70"/>
      <c r="F2188" s="66"/>
      <c r="G2188" s="66"/>
      <c r="H2188" s="66"/>
      <c r="I2188" s="66"/>
      <c r="J2188" s="66"/>
      <c r="K2188" s="63">
        <v>2000.0</v>
      </c>
      <c r="L2188" s="63">
        <v>11.35</v>
      </c>
      <c r="M2188" s="66">
        <f t="shared" si="1"/>
        <v>31.7</v>
      </c>
    </row>
    <row r="2189">
      <c r="A2189" s="67"/>
      <c r="B2189" s="67"/>
      <c r="C2189" s="67"/>
      <c r="D2189" s="67"/>
      <c r="E2189" s="67"/>
      <c r="F2189" s="68"/>
      <c r="G2189" s="68"/>
      <c r="H2189" s="68"/>
      <c r="I2189" s="68"/>
      <c r="J2189" s="68"/>
      <c r="K2189" s="69">
        <v>2500.0</v>
      </c>
      <c r="L2189" s="69">
        <v>12.2</v>
      </c>
      <c r="M2189" s="68">
        <f t="shared" si="1"/>
        <v>42.59</v>
      </c>
    </row>
    <row r="2190">
      <c r="A2190" s="70"/>
      <c r="B2190" s="70"/>
      <c r="C2190" s="70"/>
      <c r="D2190" s="70"/>
      <c r="E2190" s="70"/>
      <c r="F2190" s="66"/>
      <c r="G2190" s="66"/>
      <c r="H2190" s="66"/>
      <c r="I2190" s="66"/>
      <c r="J2190" s="66"/>
      <c r="K2190" s="63">
        <v>3000.0</v>
      </c>
      <c r="L2190" s="63">
        <v>12.65</v>
      </c>
      <c r="M2190" s="66">
        <f t="shared" si="1"/>
        <v>52.99</v>
      </c>
    </row>
    <row r="2191">
      <c r="A2191" s="67"/>
      <c r="B2191" s="67"/>
      <c r="C2191" s="67"/>
      <c r="D2191" s="67"/>
      <c r="E2191" s="67"/>
      <c r="F2191" s="68"/>
      <c r="G2191" s="68"/>
      <c r="H2191" s="68"/>
      <c r="I2191" s="68"/>
      <c r="J2191" s="68"/>
      <c r="K2191" s="69">
        <v>3500.0</v>
      </c>
      <c r="L2191" s="69">
        <v>12.9</v>
      </c>
      <c r="M2191" s="68">
        <f t="shared" si="1"/>
        <v>63.04</v>
      </c>
    </row>
    <row r="2192">
      <c r="A2192" s="70"/>
      <c r="B2192" s="70"/>
      <c r="C2192" s="70"/>
      <c r="D2192" s="70"/>
      <c r="E2192" s="70"/>
      <c r="F2192" s="66"/>
      <c r="G2192" s="66"/>
      <c r="H2192" s="66"/>
      <c r="I2192" s="66"/>
      <c r="J2192" s="66"/>
      <c r="K2192" s="63">
        <v>4000.0</v>
      </c>
      <c r="L2192" s="63">
        <v>13.0</v>
      </c>
      <c r="M2192" s="66">
        <f t="shared" si="1"/>
        <v>72.61</v>
      </c>
    </row>
    <row r="2193">
      <c r="A2193" s="67"/>
      <c r="B2193" s="67"/>
      <c r="C2193" s="67"/>
      <c r="D2193" s="67"/>
      <c r="E2193" s="67"/>
      <c r="F2193" s="68"/>
      <c r="G2193" s="68"/>
      <c r="H2193" s="68"/>
      <c r="I2193" s="68"/>
      <c r="J2193" s="68"/>
      <c r="K2193" s="69">
        <v>4500.0</v>
      </c>
      <c r="L2193" s="69">
        <v>12.95</v>
      </c>
      <c r="M2193" s="68">
        <f t="shared" si="1"/>
        <v>81.37</v>
      </c>
    </row>
    <row r="2194">
      <c r="A2194" s="70"/>
      <c r="B2194" s="70"/>
      <c r="C2194" s="70"/>
      <c r="D2194" s="70"/>
      <c r="E2194" s="70"/>
      <c r="F2194" s="66"/>
      <c r="G2194" s="66"/>
      <c r="H2194" s="66"/>
      <c r="I2194" s="66"/>
      <c r="J2194" s="66"/>
      <c r="K2194" s="63">
        <v>5000.0</v>
      </c>
      <c r="L2194" s="63">
        <v>12.65</v>
      </c>
      <c r="M2194" s="66">
        <f t="shared" si="1"/>
        <v>88.31</v>
      </c>
    </row>
    <row r="2195">
      <c r="A2195" s="67"/>
      <c r="B2195" s="67"/>
      <c r="C2195" s="67"/>
      <c r="D2195" s="67"/>
      <c r="E2195" s="67"/>
      <c r="F2195" s="68"/>
      <c r="G2195" s="68"/>
      <c r="H2195" s="68"/>
      <c r="I2195" s="68"/>
      <c r="J2195" s="68"/>
      <c r="K2195" s="69">
        <v>5500.0</v>
      </c>
      <c r="L2195" s="69">
        <v>12.05</v>
      </c>
      <c r="M2195" s="68">
        <f t="shared" si="1"/>
        <v>92.54</v>
      </c>
    </row>
    <row r="2196">
      <c r="A2196" s="70"/>
      <c r="B2196" s="70"/>
      <c r="C2196" s="70"/>
      <c r="D2196" s="70"/>
      <c r="E2196" s="70"/>
      <c r="F2196" s="66"/>
      <c r="G2196" s="66"/>
      <c r="H2196" s="66"/>
      <c r="I2196" s="66"/>
      <c r="J2196" s="66"/>
      <c r="K2196" s="63">
        <v>6000.0</v>
      </c>
      <c r="L2196" s="63">
        <v>11.2</v>
      </c>
      <c r="M2196" s="66">
        <f t="shared" si="1"/>
        <v>93.83</v>
      </c>
    </row>
    <row r="2197">
      <c r="A2197" s="67"/>
      <c r="B2197" s="67"/>
      <c r="C2197" s="67"/>
      <c r="D2197" s="67"/>
      <c r="E2197" s="67"/>
      <c r="F2197" s="68"/>
      <c r="G2197" s="68"/>
      <c r="H2197" s="68"/>
      <c r="I2197" s="68"/>
      <c r="J2197" s="68"/>
      <c r="K2197" s="69">
        <v>6500.0</v>
      </c>
      <c r="L2197" s="69">
        <v>10.15</v>
      </c>
      <c r="M2197" s="68">
        <f t="shared" si="1"/>
        <v>92.12</v>
      </c>
    </row>
    <row r="2198">
      <c r="A2198" s="70"/>
      <c r="B2198" s="70"/>
      <c r="C2198" s="70"/>
      <c r="D2198" s="70"/>
      <c r="E2198" s="70"/>
      <c r="F2198" s="66"/>
      <c r="G2198" s="66"/>
      <c r="H2198" s="66"/>
      <c r="I2198" s="66"/>
      <c r="J2198" s="66"/>
      <c r="K2198" s="63">
        <v>7000.0</v>
      </c>
      <c r="L2198" s="63">
        <v>8.85</v>
      </c>
      <c r="M2198" s="66">
        <f t="shared" si="1"/>
        <v>86.5</v>
      </c>
    </row>
    <row r="2199">
      <c r="A2199" s="68">
        <v>147.0</v>
      </c>
      <c r="B2199" s="68">
        <v>232.0</v>
      </c>
      <c r="C2199" s="71" t="s">
        <v>489</v>
      </c>
      <c r="D2199" s="71" t="s">
        <v>490</v>
      </c>
      <c r="E2199" s="71" t="s">
        <v>491</v>
      </c>
      <c r="F2199" s="72">
        <v>5700.0</v>
      </c>
      <c r="G2199" s="72">
        <v>5700.0</v>
      </c>
      <c r="H2199" s="72">
        <v>600.0</v>
      </c>
      <c r="I2199" s="72">
        <v>3600.0</v>
      </c>
      <c r="J2199" s="72">
        <v>4000.0</v>
      </c>
      <c r="K2199" s="69">
        <v>500.0</v>
      </c>
      <c r="L2199" s="69">
        <v>38.85</v>
      </c>
      <c r="M2199" s="68">
        <f t="shared" si="1"/>
        <v>27.12</v>
      </c>
    </row>
    <row r="2200">
      <c r="A2200" s="70"/>
      <c r="B2200" s="70"/>
      <c r="C2200" s="70"/>
      <c r="D2200" s="70"/>
      <c r="E2200" s="70"/>
      <c r="F2200" s="66"/>
      <c r="G2200" s="66"/>
      <c r="H2200" s="66"/>
      <c r="I2200" s="66"/>
      <c r="J2200" s="66"/>
      <c r="K2200" s="63">
        <v>1000.0</v>
      </c>
      <c r="L2200" s="63">
        <v>44.1</v>
      </c>
      <c r="M2200" s="66">
        <f t="shared" si="1"/>
        <v>61.57</v>
      </c>
    </row>
    <row r="2201">
      <c r="A2201" s="67"/>
      <c r="B2201" s="67"/>
      <c r="C2201" s="67"/>
      <c r="D2201" s="67"/>
      <c r="E2201" s="67"/>
      <c r="F2201" s="68"/>
      <c r="G2201" s="68"/>
      <c r="H2201" s="68"/>
      <c r="I2201" s="68"/>
      <c r="J2201" s="68"/>
      <c r="K2201" s="69">
        <v>1500.0</v>
      </c>
      <c r="L2201" s="69">
        <v>48.15</v>
      </c>
      <c r="M2201" s="68">
        <f t="shared" si="1"/>
        <v>100.84</v>
      </c>
    </row>
    <row r="2202">
      <c r="A2202" s="70"/>
      <c r="B2202" s="70"/>
      <c r="C2202" s="70"/>
      <c r="D2202" s="70"/>
      <c r="E2202" s="70"/>
      <c r="F2202" s="66"/>
      <c r="G2202" s="66"/>
      <c r="H2202" s="66"/>
      <c r="I2202" s="66"/>
      <c r="J2202" s="66"/>
      <c r="K2202" s="63">
        <v>2000.0</v>
      </c>
      <c r="L2202" s="63">
        <v>51.3</v>
      </c>
      <c r="M2202" s="66">
        <f t="shared" si="1"/>
        <v>143.26</v>
      </c>
    </row>
    <row r="2203">
      <c r="A2203" s="67"/>
      <c r="B2203" s="67"/>
      <c r="C2203" s="67"/>
      <c r="D2203" s="67"/>
      <c r="E2203" s="67"/>
      <c r="F2203" s="68"/>
      <c r="G2203" s="68"/>
      <c r="H2203" s="68"/>
      <c r="I2203" s="68"/>
      <c r="J2203" s="68"/>
      <c r="K2203" s="69">
        <v>2500.0</v>
      </c>
      <c r="L2203" s="69">
        <v>53.25</v>
      </c>
      <c r="M2203" s="68">
        <f t="shared" si="1"/>
        <v>185.88</v>
      </c>
    </row>
    <row r="2204">
      <c r="A2204" s="70"/>
      <c r="B2204" s="70"/>
      <c r="C2204" s="70"/>
      <c r="D2204" s="70"/>
      <c r="E2204" s="70"/>
      <c r="F2204" s="66"/>
      <c r="G2204" s="66"/>
      <c r="H2204" s="66"/>
      <c r="I2204" s="66"/>
      <c r="J2204" s="66"/>
      <c r="K2204" s="63">
        <v>3000.0</v>
      </c>
      <c r="L2204" s="63">
        <v>54.6</v>
      </c>
      <c r="M2204" s="66">
        <f t="shared" si="1"/>
        <v>228.71</v>
      </c>
    </row>
    <row r="2205">
      <c r="A2205" s="67"/>
      <c r="B2205" s="67"/>
      <c r="C2205" s="67"/>
      <c r="D2205" s="67"/>
      <c r="E2205" s="67"/>
      <c r="F2205" s="68"/>
      <c r="G2205" s="68"/>
      <c r="H2205" s="68"/>
      <c r="I2205" s="68"/>
      <c r="J2205" s="68"/>
      <c r="K2205" s="69">
        <v>3600.0</v>
      </c>
      <c r="L2205" s="69">
        <v>55.0</v>
      </c>
      <c r="M2205" s="68">
        <f t="shared" si="1"/>
        <v>276.46</v>
      </c>
    </row>
    <row r="2206">
      <c r="A2206" s="70"/>
      <c r="B2206" s="70"/>
      <c r="C2206" s="70"/>
      <c r="D2206" s="70"/>
      <c r="E2206" s="70"/>
      <c r="F2206" s="66"/>
      <c r="G2206" s="66"/>
      <c r="H2206" s="66"/>
      <c r="I2206" s="66"/>
      <c r="J2206" s="66"/>
      <c r="K2206" s="63">
        <v>4000.0</v>
      </c>
      <c r="L2206" s="63">
        <v>54.55</v>
      </c>
      <c r="M2206" s="66">
        <f t="shared" si="1"/>
        <v>304.66</v>
      </c>
    </row>
    <row r="2207">
      <c r="A2207" s="67"/>
      <c r="B2207" s="67"/>
      <c r="C2207" s="67"/>
      <c r="D2207" s="67"/>
      <c r="E2207" s="67"/>
      <c r="F2207" s="68"/>
      <c r="G2207" s="68"/>
      <c r="H2207" s="68"/>
      <c r="I2207" s="68"/>
      <c r="J2207" s="68"/>
      <c r="K2207" s="69">
        <v>4500.0</v>
      </c>
      <c r="L2207" s="69">
        <v>48.0</v>
      </c>
      <c r="M2207" s="68">
        <f t="shared" si="1"/>
        <v>301.59</v>
      </c>
    </row>
    <row r="2208">
      <c r="A2208" s="70"/>
      <c r="B2208" s="70"/>
      <c r="C2208" s="70"/>
      <c r="D2208" s="70"/>
      <c r="E2208" s="70"/>
      <c r="F2208" s="66"/>
      <c r="G2208" s="66"/>
      <c r="H2208" s="66"/>
      <c r="I2208" s="66"/>
      <c r="J2208" s="66"/>
      <c r="K2208" s="63">
        <v>5000.0</v>
      </c>
      <c r="L2208" s="63">
        <v>41.1</v>
      </c>
      <c r="M2208" s="66">
        <f t="shared" si="1"/>
        <v>286.93</v>
      </c>
    </row>
    <row r="2209">
      <c r="A2209" s="67"/>
      <c r="B2209" s="67"/>
      <c r="C2209" s="67"/>
      <c r="D2209" s="67"/>
      <c r="E2209" s="67"/>
      <c r="F2209" s="68"/>
      <c r="G2209" s="68"/>
      <c r="H2209" s="68"/>
      <c r="I2209" s="68"/>
      <c r="J2209" s="68"/>
      <c r="K2209" s="69">
        <v>5500.0</v>
      </c>
      <c r="L2209" s="69">
        <v>34.35</v>
      </c>
      <c r="M2209" s="68">
        <f t="shared" si="1"/>
        <v>263.79</v>
      </c>
    </row>
    <row r="2210">
      <c r="A2210" s="73"/>
      <c r="B2210" s="73"/>
      <c r="C2210" s="73"/>
      <c r="D2210" s="73"/>
      <c r="E2210" s="73"/>
      <c r="F2210" s="66"/>
      <c r="G2210" s="66"/>
      <c r="H2210" s="66"/>
      <c r="I2210" s="66"/>
      <c r="J2210" s="66"/>
      <c r="K2210" s="63">
        <v>6000.0</v>
      </c>
      <c r="L2210" s="63">
        <v>26.25</v>
      </c>
      <c r="M2210" s="66">
        <f t="shared" si="1"/>
        <v>219.91</v>
      </c>
    </row>
    <row r="2211">
      <c r="A2211" s="68">
        <v>148.0</v>
      </c>
      <c r="B2211" s="68">
        <v>233.0</v>
      </c>
      <c r="C2211" s="71" t="s">
        <v>492</v>
      </c>
      <c r="D2211" s="71" t="s">
        <v>493</v>
      </c>
      <c r="E2211" s="71" t="s">
        <v>494</v>
      </c>
      <c r="F2211" s="72">
        <v>6400.0</v>
      </c>
      <c r="G2211" s="72">
        <v>6400.0</v>
      </c>
      <c r="H2211" s="72">
        <v>700.0</v>
      </c>
      <c r="I2211" s="72">
        <v>3200.0</v>
      </c>
      <c r="J2211" s="72">
        <v>5600.0</v>
      </c>
      <c r="K2211" s="69">
        <v>500.0</v>
      </c>
      <c r="L2211" s="69">
        <v>7.43</v>
      </c>
      <c r="M2211" s="68">
        <f t="shared" si="1"/>
        <v>5.19</v>
      </c>
    </row>
    <row r="2212">
      <c r="A2212" s="70"/>
      <c r="B2212" s="70"/>
      <c r="C2212" s="70"/>
      <c r="D2212" s="70"/>
      <c r="E2212" s="70"/>
      <c r="F2212" s="66"/>
      <c r="G2212" s="66"/>
      <c r="H2212" s="66"/>
      <c r="I2212" s="66"/>
      <c r="J2212" s="66"/>
      <c r="K2212" s="63">
        <v>1000.0</v>
      </c>
      <c r="L2212" s="63">
        <v>8.67</v>
      </c>
      <c r="M2212" s="66">
        <f t="shared" si="1"/>
        <v>12.11</v>
      </c>
    </row>
    <row r="2213">
      <c r="A2213" s="67"/>
      <c r="B2213" s="67"/>
      <c r="C2213" s="67"/>
      <c r="D2213" s="67"/>
      <c r="E2213" s="67"/>
      <c r="F2213" s="68"/>
      <c r="G2213" s="68"/>
      <c r="H2213" s="68"/>
      <c r="I2213" s="68"/>
      <c r="J2213" s="68"/>
      <c r="K2213" s="69">
        <v>1500.0</v>
      </c>
      <c r="L2213" s="69">
        <v>10.25</v>
      </c>
      <c r="M2213" s="68">
        <f t="shared" si="1"/>
        <v>21.47</v>
      </c>
    </row>
    <row r="2214">
      <c r="A2214" s="70"/>
      <c r="B2214" s="70"/>
      <c r="C2214" s="70"/>
      <c r="D2214" s="70"/>
      <c r="E2214" s="70"/>
      <c r="F2214" s="66"/>
      <c r="G2214" s="66"/>
      <c r="H2214" s="66"/>
      <c r="I2214" s="66"/>
      <c r="J2214" s="66"/>
      <c r="K2214" s="63">
        <v>2000.0</v>
      </c>
      <c r="L2214" s="63">
        <v>11.67</v>
      </c>
      <c r="M2214" s="66">
        <f t="shared" si="1"/>
        <v>32.59</v>
      </c>
    </row>
    <row r="2215">
      <c r="A2215" s="67"/>
      <c r="B2215" s="67"/>
      <c r="C2215" s="67"/>
      <c r="D2215" s="67"/>
      <c r="E2215" s="67"/>
      <c r="F2215" s="68"/>
      <c r="G2215" s="68"/>
      <c r="H2215" s="68"/>
      <c r="I2215" s="68"/>
      <c r="J2215" s="68"/>
      <c r="K2215" s="69">
        <v>2500.0</v>
      </c>
      <c r="L2215" s="69">
        <v>13.08</v>
      </c>
      <c r="M2215" s="68">
        <f t="shared" si="1"/>
        <v>45.66</v>
      </c>
    </row>
    <row r="2216">
      <c r="A2216" s="70"/>
      <c r="B2216" s="70"/>
      <c r="C2216" s="70"/>
      <c r="D2216" s="70"/>
      <c r="E2216" s="70"/>
      <c r="F2216" s="66"/>
      <c r="G2216" s="66"/>
      <c r="H2216" s="66"/>
      <c r="I2216" s="66"/>
      <c r="J2216" s="66"/>
      <c r="K2216" s="63">
        <v>3000.0</v>
      </c>
      <c r="L2216" s="63">
        <v>13.97</v>
      </c>
      <c r="M2216" s="66">
        <f t="shared" si="1"/>
        <v>58.52</v>
      </c>
    </row>
    <row r="2217">
      <c r="A2217" s="67"/>
      <c r="B2217" s="67"/>
      <c r="C2217" s="67"/>
      <c r="D2217" s="67"/>
      <c r="E2217" s="67"/>
      <c r="F2217" s="68"/>
      <c r="G2217" s="68"/>
      <c r="H2217" s="68"/>
      <c r="I2217" s="68"/>
      <c r="J2217" s="68"/>
      <c r="K2217" s="69">
        <v>3500.0</v>
      </c>
      <c r="L2217" s="69">
        <v>13.82</v>
      </c>
      <c r="M2217" s="68">
        <f t="shared" si="1"/>
        <v>67.54</v>
      </c>
    </row>
    <row r="2218">
      <c r="A2218" s="70"/>
      <c r="B2218" s="70"/>
      <c r="C2218" s="70"/>
      <c r="D2218" s="70"/>
      <c r="E2218" s="70"/>
      <c r="F2218" s="66"/>
      <c r="G2218" s="66"/>
      <c r="H2218" s="66"/>
      <c r="I2218" s="66"/>
      <c r="J2218" s="66"/>
      <c r="K2218" s="63">
        <v>4000.0</v>
      </c>
      <c r="L2218" s="63">
        <v>13.66</v>
      </c>
      <c r="M2218" s="66">
        <f t="shared" si="1"/>
        <v>76.29</v>
      </c>
    </row>
    <row r="2219">
      <c r="A2219" s="67"/>
      <c r="B2219" s="67"/>
      <c r="C2219" s="67"/>
      <c r="D2219" s="67"/>
      <c r="E2219" s="67"/>
      <c r="F2219" s="68"/>
      <c r="G2219" s="68"/>
      <c r="H2219" s="68"/>
      <c r="I2219" s="68"/>
      <c r="J2219" s="68"/>
      <c r="K2219" s="69">
        <v>4500.0</v>
      </c>
      <c r="L2219" s="69">
        <v>13.46</v>
      </c>
      <c r="M2219" s="68">
        <f t="shared" si="1"/>
        <v>84.57</v>
      </c>
    </row>
    <row r="2220">
      <c r="A2220" s="70"/>
      <c r="B2220" s="70"/>
      <c r="C2220" s="70"/>
      <c r="D2220" s="70"/>
      <c r="E2220" s="70"/>
      <c r="F2220" s="66"/>
      <c r="G2220" s="66"/>
      <c r="H2220" s="66"/>
      <c r="I2220" s="66"/>
      <c r="J2220" s="66"/>
      <c r="K2220" s="63">
        <v>5000.0</v>
      </c>
      <c r="L2220" s="63">
        <v>13.26</v>
      </c>
      <c r="M2220" s="66">
        <f t="shared" si="1"/>
        <v>92.57</v>
      </c>
    </row>
    <row r="2221">
      <c r="A2221" s="67"/>
      <c r="B2221" s="67"/>
      <c r="C2221" s="67"/>
      <c r="D2221" s="67"/>
      <c r="E2221" s="67"/>
      <c r="F2221" s="68"/>
      <c r="G2221" s="68"/>
      <c r="H2221" s="68"/>
      <c r="I2221" s="68"/>
      <c r="J2221" s="68"/>
      <c r="K2221" s="69">
        <v>5500.0</v>
      </c>
      <c r="L2221" s="69">
        <v>12.44</v>
      </c>
      <c r="M2221" s="68">
        <f t="shared" si="1"/>
        <v>95.53</v>
      </c>
    </row>
    <row r="2222">
      <c r="A2222" s="70"/>
      <c r="B2222" s="70"/>
      <c r="C2222" s="70"/>
      <c r="D2222" s="70"/>
      <c r="E2222" s="70"/>
      <c r="F2222" s="66"/>
      <c r="G2222" s="66"/>
      <c r="H2222" s="66"/>
      <c r="I2222" s="66"/>
      <c r="J2222" s="66"/>
      <c r="K2222" s="63">
        <v>6000.0</v>
      </c>
      <c r="L2222" s="63">
        <v>11.59</v>
      </c>
      <c r="M2222" s="66">
        <f t="shared" si="1"/>
        <v>97.1</v>
      </c>
    </row>
    <row r="2223">
      <c r="A2223" s="67"/>
      <c r="B2223" s="67"/>
      <c r="C2223" s="67"/>
      <c r="D2223" s="67"/>
      <c r="E2223" s="67"/>
      <c r="F2223" s="68"/>
      <c r="G2223" s="68"/>
      <c r="H2223" s="68"/>
      <c r="I2223" s="68"/>
      <c r="J2223" s="68"/>
      <c r="K2223" s="69">
        <v>6500.0</v>
      </c>
      <c r="L2223" s="69">
        <v>10.55</v>
      </c>
      <c r="M2223" s="68">
        <f t="shared" si="1"/>
        <v>95.75</v>
      </c>
    </row>
    <row r="2224">
      <c r="A2224" s="70"/>
      <c r="B2224" s="70"/>
      <c r="C2224" s="70"/>
      <c r="D2224" s="70"/>
      <c r="E2224" s="70"/>
      <c r="F2224" s="66"/>
      <c r="G2224" s="66"/>
      <c r="H2224" s="66"/>
      <c r="I2224" s="66"/>
      <c r="J2224" s="66"/>
      <c r="K2224" s="63">
        <v>7000.0</v>
      </c>
      <c r="L2224" s="63">
        <v>9.15</v>
      </c>
      <c r="M2224" s="66">
        <f t="shared" si="1"/>
        <v>89.43</v>
      </c>
    </row>
    <row r="2225">
      <c r="A2225" s="68">
        <v>149.0</v>
      </c>
      <c r="B2225" s="68">
        <v>236.0</v>
      </c>
      <c r="C2225" s="71" t="s">
        <v>495</v>
      </c>
      <c r="D2225" s="71" t="s">
        <v>496</v>
      </c>
      <c r="E2225" s="71" t="s">
        <v>497</v>
      </c>
      <c r="F2225" s="72">
        <v>8400.0</v>
      </c>
      <c r="G2225" s="72">
        <v>8500.0</v>
      </c>
      <c r="H2225" s="72">
        <v>700.0</v>
      </c>
      <c r="I2225" s="72">
        <v>6000.0</v>
      </c>
      <c r="J2225" s="72">
        <v>8000.0</v>
      </c>
      <c r="K2225" s="69">
        <v>500.0</v>
      </c>
      <c r="L2225" s="69">
        <v>13.45</v>
      </c>
      <c r="M2225" s="68">
        <f t="shared" si="1"/>
        <v>9.39</v>
      </c>
    </row>
    <row r="2226">
      <c r="A2226" s="70"/>
      <c r="B2226" s="70"/>
      <c r="C2226" s="70"/>
      <c r="D2226" s="70"/>
      <c r="E2226" s="70"/>
      <c r="F2226" s="66"/>
      <c r="G2226" s="66"/>
      <c r="H2226" s="66"/>
      <c r="I2226" s="66"/>
      <c r="J2226" s="66"/>
      <c r="K2226" s="63">
        <v>1000.0</v>
      </c>
      <c r="L2226" s="63">
        <v>15.19</v>
      </c>
      <c r="M2226" s="66">
        <f t="shared" si="1"/>
        <v>21.21</v>
      </c>
    </row>
    <row r="2227">
      <c r="A2227" s="67"/>
      <c r="B2227" s="67"/>
      <c r="C2227" s="67"/>
      <c r="D2227" s="67"/>
      <c r="E2227" s="67"/>
      <c r="F2227" s="68"/>
      <c r="G2227" s="68"/>
      <c r="H2227" s="68"/>
      <c r="I2227" s="68"/>
      <c r="J2227" s="68"/>
      <c r="K2227" s="69">
        <v>1500.0</v>
      </c>
      <c r="L2227" s="69">
        <v>16.52</v>
      </c>
      <c r="M2227" s="68">
        <f t="shared" si="1"/>
        <v>34.6</v>
      </c>
    </row>
    <row r="2228">
      <c r="A2228" s="70"/>
      <c r="B2228" s="70"/>
      <c r="C2228" s="70"/>
      <c r="D2228" s="70"/>
      <c r="E2228" s="70"/>
      <c r="F2228" s="66"/>
      <c r="G2228" s="66"/>
      <c r="H2228" s="66"/>
      <c r="I2228" s="66"/>
      <c r="J2228" s="66"/>
      <c r="K2228" s="63">
        <v>2000.0</v>
      </c>
      <c r="L2228" s="63">
        <v>17.85</v>
      </c>
      <c r="M2228" s="66">
        <f t="shared" si="1"/>
        <v>49.85</v>
      </c>
    </row>
    <row r="2229">
      <c r="A2229" s="67"/>
      <c r="B2229" s="67"/>
      <c r="C2229" s="67"/>
      <c r="D2229" s="67"/>
      <c r="E2229" s="67"/>
      <c r="F2229" s="68"/>
      <c r="G2229" s="68"/>
      <c r="H2229" s="68"/>
      <c r="I2229" s="68"/>
      <c r="J2229" s="68"/>
      <c r="K2229" s="69">
        <v>2500.0</v>
      </c>
      <c r="L2229" s="69">
        <v>18.61</v>
      </c>
      <c r="M2229" s="68">
        <f t="shared" si="1"/>
        <v>64.96</v>
      </c>
    </row>
    <row r="2230">
      <c r="A2230" s="70"/>
      <c r="B2230" s="70"/>
      <c r="C2230" s="70"/>
      <c r="D2230" s="70"/>
      <c r="E2230" s="70"/>
      <c r="F2230" s="66"/>
      <c r="G2230" s="66"/>
      <c r="H2230" s="66"/>
      <c r="I2230" s="66"/>
      <c r="J2230" s="66"/>
      <c r="K2230" s="63">
        <v>3000.0</v>
      </c>
      <c r="L2230" s="63">
        <v>19.37</v>
      </c>
      <c r="M2230" s="66">
        <f t="shared" si="1"/>
        <v>81.14</v>
      </c>
    </row>
    <row r="2231">
      <c r="A2231" s="67"/>
      <c r="B2231" s="67"/>
      <c r="C2231" s="67"/>
      <c r="D2231" s="67"/>
      <c r="E2231" s="67"/>
      <c r="F2231" s="68"/>
      <c r="G2231" s="68"/>
      <c r="H2231" s="68"/>
      <c r="I2231" s="68"/>
      <c r="J2231" s="68"/>
      <c r="K2231" s="69">
        <v>3500.0</v>
      </c>
      <c r="L2231" s="69">
        <v>19.32</v>
      </c>
      <c r="M2231" s="68">
        <f t="shared" si="1"/>
        <v>94.41</v>
      </c>
    </row>
    <row r="2232">
      <c r="A2232" s="70"/>
      <c r="B2232" s="70"/>
      <c r="C2232" s="70"/>
      <c r="D2232" s="70"/>
      <c r="E2232" s="70"/>
      <c r="F2232" s="66"/>
      <c r="G2232" s="66"/>
      <c r="H2232" s="66"/>
      <c r="I2232" s="66"/>
      <c r="J2232" s="66"/>
      <c r="K2232" s="63">
        <v>4000.0</v>
      </c>
      <c r="L2232" s="63">
        <v>19.37</v>
      </c>
      <c r="M2232" s="66">
        <f t="shared" si="1"/>
        <v>108.18</v>
      </c>
    </row>
    <row r="2233">
      <c r="A2233" s="67"/>
      <c r="B2233" s="67"/>
      <c r="C2233" s="67"/>
      <c r="D2233" s="67"/>
      <c r="E2233" s="67"/>
      <c r="F2233" s="68"/>
      <c r="G2233" s="68"/>
      <c r="H2233" s="68"/>
      <c r="I2233" s="68"/>
      <c r="J2233" s="68"/>
      <c r="K2233" s="69">
        <v>4500.0</v>
      </c>
      <c r="L2233" s="69">
        <v>19.58</v>
      </c>
      <c r="M2233" s="68">
        <f t="shared" si="1"/>
        <v>123.02</v>
      </c>
    </row>
    <row r="2234">
      <c r="A2234" s="73"/>
      <c r="B2234" s="73"/>
      <c r="C2234" s="73"/>
      <c r="D2234" s="73"/>
      <c r="E2234" s="73"/>
      <c r="F2234" s="66"/>
      <c r="G2234" s="66"/>
      <c r="H2234" s="66"/>
      <c r="I2234" s="66"/>
      <c r="J2234" s="66"/>
      <c r="K2234" s="63">
        <v>5000.0</v>
      </c>
      <c r="L2234" s="63">
        <v>19.88</v>
      </c>
      <c r="M2234" s="66">
        <f t="shared" si="1"/>
        <v>138.79</v>
      </c>
    </row>
    <row r="2235">
      <c r="A2235" s="67"/>
      <c r="B2235" s="67"/>
      <c r="C2235" s="67"/>
      <c r="D2235" s="67"/>
      <c r="E2235" s="67"/>
      <c r="F2235" s="68"/>
      <c r="G2235" s="68"/>
      <c r="H2235" s="68"/>
      <c r="I2235" s="68"/>
      <c r="J2235" s="68"/>
      <c r="K2235" s="69">
        <v>5500.0</v>
      </c>
      <c r="L2235" s="69">
        <v>20.66</v>
      </c>
      <c r="M2235" s="68">
        <f t="shared" si="1"/>
        <v>158.66</v>
      </c>
    </row>
    <row r="2236">
      <c r="A2236" s="70"/>
      <c r="B2236" s="70"/>
      <c r="C2236" s="70"/>
      <c r="D2236" s="70"/>
      <c r="E2236" s="70"/>
      <c r="F2236" s="66"/>
      <c r="G2236" s="66"/>
      <c r="H2236" s="66"/>
      <c r="I2236" s="66"/>
      <c r="J2236" s="66"/>
      <c r="K2236" s="63">
        <v>6000.0</v>
      </c>
      <c r="L2236" s="63">
        <v>21.01</v>
      </c>
      <c r="M2236" s="66">
        <f t="shared" si="1"/>
        <v>176.01</v>
      </c>
    </row>
    <row r="2237">
      <c r="A2237" s="67"/>
      <c r="B2237" s="67"/>
      <c r="C2237" s="67"/>
      <c r="D2237" s="67"/>
      <c r="E2237" s="67"/>
      <c r="F2237" s="68"/>
      <c r="G2237" s="68"/>
      <c r="H2237" s="68"/>
      <c r="I2237" s="68"/>
      <c r="J2237" s="68"/>
      <c r="K2237" s="69">
        <v>6500.0</v>
      </c>
      <c r="L2237" s="69">
        <v>20.85</v>
      </c>
      <c r="M2237" s="68">
        <f t="shared" si="1"/>
        <v>189.23</v>
      </c>
    </row>
    <row r="2238">
      <c r="A2238" s="70"/>
      <c r="B2238" s="70"/>
      <c r="C2238" s="70"/>
      <c r="D2238" s="70"/>
      <c r="E2238" s="70"/>
      <c r="F2238" s="66"/>
      <c r="G2238" s="66"/>
      <c r="H2238" s="66"/>
      <c r="I2238" s="66"/>
      <c r="J2238" s="66"/>
      <c r="K2238" s="63">
        <v>7000.0</v>
      </c>
      <c r="L2238" s="63">
        <v>20.66</v>
      </c>
      <c r="M2238" s="66">
        <f t="shared" si="1"/>
        <v>201.93</v>
      </c>
    </row>
    <row r="2239">
      <c r="A2239" s="67"/>
      <c r="B2239" s="67"/>
      <c r="C2239" s="67"/>
      <c r="D2239" s="67"/>
      <c r="E2239" s="67"/>
      <c r="F2239" s="68"/>
      <c r="G2239" s="68"/>
      <c r="H2239" s="68"/>
      <c r="I2239" s="68"/>
      <c r="J2239" s="68"/>
      <c r="K2239" s="69">
        <v>7500.0</v>
      </c>
      <c r="L2239" s="69">
        <v>20.39</v>
      </c>
      <c r="M2239" s="68">
        <f t="shared" si="1"/>
        <v>213.52</v>
      </c>
    </row>
    <row r="2240">
      <c r="A2240" s="70"/>
      <c r="B2240" s="70"/>
      <c r="C2240" s="70"/>
      <c r="D2240" s="70"/>
      <c r="E2240" s="70"/>
      <c r="F2240" s="66"/>
      <c r="G2240" s="66"/>
      <c r="H2240" s="66"/>
      <c r="I2240" s="66"/>
      <c r="J2240" s="66"/>
      <c r="K2240" s="63">
        <v>8000.0</v>
      </c>
      <c r="L2240" s="63">
        <v>19.68</v>
      </c>
      <c r="M2240" s="66">
        <f t="shared" si="1"/>
        <v>219.83</v>
      </c>
    </row>
    <row r="2241">
      <c r="A2241" s="67"/>
      <c r="B2241" s="67"/>
      <c r="C2241" s="67"/>
      <c r="D2241" s="67"/>
      <c r="E2241" s="67"/>
      <c r="F2241" s="68"/>
      <c r="G2241" s="68"/>
      <c r="H2241" s="68"/>
      <c r="I2241" s="68"/>
      <c r="J2241" s="68"/>
      <c r="K2241" s="69">
        <v>8500.0</v>
      </c>
      <c r="L2241" s="69">
        <v>18.38</v>
      </c>
      <c r="M2241" s="68">
        <f t="shared" si="1"/>
        <v>218.14</v>
      </c>
    </row>
    <row r="2242">
      <c r="A2242" s="70"/>
      <c r="B2242" s="70"/>
      <c r="C2242" s="70"/>
      <c r="D2242" s="70"/>
      <c r="E2242" s="70"/>
      <c r="F2242" s="66"/>
      <c r="G2242" s="66"/>
      <c r="H2242" s="66"/>
      <c r="I2242" s="66"/>
      <c r="J2242" s="66"/>
      <c r="K2242" s="63">
        <v>9000.0</v>
      </c>
      <c r="L2242" s="63">
        <v>16.13</v>
      </c>
      <c r="M2242" s="66">
        <f t="shared" si="1"/>
        <v>202.69</v>
      </c>
    </row>
    <row r="2243">
      <c r="A2243" s="68">
        <v>150.0</v>
      </c>
      <c r="B2243" s="68">
        <v>237.0</v>
      </c>
      <c r="C2243" s="71" t="s">
        <v>498</v>
      </c>
      <c r="D2243" s="71" t="s">
        <v>499</v>
      </c>
      <c r="E2243" s="71" t="s">
        <v>500</v>
      </c>
      <c r="F2243" s="72">
        <v>7000.0</v>
      </c>
      <c r="G2243" s="72">
        <v>7200.0</v>
      </c>
      <c r="H2243" s="72">
        <v>800.0</v>
      </c>
      <c r="I2243" s="72">
        <v>3000.0</v>
      </c>
      <c r="J2243" s="72">
        <v>6250.0</v>
      </c>
      <c r="K2243" s="69">
        <v>500.0</v>
      </c>
      <c r="L2243" s="69">
        <v>14.45</v>
      </c>
      <c r="M2243" s="68">
        <f t="shared" si="1"/>
        <v>10.09</v>
      </c>
    </row>
    <row r="2244">
      <c r="A2244" s="70"/>
      <c r="B2244" s="70"/>
      <c r="C2244" s="70"/>
      <c r="D2244" s="70"/>
      <c r="E2244" s="70"/>
      <c r="F2244" s="66"/>
      <c r="G2244" s="66"/>
      <c r="H2244" s="66"/>
      <c r="I2244" s="66"/>
      <c r="J2244" s="66"/>
      <c r="K2244" s="63">
        <v>1000.0</v>
      </c>
      <c r="L2244" s="63">
        <v>18.3</v>
      </c>
      <c r="M2244" s="66">
        <f t="shared" si="1"/>
        <v>25.55</v>
      </c>
    </row>
    <row r="2245">
      <c r="A2245" s="67"/>
      <c r="B2245" s="67"/>
      <c r="C2245" s="67"/>
      <c r="D2245" s="67"/>
      <c r="E2245" s="67"/>
      <c r="F2245" s="68"/>
      <c r="G2245" s="68"/>
      <c r="H2245" s="68"/>
      <c r="I2245" s="68"/>
      <c r="J2245" s="68"/>
      <c r="K2245" s="69">
        <v>1500.0</v>
      </c>
      <c r="L2245" s="69">
        <v>21.66</v>
      </c>
      <c r="M2245" s="68">
        <f t="shared" si="1"/>
        <v>45.36</v>
      </c>
    </row>
    <row r="2246">
      <c r="A2246" s="70"/>
      <c r="B2246" s="70"/>
      <c r="C2246" s="70"/>
      <c r="D2246" s="70"/>
      <c r="E2246" s="70"/>
      <c r="F2246" s="66"/>
      <c r="G2246" s="66"/>
      <c r="H2246" s="66"/>
      <c r="I2246" s="66"/>
      <c r="J2246" s="66"/>
      <c r="K2246" s="63">
        <v>2000.0</v>
      </c>
      <c r="L2246" s="63">
        <v>25.88</v>
      </c>
      <c r="M2246" s="66">
        <f t="shared" si="1"/>
        <v>72.27</v>
      </c>
    </row>
    <row r="2247">
      <c r="A2247" s="67"/>
      <c r="B2247" s="67"/>
      <c r="C2247" s="67"/>
      <c r="D2247" s="67"/>
      <c r="E2247" s="67"/>
      <c r="F2247" s="68"/>
      <c r="G2247" s="68"/>
      <c r="H2247" s="68"/>
      <c r="I2247" s="68"/>
      <c r="J2247" s="68"/>
      <c r="K2247" s="69">
        <v>2500.0</v>
      </c>
      <c r="L2247" s="69">
        <v>29.2</v>
      </c>
      <c r="M2247" s="68">
        <f t="shared" si="1"/>
        <v>101.93</v>
      </c>
    </row>
    <row r="2248">
      <c r="A2248" s="70"/>
      <c r="B2248" s="70"/>
      <c r="C2248" s="70"/>
      <c r="D2248" s="70"/>
      <c r="E2248" s="70"/>
      <c r="F2248" s="66"/>
      <c r="G2248" s="66"/>
      <c r="H2248" s="66"/>
      <c r="I2248" s="66"/>
      <c r="J2248" s="66"/>
      <c r="K2248" s="63">
        <v>3000.0</v>
      </c>
      <c r="L2248" s="63">
        <v>31.5</v>
      </c>
      <c r="M2248" s="66">
        <f t="shared" si="1"/>
        <v>131.95</v>
      </c>
    </row>
    <row r="2249">
      <c r="A2249" s="67"/>
      <c r="B2249" s="67"/>
      <c r="C2249" s="67"/>
      <c r="D2249" s="67"/>
      <c r="E2249" s="67"/>
      <c r="F2249" s="68"/>
      <c r="G2249" s="68"/>
      <c r="H2249" s="68"/>
      <c r="I2249" s="68"/>
      <c r="J2249" s="68"/>
      <c r="K2249" s="69">
        <v>3500.0</v>
      </c>
      <c r="L2249" s="69">
        <v>31.5</v>
      </c>
      <c r="M2249" s="68">
        <f t="shared" si="1"/>
        <v>153.94</v>
      </c>
    </row>
    <row r="2250">
      <c r="A2250" s="70"/>
      <c r="B2250" s="70"/>
      <c r="C2250" s="70"/>
      <c r="D2250" s="70"/>
      <c r="E2250" s="70"/>
      <c r="F2250" s="66"/>
      <c r="G2250" s="66"/>
      <c r="H2250" s="66"/>
      <c r="I2250" s="66"/>
      <c r="J2250" s="66"/>
      <c r="K2250" s="63">
        <v>4000.0</v>
      </c>
      <c r="L2250" s="63">
        <v>31.5</v>
      </c>
      <c r="M2250" s="66">
        <f t="shared" si="1"/>
        <v>175.93</v>
      </c>
    </row>
    <row r="2251">
      <c r="A2251" s="67"/>
      <c r="B2251" s="67"/>
      <c r="C2251" s="67"/>
      <c r="D2251" s="67"/>
      <c r="E2251" s="67"/>
      <c r="F2251" s="68"/>
      <c r="G2251" s="68"/>
      <c r="H2251" s="68"/>
      <c r="I2251" s="68"/>
      <c r="J2251" s="68"/>
      <c r="K2251" s="69">
        <v>4500.0</v>
      </c>
      <c r="L2251" s="69">
        <v>31.5</v>
      </c>
      <c r="M2251" s="68">
        <f t="shared" si="1"/>
        <v>197.92</v>
      </c>
    </row>
    <row r="2252">
      <c r="A2252" s="70"/>
      <c r="B2252" s="70"/>
      <c r="C2252" s="70"/>
      <c r="D2252" s="70"/>
      <c r="E2252" s="70"/>
      <c r="F2252" s="66"/>
      <c r="G2252" s="66"/>
      <c r="H2252" s="66"/>
      <c r="I2252" s="66"/>
      <c r="J2252" s="66"/>
      <c r="K2252" s="63">
        <v>5000.0</v>
      </c>
      <c r="L2252" s="63">
        <v>31.5</v>
      </c>
      <c r="M2252" s="66">
        <f t="shared" si="1"/>
        <v>219.91</v>
      </c>
    </row>
    <row r="2253">
      <c r="A2253" s="67"/>
      <c r="B2253" s="67"/>
      <c r="C2253" s="67"/>
      <c r="D2253" s="67"/>
      <c r="E2253" s="67"/>
      <c r="F2253" s="68"/>
      <c r="G2253" s="68"/>
      <c r="H2253" s="68"/>
      <c r="I2253" s="68"/>
      <c r="J2253" s="68"/>
      <c r="K2253" s="69">
        <v>5500.0</v>
      </c>
      <c r="L2253" s="69">
        <v>31.5</v>
      </c>
      <c r="M2253" s="68">
        <f t="shared" si="1"/>
        <v>241.9</v>
      </c>
    </row>
    <row r="2254">
      <c r="A2254" s="70"/>
      <c r="B2254" s="70"/>
      <c r="C2254" s="70"/>
      <c r="D2254" s="70"/>
      <c r="E2254" s="70"/>
      <c r="F2254" s="66"/>
      <c r="G2254" s="66"/>
      <c r="H2254" s="66"/>
      <c r="I2254" s="66"/>
      <c r="J2254" s="66"/>
      <c r="K2254" s="63">
        <v>6000.0</v>
      </c>
      <c r="L2254" s="63">
        <v>31.5</v>
      </c>
      <c r="M2254" s="66">
        <f t="shared" si="1"/>
        <v>263.89</v>
      </c>
    </row>
    <row r="2255">
      <c r="A2255" s="67"/>
      <c r="B2255" s="67"/>
      <c r="C2255" s="67"/>
      <c r="D2255" s="67"/>
      <c r="E2255" s="67"/>
      <c r="F2255" s="68"/>
      <c r="G2255" s="68"/>
      <c r="H2255" s="68"/>
      <c r="I2255" s="68"/>
      <c r="J2255" s="68"/>
      <c r="K2255" s="69">
        <v>6500.0</v>
      </c>
      <c r="L2255" s="69">
        <v>29.7</v>
      </c>
      <c r="M2255" s="68">
        <f t="shared" si="1"/>
        <v>269.55</v>
      </c>
    </row>
    <row r="2256">
      <c r="A2256" s="70"/>
      <c r="B2256" s="70"/>
      <c r="C2256" s="70"/>
      <c r="D2256" s="70"/>
      <c r="E2256" s="70"/>
      <c r="F2256" s="66"/>
      <c r="G2256" s="66"/>
      <c r="H2256" s="66"/>
      <c r="I2256" s="66"/>
      <c r="J2256" s="66"/>
      <c r="K2256" s="63">
        <v>7000.0</v>
      </c>
      <c r="L2256" s="63">
        <v>27.3</v>
      </c>
      <c r="M2256" s="66">
        <f t="shared" si="1"/>
        <v>266.82</v>
      </c>
    </row>
    <row r="2257">
      <c r="A2257" s="67"/>
      <c r="B2257" s="67"/>
      <c r="C2257" s="67"/>
      <c r="D2257" s="67"/>
      <c r="E2257" s="67"/>
      <c r="F2257" s="68"/>
      <c r="G2257" s="68"/>
      <c r="H2257" s="68"/>
      <c r="I2257" s="68"/>
      <c r="J2257" s="68"/>
      <c r="K2257" s="69">
        <v>7500.0</v>
      </c>
      <c r="L2257" s="69">
        <v>24.3</v>
      </c>
      <c r="M2257" s="68">
        <f t="shared" si="1"/>
        <v>254.47</v>
      </c>
    </row>
    <row r="2258">
      <c r="A2258" s="63">
        <v>151.0</v>
      </c>
      <c r="B2258" s="63">
        <v>239.0</v>
      </c>
      <c r="C2258" s="64" t="s">
        <v>501</v>
      </c>
      <c r="D2258" s="64" t="s">
        <v>502</v>
      </c>
      <c r="E2258" s="64" t="s">
        <v>503</v>
      </c>
      <c r="F2258" s="65">
        <v>7000.0</v>
      </c>
      <c r="G2258" s="65">
        <v>7300.0</v>
      </c>
      <c r="H2258" s="65">
        <v>800.0</v>
      </c>
      <c r="I2258" s="65">
        <v>3500.0</v>
      </c>
      <c r="J2258" s="65">
        <v>6500.0</v>
      </c>
      <c r="K2258" s="63">
        <v>500.0</v>
      </c>
      <c r="L2258" s="63">
        <v>18.98</v>
      </c>
      <c r="M2258" s="66">
        <f t="shared" si="1"/>
        <v>13.25</v>
      </c>
    </row>
    <row r="2259">
      <c r="A2259" s="67"/>
      <c r="B2259" s="67"/>
      <c r="C2259" s="67"/>
      <c r="D2259" s="67"/>
      <c r="E2259" s="67"/>
      <c r="F2259" s="68"/>
      <c r="G2259" s="68"/>
      <c r="H2259" s="68"/>
      <c r="I2259" s="68"/>
      <c r="J2259" s="68"/>
      <c r="K2259" s="69">
        <v>1000.0</v>
      </c>
      <c r="L2259" s="69">
        <v>23.9</v>
      </c>
      <c r="M2259" s="68">
        <f t="shared" si="1"/>
        <v>33.37</v>
      </c>
    </row>
    <row r="2260">
      <c r="A2260" s="70"/>
      <c r="B2260" s="70"/>
      <c r="C2260" s="70"/>
      <c r="D2260" s="70"/>
      <c r="E2260" s="70"/>
      <c r="F2260" s="66"/>
      <c r="G2260" s="66"/>
      <c r="H2260" s="66"/>
      <c r="I2260" s="66"/>
      <c r="J2260" s="66"/>
      <c r="K2260" s="63">
        <v>1500.0</v>
      </c>
      <c r="L2260" s="63">
        <v>30.85</v>
      </c>
      <c r="M2260" s="66">
        <f t="shared" si="1"/>
        <v>64.61</v>
      </c>
    </row>
    <row r="2261">
      <c r="A2261" s="67"/>
      <c r="B2261" s="67"/>
      <c r="C2261" s="67"/>
      <c r="D2261" s="67"/>
      <c r="E2261" s="67"/>
      <c r="F2261" s="68"/>
      <c r="G2261" s="68"/>
      <c r="H2261" s="68"/>
      <c r="I2261" s="68"/>
      <c r="J2261" s="68"/>
      <c r="K2261" s="69">
        <v>2000.0</v>
      </c>
      <c r="L2261" s="69">
        <v>36.68</v>
      </c>
      <c r="M2261" s="68">
        <f t="shared" si="1"/>
        <v>102.43</v>
      </c>
    </row>
    <row r="2262">
      <c r="A2262" s="70"/>
      <c r="B2262" s="70"/>
      <c r="C2262" s="70"/>
      <c r="D2262" s="70"/>
      <c r="E2262" s="70"/>
      <c r="F2262" s="66"/>
      <c r="G2262" s="66"/>
      <c r="H2262" s="66"/>
      <c r="I2262" s="66"/>
      <c r="J2262" s="66"/>
      <c r="K2262" s="63">
        <v>2500.0</v>
      </c>
      <c r="L2262" s="63">
        <v>42.72</v>
      </c>
      <c r="M2262" s="66">
        <f t="shared" si="1"/>
        <v>149.12</v>
      </c>
    </row>
    <row r="2263">
      <c r="A2263" s="67"/>
      <c r="B2263" s="67"/>
      <c r="C2263" s="67"/>
      <c r="D2263" s="67"/>
      <c r="E2263" s="67"/>
      <c r="F2263" s="68"/>
      <c r="G2263" s="68"/>
      <c r="H2263" s="68"/>
      <c r="I2263" s="68"/>
      <c r="J2263" s="68"/>
      <c r="K2263" s="69">
        <v>3000.0</v>
      </c>
      <c r="L2263" s="69">
        <v>44.62</v>
      </c>
      <c r="M2263" s="68">
        <f t="shared" si="1"/>
        <v>186.9</v>
      </c>
    </row>
    <row r="2264">
      <c r="A2264" s="70"/>
      <c r="B2264" s="70"/>
      <c r="C2264" s="70"/>
      <c r="D2264" s="70"/>
      <c r="E2264" s="70"/>
      <c r="F2264" s="66"/>
      <c r="G2264" s="66"/>
      <c r="H2264" s="66"/>
      <c r="I2264" s="66"/>
      <c r="J2264" s="66"/>
      <c r="K2264" s="63">
        <v>3500.0</v>
      </c>
      <c r="L2264" s="63">
        <v>45.0</v>
      </c>
      <c r="M2264" s="66">
        <f t="shared" si="1"/>
        <v>219.91</v>
      </c>
    </row>
    <row r="2265">
      <c r="A2265" s="67"/>
      <c r="B2265" s="67"/>
      <c r="C2265" s="67"/>
      <c r="D2265" s="67"/>
      <c r="E2265" s="67"/>
      <c r="F2265" s="68"/>
      <c r="G2265" s="68"/>
      <c r="H2265" s="68"/>
      <c r="I2265" s="68"/>
      <c r="J2265" s="68"/>
      <c r="K2265" s="69">
        <v>4000.0</v>
      </c>
      <c r="L2265" s="69">
        <v>44.81</v>
      </c>
      <c r="M2265" s="68">
        <f t="shared" si="1"/>
        <v>250.27</v>
      </c>
    </row>
    <row r="2266">
      <c r="A2266" s="70"/>
      <c r="B2266" s="70"/>
      <c r="C2266" s="70"/>
      <c r="D2266" s="70"/>
      <c r="E2266" s="70"/>
      <c r="F2266" s="66"/>
      <c r="G2266" s="66"/>
      <c r="H2266" s="66"/>
      <c r="I2266" s="66"/>
      <c r="J2266" s="66"/>
      <c r="K2266" s="63">
        <v>4500.0</v>
      </c>
      <c r="L2266" s="63">
        <v>44.87</v>
      </c>
      <c r="M2266" s="66">
        <f t="shared" si="1"/>
        <v>281.93</v>
      </c>
    </row>
    <row r="2267">
      <c r="A2267" s="67"/>
      <c r="B2267" s="67"/>
      <c r="C2267" s="67"/>
      <c r="D2267" s="67"/>
      <c r="E2267" s="67"/>
      <c r="F2267" s="68"/>
      <c r="G2267" s="68"/>
      <c r="H2267" s="68"/>
      <c r="I2267" s="68"/>
      <c r="J2267" s="68"/>
      <c r="K2267" s="69">
        <v>5000.0</v>
      </c>
      <c r="L2267" s="69">
        <v>43.21</v>
      </c>
      <c r="M2267" s="68">
        <f t="shared" si="1"/>
        <v>301.66</v>
      </c>
    </row>
    <row r="2268">
      <c r="A2268" s="70"/>
      <c r="B2268" s="70"/>
      <c r="C2268" s="70"/>
      <c r="D2268" s="70"/>
      <c r="E2268" s="70"/>
      <c r="F2268" s="66"/>
      <c r="G2268" s="66"/>
      <c r="H2268" s="66"/>
      <c r="I2268" s="66"/>
      <c r="J2268" s="66"/>
      <c r="K2268" s="63">
        <v>5500.0</v>
      </c>
      <c r="L2268" s="63">
        <v>41.05</v>
      </c>
      <c r="M2268" s="66">
        <f t="shared" si="1"/>
        <v>315.24</v>
      </c>
    </row>
    <row r="2269">
      <c r="A2269" s="67"/>
      <c r="B2269" s="67"/>
      <c r="C2269" s="67"/>
      <c r="D2269" s="67"/>
      <c r="E2269" s="67"/>
      <c r="F2269" s="68"/>
      <c r="G2269" s="68"/>
      <c r="H2269" s="68"/>
      <c r="I2269" s="68"/>
      <c r="J2269" s="68"/>
      <c r="K2269" s="69">
        <v>6000.0</v>
      </c>
      <c r="L2269" s="69">
        <v>37.92</v>
      </c>
      <c r="M2269" s="68">
        <f t="shared" si="1"/>
        <v>317.68</v>
      </c>
    </row>
    <row r="2270">
      <c r="A2270" s="70"/>
      <c r="B2270" s="70"/>
      <c r="C2270" s="70"/>
      <c r="D2270" s="70"/>
      <c r="E2270" s="70"/>
      <c r="F2270" s="66"/>
      <c r="G2270" s="66"/>
      <c r="H2270" s="66"/>
      <c r="I2270" s="66"/>
      <c r="J2270" s="66"/>
      <c r="K2270" s="63">
        <v>6500.0</v>
      </c>
      <c r="L2270" s="63">
        <v>35.26</v>
      </c>
      <c r="M2270" s="66">
        <f t="shared" si="1"/>
        <v>320.01</v>
      </c>
    </row>
    <row r="2271">
      <c r="A2271" s="67"/>
      <c r="B2271" s="67"/>
      <c r="C2271" s="67"/>
      <c r="D2271" s="67"/>
      <c r="E2271" s="67"/>
      <c r="F2271" s="68"/>
      <c r="G2271" s="68"/>
      <c r="H2271" s="68"/>
      <c r="I2271" s="68"/>
      <c r="J2271" s="68"/>
      <c r="K2271" s="69">
        <v>7000.0</v>
      </c>
      <c r="L2271" s="69">
        <v>32.58</v>
      </c>
      <c r="M2271" s="68">
        <f t="shared" si="1"/>
        <v>318.43</v>
      </c>
    </row>
    <row r="2272">
      <c r="A2272" s="70"/>
      <c r="B2272" s="70"/>
      <c r="C2272" s="70"/>
      <c r="D2272" s="70"/>
      <c r="E2272" s="70"/>
      <c r="F2272" s="66"/>
      <c r="G2272" s="66"/>
      <c r="H2272" s="66"/>
      <c r="I2272" s="66"/>
      <c r="J2272" s="66"/>
      <c r="K2272" s="63">
        <v>7500.0</v>
      </c>
      <c r="L2272" s="63">
        <v>30.13</v>
      </c>
      <c r="M2272" s="66">
        <f t="shared" si="1"/>
        <v>315.52</v>
      </c>
    </row>
    <row r="2273">
      <c r="A2273" s="67"/>
      <c r="B2273" s="67"/>
      <c r="C2273" s="67"/>
      <c r="D2273" s="67"/>
      <c r="E2273" s="67"/>
      <c r="F2273" s="68"/>
      <c r="G2273" s="68"/>
      <c r="H2273" s="68"/>
      <c r="I2273" s="68"/>
      <c r="J2273" s="68"/>
      <c r="K2273" s="69">
        <v>8000.0</v>
      </c>
      <c r="L2273" s="69">
        <v>27.25</v>
      </c>
      <c r="M2273" s="68">
        <f t="shared" si="1"/>
        <v>304.38</v>
      </c>
    </row>
    <row r="2274">
      <c r="A2274" s="70"/>
      <c r="B2274" s="70"/>
      <c r="C2274" s="70"/>
      <c r="D2274" s="70"/>
      <c r="E2274" s="70"/>
      <c r="F2274" s="66"/>
      <c r="G2274" s="66"/>
      <c r="H2274" s="66"/>
      <c r="I2274" s="66"/>
      <c r="J2274" s="66"/>
      <c r="K2274" s="63">
        <v>8500.0</v>
      </c>
      <c r="L2274" s="63">
        <v>24.13</v>
      </c>
      <c r="M2274" s="66">
        <f t="shared" si="1"/>
        <v>286.38</v>
      </c>
    </row>
    <row r="2275">
      <c r="A2275" s="68">
        <v>152.0</v>
      </c>
      <c r="B2275" s="68">
        <v>240.0</v>
      </c>
      <c r="C2275" s="71" t="s">
        <v>504</v>
      </c>
      <c r="D2275" s="71" t="s">
        <v>505</v>
      </c>
      <c r="E2275" s="71" t="s">
        <v>506</v>
      </c>
      <c r="F2275" s="72">
        <v>7500.0</v>
      </c>
      <c r="G2275" s="72">
        <v>7700.0</v>
      </c>
      <c r="H2275" s="72">
        <v>700.0</v>
      </c>
      <c r="I2275" s="72">
        <v>5600.0</v>
      </c>
      <c r="J2275" s="72">
        <v>7000.0</v>
      </c>
      <c r="K2275" s="69">
        <v>500.0</v>
      </c>
      <c r="L2275" s="69">
        <v>11.9</v>
      </c>
      <c r="M2275" s="68">
        <f t="shared" si="1"/>
        <v>8.31</v>
      </c>
    </row>
    <row r="2276">
      <c r="A2276" s="70"/>
      <c r="B2276" s="70"/>
      <c r="C2276" s="70"/>
      <c r="D2276" s="70"/>
      <c r="E2276" s="70"/>
      <c r="F2276" s="66"/>
      <c r="G2276" s="66"/>
      <c r="H2276" s="66"/>
      <c r="I2276" s="66"/>
      <c r="J2276" s="66"/>
      <c r="K2276" s="63">
        <v>1000.0</v>
      </c>
      <c r="L2276" s="63">
        <v>13.2</v>
      </c>
      <c r="M2276" s="66">
        <f t="shared" si="1"/>
        <v>18.43</v>
      </c>
    </row>
    <row r="2277">
      <c r="A2277" s="67"/>
      <c r="B2277" s="67"/>
      <c r="C2277" s="67"/>
      <c r="D2277" s="67"/>
      <c r="E2277" s="67"/>
      <c r="F2277" s="68"/>
      <c r="G2277" s="68"/>
      <c r="H2277" s="68"/>
      <c r="I2277" s="68"/>
      <c r="J2277" s="68"/>
      <c r="K2277" s="69">
        <v>1500.0</v>
      </c>
      <c r="L2277" s="69">
        <v>14.35</v>
      </c>
      <c r="M2277" s="68">
        <f t="shared" si="1"/>
        <v>30.05</v>
      </c>
    </row>
    <row r="2278">
      <c r="A2278" s="70"/>
      <c r="B2278" s="70"/>
      <c r="C2278" s="70"/>
      <c r="D2278" s="70"/>
      <c r="E2278" s="70"/>
      <c r="F2278" s="66"/>
      <c r="G2278" s="66"/>
      <c r="H2278" s="66"/>
      <c r="I2278" s="66"/>
      <c r="J2278" s="66"/>
      <c r="K2278" s="63">
        <v>2000.0</v>
      </c>
      <c r="L2278" s="63">
        <v>15.2</v>
      </c>
      <c r="M2278" s="66">
        <f t="shared" si="1"/>
        <v>42.45</v>
      </c>
    </row>
    <row r="2279">
      <c r="A2279" s="67"/>
      <c r="B2279" s="67"/>
      <c r="C2279" s="67"/>
      <c r="D2279" s="67"/>
      <c r="E2279" s="67"/>
      <c r="F2279" s="68"/>
      <c r="G2279" s="68"/>
      <c r="H2279" s="68"/>
      <c r="I2279" s="68"/>
      <c r="J2279" s="68"/>
      <c r="K2279" s="69">
        <v>2500.0</v>
      </c>
      <c r="L2279" s="69">
        <v>15.4</v>
      </c>
      <c r="M2279" s="68">
        <f t="shared" si="1"/>
        <v>53.76</v>
      </c>
    </row>
    <row r="2280">
      <c r="A2280" s="70"/>
      <c r="B2280" s="70"/>
      <c r="C2280" s="70"/>
      <c r="D2280" s="70"/>
      <c r="E2280" s="70"/>
      <c r="F2280" s="66"/>
      <c r="G2280" s="66"/>
      <c r="H2280" s="66"/>
      <c r="I2280" s="66"/>
      <c r="J2280" s="66"/>
      <c r="K2280" s="63">
        <v>3000.0</v>
      </c>
      <c r="L2280" s="63">
        <v>15.8</v>
      </c>
      <c r="M2280" s="66">
        <f t="shared" si="1"/>
        <v>66.18</v>
      </c>
    </row>
    <row r="2281">
      <c r="A2281" s="67"/>
      <c r="B2281" s="67"/>
      <c r="C2281" s="67"/>
      <c r="D2281" s="67"/>
      <c r="E2281" s="67"/>
      <c r="F2281" s="68"/>
      <c r="G2281" s="68"/>
      <c r="H2281" s="68"/>
      <c r="I2281" s="68"/>
      <c r="J2281" s="68"/>
      <c r="K2281" s="69">
        <v>3500.0</v>
      </c>
      <c r="L2281" s="69">
        <v>16.65</v>
      </c>
      <c r="M2281" s="68">
        <f t="shared" si="1"/>
        <v>81.37</v>
      </c>
    </row>
    <row r="2282">
      <c r="A2282" s="73"/>
      <c r="B2282" s="73"/>
      <c r="C2282" s="73"/>
      <c r="D2282" s="73"/>
      <c r="E2282" s="73"/>
      <c r="F2282" s="66"/>
      <c r="G2282" s="66"/>
      <c r="H2282" s="66"/>
      <c r="I2282" s="66"/>
      <c r="J2282" s="66"/>
      <c r="K2282" s="63">
        <v>4000.0</v>
      </c>
      <c r="L2282" s="63">
        <v>17.4</v>
      </c>
      <c r="M2282" s="66">
        <f t="shared" si="1"/>
        <v>97.18</v>
      </c>
    </row>
    <row r="2283">
      <c r="A2283" s="67"/>
      <c r="B2283" s="67"/>
      <c r="C2283" s="67"/>
      <c r="D2283" s="67"/>
      <c r="E2283" s="67"/>
      <c r="F2283" s="68"/>
      <c r="G2283" s="68"/>
      <c r="H2283" s="68"/>
      <c r="I2283" s="68"/>
      <c r="J2283" s="68"/>
      <c r="K2283" s="69">
        <v>4500.0</v>
      </c>
      <c r="L2283" s="69">
        <v>17.8</v>
      </c>
      <c r="M2283" s="68">
        <f t="shared" si="1"/>
        <v>111.84</v>
      </c>
    </row>
    <row r="2284">
      <c r="A2284" s="70"/>
      <c r="B2284" s="70"/>
      <c r="C2284" s="70"/>
      <c r="D2284" s="70"/>
      <c r="E2284" s="70"/>
      <c r="F2284" s="66"/>
      <c r="G2284" s="66"/>
      <c r="H2284" s="66"/>
      <c r="I2284" s="66"/>
      <c r="J2284" s="66"/>
      <c r="K2284" s="63">
        <v>5000.0</v>
      </c>
      <c r="L2284" s="63">
        <v>17.74</v>
      </c>
      <c r="M2284" s="66">
        <f t="shared" si="1"/>
        <v>123.85</v>
      </c>
    </row>
    <row r="2285">
      <c r="A2285" s="67"/>
      <c r="B2285" s="67"/>
      <c r="C2285" s="67"/>
      <c r="D2285" s="67"/>
      <c r="E2285" s="67"/>
      <c r="F2285" s="68"/>
      <c r="G2285" s="68"/>
      <c r="H2285" s="68"/>
      <c r="I2285" s="68"/>
      <c r="J2285" s="68"/>
      <c r="K2285" s="69">
        <v>5500.0</v>
      </c>
      <c r="L2285" s="69">
        <v>18.0</v>
      </c>
      <c r="M2285" s="68">
        <f t="shared" si="1"/>
        <v>138.23</v>
      </c>
    </row>
    <row r="2286">
      <c r="A2286" s="70"/>
      <c r="B2286" s="70"/>
      <c r="C2286" s="70"/>
      <c r="D2286" s="70"/>
      <c r="E2286" s="70"/>
      <c r="F2286" s="66"/>
      <c r="G2286" s="66"/>
      <c r="H2286" s="66"/>
      <c r="I2286" s="66"/>
      <c r="J2286" s="66"/>
      <c r="K2286" s="63">
        <v>6000.0</v>
      </c>
      <c r="L2286" s="63">
        <v>17.75</v>
      </c>
      <c r="M2286" s="66">
        <f t="shared" si="1"/>
        <v>148.7</v>
      </c>
    </row>
    <row r="2287">
      <c r="A2287" s="67"/>
      <c r="B2287" s="67"/>
      <c r="C2287" s="67"/>
      <c r="D2287" s="67"/>
      <c r="E2287" s="67"/>
      <c r="F2287" s="68"/>
      <c r="G2287" s="68"/>
      <c r="H2287" s="68"/>
      <c r="I2287" s="68"/>
      <c r="J2287" s="68"/>
      <c r="K2287" s="69">
        <v>6500.0</v>
      </c>
      <c r="L2287" s="69">
        <v>17.5</v>
      </c>
      <c r="M2287" s="68">
        <f t="shared" si="1"/>
        <v>158.82</v>
      </c>
    </row>
    <row r="2288">
      <c r="A2288" s="70"/>
      <c r="B2288" s="70"/>
      <c r="C2288" s="70"/>
      <c r="D2288" s="70"/>
      <c r="E2288" s="70"/>
      <c r="F2288" s="66"/>
      <c r="G2288" s="66"/>
      <c r="H2288" s="66"/>
      <c r="I2288" s="66"/>
      <c r="J2288" s="66"/>
      <c r="K2288" s="63">
        <v>7000.0</v>
      </c>
      <c r="L2288" s="63">
        <v>16.32</v>
      </c>
      <c r="M2288" s="66">
        <f t="shared" si="1"/>
        <v>159.51</v>
      </c>
    </row>
    <row r="2289">
      <c r="A2289" s="67"/>
      <c r="B2289" s="67"/>
      <c r="C2289" s="67"/>
      <c r="D2289" s="67"/>
      <c r="E2289" s="67"/>
      <c r="F2289" s="68"/>
      <c r="G2289" s="68"/>
      <c r="H2289" s="68"/>
      <c r="I2289" s="68"/>
      <c r="J2289" s="68"/>
      <c r="K2289" s="69">
        <v>7500.0</v>
      </c>
      <c r="L2289" s="69">
        <v>14.9</v>
      </c>
      <c r="M2289" s="68">
        <f t="shared" si="1"/>
        <v>156.03</v>
      </c>
    </row>
    <row r="2290">
      <c r="A2290" s="70"/>
      <c r="B2290" s="70"/>
      <c r="C2290" s="70"/>
      <c r="D2290" s="70"/>
      <c r="E2290" s="70"/>
      <c r="F2290" s="66"/>
      <c r="G2290" s="66"/>
      <c r="H2290" s="66"/>
      <c r="I2290" s="66"/>
      <c r="J2290" s="66"/>
      <c r="K2290" s="63">
        <v>8000.0</v>
      </c>
      <c r="L2290" s="63">
        <v>13.15</v>
      </c>
      <c r="M2290" s="66">
        <f t="shared" si="1"/>
        <v>146.89</v>
      </c>
    </row>
    <row r="2291">
      <c r="A2291" s="67"/>
      <c r="B2291" s="67"/>
      <c r="C2291" s="67"/>
      <c r="D2291" s="67"/>
      <c r="E2291" s="67"/>
      <c r="F2291" s="68"/>
      <c r="G2291" s="68"/>
      <c r="H2291" s="68"/>
      <c r="I2291" s="68"/>
      <c r="J2291" s="68"/>
      <c r="K2291" s="69">
        <v>8500.0</v>
      </c>
      <c r="L2291" s="69">
        <v>11.1</v>
      </c>
      <c r="M2291" s="68">
        <f t="shared" si="1"/>
        <v>131.74</v>
      </c>
    </row>
    <row r="2292">
      <c r="A2292" s="66">
        <v>153.0</v>
      </c>
      <c r="B2292" s="66">
        <v>241.0</v>
      </c>
      <c r="C2292" s="74" t="s">
        <v>507</v>
      </c>
      <c r="D2292" s="74" t="s">
        <v>508</v>
      </c>
      <c r="E2292" s="74" t="s">
        <v>509</v>
      </c>
      <c r="F2292" s="65">
        <v>6000.0</v>
      </c>
      <c r="G2292" s="65">
        <v>6200.0</v>
      </c>
      <c r="H2292" s="65">
        <v>700.0</v>
      </c>
      <c r="I2292" s="65">
        <v>3000.0</v>
      </c>
      <c r="J2292" s="65">
        <v>5500.0</v>
      </c>
      <c r="K2292" s="63">
        <v>500.0</v>
      </c>
      <c r="L2292" s="63">
        <v>7.53</v>
      </c>
      <c r="M2292" s="66">
        <f t="shared" si="1"/>
        <v>5.26</v>
      </c>
    </row>
    <row r="2293">
      <c r="A2293" s="67"/>
      <c r="B2293" s="67"/>
      <c r="C2293" s="67"/>
      <c r="D2293" s="67"/>
      <c r="E2293" s="67"/>
      <c r="F2293" s="68"/>
      <c r="G2293" s="68"/>
      <c r="H2293" s="68"/>
      <c r="I2293" s="68"/>
      <c r="J2293" s="68"/>
      <c r="K2293" s="69">
        <v>1000.0</v>
      </c>
      <c r="L2293" s="69">
        <v>8.23</v>
      </c>
      <c r="M2293" s="68">
        <f t="shared" si="1"/>
        <v>11.49</v>
      </c>
    </row>
    <row r="2294">
      <c r="A2294" s="70"/>
      <c r="B2294" s="70"/>
      <c r="C2294" s="70"/>
      <c r="D2294" s="70"/>
      <c r="E2294" s="70"/>
      <c r="F2294" s="66"/>
      <c r="G2294" s="66"/>
      <c r="H2294" s="66"/>
      <c r="I2294" s="66"/>
      <c r="J2294" s="66"/>
      <c r="K2294" s="63">
        <v>1500.0</v>
      </c>
      <c r="L2294" s="63">
        <v>9.44</v>
      </c>
      <c r="M2294" s="66">
        <f t="shared" si="1"/>
        <v>19.77</v>
      </c>
    </row>
    <row r="2295">
      <c r="A2295" s="67"/>
      <c r="B2295" s="67"/>
      <c r="C2295" s="67"/>
      <c r="D2295" s="67"/>
      <c r="E2295" s="67"/>
      <c r="F2295" s="68"/>
      <c r="G2295" s="68"/>
      <c r="H2295" s="68"/>
      <c r="I2295" s="68"/>
      <c r="J2295" s="68"/>
      <c r="K2295" s="69">
        <v>2000.0</v>
      </c>
      <c r="L2295" s="69">
        <v>11.86</v>
      </c>
      <c r="M2295" s="68">
        <f t="shared" si="1"/>
        <v>33.12</v>
      </c>
    </row>
    <row r="2296">
      <c r="A2296" s="70"/>
      <c r="B2296" s="70"/>
      <c r="C2296" s="70"/>
      <c r="D2296" s="70"/>
      <c r="E2296" s="70"/>
      <c r="F2296" s="66"/>
      <c r="G2296" s="66"/>
      <c r="H2296" s="66"/>
      <c r="I2296" s="66"/>
      <c r="J2296" s="66"/>
      <c r="K2296" s="63">
        <v>2500.0</v>
      </c>
      <c r="L2296" s="63">
        <v>14.6</v>
      </c>
      <c r="M2296" s="66">
        <f t="shared" si="1"/>
        <v>50.96</v>
      </c>
    </row>
    <row r="2297">
      <c r="A2297" s="67"/>
      <c r="B2297" s="67"/>
      <c r="C2297" s="67"/>
      <c r="D2297" s="67"/>
      <c r="E2297" s="67"/>
      <c r="F2297" s="68"/>
      <c r="G2297" s="68"/>
      <c r="H2297" s="68"/>
      <c r="I2297" s="68"/>
      <c r="J2297" s="68"/>
      <c r="K2297" s="69">
        <v>3000.0</v>
      </c>
      <c r="L2297" s="69">
        <v>16.3</v>
      </c>
      <c r="M2297" s="68">
        <f t="shared" si="1"/>
        <v>68.28</v>
      </c>
    </row>
    <row r="2298">
      <c r="A2298" s="70"/>
      <c r="B2298" s="70"/>
      <c r="C2298" s="70"/>
      <c r="D2298" s="70"/>
      <c r="E2298" s="70"/>
      <c r="F2298" s="66"/>
      <c r="G2298" s="66"/>
      <c r="H2298" s="66"/>
      <c r="I2298" s="66"/>
      <c r="J2298" s="66"/>
      <c r="K2298" s="63">
        <v>3500.0</v>
      </c>
      <c r="L2298" s="63">
        <v>16.19</v>
      </c>
      <c r="M2298" s="66">
        <f t="shared" si="1"/>
        <v>79.12</v>
      </c>
    </row>
    <row r="2299">
      <c r="A2299" s="67"/>
      <c r="B2299" s="67"/>
      <c r="C2299" s="67"/>
      <c r="D2299" s="67"/>
      <c r="E2299" s="67"/>
      <c r="F2299" s="68"/>
      <c r="G2299" s="68"/>
      <c r="H2299" s="68"/>
      <c r="I2299" s="68"/>
      <c r="J2299" s="68"/>
      <c r="K2299" s="69">
        <v>4000.0</v>
      </c>
      <c r="L2299" s="69">
        <v>15.82</v>
      </c>
      <c r="M2299" s="68">
        <f t="shared" si="1"/>
        <v>88.36</v>
      </c>
    </row>
    <row r="2300">
      <c r="A2300" s="70"/>
      <c r="B2300" s="70"/>
      <c r="C2300" s="70"/>
      <c r="D2300" s="70"/>
      <c r="E2300" s="70"/>
      <c r="F2300" s="66"/>
      <c r="G2300" s="66"/>
      <c r="H2300" s="66"/>
      <c r="I2300" s="66"/>
      <c r="J2300" s="66"/>
      <c r="K2300" s="63">
        <v>4500.0</v>
      </c>
      <c r="L2300" s="63">
        <v>15.42</v>
      </c>
      <c r="M2300" s="66">
        <f t="shared" si="1"/>
        <v>96.89</v>
      </c>
    </row>
    <row r="2301">
      <c r="A2301" s="67"/>
      <c r="B2301" s="67"/>
      <c r="C2301" s="67"/>
      <c r="D2301" s="67"/>
      <c r="E2301" s="67"/>
      <c r="F2301" s="68"/>
      <c r="G2301" s="68"/>
      <c r="H2301" s="68"/>
      <c r="I2301" s="68"/>
      <c r="J2301" s="68"/>
      <c r="K2301" s="69">
        <v>5000.0</v>
      </c>
      <c r="L2301" s="69">
        <v>15.01</v>
      </c>
      <c r="M2301" s="68">
        <f t="shared" si="1"/>
        <v>104.79</v>
      </c>
    </row>
    <row r="2302">
      <c r="A2302" s="70"/>
      <c r="B2302" s="70"/>
      <c r="C2302" s="70"/>
      <c r="D2302" s="70"/>
      <c r="E2302" s="70"/>
      <c r="F2302" s="66"/>
      <c r="G2302" s="66"/>
      <c r="H2302" s="66"/>
      <c r="I2302" s="66"/>
      <c r="J2302" s="66"/>
      <c r="K2302" s="63">
        <v>5500.0</v>
      </c>
      <c r="L2302" s="63">
        <v>14.26</v>
      </c>
      <c r="M2302" s="66">
        <f t="shared" si="1"/>
        <v>109.51</v>
      </c>
    </row>
    <row r="2303">
      <c r="A2303" s="67"/>
      <c r="B2303" s="67"/>
      <c r="C2303" s="67"/>
      <c r="D2303" s="67"/>
      <c r="E2303" s="67"/>
      <c r="F2303" s="68"/>
      <c r="G2303" s="68"/>
      <c r="H2303" s="68"/>
      <c r="I2303" s="68"/>
      <c r="J2303" s="68"/>
      <c r="K2303" s="69">
        <v>6000.0</v>
      </c>
      <c r="L2303" s="69">
        <v>12.64</v>
      </c>
      <c r="M2303" s="68">
        <f t="shared" si="1"/>
        <v>105.89</v>
      </c>
    </row>
    <row r="2304">
      <c r="A2304" s="70"/>
      <c r="B2304" s="70"/>
      <c r="C2304" s="70"/>
      <c r="D2304" s="70"/>
      <c r="E2304" s="70"/>
      <c r="F2304" s="66"/>
      <c r="G2304" s="66"/>
      <c r="H2304" s="66"/>
      <c r="I2304" s="66"/>
      <c r="J2304" s="66"/>
      <c r="K2304" s="63">
        <v>6500.0</v>
      </c>
      <c r="L2304" s="63">
        <v>10.19</v>
      </c>
      <c r="M2304" s="66">
        <f t="shared" si="1"/>
        <v>92.48</v>
      </c>
    </row>
    <row r="2305">
      <c r="A2305" s="67"/>
      <c r="B2305" s="67"/>
      <c r="C2305" s="67"/>
      <c r="D2305" s="67"/>
      <c r="E2305" s="67"/>
      <c r="F2305" s="68"/>
      <c r="G2305" s="68"/>
      <c r="H2305" s="68"/>
      <c r="I2305" s="68"/>
      <c r="J2305" s="68"/>
      <c r="K2305" s="69">
        <v>7000.0</v>
      </c>
      <c r="L2305" s="69">
        <v>7.25</v>
      </c>
      <c r="M2305" s="68">
        <f t="shared" si="1"/>
        <v>70.86</v>
      </c>
    </row>
    <row r="2306">
      <c r="A2306" s="73"/>
      <c r="B2306" s="73"/>
      <c r="C2306" s="73"/>
      <c r="D2306" s="73"/>
      <c r="E2306" s="73"/>
      <c r="F2306" s="66"/>
      <c r="G2306" s="66"/>
      <c r="H2306" s="66"/>
      <c r="I2306" s="66"/>
      <c r="J2306" s="66"/>
      <c r="K2306" s="63">
        <v>7500.0</v>
      </c>
      <c r="L2306" s="63">
        <v>4.1</v>
      </c>
      <c r="M2306" s="66">
        <f t="shared" si="1"/>
        <v>42.93</v>
      </c>
    </row>
    <row r="2307">
      <c r="A2307" s="68">
        <v>154.0</v>
      </c>
      <c r="B2307" s="68">
        <v>242.0</v>
      </c>
      <c r="C2307" s="71" t="s">
        <v>510</v>
      </c>
      <c r="D2307" s="71" t="s">
        <v>511</v>
      </c>
      <c r="E2307" s="71" t="s">
        <v>512</v>
      </c>
      <c r="F2307" s="72">
        <v>5300.0</v>
      </c>
      <c r="G2307" s="72">
        <v>5600.0</v>
      </c>
      <c r="H2307" s="72">
        <v>500.0</v>
      </c>
      <c r="I2307" s="72">
        <v>4000.0</v>
      </c>
      <c r="J2307" s="72">
        <v>5600.0</v>
      </c>
      <c r="K2307" s="69">
        <v>500.0</v>
      </c>
      <c r="L2307" s="69">
        <v>27.3</v>
      </c>
      <c r="M2307" s="68">
        <f t="shared" si="1"/>
        <v>19.06</v>
      </c>
    </row>
    <row r="2308">
      <c r="A2308" s="70"/>
      <c r="B2308" s="70"/>
      <c r="C2308" s="70"/>
      <c r="D2308" s="70"/>
      <c r="E2308" s="70"/>
      <c r="F2308" s="66"/>
      <c r="G2308" s="66"/>
      <c r="H2308" s="66"/>
      <c r="I2308" s="66"/>
      <c r="J2308" s="66"/>
      <c r="K2308" s="63">
        <v>1000.0</v>
      </c>
      <c r="L2308" s="63">
        <v>35.88</v>
      </c>
      <c r="M2308" s="66">
        <f t="shared" si="1"/>
        <v>50.1</v>
      </c>
    </row>
    <row r="2309">
      <c r="A2309" s="67"/>
      <c r="B2309" s="67"/>
      <c r="C2309" s="67"/>
      <c r="D2309" s="67"/>
      <c r="E2309" s="67"/>
      <c r="F2309" s="68"/>
      <c r="G2309" s="68"/>
      <c r="H2309" s="68"/>
      <c r="I2309" s="68"/>
      <c r="J2309" s="68"/>
      <c r="K2309" s="69">
        <v>1500.0</v>
      </c>
      <c r="L2309" s="69">
        <v>42.35</v>
      </c>
      <c r="M2309" s="68">
        <f t="shared" si="1"/>
        <v>88.7</v>
      </c>
    </row>
    <row r="2310">
      <c r="A2310" s="70"/>
      <c r="B2310" s="70"/>
      <c r="C2310" s="70"/>
      <c r="D2310" s="70"/>
      <c r="E2310" s="70"/>
      <c r="F2310" s="66"/>
      <c r="G2310" s="66"/>
      <c r="H2310" s="66"/>
      <c r="I2310" s="66"/>
      <c r="J2310" s="66"/>
      <c r="K2310" s="63">
        <v>2000.0</v>
      </c>
      <c r="L2310" s="63">
        <v>47.25</v>
      </c>
      <c r="M2310" s="66">
        <f t="shared" si="1"/>
        <v>131.95</v>
      </c>
    </row>
    <row r="2311">
      <c r="A2311" s="67"/>
      <c r="B2311" s="67"/>
      <c r="C2311" s="67"/>
      <c r="D2311" s="67"/>
      <c r="E2311" s="67"/>
      <c r="F2311" s="68"/>
      <c r="G2311" s="68"/>
      <c r="H2311" s="68"/>
      <c r="I2311" s="68"/>
      <c r="J2311" s="68"/>
      <c r="K2311" s="69">
        <v>2500.0</v>
      </c>
      <c r="L2311" s="69">
        <v>51.1</v>
      </c>
      <c r="M2311" s="68">
        <f t="shared" si="1"/>
        <v>178.37</v>
      </c>
    </row>
    <row r="2312">
      <c r="A2312" s="70"/>
      <c r="B2312" s="70"/>
      <c r="C2312" s="70"/>
      <c r="D2312" s="70"/>
      <c r="E2312" s="70"/>
      <c r="F2312" s="66"/>
      <c r="G2312" s="66"/>
      <c r="H2312" s="66"/>
      <c r="I2312" s="66"/>
      <c r="J2312" s="66"/>
      <c r="K2312" s="63">
        <v>3000.0</v>
      </c>
      <c r="L2312" s="63">
        <v>53.55</v>
      </c>
      <c r="M2312" s="66">
        <f t="shared" si="1"/>
        <v>224.31</v>
      </c>
    </row>
    <row r="2313">
      <c r="A2313" s="67"/>
      <c r="B2313" s="67"/>
      <c r="C2313" s="67"/>
      <c r="D2313" s="67"/>
      <c r="E2313" s="67"/>
      <c r="F2313" s="68"/>
      <c r="G2313" s="68"/>
      <c r="H2313" s="68"/>
      <c r="I2313" s="68"/>
      <c r="J2313" s="68"/>
      <c r="K2313" s="69">
        <v>3500.0</v>
      </c>
      <c r="L2313" s="69">
        <v>54.95</v>
      </c>
      <c r="M2313" s="68">
        <f t="shared" si="1"/>
        <v>268.54</v>
      </c>
    </row>
    <row r="2314">
      <c r="A2314" s="70"/>
      <c r="B2314" s="70"/>
      <c r="C2314" s="70"/>
      <c r="D2314" s="70"/>
      <c r="E2314" s="70"/>
      <c r="F2314" s="66"/>
      <c r="G2314" s="66"/>
      <c r="H2314" s="66"/>
      <c r="I2314" s="66"/>
      <c r="J2314" s="66"/>
      <c r="K2314" s="63">
        <v>4000.0</v>
      </c>
      <c r="L2314" s="63">
        <v>55.1</v>
      </c>
      <c r="M2314" s="66">
        <f t="shared" si="1"/>
        <v>307.74</v>
      </c>
    </row>
    <row r="2315">
      <c r="A2315" s="67"/>
      <c r="B2315" s="67"/>
      <c r="C2315" s="67"/>
      <c r="D2315" s="67"/>
      <c r="E2315" s="67"/>
      <c r="F2315" s="68"/>
      <c r="G2315" s="68"/>
      <c r="H2315" s="68"/>
      <c r="I2315" s="68"/>
      <c r="J2315" s="68"/>
      <c r="K2315" s="69">
        <v>4500.0</v>
      </c>
      <c r="L2315" s="69">
        <v>52.67</v>
      </c>
      <c r="M2315" s="68">
        <f t="shared" si="1"/>
        <v>330.93</v>
      </c>
    </row>
    <row r="2316">
      <c r="A2316" s="70"/>
      <c r="B2316" s="70"/>
      <c r="C2316" s="70"/>
      <c r="D2316" s="70"/>
      <c r="E2316" s="70"/>
      <c r="F2316" s="66"/>
      <c r="G2316" s="66"/>
      <c r="H2316" s="66"/>
      <c r="I2316" s="66"/>
      <c r="J2316" s="66"/>
      <c r="K2316" s="63">
        <v>5000.0</v>
      </c>
      <c r="L2316" s="63">
        <v>49.35</v>
      </c>
      <c r="M2316" s="66">
        <f t="shared" si="1"/>
        <v>344.53</v>
      </c>
    </row>
    <row r="2317">
      <c r="A2317" s="67"/>
      <c r="B2317" s="67"/>
      <c r="C2317" s="67"/>
      <c r="D2317" s="67"/>
      <c r="E2317" s="67"/>
      <c r="F2317" s="68"/>
      <c r="G2317" s="68"/>
      <c r="H2317" s="68"/>
      <c r="I2317" s="68"/>
      <c r="J2317" s="68"/>
      <c r="K2317" s="69">
        <v>5600.0</v>
      </c>
      <c r="L2317" s="69">
        <v>44.7</v>
      </c>
      <c r="M2317" s="68">
        <f t="shared" si="1"/>
        <v>349.51</v>
      </c>
    </row>
    <row r="2318">
      <c r="A2318" s="70"/>
      <c r="B2318" s="70"/>
      <c r="C2318" s="70"/>
      <c r="D2318" s="70"/>
      <c r="E2318" s="70"/>
      <c r="F2318" s="66"/>
      <c r="G2318" s="66"/>
      <c r="H2318" s="66"/>
      <c r="I2318" s="66"/>
      <c r="J2318" s="66"/>
      <c r="K2318" s="63">
        <v>6000.0</v>
      </c>
      <c r="L2318" s="63">
        <v>40.6</v>
      </c>
      <c r="M2318" s="66">
        <f t="shared" si="1"/>
        <v>340.13</v>
      </c>
    </row>
    <row r="2319">
      <c r="A2319" s="67"/>
      <c r="B2319" s="67"/>
      <c r="C2319" s="67"/>
      <c r="D2319" s="67"/>
      <c r="E2319" s="67"/>
      <c r="F2319" s="68"/>
      <c r="G2319" s="68"/>
      <c r="H2319" s="68"/>
      <c r="I2319" s="68"/>
      <c r="J2319" s="68"/>
      <c r="K2319" s="69">
        <v>6500.0</v>
      </c>
      <c r="L2319" s="69">
        <v>34.83</v>
      </c>
      <c r="M2319" s="68">
        <f t="shared" si="1"/>
        <v>316.11</v>
      </c>
    </row>
    <row r="2320">
      <c r="A2320" s="66">
        <v>155.0</v>
      </c>
      <c r="B2320" s="66">
        <v>244.0</v>
      </c>
      <c r="C2320" s="74" t="s">
        <v>513</v>
      </c>
      <c r="D2320" s="74" t="s">
        <v>514</v>
      </c>
      <c r="E2320" s="74" t="s">
        <v>515</v>
      </c>
      <c r="F2320" s="65">
        <v>6300.0</v>
      </c>
      <c r="G2320" s="65">
        <v>6400.0</v>
      </c>
      <c r="H2320" s="65">
        <v>600.0</v>
      </c>
      <c r="I2320" s="65">
        <v>4800.0</v>
      </c>
      <c r="J2320" s="65">
        <v>5800.0</v>
      </c>
      <c r="K2320" s="63">
        <v>500.0</v>
      </c>
      <c r="L2320" s="63">
        <v>9.85</v>
      </c>
      <c r="M2320" s="66">
        <f t="shared" si="1"/>
        <v>6.88</v>
      </c>
    </row>
    <row r="2321">
      <c r="A2321" s="67"/>
      <c r="B2321" s="67"/>
      <c r="C2321" s="67"/>
      <c r="D2321" s="67"/>
      <c r="E2321" s="67"/>
      <c r="F2321" s="68"/>
      <c r="G2321" s="68"/>
      <c r="H2321" s="68"/>
      <c r="I2321" s="68"/>
      <c r="J2321" s="68"/>
      <c r="K2321" s="69">
        <v>1000.0</v>
      </c>
      <c r="L2321" s="69">
        <v>11.45</v>
      </c>
      <c r="M2321" s="68">
        <f t="shared" si="1"/>
        <v>15.99</v>
      </c>
    </row>
    <row r="2322">
      <c r="A2322" s="70"/>
      <c r="B2322" s="70"/>
      <c r="C2322" s="70"/>
      <c r="D2322" s="70"/>
      <c r="E2322" s="70"/>
      <c r="F2322" s="66"/>
      <c r="G2322" s="66"/>
      <c r="H2322" s="66"/>
      <c r="I2322" s="66"/>
      <c r="J2322" s="66"/>
      <c r="K2322" s="63">
        <v>1500.0</v>
      </c>
      <c r="L2322" s="63">
        <v>12.25</v>
      </c>
      <c r="M2322" s="66">
        <f t="shared" si="1"/>
        <v>25.66</v>
      </c>
    </row>
    <row r="2323">
      <c r="A2323" s="67"/>
      <c r="B2323" s="67"/>
      <c r="C2323" s="67"/>
      <c r="D2323" s="67"/>
      <c r="E2323" s="67"/>
      <c r="F2323" s="68"/>
      <c r="G2323" s="68"/>
      <c r="H2323" s="68"/>
      <c r="I2323" s="68"/>
      <c r="J2323" s="68"/>
      <c r="K2323" s="69">
        <v>2000.0</v>
      </c>
      <c r="L2323" s="69">
        <v>12.7</v>
      </c>
      <c r="M2323" s="68">
        <f t="shared" si="1"/>
        <v>35.46</v>
      </c>
    </row>
    <row r="2324">
      <c r="A2324" s="70"/>
      <c r="B2324" s="70"/>
      <c r="C2324" s="70"/>
      <c r="D2324" s="70"/>
      <c r="E2324" s="70"/>
      <c r="F2324" s="66"/>
      <c r="G2324" s="66"/>
      <c r="H2324" s="66"/>
      <c r="I2324" s="66"/>
      <c r="J2324" s="66"/>
      <c r="K2324" s="63">
        <v>2500.0</v>
      </c>
      <c r="L2324" s="63">
        <v>12.9</v>
      </c>
      <c r="M2324" s="66">
        <f t="shared" si="1"/>
        <v>45.03</v>
      </c>
    </row>
    <row r="2325">
      <c r="A2325" s="67"/>
      <c r="B2325" s="67"/>
      <c r="C2325" s="67"/>
      <c r="D2325" s="67"/>
      <c r="E2325" s="67"/>
      <c r="F2325" s="68"/>
      <c r="G2325" s="68"/>
      <c r="H2325" s="68"/>
      <c r="I2325" s="68"/>
      <c r="J2325" s="68"/>
      <c r="K2325" s="69">
        <v>3000.0</v>
      </c>
      <c r="L2325" s="69">
        <v>13.15</v>
      </c>
      <c r="M2325" s="68">
        <f t="shared" si="1"/>
        <v>55.08</v>
      </c>
    </row>
    <row r="2326">
      <c r="A2326" s="70"/>
      <c r="B2326" s="70"/>
      <c r="C2326" s="70"/>
      <c r="D2326" s="70"/>
      <c r="E2326" s="70"/>
      <c r="F2326" s="66"/>
      <c r="G2326" s="66"/>
      <c r="H2326" s="66"/>
      <c r="I2326" s="66"/>
      <c r="J2326" s="66"/>
      <c r="K2326" s="63">
        <v>3500.0</v>
      </c>
      <c r="L2326" s="63">
        <v>13.45</v>
      </c>
      <c r="M2326" s="66">
        <f t="shared" si="1"/>
        <v>65.73</v>
      </c>
    </row>
    <row r="2327">
      <c r="A2327" s="67"/>
      <c r="B2327" s="67"/>
      <c r="C2327" s="67"/>
      <c r="D2327" s="67"/>
      <c r="E2327" s="67"/>
      <c r="F2327" s="68"/>
      <c r="G2327" s="68"/>
      <c r="H2327" s="68"/>
      <c r="I2327" s="68"/>
      <c r="J2327" s="68"/>
      <c r="K2327" s="69">
        <v>4200.0</v>
      </c>
      <c r="L2327" s="69">
        <v>14.25</v>
      </c>
      <c r="M2327" s="68">
        <f t="shared" si="1"/>
        <v>83.57</v>
      </c>
    </row>
    <row r="2328">
      <c r="A2328" s="70"/>
      <c r="B2328" s="70"/>
      <c r="C2328" s="70"/>
      <c r="D2328" s="70"/>
      <c r="E2328" s="70"/>
      <c r="F2328" s="66"/>
      <c r="G2328" s="66"/>
      <c r="H2328" s="66"/>
      <c r="I2328" s="66"/>
      <c r="J2328" s="66"/>
      <c r="K2328" s="63">
        <v>4800.0</v>
      </c>
      <c r="L2328" s="63">
        <v>14.6</v>
      </c>
      <c r="M2328" s="66">
        <f t="shared" si="1"/>
        <v>97.85</v>
      </c>
    </row>
    <row r="2329">
      <c r="A2329" s="67"/>
      <c r="B2329" s="67"/>
      <c r="C2329" s="67"/>
      <c r="D2329" s="67"/>
      <c r="E2329" s="67"/>
      <c r="F2329" s="68"/>
      <c r="G2329" s="68"/>
      <c r="H2329" s="68"/>
      <c r="I2329" s="68"/>
      <c r="J2329" s="68"/>
      <c r="K2329" s="69">
        <v>5200.0</v>
      </c>
      <c r="L2329" s="69">
        <v>14.5</v>
      </c>
      <c r="M2329" s="68">
        <f t="shared" si="1"/>
        <v>105.28</v>
      </c>
    </row>
    <row r="2330">
      <c r="A2330" s="73"/>
      <c r="B2330" s="73"/>
      <c r="C2330" s="73"/>
      <c r="D2330" s="73"/>
      <c r="E2330" s="73"/>
      <c r="F2330" s="66"/>
      <c r="G2330" s="66"/>
      <c r="H2330" s="66"/>
      <c r="I2330" s="66"/>
      <c r="J2330" s="66"/>
      <c r="K2330" s="63">
        <v>5800.0</v>
      </c>
      <c r="L2330" s="63">
        <v>13.6</v>
      </c>
      <c r="M2330" s="66">
        <f t="shared" si="1"/>
        <v>110.14</v>
      </c>
    </row>
    <row r="2331">
      <c r="A2331" s="67"/>
      <c r="B2331" s="67"/>
      <c r="C2331" s="67"/>
      <c r="D2331" s="67"/>
      <c r="E2331" s="67"/>
      <c r="F2331" s="68"/>
      <c r="G2331" s="68"/>
      <c r="H2331" s="68"/>
      <c r="I2331" s="68"/>
      <c r="J2331" s="68"/>
      <c r="K2331" s="69">
        <v>6100.0</v>
      </c>
      <c r="L2331" s="69">
        <v>12.7</v>
      </c>
      <c r="M2331" s="68">
        <f t="shared" si="1"/>
        <v>108.17</v>
      </c>
    </row>
    <row r="2332">
      <c r="A2332" s="70"/>
      <c r="B2332" s="70"/>
      <c r="C2332" s="70"/>
      <c r="D2332" s="70"/>
      <c r="E2332" s="70"/>
      <c r="F2332" s="66"/>
      <c r="G2332" s="66"/>
      <c r="H2332" s="66"/>
      <c r="I2332" s="66"/>
      <c r="J2332" s="66"/>
      <c r="K2332" s="63">
        <v>6500.0</v>
      </c>
      <c r="L2332" s="63">
        <v>11.65</v>
      </c>
      <c r="M2332" s="66">
        <f t="shared" si="1"/>
        <v>105.73</v>
      </c>
    </row>
    <row r="2333">
      <c r="A2333" s="67"/>
      <c r="B2333" s="67"/>
      <c r="C2333" s="67"/>
      <c r="D2333" s="67"/>
      <c r="E2333" s="67"/>
      <c r="F2333" s="68"/>
      <c r="G2333" s="68"/>
      <c r="H2333" s="68"/>
      <c r="I2333" s="68"/>
      <c r="J2333" s="68"/>
      <c r="K2333" s="69">
        <v>7000.0</v>
      </c>
      <c r="L2333" s="69">
        <v>9.45</v>
      </c>
      <c r="M2333" s="68">
        <f t="shared" si="1"/>
        <v>92.36</v>
      </c>
    </row>
    <row r="2334">
      <c r="A2334" s="66">
        <v>156.0</v>
      </c>
      <c r="B2334" s="66">
        <v>245.0</v>
      </c>
      <c r="C2334" s="74" t="s">
        <v>516</v>
      </c>
      <c r="D2334" s="74" t="s">
        <v>517</v>
      </c>
      <c r="E2334" s="74" t="s">
        <v>518</v>
      </c>
      <c r="F2334" s="65">
        <v>7000.0</v>
      </c>
      <c r="G2334" s="65">
        <v>7200.0</v>
      </c>
      <c r="H2334" s="65">
        <v>800.0</v>
      </c>
      <c r="I2334" s="65">
        <v>4800.0</v>
      </c>
      <c r="J2334" s="65">
        <v>6200.0</v>
      </c>
      <c r="K2334" s="63">
        <v>500.0</v>
      </c>
      <c r="L2334" s="63">
        <v>20.2</v>
      </c>
      <c r="M2334" s="66">
        <f t="shared" si="1"/>
        <v>14.1</v>
      </c>
    </row>
    <row r="2335">
      <c r="A2335" s="67"/>
      <c r="B2335" s="67"/>
      <c r="C2335" s="67"/>
      <c r="D2335" s="67"/>
      <c r="E2335" s="67"/>
      <c r="F2335" s="68"/>
      <c r="G2335" s="68"/>
      <c r="H2335" s="68"/>
      <c r="I2335" s="68"/>
      <c r="J2335" s="68"/>
      <c r="K2335" s="69">
        <v>1000.0</v>
      </c>
      <c r="L2335" s="69">
        <v>23.0</v>
      </c>
      <c r="M2335" s="68">
        <f t="shared" si="1"/>
        <v>32.11</v>
      </c>
    </row>
    <row r="2336">
      <c r="A2336" s="70"/>
      <c r="B2336" s="70"/>
      <c r="C2336" s="70"/>
      <c r="D2336" s="70"/>
      <c r="E2336" s="70"/>
      <c r="F2336" s="66"/>
      <c r="G2336" s="66"/>
      <c r="H2336" s="66"/>
      <c r="I2336" s="66"/>
      <c r="J2336" s="66"/>
      <c r="K2336" s="63">
        <v>1500.0</v>
      </c>
      <c r="L2336" s="63">
        <v>24.8</v>
      </c>
      <c r="M2336" s="66">
        <f t="shared" si="1"/>
        <v>51.94</v>
      </c>
    </row>
    <row r="2337">
      <c r="A2337" s="67"/>
      <c r="B2337" s="67"/>
      <c r="C2337" s="67"/>
      <c r="D2337" s="67"/>
      <c r="E2337" s="67"/>
      <c r="F2337" s="68"/>
      <c r="G2337" s="68"/>
      <c r="H2337" s="68"/>
      <c r="I2337" s="68"/>
      <c r="J2337" s="68"/>
      <c r="K2337" s="69">
        <v>2000.0</v>
      </c>
      <c r="L2337" s="69">
        <v>25.7</v>
      </c>
      <c r="M2337" s="68">
        <f t="shared" si="1"/>
        <v>71.77</v>
      </c>
    </row>
    <row r="2338">
      <c r="A2338" s="70"/>
      <c r="B2338" s="70"/>
      <c r="C2338" s="70"/>
      <c r="D2338" s="70"/>
      <c r="E2338" s="70"/>
      <c r="F2338" s="66"/>
      <c r="G2338" s="66"/>
      <c r="H2338" s="66"/>
      <c r="I2338" s="66"/>
      <c r="J2338" s="66"/>
      <c r="K2338" s="63">
        <v>2500.0</v>
      </c>
      <c r="L2338" s="63">
        <v>25.8</v>
      </c>
      <c r="M2338" s="66">
        <f t="shared" si="1"/>
        <v>90.06</v>
      </c>
    </row>
    <row r="2339">
      <c r="A2339" s="67"/>
      <c r="B2339" s="67"/>
      <c r="C2339" s="67"/>
      <c r="D2339" s="67"/>
      <c r="E2339" s="67"/>
      <c r="F2339" s="68"/>
      <c r="G2339" s="68"/>
      <c r="H2339" s="68"/>
      <c r="I2339" s="68"/>
      <c r="J2339" s="68"/>
      <c r="K2339" s="69">
        <v>3000.0</v>
      </c>
      <c r="L2339" s="69">
        <v>27.2</v>
      </c>
      <c r="M2339" s="68">
        <f t="shared" si="1"/>
        <v>113.93</v>
      </c>
    </row>
    <row r="2340">
      <c r="A2340" s="70"/>
      <c r="B2340" s="70"/>
      <c r="C2340" s="70"/>
      <c r="D2340" s="70"/>
      <c r="E2340" s="70"/>
      <c r="F2340" s="66"/>
      <c r="G2340" s="66"/>
      <c r="H2340" s="66"/>
      <c r="I2340" s="66"/>
      <c r="J2340" s="66"/>
      <c r="K2340" s="63">
        <v>3500.0</v>
      </c>
      <c r="L2340" s="63">
        <v>28.9</v>
      </c>
      <c r="M2340" s="66">
        <f t="shared" si="1"/>
        <v>141.23</v>
      </c>
    </row>
    <row r="2341">
      <c r="A2341" s="67"/>
      <c r="B2341" s="67"/>
      <c r="C2341" s="67"/>
      <c r="D2341" s="67"/>
      <c r="E2341" s="67"/>
      <c r="F2341" s="68"/>
      <c r="G2341" s="68"/>
      <c r="H2341" s="68"/>
      <c r="I2341" s="68"/>
      <c r="J2341" s="68"/>
      <c r="K2341" s="69">
        <v>4000.0</v>
      </c>
      <c r="L2341" s="69">
        <v>30.2</v>
      </c>
      <c r="M2341" s="68">
        <f t="shared" si="1"/>
        <v>168.67</v>
      </c>
    </row>
    <row r="2342">
      <c r="A2342" s="70"/>
      <c r="B2342" s="70"/>
      <c r="C2342" s="70"/>
      <c r="D2342" s="70"/>
      <c r="E2342" s="70"/>
      <c r="F2342" s="66"/>
      <c r="G2342" s="66"/>
      <c r="H2342" s="66"/>
      <c r="I2342" s="66"/>
      <c r="J2342" s="66"/>
      <c r="K2342" s="63">
        <v>4800.0</v>
      </c>
      <c r="L2342" s="63">
        <v>30.6</v>
      </c>
      <c r="M2342" s="66">
        <f t="shared" si="1"/>
        <v>205.08</v>
      </c>
    </row>
    <row r="2343">
      <c r="A2343" s="67"/>
      <c r="B2343" s="67"/>
      <c r="C2343" s="67"/>
      <c r="D2343" s="67"/>
      <c r="E2343" s="67"/>
      <c r="F2343" s="68"/>
      <c r="G2343" s="68"/>
      <c r="H2343" s="68"/>
      <c r="I2343" s="68"/>
      <c r="J2343" s="68"/>
      <c r="K2343" s="69">
        <v>5000.0</v>
      </c>
      <c r="L2343" s="69">
        <v>30.6</v>
      </c>
      <c r="M2343" s="68">
        <f t="shared" si="1"/>
        <v>213.63</v>
      </c>
    </row>
    <row r="2344">
      <c r="A2344" s="70"/>
      <c r="B2344" s="70"/>
      <c r="C2344" s="70"/>
      <c r="D2344" s="70"/>
      <c r="E2344" s="70"/>
      <c r="F2344" s="66"/>
      <c r="G2344" s="66"/>
      <c r="H2344" s="66"/>
      <c r="I2344" s="66"/>
      <c r="J2344" s="66"/>
      <c r="K2344" s="63">
        <v>5500.0</v>
      </c>
      <c r="L2344" s="63">
        <v>30.4</v>
      </c>
      <c r="M2344" s="66">
        <f t="shared" si="1"/>
        <v>233.45</v>
      </c>
    </row>
    <row r="2345">
      <c r="A2345" s="67"/>
      <c r="B2345" s="67"/>
      <c r="C2345" s="67"/>
      <c r="D2345" s="67"/>
      <c r="E2345" s="67"/>
      <c r="F2345" s="68"/>
      <c r="G2345" s="68"/>
      <c r="H2345" s="68"/>
      <c r="I2345" s="68"/>
      <c r="J2345" s="68"/>
      <c r="K2345" s="69">
        <v>6000.0</v>
      </c>
      <c r="L2345" s="69">
        <v>29.3</v>
      </c>
      <c r="M2345" s="68">
        <f t="shared" si="1"/>
        <v>245.46</v>
      </c>
    </row>
    <row r="2346">
      <c r="A2346" s="70"/>
      <c r="B2346" s="70"/>
      <c r="C2346" s="70"/>
      <c r="D2346" s="70"/>
      <c r="E2346" s="70"/>
      <c r="F2346" s="66"/>
      <c r="G2346" s="66"/>
      <c r="H2346" s="66"/>
      <c r="I2346" s="66"/>
      <c r="J2346" s="66"/>
      <c r="K2346" s="63">
        <v>6200.0</v>
      </c>
      <c r="L2346" s="63">
        <v>28.8</v>
      </c>
      <c r="M2346" s="66">
        <f t="shared" si="1"/>
        <v>249.32</v>
      </c>
    </row>
    <row r="2347">
      <c r="A2347" s="67"/>
      <c r="B2347" s="67"/>
      <c r="C2347" s="67"/>
      <c r="D2347" s="67"/>
      <c r="E2347" s="67"/>
      <c r="F2347" s="68"/>
      <c r="G2347" s="68"/>
      <c r="H2347" s="68"/>
      <c r="I2347" s="68"/>
      <c r="J2347" s="68"/>
      <c r="K2347" s="69">
        <v>7000.0</v>
      </c>
      <c r="L2347" s="69">
        <v>25.2</v>
      </c>
      <c r="M2347" s="68">
        <f t="shared" si="1"/>
        <v>246.3</v>
      </c>
    </row>
    <row r="2348">
      <c r="A2348" s="70"/>
      <c r="B2348" s="70"/>
      <c r="C2348" s="70"/>
      <c r="D2348" s="70"/>
      <c r="E2348" s="70"/>
      <c r="F2348" s="66"/>
      <c r="G2348" s="66"/>
      <c r="H2348" s="66"/>
      <c r="I2348" s="66"/>
      <c r="J2348" s="66"/>
      <c r="K2348" s="63">
        <v>7500.0</v>
      </c>
      <c r="L2348" s="63">
        <v>22.0</v>
      </c>
      <c r="M2348" s="66">
        <f t="shared" si="1"/>
        <v>230.38</v>
      </c>
    </row>
    <row r="2349">
      <c r="A2349" s="68">
        <v>157.0</v>
      </c>
      <c r="B2349" s="68">
        <v>254.0</v>
      </c>
      <c r="C2349" s="71" t="s">
        <v>519</v>
      </c>
      <c r="D2349" s="71" t="s">
        <v>520</v>
      </c>
      <c r="E2349" s="71" t="s">
        <v>521</v>
      </c>
      <c r="F2349" s="72">
        <v>6000.0</v>
      </c>
      <c r="G2349" s="72">
        <v>6100.0</v>
      </c>
      <c r="H2349" s="72">
        <v>700.0</v>
      </c>
      <c r="I2349" s="72">
        <v>3000.0</v>
      </c>
      <c r="J2349" s="72">
        <v>5400.0</v>
      </c>
      <c r="K2349" s="69">
        <v>500.0</v>
      </c>
      <c r="L2349" s="69">
        <v>10.6</v>
      </c>
      <c r="M2349" s="68">
        <f t="shared" si="1"/>
        <v>7.4</v>
      </c>
    </row>
    <row r="2350">
      <c r="A2350" s="70"/>
      <c r="B2350" s="70"/>
      <c r="C2350" s="70"/>
      <c r="D2350" s="70"/>
      <c r="E2350" s="70"/>
      <c r="F2350" s="66"/>
      <c r="G2350" s="66"/>
      <c r="H2350" s="66"/>
      <c r="I2350" s="66"/>
      <c r="J2350" s="66"/>
      <c r="K2350" s="63">
        <v>1000.0</v>
      </c>
      <c r="L2350" s="63">
        <v>12.15</v>
      </c>
      <c r="M2350" s="66">
        <f t="shared" si="1"/>
        <v>16.96</v>
      </c>
    </row>
    <row r="2351">
      <c r="A2351" s="67"/>
      <c r="B2351" s="67"/>
      <c r="C2351" s="67"/>
      <c r="D2351" s="67"/>
      <c r="E2351" s="67"/>
      <c r="F2351" s="68"/>
      <c r="G2351" s="68"/>
      <c r="H2351" s="68"/>
      <c r="I2351" s="68"/>
      <c r="J2351" s="68"/>
      <c r="K2351" s="69">
        <v>1500.0</v>
      </c>
      <c r="L2351" s="69">
        <v>13.3</v>
      </c>
      <c r="M2351" s="68">
        <f t="shared" si="1"/>
        <v>27.86</v>
      </c>
    </row>
    <row r="2352">
      <c r="A2352" s="70"/>
      <c r="B2352" s="70"/>
      <c r="C2352" s="70"/>
      <c r="D2352" s="70"/>
      <c r="E2352" s="70"/>
      <c r="F2352" s="66"/>
      <c r="G2352" s="66"/>
      <c r="H2352" s="66"/>
      <c r="I2352" s="66"/>
      <c r="J2352" s="66"/>
      <c r="K2352" s="63">
        <v>2000.0</v>
      </c>
      <c r="L2352" s="63">
        <v>14.25</v>
      </c>
      <c r="M2352" s="66">
        <f t="shared" si="1"/>
        <v>39.79</v>
      </c>
    </row>
    <row r="2353">
      <c r="A2353" s="67"/>
      <c r="B2353" s="67"/>
      <c r="C2353" s="67"/>
      <c r="D2353" s="67"/>
      <c r="E2353" s="67"/>
      <c r="F2353" s="68"/>
      <c r="G2353" s="68"/>
      <c r="H2353" s="68"/>
      <c r="I2353" s="68"/>
      <c r="J2353" s="68"/>
      <c r="K2353" s="69">
        <v>2500.0</v>
      </c>
      <c r="L2353" s="69">
        <v>14.9</v>
      </c>
      <c r="M2353" s="68">
        <f t="shared" si="1"/>
        <v>52.01</v>
      </c>
    </row>
    <row r="2354">
      <c r="A2354" s="73"/>
      <c r="B2354" s="73"/>
      <c r="C2354" s="73"/>
      <c r="D2354" s="73"/>
      <c r="E2354" s="73"/>
      <c r="F2354" s="66"/>
      <c r="G2354" s="66"/>
      <c r="H2354" s="66"/>
      <c r="I2354" s="66"/>
      <c r="J2354" s="66"/>
      <c r="K2354" s="63">
        <v>3000.0</v>
      </c>
      <c r="L2354" s="63">
        <v>15.2</v>
      </c>
      <c r="M2354" s="66">
        <f t="shared" si="1"/>
        <v>63.67</v>
      </c>
    </row>
    <row r="2355">
      <c r="A2355" s="67"/>
      <c r="B2355" s="67"/>
      <c r="C2355" s="67"/>
      <c r="D2355" s="67"/>
      <c r="E2355" s="67"/>
      <c r="F2355" s="68"/>
      <c r="G2355" s="68"/>
      <c r="H2355" s="68"/>
      <c r="I2355" s="68"/>
      <c r="J2355" s="68"/>
      <c r="K2355" s="69">
        <v>3500.0</v>
      </c>
      <c r="L2355" s="69">
        <v>15.0</v>
      </c>
      <c r="M2355" s="68">
        <f t="shared" si="1"/>
        <v>73.3</v>
      </c>
    </row>
    <row r="2356">
      <c r="A2356" s="70"/>
      <c r="B2356" s="70"/>
      <c r="C2356" s="70"/>
      <c r="D2356" s="70"/>
      <c r="E2356" s="70"/>
      <c r="F2356" s="66"/>
      <c r="G2356" s="66"/>
      <c r="H2356" s="66"/>
      <c r="I2356" s="66"/>
      <c r="J2356" s="66"/>
      <c r="K2356" s="63">
        <v>4000.0</v>
      </c>
      <c r="L2356" s="63">
        <v>14.35</v>
      </c>
      <c r="M2356" s="66">
        <f t="shared" si="1"/>
        <v>80.15</v>
      </c>
    </row>
    <row r="2357">
      <c r="A2357" s="67"/>
      <c r="B2357" s="67"/>
      <c r="C2357" s="67"/>
      <c r="D2357" s="67"/>
      <c r="E2357" s="67"/>
      <c r="F2357" s="68"/>
      <c r="G2357" s="68"/>
      <c r="H2357" s="68"/>
      <c r="I2357" s="68"/>
      <c r="J2357" s="68"/>
      <c r="K2357" s="69">
        <v>4500.0</v>
      </c>
      <c r="L2357" s="69">
        <v>13.65</v>
      </c>
      <c r="M2357" s="68">
        <f t="shared" si="1"/>
        <v>85.77</v>
      </c>
    </row>
    <row r="2358">
      <c r="A2358" s="70"/>
      <c r="B2358" s="70"/>
      <c r="C2358" s="70"/>
      <c r="D2358" s="70"/>
      <c r="E2358" s="70"/>
      <c r="F2358" s="66"/>
      <c r="G2358" s="66"/>
      <c r="H2358" s="66"/>
      <c r="I2358" s="66"/>
      <c r="J2358" s="66"/>
      <c r="K2358" s="63">
        <v>5000.0</v>
      </c>
      <c r="L2358" s="63">
        <v>12.8</v>
      </c>
      <c r="M2358" s="66">
        <f t="shared" si="1"/>
        <v>89.36</v>
      </c>
    </row>
    <row r="2359">
      <c r="A2359" s="67"/>
      <c r="B2359" s="67"/>
      <c r="C2359" s="67"/>
      <c r="D2359" s="67"/>
      <c r="E2359" s="67"/>
      <c r="F2359" s="68"/>
      <c r="G2359" s="68"/>
      <c r="H2359" s="68"/>
      <c r="I2359" s="68"/>
      <c r="J2359" s="68"/>
      <c r="K2359" s="69">
        <v>5400.0</v>
      </c>
      <c r="L2359" s="69">
        <v>12.0</v>
      </c>
      <c r="M2359" s="68">
        <f t="shared" si="1"/>
        <v>90.48</v>
      </c>
    </row>
    <row r="2360">
      <c r="A2360" s="70"/>
      <c r="B2360" s="70"/>
      <c r="C2360" s="70"/>
      <c r="D2360" s="70"/>
      <c r="E2360" s="70"/>
      <c r="F2360" s="66"/>
      <c r="G2360" s="66"/>
      <c r="H2360" s="66"/>
      <c r="I2360" s="66"/>
      <c r="J2360" s="66"/>
      <c r="K2360" s="63">
        <v>6000.0</v>
      </c>
      <c r="L2360" s="63">
        <v>10.6</v>
      </c>
      <c r="M2360" s="66">
        <f t="shared" si="1"/>
        <v>88.8</v>
      </c>
    </row>
    <row r="2361">
      <c r="A2361" s="67"/>
      <c r="B2361" s="67"/>
      <c r="C2361" s="67"/>
      <c r="D2361" s="67"/>
      <c r="E2361" s="67"/>
      <c r="F2361" s="68"/>
      <c r="G2361" s="68"/>
      <c r="H2361" s="68"/>
      <c r="I2361" s="68"/>
      <c r="J2361" s="68"/>
      <c r="K2361" s="69">
        <v>6500.0</v>
      </c>
      <c r="L2361" s="69">
        <v>9.35</v>
      </c>
      <c r="M2361" s="68">
        <f t="shared" si="1"/>
        <v>84.86</v>
      </c>
    </row>
    <row r="2362">
      <c r="A2362" s="70"/>
      <c r="B2362" s="70"/>
      <c r="C2362" s="70"/>
      <c r="D2362" s="70"/>
      <c r="E2362" s="70"/>
      <c r="F2362" s="66"/>
      <c r="G2362" s="66"/>
      <c r="H2362" s="66"/>
      <c r="I2362" s="66"/>
      <c r="J2362" s="66"/>
      <c r="K2362" s="63">
        <v>7000.0</v>
      </c>
      <c r="L2362" s="63">
        <v>7.9</v>
      </c>
      <c r="M2362" s="66">
        <f t="shared" si="1"/>
        <v>77.21</v>
      </c>
    </row>
    <row r="2363">
      <c r="A2363" s="68">
        <v>158.0</v>
      </c>
      <c r="B2363" s="68">
        <v>255.0</v>
      </c>
      <c r="C2363" s="71" t="s">
        <v>522</v>
      </c>
      <c r="D2363" s="71" t="s">
        <v>523</v>
      </c>
      <c r="E2363" s="71" t="s">
        <v>524</v>
      </c>
      <c r="F2363" s="72">
        <v>5000.0</v>
      </c>
      <c r="G2363" s="72">
        <v>5500.0</v>
      </c>
      <c r="H2363" s="72">
        <v>700.0</v>
      </c>
      <c r="I2363" s="72">
        <v>4000.0</v>
      </c>
      <c r="J2363" s="72">
        <v>5400.0</v>
      </c>
      <c r="K2363" s="69">
        <v>500.0</v>
      </c>
      <c r="L2363" s="69">
        <v>14.7</v>
      </c>
      <c r="M2363" s="68">
        <f t="shared" si="1"/>
        <v>10.26</v>
      </c>
    </row>
    <row r="2364">
      <c r="A2364" s="70"/>
      <c r="B2364" s="70"/>
      <c r="C2364" s="70"/>
      <c r="D2364" s="70"/>
      <c r="E2364" s="70"/>
      <c r="F2364" s="66"/>
      <c r="G2364" s="66"/>
      <c r="H2364" s="66"/>
      <c r="I2364" s="66"/>
      <c r="J2364" s="66"/>
      <c r="K2364" s="63">
        <v>1000.0</v>
      </c>
      <c r="L2364" s="63">
        <v>17.0</v>
      </c>
      <c r="M2364" s="66">
        <f t="shared" si="1"/>
        <v>23.74</v>
      </c>
    </row>
    <row r="2365">
      <c r="A2365" s="67"/>
      <c r="B2365" s="67"/>
      <c r="C2365" s="67"/>
      <c r="D2365" s="67"/>
      <c r="E2365" s="67"/>
      <c r="F2365" s="68"/>
      <c r="G2365" s="68"/>
      <c r="H2365" s="68"/>
      <c r="I2365" s="68"/>
      <c r="J2365" s="68"/>
      <c r="K2365" s="69">
        <v>1500.0</v>
      </c>
      <c r="L2365" s="69">
        <v>19.9</v>
      </c>
      <c r="M2365" s="68">
        <f t="shared" si="1"/>
        <v>41.68</v>
      </c>
    </row>
    <row r="2366">
      <c r="A2366" s="70"/>
      <c r="B2366" s="70"/>
      <c r="C2366" s="70"/>
      <c r="D2366" s="70"/>
      <c r="E2366" s="70"/>
      <c r="F2366" s="66"/>
      <c r="G2366" s="66"/>
      <c r="H2366" s="66"/>
      <c r="I2366" s="66"/>
      <c r="J2366" s="66"/>
      <c r="K2366" s="63">
        <v>2000.0</v>
      </c>
      <c r="L2366" s="63">
        <v>22.8</v>
      </c>
      <c r="M2366" s="66">
        <f t="shared" si="1"/>
        <v>63.67</v>
      </c>
    </row>
    <row r="2367">
      <c r="A2367" s="67"/>
      <c r="B2367" s="67"/>
      <c r="C2367" s="67"/>
      <c r="D2367" s="67"/>
      <c r="E2367" s="67"/>
      <c r="F2367" s="68"/>
      <c r="G2367" s="68"/>
      <c r="H2367" s="68"/>
      <c r="I2367" s="68"/>
      <c r="J2367" s="68"/>
      <c r="K2367" s="69">
        <v>2500.0</v>
      </c>
      <c r="L2367" s="69">
        <v>25.6</v>
      </c>
      <c r="M2367" s="68">
        <f t="shared" si="1"/>
        <v>89.36</v>
      </c>
    </row>
    <row r="2368">
      <c r="A2368" s="70"/>
      <c r="B2368" s="70"/>
      <c r="C2368" s="70"/>
      <c r="D2368" s="70"/>
      <c r="E2368" s="70"/>
      <c r="F2368" s="66"/>
      <c r="G2368" s="66"/>
      <c r="H2368" s="66"/>
      <c r="I2368" s="66"/>
      <c r="J2368" s="66"/>
      <c r="K2368" s="63">
        <v>3000.0</v>
      </c>
      <c r="L2368" s="63">
        <v>28.0</v>
      </c>
      <c r="M2368" s="66">
        <f t="shared" si="1"/>
        <v>117.29</v>
      </c>
    </row>
    <row r="2369">
      <c r="A2369" s="67"/>
      <c r="B2369" s="67"/>
      <c r="C2369" s="67"/>
      <c r="D2369" s="67"/>
      <c r="E2369" s="67"/>
      <c r="F2369" s="68"/>
      <c r="G2369" s="68"/>
      <c r="H2369" s="68"/>
      <c r="I2369" s="68"/>
      <c r="J2369" s="68"/>
      <c r="K2369" s="69">
        <v>3500.0</v>
      </c>
      <c r="L2369" s="69">
        <v>30.6</v>
      </c>
      <c r="M2369" s="68">
        <f t="shared" si="1"/>
        <v>149.54</v>
      </c>
    </row>
    <row r="2370">
      <c r="A2370" s="70"/>
      <c r="B2370" s="70"/>
      <c r="C2370" s="70"/>
      <c r="D2370" s="70"/>
      <c r="E2370" s="70"/>
      <c r="F2370" s="66"/>
      <c r="G2370" s="66"/>
      <c r="H2370" s="66"/>
      <c r="I2370" s="66"/>
      <c r="J2370" s="66"/>
      <c r="K2370" s="63">
        <v>4000.0</v>
      </c>
      <c r="L2370" s="63">
        <v>32.4</v>
      </c>
      <c r="M2370" s="66">
        <f t="shared" si="1"/>
        <v>180.96</v>
      </c>
    </row>
    <row r="2371">
      <c r="A2371" s="67"/>
      <c r="B2371" s="67"/>
      <c r="C2371" s="67"/>
      <c r="D2371" s="67"/>
      <c r="E2371" s="67"/>
      <c r="F2371" s="68"/>
      <c r="G2371" s="68"/>
      <c r="H2371" s="68"/>
      <c r="I2371" s="68"/>
      <c r="J2371" s="68"/>
      <c r="K2371" s="69">
        <v>4500.0</v>
      </c>
      <c r="L2371" s="69">
        <v>33.4</v>
      </c>
      <c r="M2371" s="68">
        <f t="shared" si="1"/>
        <v>209.86</v>
      </c>
    </row>
    <row r="2372">
      <c r="A2372" s="70"/>
      <c r="B2372" s="70"/>
      <c r="C2372" s="70"/>
      <c r="D2372" s="70"/>
      <c r="E2372" s="70"/>
      <c r="F2372" s="66"/>
      <c r="G2372" s="66"/>
      <c r="H2372" s="66"/>
      <c r="I2372" s="66"/>
      <c r="J2372" s="66"/>
      <c r="K2372" s="63">
        <v>5000.0</v>
      </c>
      <c r="L2372" s="63">
        <v>32.3</v>
      </c>
      <c r="M2372" s="66">
        <f t="shared" si="1"/>
        <v>225.5</v>
      </c>
    </row>
    <row r="2373">
      <c r="A2373" s="67"/>
      <c r="B2373" s="67"/>
      <c r="C2373" s="67"/>
      <c r="D2373" s="67"/>
      <c r="E2373" s="67"/>
      <c r="F2373" s="68"/>
      <c r="G2373" s="68"/>
      <c r="H2373" s="68"/>
      <c r="I2373" s="68"/>
      <c r="J2373" s="68"/>
      <c r="K2373" s="69">
        <v>5400.0</v>
      </c>
      <c r="L2373" s="69">
        <v>30.1</v>
      </c>
      <c r="M2373" s="68">
        <f t="shared" si="1"/>
        <v>226.95</v>
      </c>
    </row>
    <row r="2374">
      <c r="A2374" s="70"/>
      <c r="B2374" s="70"/>
      <c r="C2374" s="70"/>
      <c r="D2374" s="70"/>
      <c r="E2374" s="70"/>
      <c r="F2374" s="66"/>
      <c r="G2374" s="66"/>
      <c r="H2374" s="66"/>
      <c r="I2374" s="66"/>
      <c r="J2374" s="66"/>
      <c r="K2374" s="63">
        <v>6000.0</v>
      </c>
      <c r="L2374" s="63">
        <v>24.6</v>
      </c>
      <c r="M2374" s="66">
        <f t="shared" si="1"/>
        <v>206.09</v>
      </c>
    </row>
    <row r="2375">
      <c r="A2375" s="67"/>
      <c r="B2375" s="67"/>
      <c r="C2375" s="67"/>
      <c r="D2375" s="67"/>
      <c r="E2375" s="67"/>
      <c r="F2375" s="68"/>
      <c r="G2375" s="68"/>
      <c r="H2375" s="68"/>
      <c r="I2375" s="68"/>
      <c r="J2375" s="68"/>
      <c r="K2375" s="69">
        <v>6500.0</v>
      </c>
      <c r="L2375" s="69">
        <v>18.9</v>
      </c>
      <c r="M2375" s="68">
        <f t="shared" si="1"/>
        <v>171.53</v>
      </c>
    </row>
    <row r="2376">
      <c r="A2376" s="66">
        <v>159.0</v>
      </c>
      <c r="B2376" s="66">
        <v>256.0</v>
      </c>
      <c r="C2376" s="74" t="s">
        <v>525</v>
      </c>
      <c r="D2376" s="74" t="s">
        <v>526</v>
      </c>
      <c r="E2376" s="74" t="s">
        <v>527</v>
      </c>
      <c r="F2376" s="65">
        <v>6600.0</v>
      </c>
      <c r="G2376" s="65">
        <v>6800.0</v>
      </c>
      <c r="H2376" s="65">
        <v>800.0</v>
      </c>
      <c r="I2376" s="65">
        <v>2800.0</v>
      </c>
      <c r="J2376" s="65">
        <v>6300.0</v>
      </c>
      <c r="K2376" s="63">
        <v>500.0</v>
      </c>
      <c r="L2376" s="63">
        <v>21.91</v>
      </c>
      <c r="M2376" s="66">
        <f t="shared" si="1"/>
        <v>15.3</v>
      </c>
    </row>
    <row r="2377">
      <c r="A2377" s="67"/>
      <c r="B2377" s="67"/>
      <c r="C2377" s="67"/>
      <c r="D2377" s="67"/>
      <c r="E2377" s="67"/>
      <c r="F2377" s="68"/>
      <c r="G2377" s="68"/>
      <c r="H2377" s="68"/>
      <c r="I2377" s="68"/>
      <c r="J2377" s="68"/>
      <c r="K2377" s="69">
        <v>1000.0</v>
      </c>
      <c r="L2377" s="69">
        <v>24.24</v>
      </c>
      <c r="M2377" s="68">
        <f t="shared" si="1"/>
        <v>33.85</v>
      </c>
    </row>
    <row r="2378">
      <c r="A2378" s="73"/>
      <c r="B2378" s="73"/>
      <c r="C2378" s="73"/>
      <c r="D2378" s="73"/>
      <c r="E2378" s="73"/>
      <c r="F2378" s="66"/>
      <c r="G2378" s="66"/>
      <c r="H2378" s="66"/>
      <c r="I2378" s="66"/>
      <c r="J2378" s="66"/>
      <c r="K2378" s="63">
        <v>1500.0</v>
      </c>
      <c r="L2378" s="63">
        <v>26.34</v>
      </c>
      <c r="M2378" s="66">
        <f t="shared" si="1"/>
        <v>55.17</v>
      </c>
    </row>
    <row r="2379">
      <c r="A2379" s="67"/>
      <c r="B2379" s="67"/>
      <c r="C2379" s="67"/>
      <c r="D2379" s="67"/>
      <c r="E2379" s="67"/>
      <c r="F2379" s="68"/>
      <c r="G2379" s="68"/>
      <c r="H2379" s="68"/>
      <c r="I2379" s="68"/>
      <c r="J2379" s="68"/>
      <c r="K2379" s="69">
        <v>2000.0</v>
      </c>
      <c r="L2379" s="69">
        <v>29.33</v>
      </c>
      <c r="M2379" s="68">
        <f t="shared" si="1"/>
        <v>81.9</v>
      </c>
    </row>
    <row r="2380">
      <c r="A2380" s="70"/>
      <c r="B2380" s="70"/>
      <c r="C2380" s="70"/>
      <c r="D2380" s="70"/>
      <c r="E2380" s="70"/>
      <c r="F2380" s="66"/>
      <c r="G2380" s="66"/>
      <c r="H2380" s="66"/>
      <c r="I2380" s="66"/>
      <c r="J2380" s="66"/>
      <c r="K2380" s="63">
        <v>2500.0</v>
      </c>
      <c r="L2380" s="63">
        <v>32.13</v>
      </c>
      <c r="M2380" s="66">
        <f t="shared" si="1"/>
        <v>112.15</v>
      </c>
    </row>
    <row r="2381">
      <c r="A2381" s="67"/>
      <c r="B2381" s="67"/>
      <c r="C2381" s="67"/>
      <c r="D2381" s="67"/>
      <c r="E2381" s="67"/>
      <c r="F2381" s="68"/>
      <c r="G2381" s="68"/>
      <c r="H2381" s="68"/>
      <c r="I2381" s="68"/>
      <c r="J2381" s="68"/>
      <c r="K2381" s="69">
        <v>3000.0</v>
      </c>
      <c r="L2381" s="69">
        <v>32.63</v>
      </c>
      <c r="M2381" s="68">
        <f t="shared" si="1"/>
        <v>136.68</v>
      </c>
    </row>
    <row r="2382">
      <c r="A2382" s="70"/>
      <c r="B2382" s="70"/>
      <c r="C2382" s="70"/>
      <c r="D2382" s="70"/>
      <c r="E2382" s="70"/>
      <c r="F2382" s="66"/>
      <c r="G2382" s="66"/>
      <c r="H2382" s="66"/>
      <c r="I2382" s="66"/>
      <c r="J2382" s="66"/>
      <c r="K2382" s="63">
        <v>3500.0</v>
      </c>
      <c r="L2382" s="63">
        <v>32.43</v>
      </c>
      <c r="M2382" s="66">
        <f t="shared" si="1"/>
        <v>158.48</v>
      </c>
    </row>
    <row r="2383">
      <c r="A2383" s="67"/>
      <c r="B2383" s="67"/>
      <c r="C2383" s="67"/>
      <c r="D2383" s="67"/>
      <c r="E2383" s="67"/>
      <c r="F2383" s="68"/>
      <c r="G2383" s="68"/>
      <c r="H2383" s="68"/>
      <c r="I2383" s="68"/>
      <c r="J2383" s="68"/>
      <c r="K2383" s="69">
        <v>4000.0</v>
      </c>
      <c r="L2383" s="69">
        <v>32.17</v>
      </c>
      <c r="M2383" s="68">
        <f t="shared" si="1"/>
        <v>179.67</v>
      </c>
    </row>
    <row r="2384">
      <c r="A2384" s="70"/>
      <c r="B2384" s="70"/>
      <c r="C2384" s="70"/>
      <c r="D2384" s="70"/>
      <c r="E2384" s="70"/>
      <c r="F2384" s="66"/>
      <c r="G2384" s="66"/>
      <c r="H2384" s="66"/>
      <c r="I2384" s="66"/>
      <c r="J2384" s="66"/>
      <c r="K2384" s="63">
        <v>4500.0</v>
      </c>
      <c r="L2384" s="63">
        <v>31.74</v>
      </c>
      <c r="M2384" s="66">
        <f t="shared" si="1"/>
        <v>199.43</v>
      </c>
    </row>
    <row r="2385">
      <c r="A2385" s="67"/>
      <c r="B2385" s="67"/>
      <c r="C2385" s="67"/>
      <c r="D2385" s="67"/>
      <c r="E2385" s="67"/>
      <c r="F2385" s="68"/>
      <c r="G2385" s="68"/>
      <c r="H2385" s="68"/>
      <c r="I2385" s="68"/>
      <c r="J2385" s="68"/>
      <c r="K2385" s="69">
        <v>5000.0</v>
      </c>
      <c r="L2385" s="69">
        <v>31.44</v>
      </c>
      <c r="M2385" s="68">
        <f t="shared" si="1"/>
        <v>219.49</v>
      </c>
    </row>
    <row r="2386">
      <c r="A2386" s="70"/>
      <c r="B2386" s="70"/>
      <c r="C2386" s="70"/>
      <c r="D2386" s="70"/>
      <c r="E2386" s="70"/>
      <c r="F2386" s="66"/>
      <c r="G2386" s="66"/>
      <c r="H2386" s="66"/>
      <c r="I2386" s="66"/>
      <c r="J2386" s="66"/>
      <c r="K2386" s="63">
        <v>5500.0</v>
      </c>
      <c r="L2386" s="63">
        <v>31.3</v>
      </c>
      <c r="M2386" s="66">
        <f t="shared" si="1"/>
        <v>240.37</v>
      </c>
    </row>
    <row r="2387">
      <c r="A2387" s="67"/>
      <c r="B2387" s="67"/>
      <c r="C2387" s="67"/>
      <c r="D2387" s="67"/>
      <c r="E2387" s="67"/>
      <c r="F2387" s="68"/>
      <c r="G2387" s="68"/>
      <c r="H2387" s="68"/>
      <c r="I2387" s="68"/>
      <c r="J2387" s="68"/>
      <c r="K2387" s="69">
        <v>6300.0</v>
      </c>
      <c r="L2387" s="69">
        <v>29.5</v>
      </c>
      <c r="M2387" s="68">
        <f t="shared" si="1"/>
        <v>259.49</v>
      </c>
    </row>
    <row r="2388">
      <c r="A2388" s="70"/>
      <c r="B2388" s="70"/>
      <c r="C2388" s="70"/>
      <c r="D2388" s="70"/>
      <c r="E2388" s="70"/>
      <c r="F2388" s="66"/>
      <c r="G2388" s="66"/>
      <c r="H2388" s="66"/>
      <c r="I2388" s="66"/>
      <c r="J2388" s="66"/>
      <c r="K2388" s="63">
        <v>6500.0</v>
      </c>
      <c r="L2388" s="63">
        <v>28.81</v>
      </c>
      <c r="M2388" s="66">
        <f t="shared" si="1"/>
        <v>261.47</v>
      </c>
    </row>
    <row r="2389">
      <c r="A2389" s="67"/>
      <c r="B2389" s="67"/>
      <c r="C2389" s="67"/>
      <c r="D2389" s="67"/>
      <c r="E2389" s="67"/>
      <c r="F2389" s="68"/>
      <c r="G2389" s="68"/>
      <c r="H2389" s="68"/>
      <c r="I2389" s="68"/>
      <c r="J2389" s="68"/>
      <c r="K2389" s="69">
        <v>7000.0</v>
      </c>
      <c r="L2389" s="69">
        <v>26.56</v>
      </c>
      <c r="M2389" s="68">
        <f t="shared" si="1"/>
        <v>259.59</v>
      </c>
    </row>
    <row r="2390">
      <c r="A2390" s="66">
        <v>160.0</v>
      </c>
      <c r="B2390" s="66">
        <v>258.0</v>
      </c>
      <c r="C2390" s="74" t="s">
        <v>528</v>
      </c>
      <c r="D2390" s="74" t="s">
        <v>529</v>
      </c>
      <c r="E2390" s="74" t="s">
        <v>530</v>
      </c>
      <c r="F2390" s="65">
        <v>6000.0</v>
      </c>
      <c r="G2390" s="65">
        <v>6400.0</v>
      </c>
      <c r="H2390" s="65">
        <v>700.0</v>
      </c>
      <c r="I2390" s="65">
        <v>4600.0</v>
      </c>
      <c r="J2390" s="65">
        <v>5800.0</v>
      </c>
      <c r="K2390" s="63">
        <v>500.0</v>
      </c>
      <c r="L2390" s="63">
        <v>13.87</v>
      </c>
      <c r="M2390" s="66">
        <f t="shared" si="1"/>
        <v>9.68</v>
      </c>
    </row>
    <row r="2391">
      <c r="A2391" s="67"/>
      <c r="B2391" s="67"/>
      <c r="C2391" s="67"/>
      <c r="D2391" s="67"/>
      <c r="E2391" s="67"/>
      <c r="F2391" s="68"/>
      <c r="G2391" s="68"/>
      <c r="H2391" s="68"/>
      <c r="I2391" s="68"/>
      <c r="J2391" s="68"/>
      <c r="K2391" s="69">
        <v>1000.0</v>
      </c>
      <c r="L2391" s="69">
        <v>16.57</v>
      </c>
      <c r="M2391" s="68">
        <f t="shared" si="1"/>
        <v>23.14</v>
      </c>
    </row>
    <row r="2392">
      <c r="A2392" s="70"/>
      <c r="B2392" s="70"/>
      <c r="C2392" s="70"/>
      <c r="D2392" s="70"/>
      <c r="E2392" s="70"/>
      <c r="F2392" s="66"/>
      <c r="G2392" s="66"/>
      <c r="H2392" s="66"/>
      <c r="I2392" s="66"/>
      <c r="J2392" s="66"/>
      <c r="K2392" s="63">
        <v>1500.0</v>
      </c>
      <c r="L2392" s="63">
        <v>18.68</v>
      </c>
      <c r="M2392" s="66">
        <f t="shared" si="1"/>
        <v>39.12</v>
      </c>
    </row>
    <row r="2393">
      <c r="A2393" s="67"/>
      <c r="B2393" s="67"/>
      <c r="C2393" s="67"/>
      <c r="D2393" s="67"/>
      <c r="E2393" s="67"/>
      <c r="F2393" s="68"/>
      <c r="G2393" s="68"/>
      <c r="H2393" s="68"/>
      <c r="I2393" s="68"/>
      <c r="J2393" s="68"/>
      <c r="K2393" s="69">
        <v>2000.0</v>
      </c>
      <c r="L2393" s="69">
        <v>20.63</v>
      </c>
      <c r="M2393" s="68">
        <f t="shared" si="1"/>
        <v>57.61</v>
      </c>
    </row>
    <row r="2394">
      <c r="A2394" s="70"/>
      <c r="B2394" s="70"/>
      <c r="C2394" s="70"/>
      <c r="D2394" s="70"/>
      <c r="E2394" s="70"/>
      <c r="F2394" s="66"/>
      <c r="G2394" s="66"/>
      <c r="H2394" s="66"/>
      <c r="I2394" s="66"/>
      <c r="J2394" s="66"/>
      <c r="K2394" s="63">
        <v>2500.0</v>
      </c>
      <c r="L2394" s="63">
        <v>22.27</v>
      </c>
      <c r="M2394" s="66">
        <f t="shared" si="1"/>
        <v>77.74</v>
      </c>
    </row>
    <row r="2395">
      <c r="A2395" s="67"/>
      <c r="B2395" s="67"/>
      <c r="C2395" s="67"/>
      <c r="D2395" s="67"/>
      <c r="E2395" s="67"/>
      <c r="F2395" s="68"/>
      <c r="G2395" s="68"/>
      <c r="H2395" s="68"/>
      <c r="I2395" s="68"/>
      <c r="J2395" s="68"/>
      <c r="K2395" s="69">
        <v>3000.0</v>
      </c>
      <c r="L2395" s="69">
        <v>23.62</v>
      </c>
      <c r="M2395" s="68">
        <f t="shared" si="1"/>
        <v>98.94</v>
      </c>
    </row>
    <row r="2396">
      <c r="A2396" s="70"/>
      <c r="B2396" s="70"/>
      <c r="C2396" s="70"/>
      <c r="D2396" s="70"/>
      <c r="E2396" s="70"/>
      <c r="F2396" s="66"/>
      <c r="G2396" s="66"/>
      <c r="H2396" s="66"/>
      <c r="I2396" s="66"/>
      <c r="J2396" s="66"/>
      <c r="K2396" s="63">
        <v>3500.0</v>
      </c>
      <c r="L2396" s="63">
        <v>24.75</v>
      </c>
      <c r="M2396" s="66">
        <f t="shared" si="1"/>
        <v>120.95</v>
      </c>
    </row>
    <row r="2397">
      <c r="A2397" s="67"/>
      <c r="B2397" s="67"/>
      <c r="C2397" s="67"/>
      <c r="D2397" s="67"/>
      <c r="E2397" s="67"/>
      <c r="F2397" s="68"/>
      <c r="G2397" s="68"/>
      <c r="H2397" s="68"/>
      <c r="I2397" s="68"/>
      <c r="J2397" s="68"/>
      <c r="K2397" s="69">
        <v>4000.0</v>
      </c>
      <c r="L2397" s="69">
        <v>25.66</v>
      </c>
      <c r="M2397" s="68">
        <f t="shared" si="1"/>
        <v>143.31</v>
      </c>
    </row>
    <row r="2398">
      <c r="A2398" s="70"/>
      <c r="B2398" s="70"/>
      <c r="C2398" s="70"/>
      <c r="D2398" s="70"/>
      <c r="E2398" s="70"/>
      <c r="F2398" s="66"/>
      <c r="G2398" s="66"/>
      <c r="H2398" s="66"/>
      <c r="I2398" s="66"/>
      <c r="J2398" s="66"/>
      <c r="K2398" s="63">
        <v>4600.0</v>
      </c>
      <c r="L2398" s="63">
        <v>26.05</v>
      </c>
      <c r="M2398" s="66">
        <f t="shared" si="1"/>
        <v>167.31</v>
      </c>
    </row>
    <row r="2399">
      <c r="A2399" s="67"/>
      <c r="B2399" s="67"/>
      <c r="C2399" s="67"/>
      <c r="D2399" s="67"/>
      <c r="E2399" s="67"/>
      <c r="F2399" s="68"/>
      <c r="G2399" s="68"/>
      <c r="H2399" s="68"/>
      <c r="I2399" s="68"/>
      <c r="J2399" s="68"/>
      <c r="K2399" s="69">
        <v>5000.0</v>
      </c>
      <c r="L2399" s="69">
        <v>25.42</v>
      </c>
      <c r="M2399" s="68">
        <f t="shared" si="1"/>
        <v>177.46</v>
      </c>
    </row>
    <row r="2400">
      <c r="A2400" s="70"/>
      <c r="B2400" s="70"/>
      <c r="C2400" s="70"/>
      <c r="D2400" s="70"/>
      <c r="E2400" s="70"/>
      <c r="F2400" s="66"/>
      <c r="G2400" s="66"/>
      <c r="H2400" s="66"/>
      <c r="I2400" s="66"/>
      <c r="J2400" s="66"/>
      <c r="K2400" s="63">
        <v>5500.0</v>
      </c>
      <c r="L2400" s="63">
        <v>24.52</v>
      </c>
      <c r="M2400" s="66">
        <f t="shared" si="1"/>
        <v>188.3</v>
      </c>
    </row>
    <row r="2401">
      <c r="A2401" s="67"/>
      <c r="B2401" s="67"/>
      <c r="C2401" s="67"/>
      <c r="D2401" s="67"/>
      <c r="E2401" s="67"/>
      <c r="F2401" s="68"/>
      <c r="G2401" s="68"/>
      <c r="H2401" s="68"/>
      <c r="I2401" s="68"/>
      <c r="J2401" s="68"/>
      <c r="K2401" s="69">
        <v>5800.0</v>
      </c>
      <c r="L2401" s="69">
        <v>23.52</v>
      </c>
      <c r="M2401" s="68">
        <f t="shared" si="1"/>
        <v>190.47</v>
      </c>
    </row>
    <row r="2402">
      <c r="A2402" s="73"/>
      <c r="B2402" s="73"/>
      <c r="C2402" s="73"/>
      <c r="D2402" s="73"/>
      <c r="E2402" s="73"/>
      <c r="F2402" s="66"/>
      <c r="G2402" s="66"/>
      <c r="H2402" s="66"/>
      <c r="I2402" s="66"/>
      <c r="J2402" s="66"/>
      <c r="K2402" s="63">
        <v>6500.0</v>
      </c>
      <c r="L2402" s="63">
        <v>18.9</v>
      </c>
      <c r="M2402" s="66">
        <f t="shared" si="1"/>
        <v>171.53</v>
      </c>
    </row>
    <row r="2403">
      <c r="A2403" s="67"/>
      <c r="B2403" s="67"/>
      <c r="C2403" s="67"/>
      <c r="D2403" s="67"/>
      <c r="E2403" s="67"/>
      <c r="F2403" s="68"/>
      <c r="G2403" s="68"/>
      <c r="H2403" s="68"/>
      <c r="I2403" s="68"/>
      <c r="J2403" s="68"/>
      <c r="K2403" s="69">
        <v>7000.0</v>
      </c>
      <c r="L2403" s="69">
        <v>13.5</v>
      </c>
      <c r="M2403" s="68">
        <f t="shared" si="1"/>
        <v>131.95</v>
      </c>
    </row>
    <row r="2404">
      <c r="A2404" s="66">
        <v>161.0</v>
      </c>
      <c r="B2404" s="66">
        <v>261.0</v>
      </c>
      <c r="C2404" s="74" t="s">
        <v>531</v>
      </c>
      <c r="D2404" s="74" t="s">
        <v>532</v>
      </c>
      <c r="E2404" s="74" t="s">
        <v>533</v>
      </c>
      <c r="F2404" s="65">
        <v>8000.0</v>
      </c>
      <c r="G2404" s="65">
        <v>8200.0</v>
      </c>
      <c r="H2404" s="65">
        <v>800.0</v>
      </c>
      <c r="I2404" s="65">
        <v>3200.0</v>
      </c>
      <c r="J2404" s="65">
        <v>6000.0</v>
      </c>
      <c r="K2404" s="63">
        <v>500.0</v>
      </c>
      <c r="L2404" s="63">
        <v>17.3</v>
      </c>
      <c r="M2404" s="66">
        <f t="shared" si="1"/>
        <v>12.08</v>
      </c>
    </row>
    <row r="2405">
      <c r="A2405" s="67"/>
      <c r="B2405" s="67"/>
      <c r="C2405" s="67"/>
      <c r="D2405" s="67"/>
      <c r="E2405" s="67"/>
      <c r="F2405" s="68"/>
      <c r="G2405" s="68"/>
      <c r="H2405" s="68"/>
      <c r="I2405" s="68"/>
      <c r="J2405" s="68"/>
      <c r="K2405" s="69">
        <v>1000.0</v>
      </c>
      <c r="L2405" s="69">
        <v>19.8</v>
      </c>
      <c r="M2405" s="68">
        <f t="shared" si="1"/>
        <v>27.65</v>
      </c>
    </row>
    <row r="2406">
      <c r="A2406" s="70"/>
      <c r="B2406" s="70"/>
      <c r="C2406" s="70"/>
      <c r="D2406" s="70"/>
      <c r="E2406" s="70"/>
      <c r="F2406" s="66"/>
      <c r="G2406" s="66"/>
      <c r="H2406" s="66"/>
      <c r="I2406" s="66"/>
      <c r="J2406" s="66"/>
      <c r="K2406" s="63">
        <v>1500.0</v>
      </c>
      <c r="L2406" s="63">
        <v>23.4</v>
      </c>
      <c r="M2406" s="66">
        <f t="shared" si="1"/>
        <v>49.01</v>
      </c>
    </row>
    <row r="2407">
      <c r="A2407" s="67"/>
      <c r="B2407" s="67"/>
      <c r="C2407" s="67"/>
      <c r="D2407" s="67"/>
      <c r="E2407" s="67"/>
      <c r="F2407" s="68"/>
      <c r="G2407" s="68"/>
      <c r="H2407" s="68"/>
      <c r="I2407" s="68"/>
      <c r="J2407" s="68"/>
      <c r="K2407" s="69">
        <v>2000.0</v>
      </c>
      <c r="L2407" s="69">
        <v>30.8</v>
      </c>
      <c r="M2407" s="68">
        <f t="shared" si="1"/>
        <v>86.01</v>
      </c>
    </row>
    <row r="2408">
      <c r="A2408" s="70"/>
      <c r="B2408" s="70"/>
      <c r="C2408" s="70"/>
      <c r="D2408" s="70"/>
      <c r="E2408" s="70"/>
      <c r="F2408" s="66"/>
      <c r="G2408" s="66"/>
      <c r="H2408" s="66"/>
      <c r="I2408" s="66"/>
      <c r="J2408" s="66"/>
      <c r="K2408" s="63">
        <v>2500.0</v>
      </c>
      <c r="L2408" s="63">
        <v>34.8</v>
      </c>
      <c r="M2408" s="66">
        <f t="shared" si="1"/>
        <v>121.47</v>
      </c>
    </row>
    <row r="2409">
      <c r="A2409" s="67"/>
      <c r="B2409" s="67"/>
      <c r="C2409" s="67"/>
      <c r="D2409" s="67"/>
      <c r="E2409" s="67"/>
      <c r="F2409" s="68"/>
      <c r="G2409" s="68"/>
      <c r="H2409" s="68"/>
      <c r="I2409" s="68"/>
      <c r="J2409" s="68"/>
      <c r="K2409" s="69">
        <v>3000.0</v>
      </c>
      <c r="L2409" s="69">
        <v>36.0</v>
      </c>
      <c r="M2409" s="68">
        <f t="shared" si="1"/>
        <v>150.8</v>
      </c>
    </row>
    <row r="2410">
      <c r="A2410" s="70"/>
      <c r="B2410" s="70"/>
      <c r="C2410" s="70"/>
      <c r="D2410" s="70"/>
      <c r="E2410" s="70"/>
      <c r="F2410" s="66"/>
      <c r="G2410" s="66"/>
      <c r="H2410" s="66"/>
      <c r="I2410" s="66"/>
      <c r="J2410" s="66"/>
      <c r="K2410" s="63">
        <v>3500.0</v>
      </c>
      <c r="L2410" s="63">
        <v>36.78</v>
      </c>
      <c r="M2410" s="66">
        <f t="shared" si="1"/>
        <v>179.74</v>
      </c>
    </row>
    <row r="2411">
      <c r="A2411" s="67"/>
      <c r="B2411" s="67"/>
      <c r="C2411" s="67"/>
      <c r="D2411" s="67"/>
      <c r="E2411" s="67"/>
      <c r="F2411" s="68"/>
      <c r="G2411" s="68"/>
      <c r="H2411" s="68"/>
      <c r="I2411" s="68"/>
      <c r="J2411" s="68"/>
      <c r="K2411" s="69">
        <v>4000.0</v>
      </c>
      <c r="L2411" s="69">
        <v>36.65</v>
      </c>
      <c r="M2411" s="68">
        <f t="shared" si="1"/>
        <v>204.69</v>
      </c>
    </row>
    <row r="2412">
      <c r="A2412" s="70"/>
      <c r="B2412" s="70"/>
      <c r="C2412" s="70"/>
      <c r="D2412" s="70"/>
      <c r="E2412" s="70"/>
      <c r="F2412" s="66"/>
      <c r="G2412" s="66"/>
      <c r="H2412" s="66"/>
      <c r="I2412" s="66"/>
      <c r="J2412" s="66"/>
      <c r="K2412" s="63">
        <v>4500.0</v>
      </c>
      <c r="L2412" s="63">
        <v>36.68</v>
      </c>
      <c r="M2412" s="66">
        <f t="shared" si="1"/>
        <v>230.47</v>
      </c>
    </row>
    <row r="2413">
      <c r="A2413" s="67"/>
      <c r="B2413" s="67"/>
      <c r="C2413" s="67"/>
      <c r="D2413" s="67"/>
      <c r="E2413" s="67"/>
      <c r="F2413" s="68"/>
      <c r="G2413" s="68"/>
      <c r="H2413" s="68"/>
      <c r="I2413" s="68"/>
      <c r="J2413" s="68"/>
      <c r="K2413" s="69">
        <v>5000.0</v>
      </c>
      <c r="L2413" s="69">
        <v>36.5</v>
      </c>
      <c r="M2413" s="68">
        <f t="shared" si="1"/>
        <v>254.82</v>
      </c>
    </row>
    <row r="2414">
      <c r="A2414" s="70"/>
      <c r="B2414" s="70"/>
      <c r="C2414" s="70"/>
      <c r="D2414" s="70"/>
      <c r="E2414" s="70"/>
      <c r="F2414" s="66"/>
      <c r="G2414" s="66"/>
      <c r="H2414" s="66"/>
      <c r="I2414" s="66"/>
      <c r="J2414" s="66"/>
      <c r="K2414" s="63">
        <v>5500.0</v>
      </c>
      <c r="L2414" s="63">
        <v>34.67</v>
      </c>
      <c r="M2414" s="66">
        <f t="shared" si="1"/>
        <v>266.25</v>
      </c>
    </row>
    <row r="2415">
      <c r="A2415" s="67"/>
      <c r="B2415" s="67"/>
      <c r="C2415" s="67"/>
      <c r="D2415" s="67"/>
      <c r="E2415" s="67"/>
      <c r="F2415" s="68"/>
      <c r="G2415" s="68"/>
      <c r="H2415" s="68"/>
      <c r="I2415" s="68"/>
      <c r="J2415" s="68"/>
      <c r="K2415" s="69">
        <v>6000.0</v>
      </c>
      <c r="L2415" s="69">
        <v>32.21</v>
      </c>
      <c r="M2415" s="68">
        <f t="shared" si="1"/>
        <v>269.84</v>
      </c>
    </row>
    <row r="2416">
      <c r="A2416" s="70"/>
      <c r="B2416" s="70"/>
      <c r="C2416" s="70"/>
      <c r="D2416" s="70"/>
      <c r="E2416" s="70"/>
      <c r="F2416" s="66"/>
      <c r="G2416" s="66"/>
      <c r="H2416" s="66"/>
      <c r="I2416" s="66"/>
      <c r="J2416" s="66"/>
      <c r="K2416" s="63">
        <v>6500.0</v>
      </c>
      <c r="L2416" s="63">
        <v>29.45</v>
      </c>
      <c r="M2416" s="66">
        <f t="shared" si="1"/>
        <v>267.28</v>
      </c>
    </row>
    <row r="2417">
      <c r="A2417" s="67"/>
      <c r="B2417" s="67"/>
      <c r="C2417" s="67"/>
      <c r="D2417" s="67"/>
      <c r="E2417" s="67"/>
      <c r="F2417" s="68"/>
      <c r="G2417" s="68"/>
      <c r="H2417" s="68"/>
      <c r="I2417" s="68"/>
      <c r="J2417" s="68"/>
      <c r="K2417" s="69">
        <v>7000.0</v>
      </c>
      <c r="L2417" s="69">
        <v>26.7</v>
      </c>
      <c r="M2417" s="68">
        <f t="shared" si="1"/>
        <v>260.96</v>
      </c>
    </row>
    <row r="2418">
      <c r="A2418" s="70"/>
      <c r="B2418" s="70"/>
      <c r="C2418" s="70"/>
      <c r="D2418" s="70"/>
      <c r="E2418" s="70"/>
      <c r="F2418" s="66"/>
      <c r="G2418" s="66"/>
      <c r="H2418" s="66"/>
      <c r="I2418" s="66"/>
      <c r="J2418" s="66"/>
      <c r="K2418" s="63">
        <v>7500.0</v>
      </c>
      <c r="L2418" s="63">
        <v>23.8</v>
      </c>
      <c r="M2418" s="66">
        <f t="shared" si="1"/>
        <v>249.23</v>
      </c>
    </row>
    <row r="2419">
      <c r="A2419" s="67"/>
      <c r="B2419" s="67"/>
      <c r="C2419" s="67"/>
      <c r="D2419" s="67"/>
      <c r="E2419" s="67"/>
      <c r="F2419" s="68"/>
      <c r="G2419" s="68"/>
      <c r="H2419" s="68"/>
      <c r="I2419" s="68"/>
      <c r="J2419" s="68"/>
      <c r="K2419" s="69">
        <v>8000.0</v>
      </c>
      <c r="L2419" s="69">
        <v>20.8</v>
      </c>
      <c r="M2419" s="68">
        <f t="shared" si="1"/>
        <v>232.34</v>
      </c>
    </row>
    <row r="2420">
      <c r="A2420" s="70"/>
      <c r="B2420" s="70"/>
      <c r="C2420" s="70"/>
      <c r="D2420" s="70"/>
      <c r="E2420" s="70"/>
      <c r="F2420" s="66"/>
      <c r="G2420" s="66"/>
      <c r="H2420" s="66"/>
      <c r="I2420" s="66"/>
      <c r="J2420" s="66"/>
      <c r="K2420" s="63">
        <v>8500.0</v>
      </c>
      <c r="L2420" s="63">
        <v>16.9</v>
      </c>
      <c r="M2420" s="66">
        <f t="shared" si="1"/>
        <v>200.57</v>
      </c>
    </row>
    <row r="2421">
      <c r="A2421" s="68">
        <v>162.0</v>
      </c>
      <c r="B2421" s="68">
        <v>263.0</v>
      </c>
      <c r="C2421" s="71" t="s">
        <v>534</v>
      </c>
      <c r="D2421" s="71" t="s">
        <v>535</v>
      </c>
      <c r="E2421" s="71" t="s">
        <v>536</v>
      </c>
      <c r="F2421" s="72">
        <v>7000.0</v>
      </c>
      <c r="G2421" s="72">
        <v>7400.0</v>
      </c>
      <c r="H2421" s="72">
        <v>600.0</v>
      </c>
      <c r="I2421" s="72">
        <v>4000.0</v>
      </c>
      <c r="J2421" s="72">
        <v>6500.0</v>
      </c>
      <c r="K2421" s="69">
        <v>500.0</v>
      </c>
      <c r="L2421" s="69">
        <v>10.62</v>
      </c>
      <c r="M2421" s="68">
        <f t="shared" si="1"/>
        <v>7.41</v>
      </c>
    </row>
    <row r="2422">
      <c r="A2422" s="70"/>
      <c r="B2422" s="70"/>
      <c r="C2422" s="70"/>
      <c r="D2422" s="70"/>
      <c r="E2422" s="70"/>
      <c r="F2422" s="66"/>
      <c r="G2422" s="66"/>
      <c r="H2422" s="66"/>
      <c r="I2422" s="66"/>
      <c r="J2422" s="66"/>
      <c r="K2422" s="63">
        <v>1000.0</v>
      </c>
      <c r="L2422" s="63">
        <v>12.0</v>
      </c>
      <c r="M2422" s="66">
        <f t="shared" si="1"/>
        <v>16.76</v>
      </c>
    </row>
    <row r="2423">
      <c r="A2423" s="67"/>
      <c r="B2423" s="67"/>
      <c r="C2423" s="67"/>
      <c r="D2423" s="67"/>
      <c r="E2423" s="67"/>
      <c r="F2423" s="68"/>
      <c r="G2423" s="68"/>
      <c r="H2423" s="68"/>
      <c r="I2423" s="68"/>
      <c r="J2423" s="68"/>
      <c r="K2423" s="69">
        <v>1500.0</v>
      </c>
      <c r="L2423" s="69">
        <v>13.25</v>
      </c>
      <c r="M2423" s="68">
        <f t="shared" si="1"/>
        <v>27.75</v>
      </c>
    </row>
    <row r="2424">
      <c r="A2424" s="70"/>
      <c r="B2424" s="70"/>
      <c r="C2424" s="70"/>
      <c r="D2424" s="70"/>
      <c r="E2424" s="70"/>
      <c r="F2424" s="66"/>
      <c r="G2424" s="66"/>
      <c r="H2424" s="66"/>
      <c r="I2424" s="66"/>
      <c r="J2424" s="66"/>
      <c r="K2424" s="63">
        <v>2000.0</v>
      </c>
      <c r="L2424" s="63">
        <v>14.5</v>
      </c>
      <c r="M2424" s="66">
        <f t="shared" si="1"/>
        <v>40.49</v>
      </c>
    </row>
    <row r="2425">
      <c r="A2425" s="67"/>
      <c r="B2425" s="67"/>
      <c r="C2425" s="67"/>
      <c r="D2425" s="67"/>
      <c r="E2425" s="67"/>
      <c r="F2425" s="68"/>
      <c r="G2425" s="68"/>
      <c r="H2425" s="68"/>
      <c r="I2425" s="68"/>
      <c r="J2425" s="68"/>
      <c r="K2425" s="69">
        <v>2500.0</v>
      </c>
      <c r="L2425" s="69">
        <v>15.31</v>
      </c>
      <c r="M2425" s="68">
        <f t="shared" si="1"/>
        <v>53.44</v>
      </c>
    </row>
    <row r="2426">
      <c r="A2426" s="73"/>
      <c r="B2426" s="73"/>
      <c r="C2426" s="73"/>
      <c r="D2426" s="73"/>
      <c r="E2426" s="73"/>
      <c r="F2426" s="66"/>
      <c r="G2426" s="66"/>
      <c r="H2426" s="66"/>
      <c r="I2426" s="66"/>
      <c r="J2426" s="66"/>
      <c r="K2426" s="63">
        <v>3000.0</v>
      </c>
      <c r="L2426" s="63">
        <v>16.0</v>
      </c>
      <c r="M2426" s="66">
        <f t="shared" si="1"/>
        <v>67.02</v>
      </c>
    </row>
    <row r="2427">
      <c r="A2427" s="67"/>
      <c r="B2427" s="67"/>
      <c r="C2427" s="67"/>
      <c r="D2427" s="67"/>
      <c r="E2427" s="67"/>
      <c r="F2427" s="68"/>
      <c r="G2427" s="68"/>
      <c r="H2427" s="68"/>
      <c r="I2427" s="68"/>
      <c r="J2427" s="68"/>
      <c r="K2427" s="69">
        <v>3500.0</v>
      </c>
      <c r="L2427" s="69">
        <v>16.25</v>
      </c>
      <c r="M2427" s="68">
        <f t="shared" si="1"/>
        <v>79.41</v>
      </c>
    </row>
    <row r="2428">
      <c r="A2428" s="70"/>
      <c r="B2428" s="70"/>
      <c r="C2428" s="70"/>
      <c r="D2428" s="70"/>
      <c r="E2428" s="70"/>
      <c r="F2428" s="66"/>
      <c r="G2428" s="66"/>
      <c r="H2428" s="66"/>
      <c r="I2428" s="66"/>
      <c r="J2428" s="66"/>
      <c r="K2428" s="63">
        <v>4000.0</v>
      </c>
      <c r="L2428" s="63">
        <v>16.5</v>
      </c>
      <c r="M2428" s="66">
        <f t="shared" si="1"/>
        <v>92.15</v>
      </c>
    </row>
    <row r="2429">
      <c r="A2429" s="67"/>
      <c r="B2429" s="67"/>
      <c r="C2429" s="67"/>
      <c r="D2429" s="67"/>
      <c r="E2429" s="67"/>
      <c r="F2429" s="68"/>
      <c r="G2429" s="68"/>
      <c r="H2429" s="68"/>
      <c r="I2429" s="68"/>
      <c r="J2429" s="68"/>
      <c r="K2429" s="69">
        <v>4500.0</v>
      </c>
      <c r="L2429" s="69">
        <v>16.34</v>
      </c>
      <c r="M2429" s="68">
        <f t="shared" si="1"/>
        <v>102.67</v>
      </c>
    </row>
    <row r="2430">
      <c r="A2430" s="70"/>
      <c r="B2430" s="70"/>
      <c r="C2430" s="70"/>
      <c r="D2430" s="70"/>
      <c r="E2430" s="70"/>
      <c r="F2430" s="66"/>
      <c r="G2430" s="66"/>
      <c r="H2430" s="66"/>
      <c r="I2430" s="66"/>
      <c r="J2430" s="66"/>
      <c r="K2430" s="63">
        <v>5000.0</v>
      </c>
      <c r="L2430" s="63">
        <v>16.1</v>
      </c>
      <c r="M2430" s="66">
        <f t="shared" si="1"/>
        <v>112.4</v>
      </c>
    </row>
    <row r="2431">
      <c r="A2431" s="67"/>
      <c r="B2431" s="67"/>
      <c r="C2431" s="67"/>
      <c r="D2431" s="67"/>
      <c r="E2431" s="67"/>
      <c r="F2431" s="68"/>
      <c r="G2431" s="68"/>
      <c r="H2431" s="68"/>
      <c r="I2431" s="68"/>
      <c r="J2431" s="68"/>
      <c r="K2431" s="69">
        <v>5500.0</v>
      </c>
      <c r="L2431" s="69">
        <v>15.41</v>
      </c>
      <c r="M2431" s="68">
        <f t="shared" si="1"/>
        <v>118.34</v>
      </c>
    </row>
    <row r="2432">
      <c r="A2432" s="70"/>
      <c r="B2432" s="70"/>
      <c r="C2432" s="70"/>
      <c r="D2432" s="70"/>
      <c r="E2432" s="70"/>
      <c r="F2432" s="66"/>
      <c r="G2432" s="66"/>
      <c r="H2432" s="66"/>
      <c r="I2432" s="66"/>
      <c r="J2432" s="66"/>
      <c r="K2432" s="63">
        <v>6000.0</v>
      </c>
      <c r="L2432" s="63">
        <v>14.55</v>
      </c>
      <c r="M2432" s="66">
        <f t="shared" si="1"/>
        <v>121.89</v>
      </c>
    </row>
    <row r="2433">
      <c r="A2433" s="67"/>
      <c r="B2433" s="67"/>
      <c r="C2433" s="67"/>
      <c r="D2433" s="67"/>
      <c r="E2433" s="67"/>
      <c r="F2433" s="68"/>
      <c r="G2433" s="68"/>
      <c r="H2433" s="68"/>
      <c r="I2433" s="68"/>
      <c r="J2433" s="68"/>
      <c r="K2433" s="69">
        <v>6500.0</v>
      </c>
      <c r="L2433" s="69">
        <v>13.72</v>
      </c>
      <c r="M2433" s="68">
        <f t="shared" si="1"/>
        <v>124.52</v>
      </c>
    </row>
    <row r="2434">
      <c r="A2434" s="70"/>
      <c r="B2434" s="70"/>
      <c r="C2434" s="70"/>
      <c r="D2434" s="70"/>
      <c r="E2434" s="70"/>
      <c r="F2434" s="66"/>
      <c r="G2434" s="66"/>
      <c r="H2434" s="66"/>
      <c r="I2434" s="66"/>
      <c r="J2434" s="66"/>
      <c r="K2434" s="63">
        <v>7000.0</v>
      </c>
      <c r="L2434" s="63">
        <v>12.52</v>
      </c>
      <c r="M2434" s="66">
        <f t="shared" si="1"/>
        <v>122.37</v>
      </c>
    </row>
    <row r="2435">
      <c r="A2435" s="67"/>
      <c r="B2435" s="67"/>
      <c r="C2435" s="67"/>
      <c r="D2435" s="67"/>
      <c r="E2435" s="67"/>
      <c r="F2435" s="68"/>
      <c r="G2435" s="68"/>
      <c r="H2435" s="68"/>
      <c r="I2435" s="68"/>
      <c r="J2435" s="68"/>
      <c r="K2435" s="69">
        <v>7500.0</v>
      </c>
      <c r="L2435" s="69">
        <v>11.0</v>
      </c>
      <c r="M2435" s="68">
        <f t="shared" si="1"/>
        <v>115.19</v>
      </c>
    </row>
    <row r="2436">
      <c r="A2436" s="70"/>
      <c r="B2436" s="70"/>
      <c r="C2436" s="70"/>
      <c r="D2436" s="70"/>
      <c r="E2436" s="70"/>
      <c r="F2436" s="66"/>
      <c r="G2436" s="66"/>
      <c r="H2436" s="66"/>
      <c r="I2436" s="66"/>
      <c r="J2436" s="66"/>
      <c r="K2436" s="63">
        <v>8000.0</v>
      </c>
      <c r="L2436" s="63">
        <v>8.6</v>
      </c>
      <c r="M2436" s="66">
        <f t="shared" si="1"/>
        <v>96.06</v>
      </c>
    </row>
    <row r="2437">
      <c r="A2437" s="68">
        <v>163.0</v>
      </c>
      <c r="B2437" s="68">
        <v>264.0</v>
      </c>
      <c r="C2437" s="71" t="s">
        <v>537</v>
      </c>
      <c r="D2437" s="71" t="s">
        <v>538</v>
      </c>
      <c r="E2437" s="71" t="s">
        <v>539</v>
      </c>
      <c r="F2437" s="72">
        <v>7000.0</v>
      </c>
      <c r="G2437" s="72">
        <v>7300.0</v>
      </c>
      <c r="H2437" s="72">
        <v>600.0</v>
      </c>
      <c r="I2437" s="72">
        <v>4000.0</v>
      </c>
      <c r="J2437" s="72">
        <v>6500.0</v>
      </c>
      <c r="K2437" s="69">
        <v>500.0</v>
      </c>
      <c r="L2437" s="69">
        <v>14.02</v>
      </c>
      <c r="M2437" s="68">
        <f t="shared" si="1"/>
        <v>9.79</v>
      </c>
    </row>
    <row r="2438">
      <c r="A2438" s="70"/>
      <c r="B2438" s="70"/>
      <c r="C2438" s="70"/>
      <c r="D2438" s="70"/>
      <c r="E2438" s="70"/>
      <c r="F2438" s="66"/>
      <c r="G2438" s="66"/>
      <c r="H2438" s="66"/>
      <c r="I2438" s="66"/>
      <c r="J2438" s="66"/>
      <c r="K2438" s="63">
        <v>1000.0</v>
      </c>
      <c r="L2438" s="63">
        <v>16.95</v>
      </c>
      <c r="M2438" s="66">
        <f t="shared" si="1"/>
        <v>23.67</v>
      </c>
    </row>
    <row r="2439">
      <c r="A2439" s="67"/>
      <c r="B2439" s="67"/>
      <c r="C2439" s="67"/>
      <c r="D2439" s="67"/>
      <c r="E2439" s="67"/>
      <c r="F2439" s="68"/>
      <c r="G2439" s="68"/>
      <c r="H2439" s="68"/>
      <c r="I2439" s="68"/>
      <c r="J2439" s="68"/>
      <c r="K2439" s="69">
        <v>1500.0</v>
      </c>
      <c r="L2439" s="69">
        <v>19.05</v>
      </c>
      <c r="M2439" s="68">
        <f t="shared" si="1"/>
        <v>39.9</v>
      </c>
    </row>
    <row r="2440">
      <c r="A2440" s="70"/>
      <c r="B2440" s="70"/>
      <c r="C2440" s="70"/>
      <c r="D2440" s="70"/>
      <c r="E2440" s="70"/>
      <c r="F2440" s="66"/>
      <c r="G2440" s="66"/>
      <c r="H2440" s="66"/>
      <c r="I2440" s="66"/>
      <c r="J2440" s="66"/>
      <c r="K2440" s="63">
        <v>2000.0</v>
      </c>
      <c r="L2440" s="63">
        <v>20.63</v>
      </c>
      <c r="M2440" s="66">
        <f t="shared" si="1"/>
        <v>57.61</v>
      </c>
    </row>
    <row r="2441">
      <c r="A2441" s="67"/>
      <c r="B2441" s="67"/>
      <c r="C2441" s="67"/>
      <c r="D2441" s="67"/>
      <c r="E2441" s="67"/>
      <c r="F2441" s="68"/>
      <c r="G2441" s="68"/>
      <c r="H2441" s="68"/>
      <c r="I2441" s="68"/>
      <c r="J2441" s="68"/>
      <c r="K2441" s="69">
        <v>2500.0</v>
      </c>
      <c r="L2441" s="69">
        <v>21.83</v>
      </c>
      <c r="M2441" s="68">
        <f t="shared" si="1"/>
        <v>76.2</v>
      </c>
    </row>
    <row r="2442">
      <c r="A2442" s="70"/>
      <c r="B2442" s="70"/>
      <c r="C2442" s="70"/>
      <c r="D2442" s="70"/>
      <c r="E2442" s="70"/>
      <c r="F2442" s="66"/>
      <c r="G2442" s="66"/>
      <c r="H2442" s="66"/>
      <c r="I2442" s="66"/>
      <c r="J2442" s="66"/>
      <c r="K2442" s="63">
        <v>3000.0</v>
      </c>
      <c r="L2442" s="63">
        <v>22.58</v>
      </c>
      <c r="M2442" s="66">
        <f t="shared" si="1"/>
        <v>94.58</v>
      </c>
    </row>
    <row r="2443">
      <c r="A2443" s="67"/>
      <c r="B2443" s="67"/>
      <c r="C2443" s="67"/>
      <c r="D2443" s="67"/>
      <c r="E2443" s="67"/>
      <c r="F2443" s="68"/>
      <c r="G2443" s="68"/>
      <c r="H2443" s="68"/>
      <c r="I2443" s="68"/>
      <c r="J2443" s="68"/>
      <c r="K2443" s="69">
        <v>3500.0</v>
      </c>
      <c r="L2443" s="69">
        <v>22.95</v>
      </c>
      <c r="M2443" s="68">
        <f t="shared" si="1"/>
        <v>112.15</v>
      </c>
    </row>
    <row r="2444">
      <c r="A2444" s="70"/>
      <c r="B2444" s="70"/>
      <c r="C2444" s="70"/>
      <c r="D2444" s="70"/>
      <c r="E2444" s="70"/>
      <c r="F2444" s="66"/>
      <c r="G2444" s="66"/>
      <c r="H2444" s="66"/>
      <c r="I2444" s="66"/>
      <c r="J2444" s="66"/>
      <c r="K2444" s="63">
        <v>4000.0</v>
      </c>
      <c r="L2444" s="63">
        <v>23.0</v>
      </c>
      <c r="M2444" s="66">
        <f t="shared" si="1"/>
        <v>128.46</v>
      </c>
    </row>
    <row r="2445">
      <c r="A2445" s="67"/>
      <c r="B2445" s="67"/>
      <c r="C2445" s="67"/>
      <c r="D2445" s="67"/>
      <c r="E2445" s="67"/>
      <c r="F2445" s="68"/>
      <c r="G2445" s="68"/>
      <c r="H2445" s="68"/>
      <c r="I2445" s="68"/>
      <c r="J2445" s="68"/>
      <c r="K2445" s="69">
        <v>4500.0</v>
      </c>
      <c r="L2445" s="69">
        <v>22.73</v>
      </c>
      <c r="M2445" s="68">
        <f t="shared" si="1"/>
        <v>142.82</v>
      </c>
    </row>
    <row r="2446">
      <c r="A2446" s="70"/>
      <c r="B2446" s="70"/>
      <c r="C2446" s="70"/>
      <c r="D2446" s="70"/>
      <c r="E2446" s="70"/>
      <c r="F2446" s="66"/>
      <c r="G2446" s="66"/>
      <c r="H2446" s="66"/>
      <c r="I2446" s="66"/>
      <c r="J2446" s="66"/>
      <c r="K2446" s="63">
        <v>5000.0</v>
      </c>
      <c r="L2446" s="63">
        <v>22.13</v>
      </c>
      <c r="M2446" s="66">
        <f t="shared" si="1"/>
        <v>154.5</v>
      </c>
    </row>
    <row r="2447">
      <c r="A2447" s="67"/>
      <c r="B2447" s="67"/>
      <c r="C2447" s="67"/>
      <c r="D2447" s="67"/>
      <c r="E2447" s="67"/>
      <c r="F2447" s="68"/>
      <c r="G2447" s="68"/>
      <c r="H2447" s="68"/>
      <c r="I2447" s="68"/>
      <c r="J2447" s="68"/>
      <c r="K2447" s="69">
        <v>5500.0</v>
      </c>
      <c r="L2447" s="69">
        <v>21.15</v>
      </c>
      <c r="M2447" s="68">
        <f t="shared" si="1"/>
        <v>162.42</v>
      </c>
    </row>
    <row r="2448">
      <c r="A2448" s="70"/>
      <c r="B2448" s="70"/>
      <c r="C2448" s="70"/>
      <c r="D2448" s="70"/>
      <c r="E2448" s="70"/>
      <c r="F2448" s="66"/>
      <c r="G2448" s="66"/>
      <c r="H2448" s="66"/>
      <c r="I2448" s="66"/>
      <c r="J2448" s="66"/>
      <c r="K2448" s="63">
        <v>6000.0</v>
      </c>
      <c r="L2448" s="63">
        <v>19.8</v>
      </c>
      <c r="M2448" s="66">
        <f t="shared" si="1"/>
        <v>165.88</v>
      </c>
    </row>
    <row r="2449">
      <c r="A2449" s="67"/>
      <c r="B2449" s="67"/>
      <c r="C2449" s="67"/>
      <c r="D2449" s="67"/>
      <c r="E2449" s="67"/>
      <c r="F2449" s="68"/>
      <c r="G2449" s="68"/>
      <c r="H2449" s="68"/>
      <c r="I2449" s="68"/>
      <c r="J2449" s="68"/>
      <c r="K2449" s="69">
        <v>6500.0</v>
      </c>
      <c r="L2449" s="69">
        <v>18.3</v>
      </c>
      <c r="M2449" s="68">
        <f t="shared" si="1"/>
        <v>166.08</v>
      </c>
    </row>
    <row r="2450">
      <c r="A2450" s="73"/>
      <c r="B2450" s="73"/>
      <c r="C2450" s="73"/>
      <c r="D2450" s="73"/>
      <c r="E2450" s="73"/>
      <c r="F2450" s="66"/>
      <c r="G2450" s="66"/>
      <c r="H2450" s="66"/>
      <c r="I2450" s="66"/>
      <c r="J2450" s="66"/>
      <c r="K2450" s="63">
        <v>7000.0</v>
      </c>
      <c r="L2450" s="63">
        <v>15.98</v>
      </c>
      <c r="M2450" s="66">
        <f t="shared" si="1"/>
        <v>156.19</v>
      </c>
    </row>
    <row r="2451">
      <c r="A2451" s="68">
        <v>164.0</v>
      </c>
      <c r="B2451" s="68">
        <v>265.0</v>
      </c>
      <c r="C2451" s="71" t="s">
        <v>540</v>
      </c>
      <c r="D2451" s="71" t="s">
        <v>541</v>
      </c>
      <c r="E2451" s="71" t="s">
        <v>542</v>
      </c>
      <c r="F2451" s="72">
        <v>6500.0</v>
      </c>
      <c r="G2451" s="72">
        <v>6500.0</v>
      </c>
      <c r="H2451" s="72">
        <v>700.0</v>
      </c>
      <c r="I2451" s="72">
        <v>4000.0</v>
      </c>
      <c r="J2451" s="72">
        <v>6000.0</v>
      </c>
      <c r="K2451" s="69">
        <v>500.0</v>
      </c>
      <c r="L2451" s="69">
        <v>8.8</v>
      </c>
      <c r="M2451" s="68">
        <f t="shared" si="1"/>
        <v>6.14</v>
      </c>
    </row>
    <row r="2452">
      <c r="A2452" s="70"/>
      <c r="B2452" s="70"/>
      <c r="C2452" s="70"/>
      <c r="D2452" s="70"/>
      <c r="E2452" s="70"/>
      <c r="F2452" s="66"/>
      <c r="G2452" s="66"/>
      <c r="H2452" s="66"/>
      <c r="I2452" s="66"/>
      <c r="J2452" s="66"/>
      <c r="K2452" s="63">
        <v>1000.0</v>
      </c>
      <c r="L2452" s="63">
        <v>10.4</v>
      </c>
      <c r="M2452" s="66">
        <f t="shared" si="1"/>
        <v>14.52</v>
      </c>
    </row>
    <row r="2453">
      <c r="A2453" s="67"/>
      <c r="B2453" s="67"/>
      <c r="C2453" s="67"/>
      <c r="D2453" s="67"/>
      <c r="E2453" s="67"/>
      <c r="F2453" s="68"/>
      <c r="G2453" s="68"/>
      <c r="H2453" s="68"/>
      <c r="I2453" s="68"/>
      <c r="J2453" s="68"/>
      <c r="K2453" s="69">
        <v>1500.0</v>
      </c>
      <c r="L2453" s="69">
        <v>11.91</v>
      </c>
      <c r="M2453" s="68">
        <f t="shared" si="1"/>
        <v>24.94</v>
      </c>
    </row>
    <row r="2454">
      <c r="A2454" s="70"/>
      <c r="B2454" s="70"/>
      <c r="C2454" s="70"/>
      <c r="D2454" s="70"/>
      <c r="E2454" s="70"/>
      <c r="F2454" s="66"/>
      <c r="G2454" s="66"/>
      <c r="H2454" s="66"/>
      <c r="I2454" s="66"/>
      <c r="J2454" s="66"/>
      <c r="K2454" s="63">
        <v>2000.0</v>
      </c>
      <c r="L2454" s="63">
        <v>12.88</v>
      </c>
      <c r="M2454" s="66">
        <f t="shared" si="1"/>
        <v>35.97</v>
      </c>
    </row>
    <row r="2455">
      <c r="A2455" s="67"/>
      <c r="B2455" s="67"/>
      <c r="C2455" s="67"/>
      <c r="D2455" s="67"/>
      <c r="E2455" s="67"/>
      <c r="F2455" s="68"/>
      <c r="G2455" s="68"/>
      <c r="H2455" s="68"/>
      <c r="I2455" s="68"/>
      <c r="J2455" s="68"/>
      <c r="K2455" s="69">
        <v>2500.0</v>
      </c>
      <c r="L2455" s="69">
        <v>13.26</v>
      </c>
      <c r="M2455" s="68">
        <f t="shared" si="1"/>
        <v>46.29</v>
      </c>
    </row>
    <row r="2456">
      <c r="A2456" s="70"/>
      <c r="B2456" s="70"/>
      <c r="C2456" s="70"/>
      <c r="D2456" s="70"/>
      <c r="E2456" s="70"/>
      <c r="F2456" s="66"/>
      <c r="G2456" s="66"/>
      <c r="H2456" s="66"/>
      <c r="I2456" s="66"/>
      <c r="J2456" s="66"/>
      <c r="K2456" s="63">
        <v>3000.0</v>
      </c>
      <c r="L2456" s="63">
        <v>13.87</v>
      </c>
      <c r="M2456" s="66">
        <f t="shared" si="1"/>
        <v>58.1</v>
      </c>
    </row>
    <row r="2457">
      <c r="A2457" s="67"/>
      <c r="B2457" s="67"/>
      <c r="C2457" s="67"/>
      <c r="D2457" s="67"/>
      <c r="E2457" s="67"/>
      <c r="F2457" s="68"/>
      <c r="G2457" s="68"/>
      <c r="H2457" s="68"/>
      <c r="I2457" s="68"/>
      <c r="J2457" s="68"/>
      <c r="K2457" s="69">
        <v>3500.0</v>
      </c>
      <c r="L2457" s="69">
        <v>14.17</v>
      </c>
      <c r="M2457" s="68">
        <f t="shared" si="1"/>
        <v>69.25</v>
      </c>
    </row>
    <row r="2458">
      <c r="A2458" s="70"/>
      <c r="B2458" s="70"/>
      <c r="C2458" s="70"/>
      <c r="D2458" s="70"/>
      <c r="E2458" s="70"/>
      <c r="F2458" s="66"/>
      <c r="G2458" s="66"/>
      <c r="H2458" s="66"/>
      <c r="I2458" s="66"/>
      <c r="J2458" s="66"/>
      <c r="K2458" s="63">
        <v>4000.0</v>
      </c>
      <c r="L2458" s="63">
        <v>14.28</v>
      </c>
      <c r="M2458" s="66">
        <f t="shared" si="1"/>
        <v>79.75</v>
      </c>
    </row>
    <row r="2459">
      <c r="A2459" s="67"/>
      <c r="B2459" s="67"/>
      <c r="C2459" s="67"/>
      <c r="D2459" s="67"/>
      <c r="E2459" s="67"/>
      <c r="F2459" s="68"/>
      <c r="G2459" s="68"/>
      <c r="H2459" s="68"/>
      <c r="I2459" s="68"/>
      <c r="J2459" s="68"/>
      <c r="K2459" s="69">
        <v>4500.0</v>
      </c>
      <c r="L2459" s="69">
        <v>14.23</v>
      </c>
      <c r="M2459" s="68">
        <f t="shared" si="1"/>
        <v>89.41</v>
      </c>
    </row>
    <row r="2460">
      <c r="A2460" s="70"/>
      <c r="B2460" s="70"/>
      <c r="C2460" s="70"/>
      <c r="D2460" s="70"/>
      <c r="E2460" s="70"/>
      <c r="F2460" s="66"/>
      <c r="G2460" s="66"/>
      <c r="H2460" s="66"/>
      <c r="I2460" s="66"/>
      <c r="J2460" s="66"/>
      <c r="K2460" s="63">
        <v>5000.0</v>
      </c>
      <c r="L2460" s="63">
        <v>14.17</v>
      </c>
      <c r="M2460" s="66">
        <f t="shared" si="1"/>
        <v>98.92</v>
      </c>
    </row>
    <row r="2461">
      <c r="A2461" s="67"/>
      <c r="B2461" s="67"/>
      <c r="C2461" s="67"/>
      <c r="D2461" s="67"/>
      <c r="E2461" s="67"/>
      <c r="F2461" s="68"/>
      <c r="G2461" s="68"/>
      <c r="H2461" s="68"/>
      <c r="I2461" s="68"/>
      <c r="J2461" s="68"/>
      <c r="K2461" s="69">
        <v>5500.0</v>
      </c>
      <c r="L2461" s="69">
        <v>13.87</v>
      </c>
      <c r="M2461" s="68">
        <f t="shared" si="1"/>
        <v>106.51</v>
      </c>
    </row>
    <row r="2462">
      <c r="A2462" s="70"/>
      <c r="B2462" s="70"/>
      <c r="C2462" s="70"/>
      <c r="D2462" s="70"/>
      <c r="E2462" s="70"/>
      <c r="F2462" s="66"/>
      <c r="G2462" s="66"/>
      <c r="H2462" s="66"/>
      <c r="I2462" s="66"/>
      <c r="J2462" s="66"/>
      <c r="K2462" s="63">
        <v>6000.0</v>
      </c>
      <c r="L2462" s="63">
        <v>13.5</v>
      </c>
      <c r="M2462" s="66">
        <f t="shared" si="1"/>
        <v>113.1</v>
      </c>
    </row>
    <row r="2463">
      <c r="A2463" s="67"/>
      <c r="B2463" s="67"/>
      <c r="C2463" s="67"/>
      <c r="D2463" s="67"/>
      <c r="E2463" s="67"/>
      <c r="F2463" s="68"/>
      <c r="G2463" s="68"/>
      <c r="H2463" s="68"/>
      <c r="I2463" s="68"/>
      <c r="J2463" s="68"/>
      <c r="K2463" s="69">
        <v>6500.0</v>
      </c>
      <c r="L2463" s="69">
        <v>12.24</v>
      </c>
      <c r="M2463" s="68">
        <f t="shared" si="1"/>
        <v>111.09</v>
      </c>
    </row>
    <row r="2464">
      <c r="A2464" s="70"/>
      <c r="B2464" s="70"/>
      <c r="C2464" s="70"/>
      <c r="D2464" s="70"/>
      <c r="E2464" s="70"/>
      <c r="F2464" s="66"/>
      <c r="G2464" s="66"/>
      <c r="H2464" s="66"/>
      <c r="I2464" s="66"/>
      <c r="J2464" s="66"/>
      <c r="K2464" s="63">
        <v>7000.0</v>
      </c>
      <c r="L2464" s="63">
        <v>10.6</v>
      </c>
      <c r="M2464" s="66">
        <f t="shared" si="1"/>
        <v>103.6</v>
      </c>
    </row>
    <row r="2465">
      <c r="A2465" s="68">
        <v>165.0</v>
      </c>
      <c r="B2465" s="68">
        <v>266.0</v>
      </c>
      <c r="C2465" s="71" t="s">
        <v>543</v>
      </c>
      <c r="D2465" s="71" t="s">
        <v>544</v>
      </c>
      <c r="E2465" s="71" t="s">
        <v>545</v>
      </c>
      <c r="F2465" s="72">
        <v>7600.0</v>
      </c>
      <c r="G2465" s="72">
        <v>8000.0</v>
      </c>
      <c r="H2465" s="72">
        <v>1000.0</v>
      </c>
      <c r="I2465" s="72">
        <v>5200.0</v>
      </c>
      <c r="J2465" s="72">
        <v>7200.0</v>
      </c>
      <c r="K2465" s="69">
        <v>500.0</v>
      </c>
      <c r="L2465" s="69">
        <v>14.33</v>
      </c>
      <c r="M2465" s="68">
        <f t="shared" si="1"/>
        <v>10</v>
      </c>
    </row>
    <row r="2466">
      <c r="A2466" s="70"/>
      <c r="B2466" s="70"/>
      <c r="C2466" s="70"/>
      <c r="D2466" s="70"/>
      <c r="E2466" s="70"/>
      <c r="F2466" s="66"/>
      <c r="G2466" s="66"/>
      <c r="H2466" s="66"/>
      <c r="I2466" s="66"/>
      <c r="J2466" s="66"/>
      <c r="K2466" s="63">
        <v>1000.0</v>
      </c>
      <c r="L2466" s="63">
        <v>16.05</v>
      </c>
      <c r="M2466" s="66">
        <f t="shared" si="1"/>
        <v>22.41</v>
      </c>
    </row>
    <row r="2467">
      <c r="A2467" s="67"/>
      <c r="B2467" s="67"/>
      <c r="C2467" s="67"/>
      <c r="D2467" s="67"/>
      <c r="E2467" s="67"/>
      <c r="F2467" s="68"/>
      <c r="G2467" s="68"/>
      <c r="H2467" s="68"/>
      <c r="I2467" s="68"/>
      <c r="J2467" s="68"/>
      <c r="K2467" s="69">
        <v>1500.0</v>
      </c>
      <c r="L2467" s="69">
        <v>17.4</v>
      </c>
      <c r="M2467" s="68">
        <f t="shared" si="1"/>
        <v>36.44</v>
      </c>
    </row>
    <row r="2468">
      <c r="A2468" s="70"/>
      <c r="B2468" s="70"/>
      <c r="C2468" s="70"/>
      <c r="D2468" s="70"/>
      <c r="E2468" s="70"/>
      <c r="F2468" s="66"/>
      <c r="G2468" s="66"/>
      <c r="H2468" s="66"/>
      <c r="I2468" s="66"/>
      <c r="J2468" s="66"/>
      <c r="K2468" s="63">
        <v>2000.0</v>
      </c>
      <c r="L2468" s="63">
        <v>18.53</v>
      </c>
      <c r="M2468" s="66">
        <f t="shared" si="1"/>
        <v>51.75</v>
      </c>
    </row>
    <row r="2469">
      <c r="A2469" s="67"/>
      <c r="B2469" s="67"/>
      <c r="C2469" s="67"/>
      <c r="D2469" s="67"/>
      <c r="E2469" s="67"/>
      <c r="F2469" s="68"/>
      <c r="G2469" s="68"/>
      <c r="H2469" s="68"/>
      <c r="I2469" s="68"/>
      <c r="J2469" s="68"/>
      <c r="K2469" s="69">
        <v>2500.0</v>
      </c>
      <c r="L2469" s="69">
        <v>19.2</v>
      </c>
      <c r="M2469" s="68">
        <f t="shared" si="1"/>
        <v>67.02</v>
      </c>
    </row>
    <row r="2470">
      <c r="A2470" s="70"/>
      <c r="B2470" s="70"/>
      <c r="C2470" s="70"/>
      <c r="D2470" s="70"/>
      <c r="E2470" s="70"/>
      <c r="F2470" s="66"/>
      <c r="G2470" s="66"/>
      <c r="H2470" s="66"/>
      <c r="I2470" s="66"/>
      <c r="J2470" s="66"/>
      <c r="K2470" s="63">
        <v>3000.0</v>
      </c>
      <c r="L2470" s="63">
        <v>19.95</v>
      </c>
      <c r="M2470" s="66">
        <f t="shared" si="1"/>
        <v>83.57</v>
      </c>
    </row>
    <row r="2471">
      <c r="A2471" s="67"/>
      <c r="B2471" s="67"/>
      <c r="C2471" s="67"/>
      <c r="D2471" s="67"/>
      <c r="E2471" s="67"/>
      <c r="F2471" s="68"/>
      <c r="G2471" s="68"/>
      <c r="H2471" s="68"/>
      <c r="I2471" s="68"/>
      <c r="J2471" s="68"/>
      <c r="K2471" s="69">
        <v>3500.0</v>
      </c>
      <c r="L2471" s="69">
        <v>20.1</v>
      </c>
      <c r="M2471" s="68">
        <f t="shared" si="1"/>
        <v>98.23</v>
      </c>
    </row>
    <row r="2472">
      <c r="A2472" s="70"/>
      <c r="B2472" s="70"/>
      <c r="C2472" s="70"/>
      <c r="D2472" s="70"/>
      <c r="E2472" s="70"/>
      <c r="F2472" s="66"/>
      <c r="G2472" s="66"/>
      <c r="H2472" s="66"/>
      <c r="I2472" s="66"/>
      <c r="J2472" s="66"/>
      <c r="K2472" s="63">
        <v>4000.0</v>
      </c>
      <c r="L2472" s="63">
        <v>20.03</v>
      </c>
      <c r="M2472" s="66">
        <f t="shared" si="1"/>
        <v>111.87</v>
      </c>
    </row>
    <row r="2473">
      <c r="A2473" s="67"/>
      <c r="B2473" s="67"/>
      <c r="C2473" s="67"/>
      <c r="D2473" s="67"/>
      <c r="E2473" s="67"/>
      <c r="F2473" s="68"/>
      <c r="G2473" s="68"/>
      <c r="H2473" s="68"/>
      <c r="I2473" s="68"/>
      <c r="J2473" s="68"/>
      <c r="K2473" s="69">
        <v>4500.0</v>
      </c>
      <c r="L2473" s="69">
        <v>20.33</v>
      </c>
      <c r="M2473" s="68">
        <f t="shared" si="1"/>
        <v>127.74</v>
      </c>
    </row>
    <row r="2474">
      <c r="A2474" s="73"/>
      <c r="B2474" s="73"/>
      <c r="C2474" s="73"/>
      <c r="D2474" s="73"/>
      <c r="E2474" s="73"/>
      <c r="F2474" s="66"/>
      <c r="G2474" s="66"/>
      <c r="H2474" s="66"/>
      <c r="I2474" s="66"/>
      <c r="J2474" s="66"/>
      <c r="K2474" s="63">
        <v>5200.0</v>
      </c>
      <c r="L2474" s="63">
        <v>21.0</v>
      </c>
      <c r="M2474" s="66">
        <f t="shared" si="1"/>
        <v>152.47</v>
      </c>
    </row>
    <row r="2475">
      <c r="A2475" s="67"/>
      <c r="B2475" s="67"/>
      <c r="C2475" s="67"/>
      <c r="D2475" s="67"/>
      <c r="E2475" s="67"/>
      <c r="F2475" s="68"/>
      <c r="G2475" s="68"/>
      <c r="H2475" s="68"/>
      <c r="I2475" s="68"/>
      <c r="J2475" s="68"/>
      <c r="K2475" s="69">
        <v>5600.0</v>
      </c>
      <c r="L2475" s="69">
        <v>20.93</v>
      </c>
      <c r="M2475" s="68">
        <f t="shared" si="1"/>
        <v>163.65</v>
      </c>
    </row>
    <row r="2476">
      <c r="A2476" s="70"/>
      <c r="B2476" s="70"/>
      <c r="C2476" s="70"/>
      <c r="D2476" s="70"/>
      <c r="E2476" s="70"/>
      <c r="F2476" s="66"/>
      <c r="G2476" s="66"/>
      <c r="H2476" s="66"/>
      <c r="I2476" s="66"/>
      <c r="J2476" s="66"/>
      <c r="K2476" s="63">
        <v>6000.0</v>
      </c>
      <c r="L2476" s="63">
        <v>20.93</v>
      </c>
      <c r="M2476" s="66">
        <f t="shared" si="1"/>
        <v>175.34</v>
      </c>
    </row>
    <row r="2477">
      <c r="A2477" s="67"/>
      <c r="B2477" s="67"/>
      <c r="C2477" s="67"/>
      <c r="D2477" s="67"/>
      <c r="E2477" s="67"/>
      <c r="F2477" s="68"/>
      <c r="G2477" s="68"/>
      <c r="H2477" s="68"/>
      <c r="I2477" s="68"/>
      <c r="J2477" s="68"/>
      <c r="K2477" s="69">
        <v>6500.0</v>
      </c>
      <c r="L2477" s="69">
        <v>20.93</v>
      </c>
      <c r="M2477" s="68">
        <f t="shared" si="1"/>
        <v>189.95</v>
      </c>
    </row>
    <row r="2478">
      <c r="A2478" s="70"/>
      <c r="B2478" s="70"/>
      <c r="C2478" s="70"/>
      <c r="D2478" s="70"/>
      <c r="E2478" s="70"/>
      <c r="F2478" s="66"/>
      <c r="G2478" s="66"/>
      <c r="H2478" s="66"/>
      <c r="I2478" s="66"/>
      <c r="J2478" s="66"/>
      <c r="K2478" s="63">
        <v>7000.0</v>
      </c>
      <c r="L2478" s="63">
        <v>20.63</v>
      </c>
      <c r="M2478" s="66">
        <f t="shared" si="1"/>
        <v>201.63</v>
      </c>
    </row>
    <row r="2479">
      <c r="A2479" s="67"/>
      <c r="B2479" s="67"/>
      <c r="C2479" s="67"/>
      <c r="D2479" s="67"/>
      <c r="E2479" s="67"/>
      <c r="F2479" s="68"/>
      <c r="G2479" s="68"/>
      <c r="H2479" s="68"/>
      <c r="I2479" s="68"/>
      <c r="J2479" s="68"/>
      <c r="K2479" s="69">
        <v>7200.0</v>
      </c>
      <c r="L2479" s="69">
        <v>20.3</v>
      </c>
      <c r="M2479" s="68">
        <f t="shared" si="1"/>
        <v>204.08</v>
      </c>
    </row>
    <row r="2480">
      <c r="A2480" s="70"/>
      <c r="B2480" s="70"/>
      <c r="C2480" s="70"/>
      <c r="D2480" s="70"/>
      <c r="E2480" s="70"/>
      <c r="F2480" s="66"/>
      <c r="G2480" s="66"/>
      <c r="H2480" s="66"/>
      <c r="I2480" s="66"/>
      <c r="J2480" s="66"/>
      <c r="K2480" s="63">
        <v>7800.0</v>
      </c>
      <c r="L2480" s="63">
        <v>18.68</v>
      </c>
      <c r="M2480" s="66">
        <f t="shared" si="1"/>
        <v>203.44</v>
      </c>
    </row>
    <row r="2481">
      <c r="A2481" s="67"/>
      <c r="B2481" s="67"/>
      <c r="C2481" s="67"/>
      <c r="D2481" s="67"/>
      <c r="E2481" s="67"/>
      <c r="F2481" s="68"/>
      <c r="G2481" s="68"/>
      <c r="H2481" s="68"/>
      <c r="I2481" s="68"/>
      <c r="J2481" s="68"/>
      <c r="K2481" s="69">
        <v>8200.0</v>
      </c>
      <c r="L2481" s="69">
        <v>17.18</v>
      </c>
      <c r="M2481" s="68">
        <f t="shared" si="1"/>
        <v>196.7</v>
      </c>
    </row>
    <row r="2482">
      <c r="A2482" s="66">
        <v>166.0</v>
      </c>
      <c r="B2482" s="66">
        <v>270.0</v>
      </c>
      <c r="C2482" s="74" t="s">
        <v>546</v>
      </c>
      <c r="D2482" s="74" t="s">
        <v>547</v>
      </c>
      <c r="E2482" s="74" t="s">
        <v>548</v>
      </c>
      <c r="F2482" s="65">
        <v>8000.0</v>
      </c>
      <c r="G2482" s="65">
        <v>8000.0</v>
      </c>
      <c r="H2482" s="65">
        <v>1200.0</v>
      </c>
      <c r="I2482" s="65">
        <v>4400.0</v>
      </c>
      <c r="J2482" s="65">
        <v>6800.0</v>
      </c>
      <c r="K2482" s="63">
        <v>500.0</v>
      </c>
      <c r="L2482" s="63">
        <v>24.33</v>
      </c>
      <c r="M2482" s="66">
        <f t="shared" si="1"/>
        <v>16.99</v>
      </c>
    </row>
    <row r="2483">
      <c r="A2483" s="67"/>
      <c r="B2483" s="67"/>
      <c r="C2483" s="67"/>
      <c r="D2483" s="67"/>
      <c r="E2483" s="67"/>
      <c r="F2483" s="68"/>
      <c r="G2483" s="68"/>
      <c r="H2483" s="68"/>
      <c r="I2483" s="68"/>
      <c r="J2483" s="68"/>
      <c r="K2483" s="69">
        <v>1000.0</v>
      </c>
      <c r="L2483" s="69">
        <v>26.77</v>
      </c>
      <c r="M2483" s="68">
        <f t="shared" si="1"/>
        <v>37.38</v>
      </c>
    </row>
    <row r="2484">
      <c r="A2484" s="70"/>
      <c r="B2484" s="70"/>
      <c r="C2484" s="70"/>
      <c r="D2484" s="70"/>
      <c r="E2484" s="70"/>
      <c r="F2484" s="66"/>
      <c r="G2484" s="66"/>
      <c r="H2484" s="66"/>
      <c r="I2484" s="66"/>
      <c r="J2484" s="66"/>
      <c r="K2484" s="63">
        <v>1500.0</v>
      </c>
      <c r="L2484" s="63">
        <v>37.97</v>
      </c>
      <c r="M2484" s="66">
        <f t="shared" si="1"/>
        <v>79.52</v>
      </c>
    </row>
    <row r="2485">
      <c r="A2485" s="67"/>
      <c r="B2485" s="67"/>
      <c r="C2485" s="67"/>
      <c r="D2485" s="67"/>
      <c r="E2485" s="67"/>
      <c r="F2485" s="68"/>
      <c r="G2485" s="68"/>
      <c r="H2485" s="68"/>
      <c r="I2485" s="68"/>
      <c r="J2485" s="68"/>
      <c r="K2485" s="69">
        <v>2000.0</v>
      </c>
      <c r="L2485" s="69">
        <v>50.4</v>
      </c>
      <c r="M2485" s="68">
        <f t="shared" si="1"/>
        <v>140.74</v>
      </c>
    </row>
    <row r="2486">
      <c r="A2486" s="70"/>
      <c r="B2486" s="70"/>
      <c r="C2486" s="70"/>
      <c r="D2486" s="70"/>
      <c r="E2486" s="70"/>
      <c r="F2486" s="66"/>
      <c r="G2486" s="66"/>
      <c r="H2486" s="66"/>
      <c r="I2486" s="66"/>
      <c r="J2486" s="66"/>
      <c r="K2486" s="63">
        <v>2500.0</v>
      </c>
      <c r="L2486" s="63">
        <v>60.72</v>
      </c>
      <c r="M2486" s="66">
        <f t="shared" si="1"/>
        <v>211.95</v>
      </c>
    </row>
    <row r="2487">
      <c r="A2487" s="67"/>
      <c r="B2487" s="67"/>
      <c r="C2487" s="67"/>
      <c r="D2487" s="67"/>
      <c r="E2487" s="67"/>
      <c r="F2487" s="68"/>
      <c r="G2487" s="68"/>
      <c r="H2487" s="68"/>
      <c r="I2487" s="68"/>
      <c r="J2487" s="68"/>
      <c r="K2487" s="69">
        <v>3000.0</v>
      </c>
      <c r="L2487" s="69">
        <v>68.13</v>
      </c>
      <c r="M2487" s="68">
        <f t="shared" si="1"/>
        <v>285.38</v>
      </c>
    </row>
    <row r="2488">
      <c r="A2488" s="70"/>
      <c r="B2488" s="70"/>
      <c r="C2488" s="70"/>
      <c r="D2488" s="70"/>
      <c r="E2488" s="70"/>
      <c r="F2488" s="66"/>
      <c r="G2488" s="66"/>
      <c r="H2488" s="66"/>
      <c r="I2488" s="66"/>
      <c r="J2488" s="66"/>
      <c r="K2488" s="63">
        <v>3500.0</v>
      </c>
      <c r="L2488" s="63">
        <v>70.33</v>
      </c>
      <c r="M2488" s="66">
        <f t="shared" si="1"/>
        <v>343.7</v>
      </c>
    </row>
    <row r="2489">
      <c r="A2489" s="67"/>
      <c r="B2489" s="67"/>
      <c r="C2489" s="67"/>
      <c r="D2489" s="67"/>
      <c r="E2489" s="67"/>
      <c r="F2489" s="68"/>
      <c r="G2489" s="68"/>
      <c r="H2489" s="68"/>
      <c r="I2489" s="68"/>
      <c r="J2489" s="68"/>
      <c r="K2489" s="69">
        <v>4000.0</v>
      </c>
      <c r="L2489" s="69">
        <v>71.17</v>
      </c>
      <c r="M2489" s="68">
        <f t="shared" si="1"/>
        <v>397.49</v>
      </c>
    </row>
    <row r="2490">
      <c r="A2490" s="70"/>
      <c r="B2490" s="70"/>
      <c r="C2490" s="70"/>
      <c r="D2490" s="70"/>
      <c r="E2490" s="70"/>
      <c r="F2490" s="66"/>
      <c r="G2490" s="66"/>
      <c r="H2490" s="66"/>
      <c r="I2490" s="66"/>
      <c r="J2490" s="66"/>
      <c r="K2490" s="63">
        <v>4400.0</v>
      </c>
      <c r="L2490" s="63">
        <v>72.0</v>
      </c>
      <c r="M2490" s="66">
        <f t="shared" si="1"/>
        <v>442.33</v>
      </c>
    </row>
    <row r="2491">
      <c r="A2491" s="67"/>
      <c r="B2491" s="67"/>
      <c r="C2491" s="67"/>
      <c r="D2491" s="67"/>
      <c r="E2491" s="67"/>
      <c r="F2491" s="68"/>
      <c r="G2491" s="68"/>
      <c r="H2491" s="68"/>
      <c r="I2491" s="68"/>
      <c r="J2491" s="68"/>
      <c r="K2491" s="69">
        <v>5000.0</v>
      </c>
      <c r="L2491" s="69">
        <v>71.55</v>
      </c>
      <c r="M2491" s="68">
        <f t="shared" si="1"/>
        <v>499.51</v>
      </c>
    </row>
    <row r="2492">
      <c r="A2492" s="70"/>
      <c r="B2492" s="70"/>
      <c r="C2492" s="70"/>
      <c r="D2492" s="70"/>
      <c r="E2492" s="70"/>
      <c r="F2492" s="66"/>
      <c r="G2492" s="66"/>
      <c r="H2492" s="66"/>
      <c r="I2492" s="66"/>
      <c r="J2492" s="66"/>
      <c r="K2492" s="63">
        <v>5500.0</v>
      </c>
      <c r="L2492" s="63">
        <v>71.15</v>
      </c>
      <c r="M2492" s="66">
        <f t="shared" si="1"/>
        <v>546.39</v>
      </c>
    </row>
    <row r="2493">
      <c r="A2493" s="67"/>
      <c r="B2493" s="67"/>
      <c r="C2493" s="67"/>
      <c r="D2493" s="67"/>
      <c r="E2493" s="67"/>
      <c r="F2493" s="68"/>
      <c r="G2493" s="68"/>
      <c r="H2493" s="68"/>
      <c r="I2493" s="68"/>
      <c r="J2493" s="68"/>
      <c r="K2493" s="69">
        <v>6000.0</v>
      </c>
      <c r="L2493" s="69">
        <v>70.02</v>
      </c>
      <c r="M2493" s="68">
        <f t="shared" si="1"/>
        <v>586.6</v>
      </c>
    </row>
    <row r="2494">
      <c r="A2494" s="70"/>
      <c r="B2494" s="70"/>
      <c r="C2494" s="70"/>
      <c r="D2494" s="70"/>
      <c r="E2494" s="70"/>
      <c r="F2494" s="66"/>
      <c r="G2494" s="66"/>
      <c r="H2494" s="66"/>
      <c r="I2494" s="66"/>
      <c r="J2494" s="66"/>
      <c r="K2494" s="63">
        <v>6800.0</v>
      </c>
      <c r="L2494" s="63">
        <v>68.4</v>
      </c>
      <c r="M2494" s="66">
        <f t="shared" si="1"/>
        <v>649.43</v>
      </c>
    </row>
    <row r="2495">
      <c r="A2495" s="67"/>
      <c r="B2495" s="67"/>
      <c r="C2495" s="67"/>
      <c r="D2495" s="67"/>
      <c r="E2495" s="67"/>
      <c r="F2495" s="68"/>
      <c r="G2495" s="68"/>
      <c r="H2495" s="68"/>
      <c r="I2495" s="68"/>
      <c r="J2495" s="68"/>
      <c r="K2495" s="69">
        <v>7000.0</v>
      </c>
      <c r="L2495" s="69">
        <v>65.6</v>
      </c>
      <c r="M2495" s="68">
        <f t="shared" si="1"/>
        <v>641.16</v>
      </c>
    </row>
    <row r="2496">
      <c r="A2496" s="70"/>
      <c r="B2496" s="70"/>
      <c r="C2496" s="70"/>
      <c r="D2496" s="70"/>
      <c r="E2496" s="70"/>
      <c r="F2496" s="66"/>
      <c r="G2496" s="66"/>
      <c r="H2496" s="66"/>
      <c r="I2496" s="66"/>
      <c r="J2496" s="66"/>
      <c r="K2496" s="63">
        <v>7500.0</v>
      </c>
      <c r="L2496" s="63">
        <v>56.88</v>
      </c>
      <c r="M2496" s="66">
        <f t="shared" si="1"/>
        <v>595.64</v>
      </c>
    </row>
    <row r="2497">
      <c r="A2497" s="67"/>
      <c r="B2497" s="67"/>
      <c r="C2497" s="67"/>
      <c r="D2497" s="67"/>
      <c r="E2497" s="67"/>
      <c r="F2497" s="68"/>
      <c r="G2497" s="68"/>
      <c r="H2497" s="68"/>
      <c r="I2497" s="68"/>
      <c r="J2497" s="68"/>
      <c r="K2497" s="69">
        <v>8000.0</v>
      </c>
      <c r="L2497" s="69">
        <v>49.17</v>
      </c>
      <c r="M2497" s="68">
        <f t="shared" si="1"/>
        <v>549.23</v>
      </c>
    </row>
    <row r="2498">
      <c r="A2498" s="63">
        <v>167.0</v>
      </c>
      <c r="B2498" s="63">
        <v>277.0</v>
      </c>
      <c r="C2498" s="64" t="s">
        <v>549</v>
      </c>
      <c r="D2498" s="64" t="s">
        <v>550</v>
      </c>
      <c r="E2498" s="64" t="s">
        <v>551</v>
      </c>
      <c r="F2498" s="65">
        <v>6500.0</v>
      </c>
      <c r="G2498" s="65">
        <v>6700.0</v>
      </c>
      <c r="H2498" s="65">
        <v>800.0</v>
      </c>
      <c r="I2498" s="65">
        <v>2800.0</v>
      </c>
      <c r="J2498" s="65">
        <v>6250.0</v>
      </c>
      <c r="K2498" s="63">
        <v>500.0</v>
      </c>
      <c r="L2498" s="63">
        <v>24.8</v>
      </c>
      <c r="M2498" s="66">
        <f t="shared" si="1"/>
        <v>17.31</v>
      </c>
    </row>
    <row r="2499">
      <c r="A2499" s="67"/>
      <c r="B2499" s="67"/>
      <c r="C2499" s="67"/>
      <c r="D2499" s="67"/>
      <c r="E2499" s="67"/>
      <c r="F2499" s="68"/>
      <c r="G2499" s="68"/>
      <c r="H2499" s="68"/>
      <c r="I2499" s="68"/>
      <c r="J2499" s="68"/>
      <c r="K2499" s="69">
        <v>1000.0</v>
      </c>
      <c r="L2499" s="69">
        <v>27.8</v>
      </c>
      <c r="M2499" s="68">
        <f t="shared" si="1"/>
        <v>38.82</v>
      </c>
    </row>
    <row r="2500">
      <c r="A2500" s="70"/>
      <c r="B2500" s="70"/>
      <c r="C2500" s="70"/>
      <c r="D2500" s="70"/>
      <c r="E2500" s="70"/>
      <c r="F2500" s="66"/>
      <c r="G2500" s="66"/>
      <c r="H2500" s="66"/>
      <c r="I2500" s="66"/>
      <c r="J2500" s="66"/>
      <c r="K2500" s="63">
        <v>1500.0</v>
      </c>
      <c r="L2500" s="63">
        <v>30.3</v>
      </c>
      <c r="M2500" s="66">
        <f t="shared" si="1"/>
        <v>63.46</v>
      </c>
    </row>
    <row r="2501">
      <c r="A2501" s="67"/>
      <c r="B2501" s="67"/>
      <c r="C2501" s="67"/>
      <c r="D2501" s="67"/>
      <c r="E2501" s="67"/>
      <c r="F2501" s="68"/>
      <c r="G2501" s="68"/>
      <c r="H2501" s="68"/>
      <c r="I2501" s="68"/>
      <c r="J2501" s="68"/>
      <c r="K2501" s="69">
        <v>2200.0</v>
      </c>
      <c r="L2501" s="69">
        <v>32.1</v>
      </c>
      <c r="M2501" s="68">
        <f t="shared" si="1"/>
        <v>98.6</v>
      </c>
    </row>
    <row r="2502">
      <c r="A2502" s="70"/>
      <c r="B2502" s="70"/>
      <c r="C2502" s="70"/>
      <c r="D2502" s="70"/>
      <c r="E2502" s="70"/>
      <c r="F2502" s="66"/>
      <c r="G2502" s="66"/>
      <c r="H2502" s="66"/>
      <c r="I2502" s="66"/>
      <c r="J2502" s="66"/>
      <c r="K2502" s="63">
        <v>2800.0</v>
      </c>
      <c r="L2502" s="63">
        <v>32.6</v>
      </c>
      <c r="M2502" s="66">
        <f t="shared" si="1"/>
        <v>127.45</v>
      </c>
    </row>
    <row r="2503">
      <c r="A2503" s="67"/>
      <c r="B2503" s="67"/>
      <c r="C2503" s="67"/>
      <c r="D2503" s="67"/>
      <c r="E2503" s="67"/>
      <c r="F2503" s="68"/>
      <c r="G2503" s="68"/>
      <c r="H2503" s="68"/>
      <c r="I2503" s="68"/>
      <c r="J2503" s="68"/>
      <c r="K2503" s="69">
        <v>3000.0</v>
      </c>
      <c r="L2503" s="69">
        <v>32.6</v>
      </c>
      <c r="M2503" s="68">
        <f t="shared" si="1"/>
        <v>136.55</v>
      </c>
    </row>
    <row r="2504">
      <c r="A2504" s="70"/>
      <c r="B2504" s="70"/>
      <c r="C2504" s="70"/>
      <c r="D2504" s="70"/>
      <c r="E2504" s="70"/>
      <c r="F2504" s="66"/>
      <c r="G2504" s="66"/>
      <c r="H2504" s="66"/>
      <c r="I2504" s="66"/>
      <c r="J2504" s="66"/>
      <c r="K2504" s="63">
        <v>3500.0</v>
      </c>
      <c r="L2504" s="63">
        <v>32.5</v>
      </c>
      <c r="M2504" s="66">
        <f t="shared" si="1"/>
        <v>158.82</v>
      </c>
    </row>
    <row r="2505">
      <c r="A2505" s="67"/>
      <c r="B2505" s="67"/>
      <c r="C2505" s="67"/>
      <c r="D2505" s="67"/>
      <c r="E2505" s="67"/>
      <c r="F2505" s="68"/>
      <c r="G2505" s="68"/>
      <c r="H2505" s="68"/>
      <c r="I2505" s="68"/>
      <c r="J2505" s="68"/>
      <c r="K2505" s="69">
        <v>4000.0</v>
      </c>
      <c r="L2505" s="69">
        <v>32.3</v>
      </c>
      <c r="M2505" s="68">
        <f t="shared" si="1"/>
        <v>180.4</v>
      </c>
    </row>
    <row r="2506">
      <c r="A2506" s="70"/>
      <c r="B2506" s="70"/>
      <c r="C2506" s="70"/>
      <c r="D2506" s="70"/>
      <c r="E2506" s="70"/>
      <c r="F2506" s="66"/>
      <c r="G2506" s="66"/>
      <c r="H2506" s="66"/>
      <c r="I2506" s="66"/>
      <c r="J2506" s="66"/>
      <c r="K2506" s="63">
        <v>4500.0</v>
      </c>
      <c r="L2506" s="63">
        <v>31.9</v>
      </c>
      <c r="M2506" s="66">
        <f t="shared" si="1"/>
        <v>200.43</v>
      </c>
    </row>
    <row r="2507">
      <c r="A2507" s="67"/>
      <c r="B2507" s="67"/>
      <c r="C2507" s="67"/>
      <c r="D2507" s="67"/>
      <c r="E2507" s="67"/>
      <c r="F2507" s="68"/>
      <c r="G2507" s="68"/>
      <c r="H2507" s="68"/>
      <c r="I2507" s="68"/>
      <c r="J2507" s="68"/>
      <c r="K2507" s="69">
        <v>5000.0</v>
      </c>
      <c r="L2507" s="69">
        <v>31.5</v>
      </c>
      <c r="M2507" s="68">
        <f t="shared" si="1"/>
        <v>219.91</v>
      </c>
    </row>
    <row r="2508">
      <c r="A2508" s="70"/>
      <c r="B2508" s="70"/>
      <c r="C2508" s="70"/>
      <c r="D2508" s="70"/>
      <c r="E2508" s="70"/>
      <c r="F2508" s="66"/>
      <c r="G2508" s="66"/>
      <c r="H2508" s="66"/>
      <c r="I2508" s="66"/>
      <c r="J2508" s="66"/>
      <c r="K2508" s="63">
        <v>5500.0</v>
      </c>
      <c r="L2508" s="63">
        <v>30.5</v>
      </c>
      <c r="M2508" s="66">
        <f t="shared" si="1"/>
        <v>234.22</v>
      </c>
    </row>
    <row r="2509">
      <c r="A2509" s="67"/>
      <c r="B2509" s="67"/>
      <c r="C2509" s="67"/>
      <c r="D2509" s="67"/>
      <c r="E2509" s="67"/>
      <c r="F2509" s="68"/>
      <c r="G2509" s="68"/>
      <c r="H2509" s="68"/>
      <c r="I2509" s="68"/>
      <c r="J2509" s="68"/>
      <c r="K2509" s="69">
        <v>6000.0</v>
      </c>
      <c r="L2509" s="69">
        <v>28.7</v>
      </c>
      <c r="M2509" s="68">
        <f t="shared" si="1"/>
        <v>240.44</v>
      </c>
    </row>
    <row r="2510">
      <c r="A2510" s="70"/>
      <c r="B2510" s="70"/>
      <c r="C2510" s="70"/>
      <c r="D2510" s="70"/>
      <c r="E2510" s="70"/>
      <c r="F2510" s="66"/>
      <c r="G2510" s="66"/>
      <c r="H2510" s="66"/>
      <c r="I2510" s="66"/>
      <c r="J2510" s="66"/>
      <c r="K2510" s="63">
        <v>6250.0</v>
      </c>
      <c r="L2510" s="63">
        <v>27.6</v>
      </c>
      <c r="M2510" s="66">
        <f t="shared" si="1"/>
        <v>240.85</v>
      </c>
    </row>
    <row r="2511">
      <c r="A2511" s="67"/>
      <c r="B2511" s="67"/>
      <c r="C2511" s="67"/>
      <c r="D2511" s="67"/>
      <c r="E2511" s="67"/>
      <c r="F2511" s="68"/>
      <c r="G2511" s="68"/>
      <c r="H2511" s="68"/>
      <c r="I2511" s="68"/>
      <c r="J2511" s="68"/>
      <c r="K2511" s="69">
        <v>6800.0</v>
      </c>
      <c r="L2511" s="69">
        <v>24.8</v>
      </c>
      <c r="M2511" s="68">
        <f t="shared" si="1"/>
        <v>235.46</v>
      </c>
    </row>
    <row r="2512">
      <c r="A2512" s="70"/>
      <c r="B2512" s="70"/>
      <c r="C2512" s="70"/>
      <c r="D2512" s="70"/>
      <c r="E2512" s="70"/>
      <c r="F2512" s="66"/>
      <c r="G2512" s="66"/>
      <c r="H2512" s="66"/>
      <c r="I2512" s="66"/>
      <c r="J2512" s="66"/>
      <c r="K2512" s="63">
        <v>7200.0</v>
      </c>
      <c r="L2512" s="63">
        <v>22.3</v>
      </c>
      <c r="M2512" s="66">
        <f t="shared" si="1"/>
        <v>224.18</v>
      </c>
    </row>
    <row r="2513">
      <c r="A2513" s="68">
        <v>168.0</v>
      </c>
      <c r="B2513" s="68">
        <v>279.0</v>
      </c>
      <c r="C2513" s="71" t="s">
        <v>552</v>
      </c>
      <c r="D2513" s="71" t="s">
        <v>553</v>
      </c>
      <c r="E2513" s="71" t="s">
        <v>554</v>
      </c>
      <c r="F2513" s="72">
        <v>6400.0</v>
      </c>
      <c r="G2513" s="72">
        <v>6600.0</v>
      </c>
      <c r="H2513" s="72">
        <v>800.0</v>
      </c>
      <c r="I2513" s="72">
        <v>4800.0</v>
      </c>
      <c r="J2513" s="72">
        <v>6400.0</v>
      </c>
      <c r="K2513" s="69">
        <v>500.0</v>
      </c>
      <c r="L2513" s="69">
        <v>11.25</v>
      </c>
      <c r="M2513" s="68">
        <f t="shared" si="1"/>
        <v>7.85</v>
      </c>
    </row>
    <row r="2514">
      <c r="A2514" s="70"/>
      <c r="B2514" s="70"/>
      <c r="C2514" s="70"/>
      <c r="D2514" s="70"/>
      <c r="E2514" s="70"/>
      <c r="F2514" s="66"/>
      <c r="G2514" s="66"/>
      <c r="H2514" s="66"/>
      <c r="I2514" s="66"/>
      <c r="J2514" s="66"/>
      <c r="K2514" s="63">
        <v>1000.0</v>
      </c>
      <c r="L2514" s="63">
        <v>11.79</v>
      </c>
      <c r="M2514" s="66">
        <f t="shared" si="1"/>
        <v>16.46</v>
      </c>
    </row>
    <row r="2515">
      <c r="A2515" s="67"/>
      <c r="B2515" s="67"/>
      <c r="C2515" s="67"/>
      <c r="D2515" s="67"/>
      <c r="E2515" s="67"/>
      <c r="F2515" s="68"/>
      <c r="G2515" s="68"/>
      <c r="H2515" s="68"/>
      <c r="I2515" s="68"/>
      <c r="J2515" s="68"/>
      <c r="K2515" s="69">
        <v>1500.0</v>
      </c>
      <c r="L2515" s="69">
        <v>13.45</v>
      </c>
      <c r="M2515" s="68">
        <f t="shared" si="1"/>
        <v>28.17</v>
      </c>
    </row>
    <row r="2516">
      <c r="A2516" s="70"/>
      <c r="B2516" s="70"/>
      <c r="C2516" s="70"/>
      <c r="D2516" s="70"/>
      <c r="E2516" s="70"/>
      <c r="F2516" s="66"/>
      <c r="G2516" s="66"/>
      <c r="H2516" s="66"/>
      <c r="I2516" s="66"/>
      <c r="J2516" s="66"/>
      <c r="K2516" s="63">
        <v>2000.0</v>
      </c>
      <c r="L2516" s="63">
        <v>17.3</v>
      </c>
      <c r="M2516" s="66">
        <f t="shared" si="1"/>
        <v>48.31</v>
      </c>
    </row>
    <row r="2517">
      <c r="A2517" s="67"/>
      <c r="B2517" s="67"/>
      <c r="C2517" s="67"/>
      <c r="D2517" s="67"/>
      <c r="E2517" s="67"/>
      <c r="F2517" s="68"/>
      <c r="G2517" s="68"/>
      <c r="H2517" s="68"/>
      <c r="I2517" s="68"/>
      <c r="J2517" s="68"/>
      <c r="K2517" s="69">
        <v>2500.0</v>
      </c>
      <c r="L2517" s="69">
        <v>19.08</v>
      </c>
      <c r="M2517" s="68">
        <f t="shared" si="1"/>
        <v>66.6</v>
      </c>
    </row>
    <row r="2518">
      <c r="A2518" s="70"/>
      <c r="B2518" s="70"/>
      <c r="C2518" s="70"/>
      <c r="D2518" s="70"/>
      <c r="E2518" s="70"/>
      <c r="F2518" s="66"/>
      <c r="G2518" s="66"/>
      <c r="H2518" s="66"/>
      <c r="I2518" s="66"/>
      <c r="J2518" s="66"/>
      <c r="K2518" s="63">
        <v>3000.0</v>
      </c>
      <c r="L2518" s="63">
        <v>19.71</v>
      </c>
      <c r="M2518" s="66">
        <f t="shared" si="1"/>
        <v>82.56</v>
      </c>
    </row>
    <row r="2519">
      <c r="A2519" s="67"/>
      <c r="B2519" s="67"/>
      <c r="C2519" s="67"/>
      <c r="D2519" s="67"/>
      <c r="E2519" s="67"/>
      <c r="F2519" s="68"/>
      <c r="G2519" s="68"/>
      <c r="H2519" s="68"/>
      <c r="I2519" s="68"/>
      <c r="J2519" s="68"/>
      <c r="K2519" s="69">
        <v>3500.0</v>
      </c>
      <c r="L2519" s="69">
        <v>19.65</v>
      </c>
      <c r="M2519" s="68">
        <f t="shared" si="1"/>
        <v>96.03</v>
      </c>
    </row>
    <row r="2520">
      <c r="A2520" s="70"/>
      <c r="B2520" s="70"/>
      <c r="C2520" s="70"/>
      <c r="D2520" s="70"/>
      <c r="E2520" s="70"/>
      <c r="F2520" s="66"/>
      <c r="G2520" s="66"/>
      <c r="H2520" s="66"/>
      <c r="I2520" s="66"/>
      <c r="J2520" s="66"/>
      <c r="K2520" s="63">
        <v>4000.0</v>
      </c>
      <c r="L2520" s="63">
        <v>19.58</v>
      </c>
      <c r="M2520" s="66">
        <f t="shared" si="1"/>
        <v>109.35</v>
      </c>
    </row>
    <row r="2521">
      <c r="A2521" s="67"/>
      <c r="B2521" s="67"/>
      <c r="C2521" s="67"/>
      <c r="D2521" s="67"/>
      <c r="E2521" s="67"/>
      <c r="F2521" s="68"/>
      <c r="G2521" s="68"/>
      <c r="H2521" s="68"/>
      <c r="I2521" s="68"/>
      <c r="J2521" s="68"/>
      <c r="K2521" s="69">
        <v>4500.0</v>
      </c>
      <c r="L2521" s="69">
        <v>19.93</v>
      </c>
      <c r="M2521" s="68">
        <f t="shared" si="1"/>
        <v>125.22</v>
      </c>
    </row>
    <row r="2522">
      <c r="A2522" s="73"/>
      <c r="B2522" s="73"/>
      <c r="C2522" s="73"/>
      <c r="D2522" s="73"/>
      <c r="E2522" s="73"/>
      <c r="F2522" s="66"/>
      <c r="G2522" s="66"/>
      <c r="H2522" s="66"/>
      <c r="I2522" s="66"/>
      <c r="J2522" s="66"/>
      <c r="K2522" s="63">
        <v>5000.0</v>
      </c>
      <c r="L2522" s="63">
        <v>19.99</v>
      </c>
      <c r="M2522" s="66">
        <f t="shared" si="1"/>
        <v>139.56</v>
      </c>
    </row>
    <row r="2523">
      <c r="A2523" s="67"/>
      <c r="B2523" s="67"/>
      <c r="C2523" s="67"/>
      <c r="D2523" s="67"/>
      <c r="E2523" s="67"/>
      <c r="F2523" s="68"/>
      <c r="G2523" s="68"/>
      <c r="H2523" s="68"/>
      <c r="I2523" s="68"/>
      <c r="J2523" s="68"/>
      <c r="K2523" s="69">
        <v>5500.0</v>
      </c>
      <c r="L2523" s="69">
        <v>19.01</v>
      </c>
      <c r="M2523" s="68">
        <f t="shared" si="1"/>
        <v>145.99</v>
      </c>
    </row>
    <row r="2524">
      <c r="A2524" s="70"/>
      <c r="B2524" s="70"/>
      <c r="C2524" s="70"/>
      <c r="D2524" s="70"/>
      <c r="E2524" s="70"/>
      <c r="F2524" s="66"/>
      <c r="G2524" s="66"/>
      <c r="H2524" s="66"/>
      <c r="I2524" s="66"/>
      <c r="J2524" s="66"/>
      <c r="K2524" s="63">
        <v>6000.0</v>
      </c>
      <c r="L2524" s="63">
        <v>17.69</v>
      </c>
      <c r="M2524" s="66">
        <f t="shared" si="1"/>
        <v>148.2</v>
      </c>
    </row>
    <row r="2525">
      <c r="A2525" s="67"/>
      <c r="B2525" s="67"/>
      <c r="C2525" s="67"/>
      <c r="D2525" s="67"/>
      <c r="E2525" s="67"/>
      <c r="F2525" s="68"/>
      <c r="G2525" s="68"/>
      <c r="H2525" s="68"/>
      <c r="I2525" s="68"/>
      <c r="J2525" s="68"/>
      <c r="K2525" s="69">
        <v>6500.0</v>
      </c>
      <c r="L2525" s="69">
        <v>16.46</v>
      </c>
      <c r="M2525" s="68">
        <f t="shared" si="1"/>
        <v>149.39</v>
      </c>
    </row>
    <row r="2526">
      <c r="A2526" s="70"/>
      <c r="B2526" s="70"/>
      <c r="C2526" s="70"/>
      <c r="D2526" s="70"/>
      <c r="E2526" s="70"/>
      <c r="F2526" s="66"/>
      <c r="G2526" s="66"/>
      <c r="H2526" s="66"/>
      <c r="I2526" s="66"/>
      <c r="J2526" s="66"/>
      <c r="K2526" s="63">
        <v>7000.0</v>
      </c>
      <c r="L2526" s="63">
        <v>14.6</v>
      </c>
      <c r="M2526" s="66">
        <f t="shared" si="1"/>
        <v>142.7</v>
      </c>
    </row>
    <row r="2527">
      <c r="A2527" s="67"/>
      <c r="B2527" s="67"/>
      <c r="C2527" s="67"/>
      <c r="D2527" s="67"/>
      <c r="E2527" s="67"/>
      <c r="F2527" s="68"/>
      <c r="G2527" s="68"/>
      <c r="H2527" s="68"/>
      <c r="I2527" s="68"/>
      <c r="J2527" s="68"/>
      <c r="K2527" s="69">
        <v>7500.0</v>
      </c>
      <c r="L2527" s="69">
        <v>12.5</v>
      </c>
      <c r="M2527" s="68">
        <f t="shared" si="1"/>
        <v>130.9</v>
      </c>
    </row>
    <row r="2528">
      <c r="A2528" s="66">
        <v>169.0</v>
      </c>
      <c r="B2528" s="66">
        <v>280.0</v>
      </c>
      <c r="C2528" s="74" t="s">
        <v>555</v>
      </c>
      <c r="D2528" s="74" t="s">
        <v>556</v>
      </c>
      <c r="E2528" s="74" t="s">
        <v>557</v>
      </c>
      <c r="F2528" s="65">
        <v>6600.0</v>
      </c>
      <c r="G2528" s="65">
        <v>6700.0</v>
      </c>
      <c r="H2528" s="65">
        <v>600.0</v>
      </c>
      <c r="I2528" s="65">
        <v>4800.0</v>
      </c>
      <c r="J2528" s="65">
        <v>6200.0</v>
      </c>
      <c r="K2528" s="63">
        <v>500.0</v>
      </c>
      <c r="L2528" s="63">
        <v>25.64</v>
      </c>
      <c r="M2528" s="66">
        <f t="shared" si="1"/>
        <v>17.9</v>
      </c>
    </row>
    <row r="2529">
      <c r="A2529" s="67"/>
      <c r="B2529" s="67"/>
      <c r="C2529" s="67"/>
      <c r="D2529" s="67"/>
      <c r="E2529" s="67"/>
      <c r="F2529" s="68"/>
      <c r="G2529" s="68"/>
      <c r="H2529" s="68"/>
      <c r="I2529" s="68"/>
      <c r="J2529" s="68"/>
      <c r="K2529" s="69">
        <v>1000.0</v>
      </c>
      <c r="L2529" s="69">
        <v>28.67</v>
      </c>
      <c r="M2529" s="68">
        <f t="shared" si="1"/>
        <v>40.03</v>
      </c>
    </row>
    <row r="2530">
      <c r="A2530" s="70"/>
      <c r="B2530" s="70"/>
      <c r="C2530" s="70"/>
      <c r="D2530" s="70"/>
      <c r="E2530" s="70"/>
      <c r="F2530" s="66"/>
      <c r="G2530" s="66"/>
      <c r="H2530" s="66"/>
      <c r="I2530" s="66"/>
      <c r="J2530" s="66"/>
      <c r="K2530" s="63">
        <v>1500.0</v>
      </c>
      <c r="L2530" s="63">
        <v>30.59</v>
      </c>
      <c r="M2530" s="66">
        <f t="shared" si="1"/>
        <v>64.07</v>
      </c>
    </row>
    <row r="2531">
      <c r="A2531" s="67"/>
      <c r="B2531" s="67"/>
      <c r="C2531" s="67"/>
      <c r="D2531" s="67"/>
      <c r="E2531" s="67"/>
      <c r="F2531" s="68"/>
      <c r="G2531" s="68"/>
      <c r="H2531" s="68"/>
      <c r="I2531" s="68"/>
      <c r="J2531" s="68"/>
      <c r="K2531" s="69">
        <v>2000.0</v>
      </c>
      <c r="L2531" s="69">
        <v>31.61</v>
      </c>
      <c r="M2531" s="68">
        <f t="shared" si="1"/>
        <v>88.27</v>
      </c>
    </row>
    <row r="2532">
      <c r="A2532" s="70"/>
      <c r="B2532" s="70"/>
      <c r="C2532" s="70"/>
      <c r="D2532" s="70"/>
      <c r="E2532" s="70"/>
      <c r="F2532" s="66"/>
      <c r="G2532" s="66"/>
      <c r="H2532" s="66"/>
      <c r="I2532" s="66"/>
      <c r="J2532" s="66"/>
      <c r="K2532" s="63">
        <v>2500.0</v>
      </c>
      <c r="L2532" s="63">
        <v>32.98</v>
      </c>
      <c r="M2532" s="66">
        <f t="shared" si="1"/>
        <v>115.12</v>
      </c>
    </row>
    <row r="2533">
      <c r="A2533" s="67"/>
      <c r="B2533" s="67"/>
      <c r="C2533" s="67"/>
      <c r="D2533" s="67"/>
      <c r="E2533" s="67"/>
      <c r="F2533" s="68"/>
      <c r="G2533" s="68"/>
      <c r="H2533" s="68"/>
      <c r="I2533" s="68"/>
      <c r="J2533" s="68"/>
      <c r="K2533" s="69">
        <v>3000.0</v>
      </c>
      <c r="L2533" s="69">
        <v>34.3</v>
      </c>
      <c r="M2533" s="68">
        <f t="shared" si="1"/>
        <v>143.67</v>
      </c>
    </row>
    <row r="2534">
      <c r="A2534" s="70"/>
      <c r="B2534" s="70"/>
      <c r="C2534" s="70"/>
      <c r="D2534" s="70"/>
      <c r="E2534" s="70"/>
      <c r="F2534" s="66"/>
      <c r="G2534" s="66"/>
      <c r="H2534" s="66"/>
      <c r="I2534" s="66"/>
      <c r="J2534" s="66"/>
      <c r="K2534" s="63">
        <v>3500.0</v>
      </c>
      <c r="L2534" s="63">
        <v>35.18</v>
      </c>
      <c r="M2534" s="66">
        <f t="shared" si="1"/>
        <v>171.92</v>
      </c>
    </row>
    <row r="2535">
      <c r="A2535" s="67"/>
      <c r="B2535" s="67"/>
      <c r="C2535" s="67"/>
      <c r="D2535" s="67"/>
      <c r="E2535" s="67"/>
      <c r="F2535" s="68"/>
      <c r="G2535" s="68"/>
      <c r="H2535" s="68"/>
      <c r="I2535" s="68"/>
      <c r="J2535" s="68"/>
      <c r="K2535" s="69">
        <v>4000.0</v>
      </c>
      <c r="L2535" s="69">
        <v>35.69</v>
      </c>
      <c r="M2535" s="68">
        <f t="shared" si="1"/>
        <v>199.33</v>
      </c>
    </row>
    <row r="2536">
      <c r="A2536" s="70"/>
      <c r="B2536" s="70"/>
      <c r="C2536" s="70"/>
      <c r="D2536" s="70"/>
      <c r="E2536" s="70"/>
      <c r="F2536" s="66"/>
      <c r="G2536" s="66"/>
      <c r="H2536" s="66"/>
      <c r="I2536" s="66"/>
      <c r="J2536" s="66"/>
      <c r="K2536" s="63">
        <v>4500.0</v>
      </c>
      <c r="L2536" s="63">
        <v>36.35</v>
      </c>
      <c r="M2536" s="66">
        <f t="shared" si="1"/>
        <v>228.39</v>
      </c>
    </row>
    <row r="2537">
      <c r="A2537" s="67"/>
      <c r="B2537" s="67"/>
      <c r="C2537" s="67"/>
      <c r="D2537" s="67"/>
      <c r="E2537" s="67"/>
      <c r="F2537" s="68"/>
      <c r="G2537" s="68"/>
      <c r="H2537" s="68"/>
      <c r="I2537" s="68"/>
      <c r="J2537" s="68"/>
      <c r="K2537" s="69">
        <v>5000.0</v>
      </c>
      <c r="L2537" s="69">
        <v>37.02</v>
      </c>
      <c r="M2537" s="68">
        <f t="shared" si="1"/>
        <v>258.45</v>
      </c>
    </row>
    <row r="2538">
      <c r="A2538" s="70"/>
      <c r="B2538" s="70"/>
      <c r="C2538" s="70"/>
      <c r="D2538" s="70"/>
      <c r="E2538" s="70"/>
      <c r="F2538" s="66"/>
      <c r="G2538" s="66"/>
      <c r="H2538" s="66"/>
      <c r="I2538" s="66"/>
      <c r="J2538" s="66"/>
      <c r="K2538" s="63">
        <v>5500.0</v>
      </c>
      <c r="L2538" s="63">
        <v>35.65</v>
      </c>
      <c r="M2538" s="66">
        <f t="shared" si="1"/>
        <v>273.77</v>
      </c>
    </row>
    <row r="2539">
      <c r="A2539" s="67"/>
      <c r="B2539" s="67"/>
      <c r="C2539" s="67"/>
      <c r="D2539" s="67"/>
      <c r="E2539" s="67"/>
      <c r="F2539" s="68"/>
      <c r="G2539" s="68"/>
      <c r="H2539" s="68"/>
      <c r="I2539" s="68"/>
      <c r="J2539" s="68"/>
      <c r="K2539" s="69">
        <v>6000.0</v>
      </c>
      <c r="L2539" s="69">
        <v>33.37</v>
      </c>
      <c r="M2539" s="68">
        <f t="shared" si="1"/>
        <v>279.56</v>
      </c>
    </row>
    <row r="2540">
      <c r="A2540" s="70"/>
      <c r="B2540" s="70"/>
      <c r="C2540" s="70"/>
      <c r="D2540" s="70"/>
      <c r="E2540" s="70"/>
      <c r="F2540" s="66"/>
      <c r="G2540" s="66"/>
      <c r="H2540" s="66"/>
      <c r="I2540" s="66"/>
      <c r="J2540" s="66"/>
      <c r="K2540" s="63">
        <v>6500.0</v>
      </c>
      <c r="L2540" s="63">
        <v>30.59</v>
      </c>
      <c r="M2540" s="66">
        <f t="shared" si="1"/>
        <v>277.62</v>
      </c>
    </row>
    <row r="2541">
      <c r="A2541" s="67"/>
      <c r="B2541" s="67"/>
      <c r="C2541" s="67"/>
      <c r="D2541" s="67"/>
      <c r="E2541" s="67"/>
      <c r="F2541" s="68"/>
      <c r="G2541" s="68"/>
      <c r="H2541" s="68"/>
      <c r="I2541" s="68"/>
      <c r="J2541" s="68"/>
      <c r="K2541" s="69">
        <v>7000.0</v>
      </c>
      <c r="L2541" s="69">
        <v>27.4</v>
      </c>
      <c r="M2541" s="68">
        <f t="shared" si="1"/>
        <v>267.8</v>
      </c>
    </row>
    <row r="2542">
      <c r="A2542" s="66">
        <v>170.0</v>
      </c>
      <c r="B2542" s="66">
        <v>281.0</v>
      </c>
      <c r="C2542" s="74" t="s">
        <v>558</v>
      </c>
      <c r="D2542" s="74" t="s">
        <v>559</v>
      </c>
      <c r="E2542" s="74" t="s">
        <v>560</v>
      </c>
      <c r="F2542" s="65">
        <v>6500.0</v>
      </c>
      <c r="G2542" s="65">
        <v>6700.0</v>
      </c>
      <c r="H2542" s="65">
        <v>800.0</v>
      </c>
      <c r="I2542" s="65">
        <v>3800.0</v>
      </c>
      <c r="J2542" s="65">
        <v>6400.0</v>
      </c>
      <c r="K2542" s="63">
        <v>500.0</v>
      </c>
      <c r="L2542" s="63">
        <v>9.94</v>
      </c>
      <c r="M2542" s="66">
        <f t="shared" si="1"/>
        <v>6.94</v>
      </c>
    </row>
    <row r="2543">
      <c r="A2543" s="67"/>
      <c r="B2543" s="67"/>
      <c r="C2543" s="67"/>
      <c r="D2543" s="67"/>
      <c r="E2543" s="67"/>
      <c r="F2543" s="68"/>
      <c r="G2543" s="68"/>
      <c r="H2543" s="68"/>
      <c r="I2543" s="68"/>
      <c r="J2543" s="68"/>
      <c r="K2543" s="69">
        <v>1000.0</v>
      </c>
      <c r="L2543" s="69">
        <v>12.08</v>
      </c>
      <c r="M2543" s="68">
        <f t="shared" si="1"/>
        <v>16.87</v>
      </c>
    </row>
    <row r="2544">
      <c r="A2544" s="70"/>
      <c r="B2544" s="70"/>
      <c r="C2544" s="70"/>
      <c r="D2544" s="70"/>
      <c r="E2544" s="70"/>
      <c r="F2544" s="66"/>
      <c r="G2544" s="66"/>
      <c r="H2544" s="66"/>
      <c r="I2544" s="66"/>
      <c r="J2544" s="66"/>
      <c r="K2544" s="63">
        <v>1500.0</v>
      </c>
      <c r="L2544" s="63">
        <v>13.57</v>
      </c>
      <c r="M2544" s="66">
        <f t="shared" si="1"/>
        <v>28.42</v>
      </c>
    </row>
    <row r="2545">
      <c r="A2545" s="67"/>
      <c r="B2545" s="67"/>
      <c r="C2545" s="67"/>
      <c r="D2545" s="67"/>
      <c r="E2545" s="67"/>
      <c r="F2545" s="68"/>
      <c r="G2545" s="68"/>
      <c r="H2545" s="68"/>
      <c r="I2545" s="68"/>
      <c r="J2545" s="68"/>
      <c r="K2545" s="69">
        <v>2000.0</v>
      </c>
      <c r="L2545" s="69">
        <v>14.63</v>
      </c>
      <c r="M2545" s="68">
        <f t="shared" si="1"/>
        <v>40.85</v>
      </c>
    </row>
    <row r="2546">
      <c r="A2546" s="73"/>
      <c r="B2546" s="73"/>
      <c r="C2546" s="73"/>
      <c r="D2546" s="73"/>
      <c r="E2546" s="73"/>
      <c r="F2546" s="66"/>
      <c r="G2546" s="66"/>
      <c r="H2546" s="66"/>
      <c r="I2546" s="66"/>
      <c r="J2546" s="66"/>
      <c r="K2546" s="63">
        <v>2500.0</v>
      </c>
      <c r="L2546" s="63">
        <v>15.58</v>
      </c>
      <c r="M2546" s="66">
        <f t="shared" si="1"/>
        <v>54.38</v>
      </c>
    </row>
    <row r="2547">
      <c r="A2547" s="67"/>
      <c r="B2547" s="67"/>
      <c r="C2547" s="67"/>
      <c r="D2547" s="67"/>
      <c r="E2547" s="67"/>
      <c r="F2547" s="68"/>
      <c r="G2547" s="68"/>
      <c r="H2547" s="68"/>
      <c r="I2547" s="68"/>
      <c r="J2547" s="68"/>
      <c r="K2547" s="69">
        <v>3000.0</v>
      </c>
      <c r="L2547" s="69">
        <v>16.64</v>
      </c>
      <c r="M2547" s="68">
        <f t="shared" si="1"/>
        <v>69.7</v>
      </c>
    </row>
    <row r="2548">
      <c r="A2548" s="70"/>
      <c r="B2548" s="70"/>
      <c r="C2548" s="70"/>
      <c r="D2548" s="70"/>
      <c r="E2548" s="70"/>
      <c r="F2548" s="66"/>
      <c r="G2548" s="66"/>
      <c r="H2548" s="66"/>
      <c r="I2548" s="66"/>
      <c r="J2548" s="66"/>
      <c r="K2548" s="63">
        <v>3500.0</v>
      </c>
      <c r="L2548" s="63">
        <v>17.41</v>
      </c>
      <c r="M2548" s="66">
        <f t="shared" si="1"/>
        <v>85.08</v>
      </c>
    </row>
    <row r="2549">
      <c r="A2549" s="67"/>
      <c r="B2549" s="67"/>
      <c r="C2549" s="67"/>
      <c r="D2549" s="67"/>
      <c r="E2549" s="67"/>
      <c r="F2549" s="68"/>
      <c r="G2549" s="68"/>
      <c r="H2549" s="68"/>
      <c r="I2549" s="68"/>
      <c r="J2549" s="68"/>
      <c r="K2549" s="69">
        <v>4000.0</v>
      </c>
      <c r="L2549" s="69">
        <v>17.59</v>
      </c>
      <c r="M2549" s="68">
        <f t="shared" si="1"/>
        <v>98.24</v>
      </c>
    </row>
    <row r="2550">
      <c r="A2550" s="70"/>
      <c r="B2550" s="70"/>
      <c r="C2550" s="70"/>
      <c r="D2550" s="70"/>
      <c r="E2550" s="70"/>
      <c r="F2550" s="66"/>
      <c r="G2550" s="66"/>
      <c r="H2550" s="66"/>
      <c r="I2550" s="66"/>
      <c r="J2550" s="66"/>
      <c r="K2550" s="63">
        <v>4500.0</v>
      </c>
      <c r="L2550" s="63">
        <v>17.43</v>
      </c>
      <c r="M2550" s="66">
        <f t="shared" si="1"/>
        <v>109.52</v>
      </c>
    </row>
    <row r="2551">
      <c r="A2551" s="67"/>
      <c r="B2551" s="67"/>
      <c r="C2551" s="67"/>
      <c r="D2551" s="67"/>
      <c r="E2551" s="67"/>
      <c r="F2551" s="68"/>
      <c r="G2551" s="68"/>
      <c r="H2551" s="68"/>
      <c r="I2551" s="68"/>
      <c r="J2551" s="68"/>
      <c r="K2551" s="69">
        <v>5000.0</v>
      </c>
      <c r="L2551" s="69">
        <v>17.15</v>
      </c>
      <c r="M2551" s="68">
        <f t="shared" si="1"/>
        <v>119.73</v>
      </c>
    </row>
    <row r="2552">
      <c r="A2552" s="70"/>
      <c r="B2552" s="70"/>
      <c r="C2552" s="70"/>
      <c r="D2552" s="70"/>
      <c r="E2552" s="70"/>
      <c r="F2552" s="66"/>
      <c r="G2552" s="66"/>
      <c r="H2552" s="66"/>
      <c r="I2552" s="66"/>
      <c r="J2552" s="66"/>
      <c r="K2552" s="63">
        <v>5500.0</v>
      </c>
      <c r="L2552" s="63">
        <v>16.88</v>
      </c>
      <c r="M2552" s="66">
        <f t="shared" si="1"/>
        <v>129.63</v>
      </c>
    </row>
    <row r="2553">
      <c r="A2553" s="67"/>
      <c r="B2553" s="67"/>
      <c r="C2553" s="67"/>
      <c r="D2553" s="67"/>
      <c r="E2553" s="67"/>
      <c r="F2553" s="68"/>
      <c r="G2553" s="68"/>
      <c r="H2553" s="68"/>
      <c r="I2553" s="68"/>
      <c r="J2553" s="68"/>
      <c r="K2553" s="69">
        <v>6000.0</v>
      </c>
      <c r="L2553" s="69">
        <v>16.21</v>
      </c>
      <c r="M2553" s="68">
        <f t="shared" si="1"/>
        <v>135.8</v>
      </c>
    </row>
    <row r="2554">
      <c r="A2554" s="70"/>
      <c r="B2554" s="70"/>
      <c r="C2554" s="70"/>
      <c r="D2554" s="70"/>
      <c r="E2554" s="70"/>
      <c r="F2554" s="66"/>
      <c r="G2554" s="66"/>
      <c r="H2554" s="66"/>
      <c r="I2554" s="66"/>
      <c r="J2554" s="66"/>
      <c r="K2554" s="63">
        <v>6500.0</v>
      </c>
      <c r="L2554" s="63">
        <v>15.4</v>
      </c>
      <c r="M2554" s="66">
        <f t="shared" si="1"/>
        <v>139.77</v>
      </c>
    </row>
    <row r="2555">
      <c r="A2555" s="67"/>
      <c r="B2555" s="67"/>
      <c r="C2555" s="67"/>
      <c r="D2555" s="67"/>
      <c r="E2555" s="67"/>
      <c r="F2555" s="68"/>
      <c r="G2555" s="68"/>
      <c r="H2555" s="68"/>
      <c r="I2555" s="68"/>
      <c r="J2555" s="68"/>
      <c r="K2555" s="69">
        <v>7000.0</v>
      </c>
      <c r="L2555" s="69">
        <v>14.05</v>
      </c>
      <c r="M2555" s="68">
        <f t="shared" si="1"/>
        <v>137.32</v>
      </c>
    </row>
    <row r="2556">
      <c r="A2556" s="66">
        <v>171.0</v>
      </c>
      <c r="B2556" s="66">
        <v>283.0</v>
      </c>
      <c r="C2556" s="74" t="s">
        <v>561</v>
      </c>
      <c r="D2556" s="74" t="s">
        <v>562</v>
      </c>
      <c r="E2556" s="74" t="s">
        <v>563</v>
      </c>
      <c r="F2556" s="65">
        <v>6500.0</v>
      </c>
      <c r="G2556" s="65">
        <v>6500.0</v>
      </c>
      <c r="H2556" s="65">
        <v>700.0</v>
      </c>
      <c r="I2556" s="65">
        <v>3200.0</v>
      </c>
      <c r="J2556" s="65">
        <v>5400.0</v>
      </c>
      <c r="K2556" s="63">
        <v>500.0</v>
      </c>
      <c r="L2556" s="63">
        <v>12.15</v>
      </c>
      <c r="M2556" s="66">
        <f t="shared" si="1"/>
        <v>8.48</v>
      </c>
    </row>
    <row r="2557">
      <c r="A2557" s="67"/>
      <c r="B2557" s="67"/>
      <c r="C2557" s="67"/>
      <c r="D2557" s="67"/>
      <c r="E2557" s="67"/>
      <c r="F2557" s="68"/>
      <c r="G2557" s="68"/>
      <c r="H2557" s="68"/>
      <c r="I2557" s="68"/>
      <c r="J2557" s="68"/>
      <c r="K2557" s="69">
        <v>1000.0</v>
      </c>
      <c r="L2557" s="69">
        <v>14.25</v>
      </c>
      <c r="M2557" s="68">
        <f t="shared" si="1"/>
        <v>19.9</v>
      </c>
    </row>
    <row r="2558">
      <c r="A2558" s="70"/>
      <c r="B2558" s="70"/>
      <c r="C2558" s="70"/>
      <c r="D2558" s="70"/>
      <c r="E2558" s="70"/>
      <c r="F2558" s="66"/>
      <c r="G2558" s="66"/>
      <c r="H2558" s="66"/>
      <c r="I2558" s="66"/>
      <c r="J2558" s="66"/>
      <c r="K2558" s="63">
        <v>1500.0</v>
      </c>
      <c r="L2558" s="63">
        <v>15.65</v>
      </c>
      <c r="M2558" s="66">
        <f t="shared" si="1"/>
        <v>32.78</v>
      </c>
    </row>
    <row r="2559">
      <c r="A2559" s="67"/>
      <c r="B2559" s="67"/>
      <c r="C2559" s="67"/>
      <c r="D2559" s="67"/>
      <c r="E2559" s="67"/>
      <c r="F2559" s="68"/>
      <c r="G2559" s="68"/>
      <c r="H2559" s="68"/>
      <c r="I2559" s="68"/>
      <c r="J2559" s="68"/>
      <c r="K2559" s="69">
        <v>2000.0</v>
      </c>
      <c r="L2559" s="69">
        <v>16.6</v>
      </c>
      <c r="M2559" s="68">
        <f t="shared" si="1"/>
        <v>46.36</v>
      </c>
    </row>
    <row r="2560">
      <c r="A2560" s="70"/>
      <c r="B2560" s="70"/>
      <c r="C2560" s="70"/>
      <c r="D2560" s="70"/>
      <c r="E2560" s="70"/>
      <c r="F2560" s="66"/>
      <c r="G2560" s="66"/>
      <c r="H2560" s="66"/>
      <c r="I2560" s="66"/>
      <c r="J2560" s="66"/>
      <c r="K2560" s="63">
        <v>2500.0</v>
      </c>
      <c r="L2560" s="63">
        <v>17.2</v>
      </c>
      <c r="M2560" s="66">
        <f t="shared" si="1"/>
        <v>60.04</v>
      </c>
    </row>
    <row r="2561">
      <c r="A2561" s="67"/>
      <c r="B2561" s="67"/>
      <c r="C2561" s="67"/>
      <c r="D2561" s="67"/>
      <c r="E2561" s="67"/>
      <c r="F2561" s="68"/>
      <c r="G2561" s="68"/>
      <c r="H2561" s="68"/>
      <c r="I2561" s="68"/>
      <c r="J2561" s="68"/>
      <c r="K2561" s="69">
        <v>3200.0</v>
      </c>
      <c r="L2561" s="69">
        <v>17.5</v>
      </c>
      <c r="M2561" s="68">
        <f t="shared" si="1"/>
        <v>78.19</v>
      </c>
    </row>
    <row r="2562">
      <c r="A2562" s="70"/>
      <c r="B2562" s="70"/>
      <c r="C2562" s="70"/>
      <c r="D2562" s="70"/>
      <c r="E2562" s="70"/>
      <c r="F2562" s="66"/>
      <c r="G2562" s="66"/>
      <c r="H2562" s="66"/>
      <c r="I2562" s="66"/>
      <c r="J2562" s="66"/>
      <c r="K2562" s="63">
        <v>3500.0</v>
      </c>
      <c r="L2562" s="63">
        <v>17.5</v>
      </c>
      <c r="M2562" s="66">
        <f t="shared" si="1"/>
        <v>85.52</v>
      </c>
    </row>
    <row r="2563">
      <c r="A2563" s="67"/>
      <c r="B2563" s="67"/>
      <c r="C2563" s="67"/>
      <c r="D2563" s="67"/>
      <c r="E2563" s="67"/>
      <c r="F2563" s="68"/>
      <c r="G2563" s="68"/>
      <c r="H2563" s="68"/>
      <c r="I2563" s="68"/>
      <c r="J2563" s="68"/>
      <c r="K2563" s="69">
        <v>4000.0</v>
      </c>
      <c r="L2563" s="69">
        <v>17.4</v>
      </c>
      <c r="M2563" s="68">
        <f t="shared" si="1"/>
        <v>97.18</v>
      </c>
    </row>
    <row r="2564">
      <c r="A2564" s="70"/>
      <c r="B2564" s="70"/>
      <c r="C2564" s="70"/>
      <c r="D2564" s="70"/>
      <c r="E2564" s="70"/>
      <c r="F2564" s="66"/>
      <c r="G2564" s="66"/>
      <c r="H2564" s="66"/>
      <c r="I2564" s="66"/>
      <c r="J2564" s="66"/>
      <c r="K2564" s="63">
        <v>4500.0</v>
      </c>
      <c r="L2564" s="63">
        <v>17.0</v>
      </c>
      <c r="M2564" s="66">
        <f t="shared" si="1"/>
        <v>106.81</v>
      </c>
    </row>
    <row r="2565">
      <c r="A2565" s="67"/>
      <c r="B2565" s="67"/>
      <c r="C2565" s="67"/>
      <c r="D2565" s="67"/>
      <c r="E2565" s="67"/>
      <c r="F2565" s="68"/>
      <c r="G2565" s="68"/>
      <c r="H2565" s="68"/>
      <c r="I2565" s="68"/>
      <c r="J2565" s="68"/>
      <c r="K2565" s="69">
        <v>5000.0</v>
      </c>
      <c r="L2565" s="69">
        <v>16.25</v>
      </c>
      <c r="M2565" s="68">
        <f t="shared" si="1"/>
        <v>113.45</v>
      </c>
    </row>
    <row r="2566">
      <c r="A2566" s="70"/>
      <c r="B2566" s="70"/>
      <c r="C2566" s="70"/>
      <c r="D2566" s="70"/>
      <c r="E2566" s="70"/>
      <c r="F2566" s="66"/>
      <c r="G2566" s="66"/>
      <c r="H2566" s="66"/>
      <c r="I2566" s="66"/>
      <c r="J2566" s="66"/>
      <c r="K2566" s="63">
        <v>5400.0</v>
      </c>
      <c r="L2566" s="63">
        <v>15.4</v>
      </c>
      <c r="M2566" s="66">
        <f t="shared" si="1"/>
        <v>116.11</v>
      </c>
    </row>
    <row r="2567">
      <c r="A2567" s="67"/>
      <c r="B2567" s="67"/>
      <c r="C2567" s="67"/>
      <c r="D2567" s="67"/>
      <c r="E2567" s="67"/>
      <c r="F2567" s="68"/>
      <c r="G2567" s="68"/>
      <c r="H2567" s="68"/>
      <c r="I2567" s="68"/>
      <c r="J2567" s="68"/>
      <c r="K2567" s="69">
        <v>6000.0</v>
      </c>
      <c r="L2567" s="69">
        <v>13.65</v>
      </c>
      <c r="M2567" s="68">
        <f t="shared" si="1"/>
        <v>114.35</v>
      </c>
    </row>
    <row r="2568">
      <c r="A2568" s="70"/>
      <c r="B2568" s="70"/>
      <c r="C2568" s="70"/>
      <c r="D2568" s="70"/>
      <c r="E2568" s="70"/>
      <c r="F2568" s="66"/>
      <c r="G2568" s="66"/>
      <c r="H2568" s="66"/>
      <c r="I2568" s="66"/>
      <c r="J2568" s="66"/>
      <c r="K2568" s="63">
        <v>6500.0</v>
      </c>
      <c r="L2568" s="63">
        <v>11.6</v>
      </c>
      <c r="M2568" s="66">
        <f t="shared" si="1"/>
        <v>105.28</v>
      </c>
    </row>
    <row r="2569">
      <c r="A2569" s="67"/>
      <c r="B2569" s="67"/>
      <c r="C2569" s="67"/>
      <c r="D2569" s="67"/>
      <c r="E2569" s="67"/>
      <c r="F2569" s="68"/>
      <c r="G2569" s="68"/>
      <c r="H2569" s="68"/>
      <c r="I2569" s="68"/>
      <c r="J2569" s="68"/>
      <c r="K2569" s="69">
        <v>7000.0</v>
      </c>
      <c r="L2569" s="69">
        <v>9.0</v>
      </c>
      <c r="M2569" s="68">
        <f t="shared" si="1"/>
        <v>87.96</v>
      </c>
    </row>
    <row r="2570">
      <c r="A2570" s="63">
        <v>172.0</v>
      </c>
      <c r="B2570" s="63">
        <v>285.0</v>
      </c>
      <c r="C2570" s="64" t="s">
        <v>564</v>
      </c>
      <c r="D2570" s="64" t="s">
        <v>565</v>
      </c>
      <c r="E2570" s="64" t="s">
        <v>566</v>
      </c>
      <c r="F2570" s="65">
        <v>7300.0</v>
      </c>
      <c r="G2570" s="65">
        <v>7400.0</v>
      </c>
      <c r="H2570" s="65">
        <v>800.0</v>
      </c>
      <c r="I2570" s="65">
        <v>4800.0</v>
      </c>
      <c r="J2570" s="65">
        <v>6400.0</v>
      </c>
      <c r="K2570" s="63">
        <v>500.0</v>
      </c>
      <c r="L2570" s="63">
        <v>16.91</v>
      </c>
      <c r="M2570" s="66">
        <f t="shared" si="1"/>
        <v>11.81</v>
      </c>
    </row>
    <row r="2571">
      <c r="A2571" s="67"/>
      <c r="B2571" s="67"/>
      <c r="C2571" s="67"/>
      <c r="D2571" s="67"/>
      <c r="E2571" s="67"/>
      <c r="F2571" s="68"/>
      <c r="G2571" s="68"/>
      <c r="H2571" s="68"/>
      <c r="I2571" s="68"/>
      <c r="J2571" s="68"/>
      <c r="K2571" s="69">
        <v>1000.0</v>
      </c>
      <c r="L2571" s="69">
        <v>19.19</v>
      </c>
      <c r="M2571" s="68">
        <f t="shared" si="1"/>
        <v>26.79</v>
      </c>
    </row>
    <row r="2572">
      <c r="A2572" s="70"/>
      <c r="B2572" s="70"/>
      <c r="C2572" s="70"/>
      <c r="D2572" s="70"/>
      <c r="E2572" s="70"/>
      <c r="F2572" s="66"/>
      <c r="G2572" s="66"/>
      <c r="H2572" s="66"/>
      <c r="I2572" s="66"/>
      <c r="J2572" s="66"/>
      <c r="K2572" s="63">
        <v>1500.0</v>
      </c>
      <c r="L2572" s="63">
        <v>20.42</v>
      </c>
      <c r="M2572" s="66">
        <f t="shared" si="1"/>
        <v>42.77</v>
      </c>
    </row>
    <row r="2573">
      <c r="A2573" s="67"/>
      <c r="B2573" s="67"/>
      <c r="C2573" s="67"/>
      <c r="D2573" s="67"/>
      <c r="E2573" s="67"/>
      <c r="F2573" s="68"/>
      <c r="G2573" s="68"/>
      <c r="H2573" s="68"/>
      <c r="I2573" s="68"/>
      <c r="J2573" s="68"/>
      <c r="K2573" s="69">
        <v>2000.0</v>
      </c>
      <c r="L2573" s="69">
        <v>22.32</v>
      </c>
      <c r="M2573" s="68">
        <f t="shared" si="1"/>
        <v>62.33</v>
      </c>
    </row>
    <row r="2574">
      <c r="A2574" s="70"/>
      <c r="B2574" s="70"/>
      <c r="C2574" s="70"/>
      <c r="D2574" s="70"/>
      <c r="E2574" s="70"/>
      <c r="F2574" s="66"/>
      <c r="G2574" s="66"/>
      <c r="H2574" s="66"/>
      <c r="I2574" s="66"/>
      <c r="J2574" s="66"/>
      <c r="K2574" s="63">
        <v>2500.0</v>
      </c>
      <c r="L2574" s="63">
        <v>24.67</v>
      </c>
      <c r="M2574" s="66">
        <f t="shared" si="1"/>
        <v>86.11</v>
      </c>
    </row>
    <row r="2575">
      <c r="A2575" s="67"/>
      <c r="B2575" s="67"/>
      <c r="C2575" s="67"/>
      <c r="D2575" s="67"/>
      <c r="E2575" s="67"/>
      <c r="F2575" s="68"/>
      <c r="G2575" s="68"/>
      <c r="H2575" s="68"/>
      <c r="I2575" s="68"/>
      <c r="J2575" s="68"/>
      <c r="K2575" s="69">
        <v>3000.0</v>
      </c>
      <c r="L2575" s="69">
        <v>26.02</v>
      </c>
      <c r="M2575" s="68">
        <f t="shared" si="1"/>
        <v>108.99</v>
      </c>
    </row>
    <row r="2576">
      <c r="A2576" s="70"/>
      <c r="B2576" s="70"/>
      <c r="C2576" s="70"/>
      <c r="D2576" s="70"/>
      <c r="E2576" s="70"/>
      <c r="F2576" s="66"/>
      <c r="G2576" s="66"/>
      <c r="H2576" s="66"/>
      <c r="I2576" s="66"/>
      <c r="J2576" s="66"/>
      <c r="K2576" s="63">
        <v>3500.0</v>
      </c>
      <c r="L2576" s="63">
        <v>26.35</v>
      </c>
      <c r="M2576" s="66">
        <f t="shared" si="1"/>
        <v>128.77</v>
      </c>
    </row>
    <row r="2577">
      <c r="A2577" s="67"/>
      <c r="B2577" s="67"/>
      <c r="C2577" s="67"/>
      <c r="D2577" s="67"/>
      <c r="E2577" s="67"/>
      <c r="F2577" s="68"/>
      <c r="G2577" s="68"/>
      <c r="H2577" s="68"/>
      <c r="I2577" s="68"/>
      <c r="J2577" s="68"/>
      <c r="K2577" s="69">
        <v>4000.0</v>
      </c>
      <c r="L2577" s="69">
        <v>26.52</v>
      </c>
      <c r="M2577" s="68">
        <f t="shared" si="1"/>
        <v>148.12</v>
      </c>
    </row>
    <row r="2578">
      <c r="A2578" s="70"/>
      <c r="B2578" s="70"/>
      <c r="C2578" s="70"/>
      <c r="D2578" s="70"/>
      <c r="E2578" s="70"/>
      <c r="F2578" s="66"/>
      <c r="G2578" s="66"/>
      <c r="H2578" s="66"/>
      <c r="I2578" s="66"/>
      <c r="J2578" s="66"/>
      <c r="K2578" s="63">
        <v>4500.0</v>
      </c>
      <c r="L2578" s="63">
        <v>26.77</v>
      </c>
      <c r="M2578" s="66">
        <f t="shared" si="1"/>
        <v>168.2</v>
      </c>
    </row>
    <row r="2579">
      <c r="A2579" s="67"/>
      <c r="B2579" s="67"/>
      <c r="C2579" s="67"/>
      <c r="D2579" s="67"/>
      <c r="E2579" s="67"/>
      <c r="F2579" s="68"/>
      <c r="G2579" s="68"/>
      <c r="H2579" s="68"/>
      <c r="I2579" s="68"/>
      <c r="J2579" s="68"/>
      <c r="K2579" s="69">
        <v>5000.0</v>
      </c>
      <c r="L2579" s="69">
        <v>27.1</v>
      </c>
      <c r="M2579" s="68">
        <f t="shared" si="1"/>
        <v>189.19</v>
      </c>
    </row>
    <row r="2580">
      <c r="A2580" s="70"/>
      <c r="B2580" s="70"/>
      <c r="C2580" s="70"/>
      <c r="D2580" s="70"/>
      <c r="E2580" s="70"/>
      <c r="F2580" s="66"/>
      <c r="G2580" s="66"/>
      <c r="H2580" s="66"/>
      <c r="I2580" s="66"/>
      <c r="J2580" s="66"/>
      <c r="K2580" s="63">
        <v>5500.0</v>
      </c>
      <c r="L2580" s="63">
        <v>27.16</v>
      </c>
      <c r="M2580" s="66">
        <f t="shared" si="1"/>
        <v>208.57</v>
      </c>
    </row>
    <row r="2581">
      <c r="A2581" s="67"/>
      <c r="B2581" s="67"/>
      <c r="C2581" s="67"/>
      <c r="D2581" s="67"/>
      <c r="E2581" s="67"/>
      <c r="F2581" s="68"/>
      <c r="G2581" s="68"/>
      <c r="H2581" s="68"/>
      <c r="I2581" s="68"/>
      <c r="J2581" s="68"/>
      <c r="K2581" s="69">
        <v>6000.0</v>
      </c>
      <c r="L2581" s="69">
        <v>26.55</v>
      </c>
      <c r="M2581" s="68">
        <f t="shared" si="1"/>
        <v>222.42</v>
      </c>
    </row>
    <row r="2582">
      <c r="A2582" s="70"/>
      <c r="B2582" s="70"/>
      <c r="C2582" s="70"/>
      <c r="D2582" s="70"/>
      <c r="E2582" s="70"/>
      <c r="F2582" s="66"/>
      <c r="G2582" s="66"/>
      <c r="H2582" s="66"/>
      <c r="I2582" s="66"/>
      <c r="J2582" s="66"/>
      <c r="K2582" s="63">
        <v>6500.0</v>
      </c>
      <c r="L2582" s="63">
        <v>25.33</v>
      </c>
      <c r="M2582" s="66">
        <f t="shared" si="1"/>
        <v>229.89</v>
      </c>
    </row>
    <row r="2583">
      <c r="A2583" s="67"/>
      <c r="B2583" s="67"/>
      <c r="C2583" s="67"/>
      <c r="D2583" s="67"/>
      <c r="E2583" s="67"/>
      <c r="F2583" s="68"/>
      <c r="G2583" s="68"/>
      <c r="H2583" s="68"/>
      <c r="I2583" s="68"/>
      <c r="J2583" s="68"/>
      <c r="K2583" s="69">
        <v>7000.0</v>
      </c>
      <c r="L2583" s="69">
        <v>22.75</v>
      </c>
      <c r="M2583" s="68">
        <f t="shared" si="1"/>
        <v>222.35</v>
      </c>
    </row>
    <row r="2584">
      <c r="A2584" s="70"/>
      <c r="B2584" s="70"/>
      <c r="C2584" s="70"/>
      <c r="D2584" s="70"/>
      <c r="E2584" s="70"/>
      <c r="F2584" s="66"/>
      <c r="G2584" s="66"/>
      <c r="H2584" s="66"/>
      <c r="I2584" s="66"/>
      <c r="J2584" s="66"/>
      <c r="K2584" s="63">
        <v>7500.0</v>
      </c>
      <c r="L2584" s="63">
        <v>20.17</v>
      </c>
      <c r="M2584" s="66">
        <f t="shared" si="1"/>
        <v>211.22</v>
      </c>
    </row>
    <row r="2585">
      <c r="A2585" s="67"/>
      <c r="B2585" s="67"/>
      <c r="C2585" s="67"/>
      <c r="D2585" s="67"/>
      <c r="E2585" s="67"/>
      <c r="F2585" s="68"/>
      <c r="G2585" s="68"/>
      <c r="H2585" s="68"/>
      <c r="I2585" s="68"/>
      <c r="J2585" s="68"/>
      <c r="K2585" s="69">
        <v>8000.0</v>
      </c>
      <c r="L2585" s="69">
        <v>17.0</v>
      </c>
      <c r="M2585" s="68">
        <f t="shared" si="1"/>
        <v>189.89</v>
      </c>
    </row>
    <row r="2586">
      <c r="A2586" s="66">
        <v>173.0</v>
      </c>
      <c r="B2586" s="66">
        <v>286.0</v>
      </c>
      <c r="C2586" s="74" t="s">
        <v>567</v>
      </c>
      <c r="D2586" s="74" t="s">
        <v>568</v>
      </c>
      <c r="E2586" s="74" t="s">
        <v>569</v>
      </c>
      <c r="F2586" s="65">
        <v>7000.0</v>
      </c>
      <c r="G2586" s="65">
        <v>7200.0</v>
      </c>
      <c r="H2586" s="65">
        <v>700.0</v>
      </c>
      <c r="I2586" s="65">
        <v>3500.0</v>
      </c>
      <c r="J2586" s="65">
        <v>6500.0</v>
      </c>
      <c r="K2586" s="63">
        <v>500.0</v>
      </c>
      <c r="L2586" s="63">
        <v>16.94</v>
      </c>
      <c r="M2586" s="66">
        <f t="shared" si="1"/>
        <v>11.83</v>
      </c>
    </row>
    <row r="2587">
      <c r="A2587" s="67"/>
      <c r="B2587" s="67"/>
      <c r="C2587" s="67"/>
      <c r="D2587" s="67"/>
      <c r="E2587" s="67"/>
      <c r="F2587" s="68"/>
      <c r="G2587" s="68"/>
      <c r="H2587" s="68"/>
      <c r="I2587" s="68"/>
      <c r="J2587" s="68"/>
      <c r="K2587" s="69">
        <v>1000.0</v>
      </c>
      <c r="L2587" s="69">
        <v>19.19</v>
      </c>
      <c r="M2587" s="68">
        <f t="shared" si="1"/>
        <v>26.79</v>
      </c>
    </row>
    <row r="2588">
      <c r="A2588" s="70"/>
      <c r="B2588" s="70"/>
      <c r="C2588" s="70"/>
      <c r="D2588" s="70"/>
      <c r="E2588" s="70"/>
      <c r="F2588" s="66"/>
      <c r="G2588" s="66"/>
      <c r="H2588" s="66"/>
      <c r="I2588" s="66"/>
      <c r="J2588" s="66"/>
      <c r="K2588" s="63">
        <v>1500.0</v>
      </c>
      <c r="L2588" s="63">
        <v>22.47</v>
      </c>
      <c r="M2588" s="66">
        <f t="shared" si="1"/>
        <v>47.06</v>
      </c>
    </row>
    <row r="2589">
      <c r="A2589" s="67"/>
      <c r="B2589" s="67"/>
      <c r="C2589" s="67"/>
      <c r="D2589" s="67"/>
      <c r="E2589" s="67"/>
      <c r="F2589" s="68"/>
      <c r="G2589" s="68"/>
      <c r="H2589" s="68"/>
      <c r="I2589" s="68"/>
      <c r="J2589" s="68"/>
      <c r="K2589" s="69">
        <v>2000.0</v>
      </c>
      <c r="L2589" s="69">
        <v>28.75</v>
      </c>
      <c r="M2589" s="68">
        <f t="shared" si="1"/>
        <v>80.28</v>
      </c>
    </row>
    <row r="2590">
      <c r="A2590" s="70"/>
      <c r="B2590" s="70"/>
      <c r="C2590" s="70"/>
      <c r="D2590" s="70"/>
      <c r="E2590" s="70"/>
      <c r="F2590" s="66"/>
      <c r="G2590" s="66"/>
      <c r="H2590" s="66"/>
      <c r="I2590" s="66"/>
      <c r="J2590" s="66"/>
      <c r="K2590" s="63">
        <v>2500.0</v>
      </c>
      <c r="L2590" s="63">
        <v>35.44</v>
      </c>
      <c r="M2590" s="66">
        <f t="shared" si="1"/>
        <v>123.71</v>
      </c>
    </row>
    <row r="2591">
      <c r="A2591" s="67"/>
      <c r="B2591" s="67"/>
      <c r="C2591" s="67"/>
      <c r="D2591" s="67"/>
      <c r="E2591" s="67"/>
      <c r="F2591" s="68"/>
      <c r="G2591" s="68"/>
      <c r="H2591" s="68"/>
      <c r="I2591" s="68"/>
      <c r="J2591" s="68"/>
      <c r="K2591" s="69">
        <v>3000.0</v>
      </c>
      <c r="L2591" s="69">
        <v>38.51</v>
      </c>
      <c r="M2591" s="68">
        <f t="shared" si="1"/>
        <v>161.31</v>
      </c>
    </row>
    <row r="2592">
      <c r="A2592" s="70"/>
      <c r="B2592" s="70"/>
      <c r="C2592" s="70"/>
      <c r="D2592" s="70"/>
      <c r="E2592" s="70"/>
      <c r="F2592" s="66"/>
      <c r="G2592" s="66"/>
      <c r="H2592" s="66"/>
      <c r="I2592" s="66"/>
      <c r="J2592" s="66"/>
      <c r="K2592" s="63">
        <v>3500.0</v>
      </c>
      <c r="L2592" s="63">
        <v>39.06</v>
      </c>
      <c r="M2592" s="66">
        <f t="shared" si="1"/>
        <v>190.88</v>
      </c>
    </row>
    <row r="2593">
      <c r="A2593" s="67"/>
      <c r="B2593" s="67"/>
      <c r="C2593" s="67"/>
      <c r="D2593" s="67"/>
      <c r="E2593" s="67"/>
      <c r="F2593" s="68"/>
      <c r="G2593" s="68"/>
      <c r="H2593" s="68"/>
      <c r="I2593" s="68"/>
      <c r="J2593" s="68"/>
      <c r="K2593" s="69">
        <v>4000.0</v>
      </c>
      <c r="L2593" s="69">
        <v>39.01</v>
      </c>
      <c r="M2593" s="68">
        <f t="shared" si="1"/>
        <v>217.87</v>
      </c>
    </row>
    <row r="2594">
      <c r="A2594" s="73"/>
      <c r="B2594" s="73"/>
      <c r="C2594" s="73"/>
      <c r="D2594" s="73"/>
      <c r="E2594" s="73"/>
      <c r="F2594" s="66"/>
      <c r="G2594" s="66"/>
      <c r="H2594" s="66"/>
      <c r="I2594" s="66"/>
      <c r="J2594" s="66"/>
      <c r="K2594" s="63">
        <v>4500.0</v>
      </c>
      <c r="L2594" s="63">
        <v>38.83</v>
      </c>
      <c r="M2594" s="66">
        <f t="shared" si="1"/>
        <v>243.98</v>
      </c>
    </row>
    <row r="2595">
      <c r="A2595" s="67"/>
      <c r="B2595" s="67"/>
      <c r="C2595" s="67"/>
      <c r="D2595" s="67"/>
      <c r="E2595" s="67"/>
      <c r="F2595" s="68"/>
      <c r="G2595" s="68"/>
      <c r="H2595" s="68"/>
      <c r="I2595" s="68"/>
      <c r="J2595" s="68"/>
      <c r="K2595" s="69">
        <v>5000.0</v>
      </c>
      <c r="L2595" s="69">
        <v>38.41</v>
      </c>
      <c r="M2595" s="68">
        <f t="shared" si="1"/>
        <v>268.15</v>
      </c>
    </row>
    <row r="2596">
      <c r="A2596" s="70"/>
      <c r="B2596" s="70"/>
      <c r="C2596" s="70"/>
      <c r="D2596" s="70"/>
      <c r="E2596" s="70"/>
      <c r="F2596" s="66"/>
      <c r="G2596" s="66"/>
      <c r="H2596" s="66"/>
      <c r="I2596" s="66"/>
      <c r="J2596" s="66"/>
      <c r="K2596" s="63">
        <v>5500.0</v>
      </c>
      <c r="L2596" s="63">
        <v>37.42</v>
      </c>
      <c r="M2596" s="66">
        <f t="shared" si="1"/>
        <v>287.36</v>
      </c>
    </row>
    <row r="2597">
      <c r="A2597" s="67"/>
      <c r="B2597" s="67"/>
      <c r="C2597" s="67"/>
      <c r="D2597" s="67"/>
      <c r="E2597" s="67"/>
      <c r="F2597" s="68"/>
      <c r="G2597" s="68"/>
      <c r="H2597" s="68"/>
      <c r="I2597" s="68"/>
      <c r="J2597" s="68"/>
      <c r="K2597" s="69">
        <v>6000.0</v>
      </c>
      <c r="L2597" s="69">
        <v>35.47</v>
      </c>
      <c r="M2597" s="68">
        <f t="shared" si="1"/>
        <v>297.15</v>
      </c>
    </row>
    <row r="2598">
      <c r="A2598" s="70"/>
      <c r="B2598" s="70"/>
      <c r="C2598" s="70"/>
      <c r="D2598" s="70"/>
      <c r="E2598" s="70"/>
      <c r="F2598" s="66"/>
      <c r="G2598" s="66"/>
      <c r="H2598" s="66"/>
      <c r="I2598" s="66"/>
      <c r="J2598" s="66"/>
      <c r="K2598" s="63">
        <v>6500.0</v>
      </c>
      <c r="L2598" s="63">
        <v>32.96</v>
      </c>
      <c r="M2598" s="66">
        <f t="shared" si="1"/>
        <v>299.13</v>
      </c>
    </row>
    <row r="2599">
      <c r="A2599" s="67"/>
      <c r="B2599" s="67"/>
      <c r="C2599" s="67"/>
      <c r="D2599" s="67"/>
      <c r="E2599" s="67"/>
      <c r="F2599" s="68"/>
      <c r="G2599" s="68"/>
      <c r="H2599" s="68"/>
      <c r="I2599" s="68"/>
      <c r="J2599" s="68"/>
      <c r="K2599" s="69">
        <v>7000.0</v>
      </c>
      <c r="L2599" s="69">
        <v>30.34</v>
      </c>
      <c r="M2599" s="68">
        <f t="shared" si="1"/>
        <v>296.54</v>
      </c>
    </row>
    <row r="2600">
      <c r="A2600" s="70"/>
      <c r="B2600" s="70"/>
      <c r="C2600" s="70"/>
      <c r="D2600" s="70"/>
      <c r="E2600" s="70"/>
      <c r="F2600" s="66"/>
      <c r="G2600" s="66"/>
      <c r="H2600" s="66"/>
      <c r="I2600" s="66"/>
      <c r="J2600" s="66"/>
      <c r="K2600" s="63">
        <v>7500.0</v>
      </c>
      <c r="L2600" s="63">
        <v>27.8</v>
      </c>
      <c r="M2600" s="66">
        <f t="shared" si="1"/>
        <v>291.12</v>
      </c>
    </row>
    <row r="2601">
      <c r="A2601" s="67"/>
      <c r="B2601" s="67"/>
      <c r="C2601" s="67"/>
      <c r="D2601" s="67"/>
      <c r="E2601" s="67"/>
      <c r="F2601" s="68"/>
      <c r="G2601" s="68"/>
      <c r="H2601" s="68"/>
      <c r="I2601" s="68"/>
      <c r="J2601" s="68"/>
      <c r="K2601" s="69">
        <v>8000.0</v>
      </c>
      <c r="L2601" s="69">
        <v>25.1</v>
      </c>
      <c r="M2601" s="68">
        <f t="shared" si="1"/>
        <v>280.37</v>
      </c>
    </row>
    <row r="2602">
      <c r="A2602" s="70"/>
      <c r="B2602" s="70"/>
      <c r="C2602" s="70"/>
      <c r="D2602" s="70"/>
      <c r="E2602" s="70"/>
      <c r="F2602" s="66"/>
      <c r="G2602" s="66"/>
      <c r="H2602" s="66"/>
      <c r="I2602" s="66"/>
      <c r="J2602" s="66"/>
      <c r="K2602" s="63">
        <v>8500.0</v>
      </c>
      <c r="L2602" s="63">
        <v>21.9</v>
      </c>
      <c r="M2602" s="66">
        <f t="shared" si="1"/>
        <v>259.91</v>
      </c>
    </row>
    <row r="2603">
      <c r="A2603" s="68">
        <v>174.0</v>
      </c>
      <c r="B2603" s="68">
        <v>290.0</v>
      </c>
      <c r="C2603" s="71" t="s">
        <v>570</v>
      </c>
      <c r="D2603" s="71" t="s">
        <v>571</v>
      </c>
      <c r="E2603" s="71" t="s">
        <v>572</v>
      </c>
      <c r="F2603" s="72">
        <v>8600.0</v>
      </c>
      <c r="G2603" s="72">
        <v>8600.0</v>
      </c>
      <c r="H2603" s="72">
        <v>700.0</v>
      </c>
      <c r="I2603" s="72">
        <v>3750.0</v>
      </c>
      <c r="J2603" s="72">
        <v>8000.0</v>
      </c>
      <c r="K2603" s="69">
        <v>500.0</v>
      </c>
      <c r="L2603" s="69">
        <v>25.33</v>
      </c>
      <c r="M2603" s="68">
        <f t="shared" si="1"/>
        <v>17.68</v>
      </c>
    </row>
    <row r="2604">
      <c r="A2604" s="70"/>
      <c r="B2604" s="70"/>
      <c r="C2604" s="70"/>
      <c r="D2604" s="70"/>
      <c r="E2604" s="70"/>
      <c r="F2604" s="66"/>
      <c r="G2604" s="66"/>
      <c r="H2604" s="66"/>
      <c r="I2604" s="66"/>
      <c r="J2604" s="66"/>
      <c r="K2604" s="63">
        <v>1000.0</v>
      </c>
      <c r="L2604" s="63">
        <v>30.87</v>
      </c>
      <c r="M2604" s="66">
        <f t="shared" si="1"/>
        <v>43.1</v>
      </c>
    </row>
    <row r="2605">
      <c r="A2605" s="67"/>
      <c r="B2605" s="67"/>
      <c r="C2605" s="67"/>
      <c r="D2605" s="67"/>
      <c r="E2605" s="67"/>
      <c r="F2605" s="68"/>
      <c r="G2605" s="68"/>
      <c r="H2605" s="68"/>
      <c r="I2605" s="68"/>
      <c r="J2605" s="68"/>
      <c r="K2605" s="69">
        <v>1500.0</v>
      </c>
      <c r="L2605" s="69">
        <v>36.25</v>
      </c>
      <c r="M2605" s="68">
        <f t="shared" si="1"/>
        <v>75.92</v>
      </c>
    </row>
    <row r="2606">
      <c r="A2606" s="70"/>
      <c r="B2606" s="70"/>
      <c r="C2606" s="70"/>
      <c r="D2606" s="70"/>
      <c r="E2606" s="70"/>
      <c r="F2606" s="66"/>
      <c r="G2606" s="66"/>
      <c r="H2606" s="66"/>
      <c r="I2606" s="66"/>
      <c r="J2606" s="66"/>
      <c r="K2606" s="63">
        <v>2000.0</v>
      </c>
      <c r="L2606" s="63">
        <v>42.78</v>
      </c>
      <c r="M2606" s="66">
        <f t="shared" si="1"/>
        <v>119.46</v>
      </c>
    </row>
    <row r="2607">
      <c r="A2607" s="67"/>
      <c r="B2607" s="67"/>
      <c r="C2607" s="67"/>
      <c r="D2607" s="67"/>
      <c r="E2607" s="67"/>
      <c r="F2607" s="68"/>
      <c r="G2607" s="68"/>
      <c r="H2607" s="68"/>
      <c r="I2607" s="68"/>
      <c r="J2607" s="68"/>
      <c r="K2607" s="69">
        <v>2500.0</v>
      </c>
      <c r="L2607" s="69">
        <v>47.45</v>
      </c>
      <c r="M2607" s="68">
        <f t="shared" si="1"/>
        <v>165.63</v>
      </c>
    </row>
    <row r="2608">
      <c r="A2608" s="70"/>
      <c r="B2608" s="70"/>
      <c r="C2608" s="70"/>
      <c r="D2608" s="70"/>
      <c r="E2608" s="70"/>
      <c r="F2608" s="66"/>
      <c r="G2608" s="66"/>
      <c r="H2608" s="66"/>
      <c r="I2608" s="66"/>
      <c r="J2608" s="66"/>
      <c r="K2608" s="63">
        <v>3000.0</v>
      </c>
      <c r="L2608" s="63">
        <v>51.87</v>
      </c>
      <c r="M2608" s="66">
        <f t="shared" si="1"/>
        <v>217.27</v>
      </c>
    </row>
    <row r="2609">
      <c r="A2609" s="67"/>
      <c r="B2609" s="67"/>
      <c r="C2609" s="67"/>
      <c r="D2609" s="67"/>
      <c r="E2609" s="67"/>
      <c r="F2609" s="68"/>
      <c r="G2609" s="68"/>
      <c r="H2609" s="68"/>
      <c r="I2609" s="68"/>
      <c r="J2609" s="68"/>
      <c r="K2609" s="69">
        <v>3500.0</v>
      </c>
      <c r="L2609" s="69">
        <v>55.98</v>
      </c>
      <c r="M2609" s="68">
        <f t="shared" si="1"/>
        <v>273.57</v>
      </c>
    </row>
    <row r="2610">
      <c r="A2610" s="70"/>
      <c r="B2610" s="70"/>
      <c r="C2610" s="70"/>
      <c r="D2610" s="70"/>
      <c r="E2610" s="70"/>
      <c r="F2610" s="66"/>
      <c r="G2610" s="66"/>
      <c r="H2610" s="66"/>
      <c r="I2610" s="66"/>
      <c r="J2610" s="66"/>
      <c r="K2610" s="63">
        <v>3750.0</v>
      </c>
      <c r="L2610" s="63">
        <v>57.4</v>
      </c>
      <c r="M2610" s="66">
        <f t="shared" si="1"/>
        <v>300.54</v>
      </c>
    </row>
    <row r="2611">
      <c r="A2611" s="67"/>
      <c r="B2611" s="67"/>
      <c r="C2611" s="67"/>
      <c r="D2611" s="67"/>
      <c r="E2611" s="67"/>
      <c r="F2611" s="68"/>
      <c r="G2611" s="68"/>
      <c r="H2611" s="68"/>
      <c r="I2611" s="68"/>
      <c r="J2611" s="68"/>
      <c r="K2611" s="69">
        <v>4200.0</v>
      </c>
      <c r="L2611" s="69">
        <v>57.28</v>
      </c>
      <c r="M2611" s="68">
        <f t="shared" si="1"/>
        <v>335.91</v>
      </c>
    </row>
    <row r="2612">
      <c r="A2612" s="70"/>
      <c r="B2612" s="70"/>
      <c r="C2612" s="70"/>
      <c r="D2612" s="70"/>
      <c r="E2612" s="70"/>
      <c r="F2612" s="66"/>
      <c r="G2612" s="66"/>
      <c r="H2612" s="66"/>
      <c r="I2612" s="66"/>
      <c r="J2612" s="66"/>
      <c r="K2612" s="63">
        <v>5000.0</v>
      </c>
      <c r="L2612" s="63">
        <v>56.55</v>
      </c>
      <c r="M2612" s="66">
        <f t="shared" si="1"/>
        <v>394.79</v>
      </c>
    </row>
    <row r="2613">
      <c r="A2613" s="67"/>
      <c r="B2613" s="67"/>
      <c r="C2613" s="67"/>
      <c r="D2613" s="67"/>
      <c r="E2613" s="67"/>
      <c r="F2613" s="68"/>
      <c r="G2613" s="68"/>
      <c r="H2613" s="68"/>
      <c r="I2613" s="68"/>
      <c r="J2613" s="68"/>
      <c r="K2613" s="69">
        <v>5500.0</v>
      </c>
      <c r="L2613" s="69">
        <v>54.95</v>
      </c>
      <c r="M2613" s="68">
        <f t="shared" si="1"/>
        <v>421.98</v>
      </c>
    </row>
    <row r="2614">
      <c r="A2614" s="70"/>
      <c r="B2614" s="70"/>
      <c r="C2614" s="70"/>
      <c r="D2614" s="70"/>
      <c r="E2614" s="70"/>
      <c r="F2614" s="66"/>
      <c r="G2614" s="66"/>
      <c r="H2614" s="66"/>
      <c r="I2614" s="66"/>
      <c r="J2614" s="66"/>
      <c r="K2614" s="63">
        <v>6000.0</v>
      </c>
      <c r="L2614" s="63">
        <v>53.63</v>
      </c>
      <c r="M2614" s="66">
        <f t="shared" si="1"/>
        <v>449.29</v>
      </c>
    </row>
    <row r="2615">
      <c r="A2615" s="67"/>
      <c r="B2615" s="67"/>
      <c r="C2615" s="67"/>
      <c r="D2615" s="67"/>
      <c r="E2615" s="67"/>
      <c r="F2615" s="68"/>
      <c r="G2615" s="68"/>
      <c r="H2615" s="68"/>
      <c r="I2615" s="68"/>
      <c r="J2615" s="68"/>
      <c r="K2615" s="69">
        <v>6500.0</v>
      </c>
      <c r="L2615" s="69">
        <v>52.02</v>
      </c>
      <c r="M2615" s="68">
        <f t="shared" si="1"/>
        <v>472.12</v>
      </c>
    </row>
    <row r="2616">
      <c r="A2616" s="70"/>
      <c r="B2616" s="70"/>
      <c r="C2616" s="70"/>
      <c r="D2616" s="70"/>
      <c r="E2616" s="70"/>
      <c r="F2616" s="66"/>
      <c r="G2616" s="66"/>
      <c r="H2616" s="66"/>
      <c r="I2616" s="66"/>
      <c r="J2616" s="66"/>
      <c r="K2616" s="63">
        <v>7000.0</v>
      </c>
      <c r="L2616" s="63">
        <v>50.12</v>
      </c>
      <c r="M2616" s="66">
        <f t="shared" si="1"/>
        <v>489.86</v>
      </c>
    </row>
    <row r="2617">
      <c r="A2617" s="67"/>
      <c r="B2617" s="67"/>
      <c r="C2617" s="67"/>
      <c r="D2617" s="67"/>
      <c r="E2617" s="67"/>
      <c r="F2617" s="68"/>
      <c r="G2617" s="68"/>
      <c r="H2617" s="68"/>
      <c r="I2617" s="68"/>
      <c r="J2617" s="68"/>
      <c r="K2617" s="69">
        <v>7500.0</v>
      </c>
      <c r="L2617" s="69">
        <v>47.57</v>
      </c>
      <c r="M2617" s="68">
        <f t="shared" si="1"/>
        <v>498.15</v>
      </c>
    </row>
    <row r="2618">
      <c r="A2618" s="73"/>
      <c r="B2618" s="73"/>
      <c r="C2618" s="73"/>
      <c r="D2618" s="73"/>
      <c r="E2618" s="73"/>
      <c r="F2618" s="66"/>
      <c r="G2618" s="66"/>
      <c r="H2618" s="66"/>
      <c r="I2618" s="66"/>
      <c r="J2618" s="66"/>
      <c r="K2618" s="63">
        <v>8000.0</v>
      </c>
      <c r="L2618" s="63">
        <v>44.58</v>
      </c>
      <c r="M2618" s="66">
        <f t="shared" si="1"/>
        <v>497.96</v>
      </c>
    </row>
    <row r="2619">
      <c r="A2619" s="67"/>
      <c r="B2619" s="67"/>
      <c r="C2619" s="67"/>
      <c r="D2619" s="67"/>
      <c r="E2619" s="67"/>
      <c r="F2619" s="68"/>
      <c r="G2619" s="68"/>
      <c r="H2619" s="68"/>
      <c r="I2619" s="68"/>
      <c r="J2619" s="68"/>
      <c r="K2619" s="69">
        <v>8500.0</v>
      </c>
      <c r="L2619" s="69">
        <v>40.81</v>
      </c>
      <c r="M2619" s="68">
        <f t="shared" si="1"/>
        <v>484.34</v>
      </c>
    </row>
    <row r="2620">
      <c r="A2620" s="70"/>
      <c r="B2620" s="70"/>
      <c r="C2620" s="70"/>
      <c r="D2620" s="70"/>
      <c r="E2620" s="70"/>
      <c r="F2620" s="66"/>
      <c r="G2620" s="66"/>
      <c r="H2620" s="66"/>
      <c r="I2620" s="66"/>
      <c r="J2620" s="66"/>
      <c r="K2620" s="63">
        <v>9000.0</v>
      </c>
      <c r="L2620" s="63">
        <v>35.85</v>
      </c>
      <c r="M2620" s="66">
        <f t="shared" si="1"/>
        <v>450.5</v>
      </c>
    </row>
    <row r="2621">
      <c r="A2621" s="67"/>
      <c r="B2621" s="67"/>
      <c r="C2621" s="67"/>
      <c r="D2621" s="67"/>
      <c r="E2621" s="67"/>
      <c r="F2621" s="68"/>
      <c r="G2621" s="68"/>
      <c r="H2621" s="68"/>
      <c r="I2621" s="68"/>
      <c r="J2621" s="68"/>
      <c r="K2621" s="69">
        <v>9500.0</v>
      </c>
      <c r="L2621" s="69">
        <v>29.76</v>
      </c>
      <c r="M2621" s="68">
        <f t="shared" si="1"/>
        <v>394.75</v>
      </c>
    </row>
    <row r="2622">
      <c r="A2622" s="66">
        <v>175.0</v>
      </c>
      <c r="B2622" s="66">
        <v>291.0</v>
      </c>
      <c r="C2622" s="74" t="s">
        <v>573</v>
      </c>
      <c r="D2622" s="74" t="s">
        <v>574</v>
      </c>
      <c r="E2622" s="74" t="s">
        <v>575</v>
      </c>
      <c r="F2622" s="65">
        <v>8000.0</v>
      </c>
      <c r="G2622" s="65">
        <v>8000.0</v>
      </c>
      <c r="H2622" s="65">
        <v>900.0</v>
      </c>
      <c r="I2622" s="65">
        <v>5500.0</v>
      </c>
      <c r="J2622" s="65">
        <v>6500.0</v>
      </c>
      <c r="K2622" s="63">
        <v>500.0</v>
      </c>
      <c r="L2622" s="63">
        <v>21.0</v>
      </c>
      <c r="M2622" s="66">
        <f t="shared" si="1"/>
        <v>14.66</v>
      </c>
    </row>
    <row r="2623">
      <c r="A2623" s="67"/>
      <c r="B2623" s="67"/>
      <c r="C2623" s="67"/>
      <c r="D2623" s="67"/>
      <c r="E2623" s="67"/>
      <c r="F2623" s="68"/>
      <c r="G2623" s="68"/>
      <c r="H2623" s="68"/>
      <c r="I2623" s="68"/>
      <c r="J2623" s="68"/>
      <c r="K2623" s="69">
        <v>1000.0</v>
      </c>
      <c r="L2623" s="69">
        <v>24.0</v>
      </c>
      <c r="M2623" s="68">
        <f t="shared" si="1"/>
        <v>33.51</v>
      </c>
    </row>
    <row r="2624">
      <c r="A2624" s="70"/>
      <c r="B2624" s="70"/>
      <c r="C2624" s="70"/>
      <c r="D2624" s="70"/>
      <c r="E2624" s="70"/>
      <c r="F2624" s="66"/>
      <c r="G2624" s="66"/>
      <c r="H2624" s="66"/>
      <c r="I2624" s="66"/>
      <c r="J2624" s="66"/>
      <c r="K2624" s="63">
        <v>1500.0</v>
      </c>
      <c r="L2624" s="63">
        <v>30.0</v>
      </c>
      <c r="M2624" s="66">
        <f t="shared" si="1"/>
        <v>62.83</v>
      </c>
    </row>
    <row r="2625">
      <c r="A2625" s="67"/>
      <c r="B2625" s="67"/>
      <c r="C2625" s="67"/>
      <c r="D2625" s="67"/>
      <c r="E2625" s="67"/>
      <c r="F2625" s="68"/>
      <c r="G2625" s="68"/>
      <c r="H2625" s="68"/>
      <c r="I2625" s="68"/>
      <c r="J2625" s="68"/>
      <c r="K2625" s="69">
        <v>2000.0</v>
      </c>
      <c r="L2625" s="69">
        <v>37.2</v>
      </c>
      <c r="M2625" s="68">
        <f t="shared" si="1"/>
        <v>103.88</v>
      </c>
    </row>
    <row r="2626">
      <c r="A2626" s="70"/>
      <c r="B2626" s="70"/>
      <c r="C2626" s="70"/>
      <c r="D2626" s="70"/>
      <c r="E2626" s="70"/>
      <c r="F2626" s="66"/>
      <c r="G2626" s="66"/>
      <c r="H2626" s="66"/>
      <c r="I2626" s="66"/>
      <c r="J2626" s="66"/>
      <c r="K2626" s="63">
        <v>2500.0</v>
      </c>
      <c r="L2626" s="63">
        <v>49.2</v>
      </c>
      <c r="M2626" s="66">
        <f t="shared" si="1"/>
        <v>171.74</v>
      </c>
    </row>
    <row r="2627">
      <c r="A2627" s="67"/>
      <c r="B2627" s="67"/>
      <c r="C2627" s="67"/>
      <c r="D2627" s="67"/>
      <c r="E2627" s="67"/>
      <c r="F2627" s="68"/>
      <c r="G2627" s="68"/>
      <c r="H2627" s="68"/>
      <c r="I2627" s="68"/>
      <c r="J2627" s="68"/>
      <c r="K2627" s="69">
        <v>3000.0</v>
      </c>
      <c r="L2627" s="69">
        <v>60.6</v>
      </c>
      <c r="M2627" s="68">
        <f t="shared" si="1"/>
        <v>253.84</v>
      </c>
    </row>
    <row r="2628">
      <c r="A2628" s="70"/>
      <c r="B2628" s="70"/>
      <c r="C2628" s="70"/>
      <c r="D2628" s="70"/>
      <c r="E2628" s="70"/>
      <c r="F2628" s="66"/>
      <c r="G2628" s="66"/>
      <c r="H2628" s="66"/>
      <c r="I2628" s="66"/>
      <c r="J2628" s="66"/>
      <c r="K2628" s="63">
        <v>3500.0</v>
      </c>
      <c r="L2628" s="63">
        <v>63.8</v>
      </c>
      <c r="M2628" s="66">
        <f t="shared" si="1"/>
        <v>311.78</v>
      </c>
    </row>
    <row r="2629">
      <c r="A2629" s="67"/>
      <c r="B2629" s="67"/>
      <c r="C2629" s="67"/>
      <c r="D2629" s="67"/>
      <c r="E2629" s="67"/>
      <c r="F2629" s="68"/>
      <c r="G2629" s="68"/>
      <c r="H2629" s="68"/>
      <c r="I2629" s="68"/>
      <c r="J2629" s="68"/>
      <c r="K2629" s="69">
        <v>4000.0</v>
      </c>
      <c r="L2629" s="69">
        <v>66.4</v>
      </c>
      <c r="M2629" s="68">
        <f t="shared" si="1"/>
        <v>370.85</v>
      </c>
    </row>
    <row r="2630">
      <c r="A2630" s="70"/>
      <c r="B2630" s="70"/>
      <c r="C2630" s="70"/>
      <c r="D2630" s="70"/>
      <c r="E2630" s="70"/>
      <c r="F2630" s="66"/>
      <c r="G2630" s="66"/>
      <c r="H2630" s="66"/>
      <c r="I2630" s="66"/>
      <c r="J2630" s="66"/>
      <c r="K2630" s="63">
        <v>4500.0</v>
      </c>
      <c r="L2630" s="63">
        <v>68.2</v>
      </c>
      <c r="M2630" s="66">
        <f t="shared" si="1"/>
        <v>428.51</v>
      </c>
    </row>
    <row r="2631">
      <c r="A2631" s="67"/>
      <c r="B2631" s="67"/>
      <c r="C2631" s="67"/>
      <c r="D2631" s="67"/>
      <c r="E2631" s="67"/>
      <c r="F2631" s="68"/>
      <c r="G2631" s="68"/>
      <c r="H2631" s="68"/>
      <c r="I2631" s="68"/>
      <c r="J2631" s="68"/>
      <c r="K2631" s="69">
        <v>5000.0</v>
      </c>
      <c r="L2631" s="69">
        <v>70.0</v>
      </c>
      <c r="M2631" s="68">
        <f t="shared" si="1"/>
        <v>488.69</v>
      </c>
    </row>
    <row r="2632">
      <c r="A2632" s="70"/>
      <c r="B2632" s="70"/>
      <c r="C2632" s="70"/>
      <c r="D2632" s="70"/>
      <c r="E2632" s="70"/>
      <c r="F2632" s="66"/>
      <c r="G2632" s="66"/>
      <c r="H2632" s="66"/>
      <c r="I2632" s="66"/>
      <c r="J2632" s="66"/>
      <c r="K2632" s="63">
        <v>5500.0</v>
      </c>
      <c r="L2632" s="63">
        <v>70.6</v>
      </c>
      <c r="M2632" s="66">
        <f t="shared" si="1"/>
        <v>542.17</v>
      </c>
    </row>
    <row r="2633">
      <c r="A2633" s="67"/>
      <c r="B2633" s="67"/>
      <c r="C2633" s="67"/>
      <c r="D2633" s="67"/>
      <c r="E2633" s="67"/>
      <c r="F2633" s="68"/>
      <c r="G2633" s="68"/>
      <c r="H2633" s="68"/>
      <c r="I2633" s="68"/>
      <c r="J2633" s="68"/>
      <c r="K2633" s="69">
        <v>6000.0</v>
      </c>
      <c r="L2633" s="69">
        <v>69.8</v>
      </c>
      <c r="M2633" s="68">
        <f t="shared" si="1"/>
        <v>584.75</v>
      </c>
    </row>
    <row r="2634">
      <c r="A2634" s="70"/>
      <c r="B2634" s="70"/>
      <c r="C2634" s="70"/>
      <c r="D2634" s="70"/>
      <c r="E2634" s="70"/>
      <c r="F2634" s="66"/>
      <c r="G2634" s="66"/>
      <c r="H2634" s="66"/>
      <c r="I2634" s="66"/>
      <c r="J2634" s="66"/>
      <c r="K2634" s="63">
        <v>6500.0</v>
      </c>
      <c r="L2634" s="63">
        <v>67.8</v>
      </c>
      <c r="M2634" s="66">
        <f t="shared" si="1"/>
        <v>615.33</v>
      </c>
    </row>
    <row r="2635">
      <c r="A2635" s="67"/>
      <c r="B2635" s="67"/>
      <c r="C2635" s="67"/>
      <c r="D2635" s="67"/>
      <c r="E2635" s="67"/>
      <c r="F2635" s="68"/>
      <c r="G2635" s="68"/>
      <c r="H2635" s="68"/>
      <c r="I2635" s="68"/>
      <c r="J2635" s="68"/>
      <c r="K2635" s="69">
        <v>7000.0</v>
      </c>
      <c r="L2635" s="69">
        <v>62.6</v>
      </c>
      <c r="M2635" s="68">
        <f t="shared" si="1"/>
        <v>611.84</v>
      </c>
    </row>
    <row r="2636">
      <c r="A2636" s="70"/>
      <c r="B2636" s="70"/>
      <c r="C2636" s="70"/>
      <c r="D2636" s="70"/>
      <c r="E2636" s="70"/>
      <c r="F2636" s="66"/>
      <c r="G2636" s="66"/>
      <c r="H2636" s="66"/>
      <c r="I2636" s="66"/>
      <c r="J2636" s="66"/>
      <c r="K2636" s="63">
        <v>7200.0</v>
      </c>
      <c r="L2636" s="63">
        <v>58.6</v>
      </c>
      <c r="M2636" s="66">
        <f t="shared" si="1"/>
        <v>589.11</v>
      </c>
    </row>
    <row r="2637">
      <c r="A2637" s="67"/>
      <c r="B2637" s="67"/>
      <c r="C2637" s="67"/>
      <c r="D2637" s="67"/>
      <c r="E2637" s="67"/>
      <c r="F2637" s="68"/>
      <c r="G2637" s="68"/>
      <c r="H2637" s="68"/>
      <c r="I2637" s="68"/>
      <c r="J2637" s="68"/>
      <c r="K2637" s="69">
        <v>7800.0</v>
      </c>
      <c r="L2637" s="69">
        <v>47.0</v>
      </c>
      <c r="M2637" s="68">
        <f t="shared" si="1"/>
        <v>511.87</v>
      </c>
    </row>
    <row r="2638">
      <c r="A2638" s="70"/>
      <c r="B2638" s="70"/>
      <c r="C2638" s="70"/>
      <c r="D2638" s="70"/>
      <c r="E2638" s="70"/>
      <c r="F2638" s="66"/>
      <c r="G2638" s="66"/>
      <c r="H2638" s="66"/>
      <c r="I2638" s="66"/>
      <c r="J2638" s="66"/>
      <c r="K2638" s="63">
        <v>8500.0</v>
      </c>
      <c r="L2638" s="63">
        <v>31.6</v>
      </c>
      <c r="M2638" s="66">
        <f t="shared" si="1"/>
        <v>375.03</v>
      </c>
    </row>
    <row r="2639">
      <c r="A2639" s="68">
        <v>176.0</v>
      </c>
      <c r="B2639" s="68">
        <v>292.0</v>
      </c>
      <c r="C2639" s="71" t="s">
        <v>576</v>
      </c>
      <c r="D2639" s="71" t="s">
        <v>577</v>
      </c>
      <c r="E2639" s="71" t="s">
        <v>578</v>
      </c>
      <c r="F2639" s="72">
        <v>6800.0</v>
      </c>
      <c r="G2639" s="72">
        <v>6800.0</v>
      </c>
      <c r="H2639" s="72">
        <v>700.0</v>
      </c>
      <c r="I2639" s="72">
        <v>3500.0</v>
      </c>
      <c r="J2639" s="72">
        <v>6500.0</v>
      </c>
      <c r="K2639" s="69">
        <v>500.0</v>
      </c>
      <c r="L2639" s="69">
        <v>27.75</v>
      </c>
      <c r="M2639" s="68">
        <f t="shared" si="1"/>
        <v>19.37</v>
      </c>
    </row>
    <row r="2640">
      <c r="A2640" s="70"/>
      <c r="B2640" s="70"/>
      <c r="C2640" s="70"/>
      <c r="D2640" s="70"/>
      <c r="E2640" s="70"/>
      <c r="F2640" s="66"/>
      <c r="G2640" s="66"/>
      <c r="H2640" s="66"/>
      <c r="I2640" s="66"/>
      <c r="J2640" s="66"/>
      <c r="K2640" s="63">
        <v>1000.0</v>
      </c>
      <c r="L2640" s="63">
        <v>32.88</v>
      </c>
      <c r="M2640" s="66">
        <f t="shared" si="1"/>
        <v>45.91</v>
      </c>
    </row>
    <row r="2641">
      <c r="A2641" s="67"/>
      <c r="B2641" s="67"/>
      <c r="C2641" s="67"/>
      <c r="D2641" s="67"/>
      <c r="E2641" s="67"/>
      <c r="F2641" s="68"/>
      <c r="G2641" s="68"/>
      <c r="H2641" s="68"/>
      <c r="I2641" s="68"/>
      <c r="J2641" s="68"/>
      <c r="K2641" s="69">
        <v>1500.0</v>
      </c>
      <c r="L2641" s="69">
        <v>35.63</v>
      </c>
      <c r="M2641" s="68">
        <f t="shared" si="1"/>
        <v>74.62</v>
      </c>
    </row>
    <row r="2642">
      <c r="A2642" s="73"/>
      <c r="B2642" s="73"/>
      <c r="C2642" s="73"/>
      <c r="D2642" s="73"/>
      <c r="E2642" s="73"/>
      <c r="F2642" s="66"/>
      <c r="G2642" s="66"/>
      <c r="H2642" s="66"/>
      <c r="I2642" s="66"/>
      <c r="J2642" s="66"/>
      <c r="K2642" s="63">
        <v>2000.0</v>
      </c>
      <c r="L2642" s="63">
        <v>36.88</v>
      </c>
      <c r="M2642" s="66">
        <f t="shared" si="1"/>
        <v>102.99</v>
      </c>
    </row>
    <row r="2643">
      <c r="A2643" s="67"/>
      <c r="B2643" s="67"/>
      <c r="C2643" s="67"/>
      <c r="D2643" s="67"/>
      <c r="E2643" s="67"/>
      <c r="F2643" s="68"/>
      <c r="G2643" s="68"/>
      <c r="H2643" s="68"/>
      <c r="I2643" s="68"/>
      <c r="J2643" s="68"/>
      <c r="K2643" s="69">
        <v>2500.0</v>
      </c>
      <c r="L2643" s="69">
        <v>38.63</v>
      </c>
      <c r="M2643" s="68">
        <f t="shared" si="1"/>
        <v>134.84</v>
      </c>
    </row>
    <row r="2644">
      <c r="A2644" s="70"/>
      <c r="B2644" s="70"/>
      <c r="C2644" s="70"/>
      <c r="D2644" s="70"/>
      <c r="E2644" s="70"/>
      <c r="F2644" s="66"/>
      <c r="G2644" s="66"/>
      <c r="H2644" s="66"/>
      <c r="I2644" s="66"/>
      <c r="J2644" s="66"/>
      <c r="K2644" s="63">
        <v>3000.0</v>
      </c>
      <c r="L2644" s="63">
        <v>41.38</v>
      </c>
      <c r="M2644" s="66">
        <f t="shared" si="1"/>
        <v>173.33</v>
      </c>
    </row>
    <row r="2645">
      <c r="A2645" s="67"/>
      <c r="B2645" s="67"/>
      <c r="C2645" s="67"/>
      <c r="D2645" s="67"/>
      <c r="E2645" s="67"/>
      <c r="F2645" s="68"/>
      <c r="G2645" s="68"/>
      <c r="H2645" s="68"/>
      <c r="I2645" s="68"/>
      <c r="J2645" s="68"/>
      <c r="K2645" s="69">
        <v>3500.0</v>
      </c>
      <c r="L2645" s="69">
        <v>43.54</v>
      </c>
      <c r="M2645" s="68">
        <f t="shared" si="1"/>
        <v>212.78</v>
      </c>
    </row>
    <row r="2646">
      <c r="A2646" s="70"/>
      <c r="B2646" s="70"/>
      <c r="C2646" s="70"/>
      <c r="D2646" s="70"/>
      <c r="E2646" s="70"/>
      <c r="F2646" s="66"/>
      <c r="G2646" s="66"/>
      <c r="H2646" s="66"/>
      <c r="I2646" s="66"/>
      <c r="J2646" s="66"/>
      <c r="K2646" s="63">
        <v>4000.0</v>
      </c>
      <c r="L2646" s="63">
        <v>43.76</v>
      </c>
      <c r="M2646" s="66">
        <f t="shared" si="1"/>
        <v>244.4</v>
      </c>
    </row>
    <row r="2647">
      <c r="A2647" s="67"/>
      <c r="B2647" s="67"/>
      <c r="C2647" s="67"/>
      <c r="D2647" s="67"/>
      <c r="E2647" s="67"/>
      <c r="F2647" s="68"/>
      <c r="G2647" s="68"/>
      <c r="H2647" s="68"/>
      <c r="I2647" s="68"/>
      <c r="J2647" s="68"/>
      <c r="K2647" s="69">
        <v>4500.0</v>
      </c>
      <c r="L2647" s="69">
        <v>43.38</v>
      </c>
      <c r="M2647" s="68">
        <f t="shared" si="1"/>
        <v>272.56</v>
      </c>
    </row>
    <row r="2648">
      <c r="A2648" s="70"/>
      <c r="B2648" s="70"/>
      <c r="C2648" s="70"/>
      <c r="D2648" s="70"/>
      <c r="E2648" s="70"/>
      <c r="F2648" s="66"/>
      <c r="G2648" s="66"/>
      <c r="H2648" s="66"/>
      <c r="I2648" s="66"/>
      <c r="J2648" s="66"/>
      <c r="K2648" s="63">
        <v>5000.0</v>
      </c>
      <c r="L2648" s="63">
        <v>41.88</v>
      </c>
      <c r="M2648" s="66">
        <f t="shared" si="1"/>
        <v>292.38</v>
      </c>
    </row>
    <row r="2649">
      <c r="A2649" s="67"/>
      <c r="B2649" s="67"/>
      <c r="C2649" s="67"/>
      <c r="D2649" s="67"/>
      <c r="E2649" s="67"/>
      <c r="F2649" s="68"/>
      <c r="G2649" s="68"/>
      <c r="H2649" s="68"/>
      <c r="I2649" s="68"/>
      <c r="J2649" s="68"/>
      <c r="K2649" s="69">
        <v>5500.0</v>
      </c>
      <c r="L2649" s="69">
        <v>40.13</v>
      </c>
      <c r="M2649" s="68">
        <f t="shared" si="1"/>
        <v>308.18</v>
      </c>
    </row>
    <row r="2650">
      <c r="A2650" s="70"/>
      <c r="B2650" s="70"/>
      <c r="C2650" s="70"/>
      <c r="D2650" s="70"/>
      <c r="E2650" s="70"/>
      <c r="F2650" s="66"/>
      <c r="G2650" s="66"/>
      <c r="H2650" s="66"/>
      <c r="I2650" s="66"/>
      <c r="J2650" s="66"/>
      <c r="K2650" s="63">
        <v>6000.0</v>
      </c>
      <c r="L2650" s="63">
        <v>38.38</v>
      </c>
      <c r="M2650" s="66">
        <f t="shared" si="1"/>
        <v>321.53</v>
      </c>
    </row>
    <row r="2651">
      <c r="A2651" s="67"/>
      <c r="B2651" s="67"/>
      <c r="C2651" s="67"/>
      <c r="D2651" s="67"/>
      <c r="E2651" s="67"/>
      <c r="F2651" s="68"/>
      <c r="G2651" s="68"/>
      <c r="H2651" s="68"/>
      <c r="I2651" s="68"/>
      <c r="J2651" s="68"/>
      <c r="K2651" s="69">
        <v>6500.0</v>
      </c>
      <c r="L2651" s="69">
        <v>35.8</v>
      </c>
      <c r="M2651" s="68">
        <f t="shared" si="1"/>
        <v>324.91</v>
      </c>
    </row>
    <row r="2652">
      <c r="A2652" s="70"/>
      <c r="B2652" s="70"/>
      <c r="C2652" s="70"/>
      <c r="D2652" s="70"/>
      <c r="E2652" s="70"/>
      <c r="F2652" s="66"/>
      <c r="G2652" s="66"/>
      <c r="H2652" s="66"/>
      <c r="I2652" s="66"/>
      <c r="J2652" s="66"/>
      <c r="K2652" s="63">
        <v>7000.0</v>
      </c>
      <c r="L2652" s="63">
        <v>32.5</v>
      </c>
      <c r="M2652" s="66">
        <f t="shared" si="1"/>
        <v>317.65</v>
      </c>
    </row>
    <row r="2653">
      <c r="A2653" s="68">
        <v>177.0</v>
      </c>
      <c r="B2653" s="68">
        <v>293.0</v>
      </c>
      <c r="C2653" s="71" t="s">
        <v>579</v>
      </c>
      <c r="D2653" s="71" t="s">
        <v>580</v>
      </c>
      <c r="E2653" s="71" t="s">
        <v>581</v>
      </c>
      <c r="F2653" s="72">
        <v>6500.0</v>
      </c>
      <c r="G2653" s="72">
        <v>6600.0</v>
      </c>
      <c r="H2653" s="72">
        <v>700.0</v>
      </c>
      <c r="I2653" s="72">
        <v>1950.0</v>
      </c>
      <c r="J2653" s="72">
        <v>5700.0</v>
      </c>
      <c r="K2653" s="69">
        <v>500.0</v>
      </c>
      <c r="L2653" s="69">
        <v>28.65</v>
      </c>
      <c r="M2653" s="68">
        <f t="shared" si="1"/>
        <v>20</v>
      </c>
    </row>
    <row r="2654">
      <c r="A2654" s="70"/>
      <c r="B2654" s="70"/>
      <c r="C2654" s="70"/>
      <c r="D2654" s="70"/>
      <c r="E2654" s="70"/>
      <c r="F2654" s="66"/>
      <c r="G2654" s="66"/>
      <c r="H2654" s="66"/>
      <c r="I2654" s="66"/>
      <c r="J2654" s="66"/>
      <c r="K2654" s="63">
        <v>1000.0</v>
      </c>
      <c r="L2654" s="63">
        <v>34.34</v>
      </c>
      <c r="M2654" s="66">
        <f t="shared" si="1"/>
        <v>47.95</v>
      </c>
    </row>
    <row r="2655">
      <c r="A2655" s="67"/>
      <c r="B2655" s="67"/>
      <c r="C2655" s="67"/>
      <c r="D2655" s="67"/>
      <c r="E2655" s="67"/>
      <c r="F2655" s="68"/>
      <c r="G2655" s="68"/>
      <c r="H2655" s="68"/>
      <c r="I2655" s="68"/>
      <c r="J2655" s="68"/>
      <c r="K2655" s="69">
        <v>1500.0</v>
      </c>
      <c r="L2655" s="69">
        <v>44.46</v>
      </c>
      <c r="M2655" s="68">
        <f t="shared" si="1"/>
        <v>93.12</v>
      </c>
    </row>
    <row r="2656">
      <c r="A2656" s="70"/>
      <c r="B2656" s="70"/>
      <c r="C2656" s="70"/>
      <c r="D2656" s="70"/>
      <c r="E2656" s="70"/>
      <c r="F2656" s="66"/>
      <c r="G2656" s="66"/>
      <c r="H2656" s="66"/>
      <c r="I2656" s="66"/>
      <c r="J2656" s="66"/>
      <c r="K2656" s="63">
        <v>2000.0</v>
      </c>
      <c r="L2656" s="63">
        <v>52.6</v>
      </c>
      <c r="M2656" s="66">
        <f t="shared" si="1"/>
        <v>146.89</v>
      </c>
    </row>
    <row r="2657">
      <c r="A2657" s="67"/>
      <c r="B2657" s="67"/>
      <c r="C2657" s="67"/>
      <c r="D2657" s="67"/>
      <c r="E2657" s="67"/>
      <c r="F2657" s="68"/>
      <c r="G2657" s="68"/>
      <c r="H2657" s="68"/>
      <c r="I2657" s="68"/>
      <c r="J2657" s="68"/>
      <c r="K2657" s="69">
        <v>2500.0</v>
      </c>
      <c r="L2657" s="69">
        <v>53.8</v>
      </c>
      <c r="M2657" s="68">
        <f t="shared" si="1"/>
        <v>187.8</v>
      </c>
    </row>
    <row r="2658">
      <c r="A2658" s="70"/>
      <c r="B2658" s="70"/>
      <c r="C2658" s="70"/>
      <c r="D2658" s="70"/>
      <c r="E2658" s="70"/>
      <c r="F2658" s="66"/>
      <c r="G2658" s="66"/>
      <c r="H2658" s="66"/>
      <c r="I2658" s="66"/>
      <c r="J2658" s="66"/>
      <c r="K2658" s="63">
        <v>3000.0</v>
      </c>
      <c r="L2658" s="63">
        <v>54.1</v>
      </c>
      <c r="M2658" s="66">
        <f t="shared" si="1"/>
        <v>226.61</v>
      </c>
    </row>
    <row r="2659">
      <c r="A2659" s="67"/>
      <c r="B2659" s="67"/>
      <c r="C2659" s="67"/>
      <c r="D2659" s="67"/>
      <c r="E2659" s="67"/>
      <c r="F2659" s="68"/>
      <c r="G2659" s="68"/>
      <c r="H2659" s="68"/>
      <c r="I2659" s="68"/>
      <c r="J2659" s="68"/>
      <c r="K2659" s="69">
        <v>3500.0</v>
      </c>
      <c r="L2659" s="69">
        <v>54.1</v>
      </c>
      <c r="M2659" s="68">
        <f t="shared" si="1"/>
        <v>264.38</v>
      </c>
    </row>
    <row r="2660">
      <c r="A2660" s="70"/>
      <c r="B2660" s="70"/>
      <c r="C2660" s="70"/>
      <c r="D2660" s="70"/>
      <c r="E2660" s="70"/>
      <c r="F2660" s="66"/>
      <c r="G2660" s="66"/>
      <c r="H2660" s="66"/>
      <c r="I2660" s="66"/>
      <c r="J2660" s="66"/>
      <c r="K2660" s="63">
        <v>4000.0</v>
      </c>
      <c r="L2660" s="63">
        <v>54.1</v>
      </c>
      <c r="M2660" s="66">
        <f t="shared" si="1"/>
        <v>302.15</v>
      </c>
    </row>
    <row r="2661">
      <c r="A2661" s="67"/>
      <c r="B2661" s="67"/>
      <c r="C2661" s="67"/>
      <c r="D2661" s="67"/>
      <c r="E2661" s="67"/>
      <c r="F2661" s="68"/>
      <c r="G2661" s="68"/>
      <c r="H2661" s="68"/>
      <c r="I2661" s="68"/>
      <c r="J2661" s="68"/>
      <c r="K2661" s="69">
        <v>4500.0</v>
      </c>
      <c r="L2661" s="69">
        <v>54.25</v>
      </c>
      <c r="M2661" s="68">
        <f t="shared" si="1"/>
        <v>340.86</v>
      </c>
    </row>
    <row r="2662">
      <c r="A2662" s="70"/>
      <c r="B2662" s="70"/>
      <c r="C2662" s="70"/>
      <c r="D2662" s="70"/>
      <c r="E2662" s="70"/>
      <c r="F2662" s="66"/>
      <c r="G2662" s="66"/>
      <c r="H2662" s="66"/>
      <c r="I2662" s="66"/>
      <c r="J2662" s="66"/>
      <c r="K2662" s="63">
        <v>5000.0</v>
      </c>
      <c r="L2662" s="63">
        <v>53.95</v>
      </c>
      <c r="M2662" s="66">
        <f t="shared" si="1"/>
        <v>376.64</v>
      </c>
    </row>
    <row r="2663">
      <c r="A2663" s="67"/>
      <c r="B2663" s="67"/>
      <c r="C2663" s="67"/>
      <c r="D2663" s="67"/>
      <c r="E2663" s="67"/>
      <c r="F2663" s="68"/>
      <c r="G2663" s="68"/>
      <c r="H2663" s="68"/>
      <c r="I2663" s="68"/>
      <c r="J2663" s="68"/>
      <c r="K2663" s="69">
        <v>5700.0</v>
      </c>
      <c r="L2663" s="69">
        <v>53.05</v>
      </c>
      <c r="M2663" s="68">
        <f t="shared" si="1"/>
        <v>422.21</v>
      </c>
    </row>
    <row r="2664">
      <c r="A2664" s="70"/>
      <c r="B2664" s="70"/>
      <c r="C2664" s="70"/>
      <c r="D2664" s="70"/>
      <c r="E2664" s="70"/>
      <c r="F2664" s="66"/>
      <c r="G2664" s="66"/>
      <c r="H2664" s="66"/>
      <c r="I2664" s="66"/>
      <c r="J2664" s="66"/>
      <c r="K2664" s="63">
        <v>6000.0</v>
      </c>
      <c r="L2664" s="63">
        <v>50.04</v>
      </c>
      <c r="M2664" s="66">
        <f t="shared" si="1"/>
        <v>419.21</v>
      </c>
    </row>
    <row r="2665">
      <c r="A2665" s="67"/>
      <c r="B2665" s="67"/>
      <c r="C2665" s="67"/>
      <c r="D2665" s="67"/>
      <c r="E2665" s="67"/>
      <c r="F2665" s="68"/>
      <c r="G2665" s="68"/>
      <c r="H2665" s="68"/>
      <c r="I2665" s="68"/>
      <c r="J2665" s="68"/>
      <c r="K2665" s="69">
        <v>6500.0</v>
      </c>
      <c r="L2665" s="69">
        <v>44.85</v>
      </c>
      <c r="M2665" s="68">
        <f t="shared" si="1"/>
        <v>407.04</v>
      </c>
    </row>
    <row r="2666">
      <c r="A2666" s="73"/>
      <c r="B2666" s="73"/>
      <c r="C2666" s="73"/>
      <c r="D2666" s="73"/>
      <c r="E2666" s="73"/>
      <c r="F2666" s="66"/>
      <c r="G2666" s="66"/>
      <c r="H2666" s="66"/>
      <c r="I2666" s="66"/>
      <c r="J2666" s="66"/>
      <c r="K2666" s="63">
        <v>7000.0</v>
      </c>
      <c r="L2666" s="63">
        <v>36.5</v>
      </c>
      <c r="M2666" s="66">
        <f t="shared" si="1"/>
        <v>356.74</v>
      </c>
    </row>
    <row r="2667">
      <c r="A2667" s="68">
        <v>178.0</v>
      </c>
      <c r="B2667" s="68">
        <v>295.0</v>
      </c>
      <c r="C2667" s="71" t="s">
        <v>582</v>
      </c>
      <c r="D2667" s="71" t="s">
        <v>583</v>
      </c>
      <c r="E2667" s="71" t="s">
        <v>584</v>
      </c>
      <c r="F2667" s="72">
        <v>7000.0</v>
      </c>
      <c r="G2667" s="72">
        <v>7100.0</v>
      </c>
      <c r="H2667" s="72">
        <v>600.0</v>
      </c>
      <c r="I2667" s="72">
        <v>5500.0</v>
      </c>
      <c r="J2667" s="72">
        <v>6800.0</v>
      </c>
      <c r="K2667" s="69">
        <v>500.0</v>
      </c>
      <c r="L2667" s="69">
        <v>41.78</v>
      </c>
      <c r="M2667" s="68">
        <f t="shared" si="1"/>
        <v>29.17</v>
      </c>
    </row>
    <row r="2668">
      <c r="A2668" s="70"/>
      <c r="B2668" s="70"/>
      <c r="C2668" s="70"/>
      <c r="D2668" s="70"/>
      <c r="E2668" s="70"/>
      <c r="F2668" s="66"/>
      <c r="G2668" s="66"/>
      <c r="H2668" s="66"/>
      <c r="I2668" s="66"/>
      <c r="J2668" s="66"/>
      <c r="K2668" s="63">
        <v>1000.0</v>
      </c>
      <c r="L2668" s="63">
        <v>48.47</v>
      </c>
      <c r="M2668" s="66">
        <f t="shared" si="1"/>
        <v>67.68</v>
      </c>
    </row>
    <row r="2669">
      <c r="A2669" s="67"/>
      <c r="B2669" s="67"/>
      <c r="C2669" s="67"/>
      <c r="D2669" s="67"/>
      <c r="E2669" s="67"/>
      <c r="F2669" s="68"/>
      <c r="G2669" s="68"/>
      <c r="H2669" s="68"/>
      <c r="I2669" s="68"/>
      <c r="J2669" s="68"/>
      <c r="K2669" s="69">
        <v>1500.0</v>
      </c>
      <c r="L2669" s="69">
        <v>50.58</v>
      </c>
      <c r="M2669" s="68">
        <f t="shared" si="1"/>
        <v>105.93</v>
      </c>
    </row>
    <row r="2670">
      <c r="A2670" s="70"/>
      <c r="B2670" s="70"/>
      <c r="C2670" s="70"/>
      <c r="D2670" s="70"/>
      <c r="E2670" s="70"/>
      <c r="F2670" s="66"/>
      <c r="G2670" s="66"/>
      <c r="H2670" s="66"/>
      <c r="I2670" s="66"/>
      <c r="J2670" s="66"/>
      <c r="K2670" s="63">
        <v>2000.0</v>
      </c>
      <c r="L2670" s="63">
        <v>50.36</v>
      </c>
      <c r="M2670" s="66">
        <f t="shared" si="1"/>
        <v>140.63</v>
      </c>
    </row>
    <row r="2671">
      <c r="A2671" s="67"/>
      <c r="B2671" s="67"/>
      <c r="C2671" s="67"/>
      <c r="D2671" s="67"/>
      <c r="E2671" s="67"/>
      <c r="F2671" s="68"/>
      <c r="G2671" s="68"/>
      <c r="H2671" s="68"/>
      <c r="I2671" s="68"/>
      <c r="J2671" s="68"/>
      <c r="K2671" s="69">
        <v>2500.0</v>
      </c>
      <c r="L2671" s="69">
        <v>49.85</v>
      </c>
      <c r="M2671" s="68">
        <f t="shared" si="1"/>
        <v>174.01</v>
      </c>
    </row>
    <row r="2672">
      <c r="A2672" s="70"/>
      <c r="B2672" s="70"/>
      <c r="C2672" s="70"/>
      <c r="D2672" s="70"/>
      <c r="E2672" s="70"/>
      <c r="F2672" s="66"/>
      <c r="G2672" s="66"/>
      <c r="H2672" s="66"/>
      <c r="I2672" s="66"/>
      <c r="J2672" s="66"/>
      <c r="K2672" s="63">
        <v>3000.0</v>
      </c>
      <c r="L2672" s="63">
        <v>50.48</v>
      </c>
      <c r="M2672" s="66">
        <f t="shared" si="1"/>
        <v>211.45</v>
      </c>
    </row>
    <row r="2673">
      <c r="A2673" s="67"/>
      <c r="B2673" s="67"/>
      <c r="C2673" s="67"/>
      <c r="D2673" s="67"/>
      <c r="E2673" s="67"/>
      <c r="F2673" s="68"/>
      <c r="G2673" s="68"/>
      <c r="H2673" s="68"/>
      <c r="I2673" s="68"/>
      <c r="J2673" s="68"/>
      <c r="K2673" s="69">
        <v>3500.0</v>
      </c>
      <c r="L2673" s="69">
        <v>50.48</v>
      </c>
      <c r="M2673" s="68">
        <f t="shared" si="1"/>
        <v>246.69</v>
      </c>
    </row>
    <row r="2674">
      <c r="A2674" s="70"/>
      <c r="B2674" s="70"/>
      <c r="C2674" s="70"/>
      <c r="D2674" s="70"/>
      <c r="E2674" s="70"/>
      <c r="F2674" s="66"/>
      <c r="G2674" s="66"/>
      <c r="H2674" s="66"/>
      <c r="I2674" s="66"/>
      <c r="J2674" s="66"/>
      <c r="K2674" s="63">
        <v>4000.0</v>
      </c>
      <c r="L2674" s="63">
        <v>50.48</v>
      </c>
      <c r="M2674" s="66">
        <f t="shared" si="1"/>
        <v>281.93</v>
      </c>
    </row>
    <row r="2675">
      <c r="A2675" s="67"/>
      <c r="B2675" s="67"/>
      <c r="C2675" s="67"/>
      <c r="D2675" s="67"/>
      <c r="E2675" s="67"/>
      <c r="F2675" s="68"/>
      <c r="G2675" s="68"/>
      <c r="H2675" s="68"/>
      <c r="I2675" s="68"/>
      <c r="J2675" s="68"/>
      <c r="K2675" s="69">
        <v>4500.0</v>
      </c>
      <c r="L2675" s="69">
        <v>50.99</v>
      </c>
      <c r="M2675" s="68">
        <f t="shared" si="1"/>
        <v>320.38</v>
      </c>
    </row>
    <row r="2676">
      <c r="A2676" s="70"/>
      <c r="B2676" s="70"/>
      <c r="C2676" s="70"/>
      <c r="D2676" s="70"/>
      <c r="E2676" s="70"/>
      <c r="F2676" s="66"/>
      <c r="G2676" s="66"/>
      <c r="H2676" s="66"/>
      <c r="I2676" s="66"/>
      <c r="J2676" s="66"/>
      <c r="K2676" s="63">
        <v>5000.0</v>
      </c>
      <c r="L2676" s="63">
        <v>52.54</v>
      </c>
      <c r="M2676" s="66">
        <f t="shared" si="1"/>
        <v>366.8</v>
      </c>
    </row>
    <row r="2677">
      <c r="A2677" s="67"/>
      <c r="B2677" s="67"/>
      <c r="C2677" s="67"/>
      <c r="D2677" s="67"/>
      <c r="E2677" s="67"/>
      <c r="F2677" s="68"/>
      <c r="G2677" s="68"/>
      <c r="H2677" s="68"/>
      <c r="I2677" s="68"/>
      <c r="J2677" s="68"/>
      <c r="K2677" s="69">
        <v>5500.0</v>
      </c>
      <c r="L2677" s="69">
        <v>53.17</v>
      </c>
      <c r="M2677" s="68">
        <f t="shared" si="1"/>
        <v>408.31</v>
      </c>
    </row>
    <row r="2678">
      <c r="A2678" s="70"/>
      <c r="B2678" s="70"/>
      <c r="C2678" s="70"/>
      <c r="D2678" s="70"/>
      <c r="E2678" s="70"/>
      <c r="F2678" s="66"/>
      <c r="G2678" s="66"/>
      <c r="H2678" s="66"/>
      <c r="I2678" s="66"/>
      <c r="J2678" s="66"/>
      <c r="K2678" s="63">
        <v>6000.0</v>
      </c>
      <c r="L2678" s="63">
        <v>51.88</v>
      </c>
      <c r="M2678" s="66">
        <f t="shared" si="1"/>
        <v>434.63</v>
      </c>
    </row>
    <row r="2679">
      <c r="A2679" s="67"/>
      <c r="B2679" s="67"/>
      <c r="C2679" s="67"/>
      <c r="D2679" s="67"/>
      <c r="E2679" s="67"/>
      <c r="F2679" s="68"/>
      <c r="G2679" s="68"/>
      <c r="H2679" s="68"/>
      <c r="I2679" s="68"/>
      <c r="J2679" s="68"/>
      <c r="K2679" s="69">
        <v>6800.0</v>
      </c>
      <c r="L2679" s="69">
        <v>47.36</v>
      </c>
      <c r="M2679" s="68">
        <f t="shared" si="1"/>
        <v>449.66</v>
      </c>
    </row>
    <row r="2680">
      <c r="A2680" s="70"/>
      <c r="B2680" s="70"/>
      <c r="C2680" s="70"/>
      <c r="D2680" s="70"/>
      <c r="E2680" s="70"/>
      <c r="F2680" s="66"/>
      <c r="G2680" s="66"/>
      <c r="H2680" s="66"/>
      <c r="I2680" s="66"/>
      <c r="J2680" s="66"/>
      <c r="K2680" s="63">
        <v>7000.0</v>
      </c>
      <c r="L2680" s="63">
        <v>45.67</v>
      </c>
      <c r="M2680" s="66">
        <f t="shared" si="1"/>
        <v>446.37</v>
      </c>
    </row>
    <row r="2681">
      <c r="A2681" s="67"/>
      <c r="B2681" s="67"/>
      <c r="C2681" s="67"/>
      <c r="D2681" s="67"/>
      <c r="E2681" s="67"/>
      <c r="F2681" s="68"/>
      <c r="G2681" s="68"/>
      <c r="H2681" s="68"/>
      <c r="I2681" s="68"/>
      <c r="J2681" s="68"/>
      <c r="K2681" s="69">
        <v>7500.0</v>
      </c>
      <c r="L2681" s="69">
        <v>40.76</v>
      </c>
      <c r="M2681" s="68">
        <f t="shared" si="1"/>
        <v>426.84</v>
      </c>
    </row>
    <row r="2682">
      <c r="A2682" s="70"/>
      <c r="B2682" s="70"/>
      <c r="C2682" s="70"/>
      <c r="D2682" s="70"/>
      <c r="E2682" s="70"/>
      <c r="F2682" s="66"/>
      <c r="G2682" s="66"/>
      <c r="H2682" s="66"/>
      <c r="I2682" s="66"/>
      <c r="J2682" s="66"/>
      <c r="K2682" s="63">
        <v>8000.0</v>
      </c>
      <c r="L2682" s="63">
        <v>33.9</v>
      </c>
      <c r="M2682" s="66">
        <f t="shared" si="1"/>
        <v>378.67</v>
      </c>
    </row>
    <row r="2683">
      <c r="A2683" s="68">
        <v>179.0</v>
      </c>
      <c r="B2683" s="68">
        <v>296.0</v>
      </c>
      <c r="C2683" s="71" t="s">
        <v>585</v>
      </c>
      <c r="D2683" s="71" t="s">
        <v>586</v>
      </c>
      <c r="E2683" s="71" t="s">
        <v>587</v>
      </c>
      <c r="F2683" s="72">
        <v>7500.0</v>
      </c>
      <c r="G2683" s="72">
        <v>7500.0</v>
      </c>
      <c r="H2683" s="72">
        <v>900.0</v>
      </c>
      <c r="I2683" s="72">
        <v>5600.0</v>
      </c>
      <c r="J2683" s="72">
        <v>6900.0</v>
      </c>
      <c r="K2683" s="69">
        <v>500.0</v>
      </c>
      <c r="L2683" s="69">
        <v>22.1</v>
      </c>
      <c r="M2683" s="68">
        <f t="shared" si="1"/>
        <v>15.43</v>
      </c>
    </row>
    <row r="2684">
      <c r="A2684" s="70"/>
      <c r="B2684" s="70"/>
      <c r="C2684" s="70"/>
      <c r="D2684" s="70"/>
      <c r="E2684" s="70"/>
      <c r="F2684" s="66"/>
      <c r="G2684" s="66"/>
      <c r="H2684" s="66"/>
      <c r="I2684" s="66"/>
      <c r="J2684" s="66"/>
      <c r="K2684" s="63">
        <v>1000.0</v>
      </c>
      <c r="L2684" s="63">
        <v>29.55</v>
      </c>
      <c r="M2684" s="66">
        <f t="shared" si="1"/>
        <v>41.26</v>
      </c>
    </row>
    <row r="2685">
      <c r="A2685" s="67"/>
      <c r="B2685" s="67"/>
      <c r="C2685" s="67"/>
      <c r="D2685" s="67"/>
      <c r="E2685" s="67"/>
      <c r="F2685" s="68"/>
      <c r="G2685" s="68"/>
      <c r="H2685" s="68"/>
      <c r="I2685" s="68"/>
      <c r="J2685" s="68"/>
      <c r="K2685" s="69">
        <v>1500.0</v>
      </c>
      <c r="L2685" s="69">
        <v>33.05</v>
      </c>
      <c r="M2685" s="68">
        <f t="shared" si="1"/>
        <v>69.22</v>
      </c>
    </row>
    <row r="2686">
      <c r="A2686" s="70"/>
      <c r="B2686" s="70"/>
      <c r="C2686" s="70"/>
      <c r="D2686" s="70"/>
      <c r="E2686" s="70"/>
      <c r="F2686" s="66"/>
      <c r="G2686" s="66"/>
      <c r="H2686" s="66"/>
      <c r="I2686" s="66"/>
      <c r="J2686" s="66"/>
      <c r="K2686" s="63">
        <v>2000.0</v>
      </c>
      <c r="L2686" s="63">
        <v>35.55</v>
      </c>
      <c r="M2686" s="66">
        <f t="shared" si="1"/>
        <v>99.27</v>
      </c>
    </row>
    <row r="2687">
      <c r="A2687" s="67"/>
      <c r="B2687" s="67"/>
      <c r="C2687" s="67"/>
      <c r="D2687" s="67"/>
      <c r="E2687" s="67"/>
      <c r="F2687" s="68"/>
      <c r="G2687" s="68"/>
      <c r="H2687" s="68"/>
      <c r="I2687" s="68"/>
      <c r="J2687" s="68"/>
      <c r="K2687" s="69">
        <v>2500.0</v>
      </c>
      <c r="L2687" s="69">
        <v>37.1</v>
      </c>
      <c r="M2687" s="68">
        <f t="shared" si="1"/>
        <v>129.5</v>
      </c>
    </row>
    <row r="2688">
      <c r="A2688" s="70"/>
      <c r="B2688" s="70"/>
      <c r="C2688" s="70"/>
      <c r="D2688" s="70"/>
      <c r="E2688" s="70"/>
      <c r="F2688" s="66"/>
      <c r="G2688" s="66"/>
      <c r="H2688" s="66"/>
      <c r="I2688" s="66"/>
      <c r="J2688" s="66"/>
      <c r="K2688" s="63">
        <v>3000.0</v>
      </c>
      <c r="L2688" s="63">
        <v>38.9</v>
      </c>
      <c r="M2688" s="66">
        <f t="shared" si="1"/>
        <v>162.94</v>
      </c>
    </row>
    <row r="2689">
      <c r="A2689" s="67"/>
      <c r="B2689" s="67"/>
      <c r="C2689" s="67"/>
      <c r="D2689" s="67"/>
      <c r="E2689" s="67"/>
      <c r="F2689" s="68"/>
      <c r="G2689" s="68"/>
      <c r="H2689" s="68"/>
      <c r="I2689" s="68"/>
      <c r="J2689" s="68"/>
      <c r="K2689" s="69">
        <v>3500.0</v>
      </c>
      <c r="L2689" s="69">
        <v>40.2</v>
      </c>
      <c r="M2689" s="68">
        <f t="shared" si="1"/>
        <v>196.45</v>
      </c>
    </row>
    <row r="2690">
      <c r="A2690" s="73"/>
      <c r="B2690" s="73"/>
      <c r="C2690" s="73"/>
      <c r="D2690" s="73"/>
      <c r="E2690" s="73"/>
      <c r="F2690" s="66"/>
      <c r="G2690" s="66"/>
      <c r="H2690" s="66"/>
      <c r="I2690" s="66"/>
      <c r="J2690" s="66"/>
      <c r="K2690" s="63">
        <v>4000.0</v>
      </c>
      <c r="L2690" s="63">
        <v>42.8</v>
      </c>
      <c r="M2690" s="66">
        <f t="shared" si="1"/>
        <v>239.04</v>
      </c>
    </row>
    <row r="2691">
      <c r="A2691" s="67"/>
      <c r="B2691" s="67"/>
      <c r="C2691" s="67"/>
      <c r="D2691" s="67"/>
      <c r="E2691" s="67"/>
      <c r="F2691" s="68"/>
      <c r="G2691" s="68"/>
      <c r="H2691" s="68"/>
      <c r="I2691" s="68"/>
      <c r="J2691" s="68"/>
      <c r="K2691" s="69">
        <v>4500.0</v>
      </c>
      <c r="L2691" s="69">
        <v>46.3</v>
      </c>
      <c r="M2691" s="68">
        <f t="shared" si="1"/>
        <v>290.91</v>
      </c>
    </row>
    <row r="2692">
      <c r="A2692" s="70"/>
      <c r="B2692" s="70"/>
      <c r="C2692" s="70"/>
      <c r="D2692" s="70"/>
      <c r="E2692" s="70"/>
      <c r="F2692" s="66"/>
      <c r="G2692" s="66"/>
      <c r="H2692" s="66"/>
      <c r="I2692" s="66"/>
      <c r="J2692" s="66"/>
      <c r="K2692" s="63">
        <v>5000.0</v>
      </c>
      <c r="L2692" s="63">
        <v>48.45</v>
      </c>
      <c r="M2692" s="66">
        <f t="shared" si="1"/>
        <v>338.24</v>
      </c>
    </row>
    <row r="2693">
      <c r="A2693" s="67"/>
      <c r="B2693" s="67"/>
      <c r="C2693" s="67"/>
      <c r="D2693" s="67"/>
      <c r="E2693" s="67"/>
      <c r="F2693" s="68"/>
      <c r="G2693" s="68"/>
      <c r="H2693" s="68"/>
      <c r="I2693" s="68"/>
      <c r="J2693" s="68"/>
      <c r="K2693" s="69">
        <v>5500.0</v>
      </c>
      <c r="L2693" s="69">
        <v>50.0</v>
      </c>
      <c r="M2693" s="68">
        <f t="shared" si="1"/>
        <v>383.97</v>
      </c>
    </row>
    <row r="2694">
      <c r="A2694" s="70"/>
      <c r="B2694" s="70"/>
      <c r="C2694" s="70"/>
      <c r="D2694" s="70"/>
      <c r="E2694" s="70"/>
      <c r="F2694" s="66"/>
      <c r="G2694" s="66"/>
      <c r="H2694" s="66"/>
      <c r="I2694" s="66"/>
      <c r="J2694" s="66"/>
      <c r="K2694" s="63">
        <v>6000.0</v>
      </c>
      <c r="L2694" s="63">
        <v>49.7</v>
      </c>
      <c r="M2694" s="66">
        <f t="shared" si="1"/>
        <v>416.36</v>
      </c>
    </row>
    <row r="2695">
      <c r="A2695" s="67"/>
      <c r="B2695" s="67"/>
      <c r="C2695" s="67"/>
      <c r="D2695" s="67"/>
      <c r="E2695" s="67"/>
      <c r="F2695" s="68"/>
      <c r="G2695" s="68"/>
      <c r="H2695" s="68"/>
      <c r="I2695" s="68"/>
      <c r="J2695" s="68"/>
      <c r="K2695" s="69">
        <v>6500.0</v>
      </c>
      <c r="L2695" s="69">
        <v>48.65</v>
      </c>
      <c r="M2695" s="68">
        <f t="shared" si="1"/>
        <v>441.53</v>
      </c>
    </row>
    <row r="2696">
      <c r="A2696" s="70"/>
      <c r="B2696" s="70"/>
      <c r="C2696" s="70"/>
      <c r="D2696" s="70"/>
      <c r="E2696" s="70"/>
      <c r="F2696" s="66"/>
      <c r="G2696" s="66"/>
      <c r="H2696" s="66"/>
      <c r="I2696" s="66"/>
      <c r="J2696" s="66"/>
      <c r="K2696" s="63">
        <v>6800.0</v>
      </c>
      <c r="L2696" s="63">
        <v>47.25</v>
      </c>
      <c r="M2696" s="66">
        <f t="shared" si="1"/>
        <v>448.62</v>
      </c>
    </row>
    <row r="2697">
      <c r="A2697" s="67"/>
      <c r="B2697" s="67"/>
      <c r="C2697" s="67"/>
      <c r="D2697" s="67"/>
      <c r="E2697" s="67"/>
      <c r="F2697" s="68"/>
      <c r="G2697" s="68"/>
      <c r="H2697" s="68"/>
      <c r="I2697" s="68"/>
      <c r="J2697" s="68"/>
      <c r="K2697" s="69">
        <v>7500.0</v>
      </c>
      <c r="L2697" s="69">
        <v>41.85</v>
      </c>
      <c r="M2697" s="68">
        <f t="shared" si="1"/>
        <v>438.25</v>
      </c>
    </row>
    <row r="2698">
      <c r="A2698" s="70"/>
      <c r="B2698" s="70"/>
      <c r="C2698" s="70"/>
      <c r="D2698" s="70"/>
      <c r="E2698" s="70"/>
      <c r="F2698" s="66"/>
      <c r="G2698" s="66"/>
      <c r="H2698" s="66"/>
      <c r="I2698" s="66"/>
      <c r="J2698" s="66"/>
      <c r="K2698" s="63">
        <v>8000.0</v>
      </c>
      <c r="L2698" s="63">
        <v>34.5</v>
      </c>
      <c r="M2698" s="66">
        <f t="shared" si="1"/>
        <v>385.37</v>
      </c>
    </row>
    <row r="2699">
      <c r="A2699" s="68">
        <v>180.0</v>
      </c>
      <c r="B2699" s="68">
        <v>297.0</v>
      </c>
      <c r="C2699" s="71" t="s">
        <v>588</v>
      </c>
      <c r="D2699" s="71" t="s">
        <v>589</v>
      </c>
      <c r="E2699" s="71" t="s">
        <v>590</v>
      </c>
      <c r="F2699" s="72">
        <v>7000.0</v>
      </c>
      <c r="G2699" s="72">
        <v>7000.0</v>
      </c>
      <c r="H2699" s="72">
        <v>700.0</v>
      </c>
      <c r="I2699" s="72">
        <v>4000.0</v>
      </c>
      <c r="J2699" s="72">
        <v>5800.0</v>
      </c>
      <c r="K2699" s="69">
        <v>500.0</v>
      </c>
      <c r="L2699" s="69">
        <v>10.31</v>
      </c>
      <c r="M2699" s="68">
        <f t="shared" si="1"/>
        <v>7.2</v>
      </c>
    </row>
    <row r="2700">
      <c r="A2700" s="70"/>
      <c r="B2700" s="70"/>
      <c r="C2700" s="70"/>
      <c r="D2700" s="70"/>
      <c r="E2700" s="70"/>
      <c r="F2700" s="66"/>
      <c r="G2700" s="66"/>
      <c r="H2700" s="66"/>
      <c r="I2700" s="66"/>
      <c r="J2700" s="66"/>
      <c r="K2700" s="63">
        <v>1000.0</v>
      </c>
      <c r="L2700" s="63">
        <v>11.63</v>
      </c>
      <c r="M2700" s="66">
        <f t="shared" si="1"/>
        <v>16.24</v>
      </c>
    </row>
    <row r="2701">
      <c r="A2701" s="67"/>
      <c r="B2701" s="67"/>
      <c r="C2701" s="67"/>
      <c r="D2701" s="67"/>
      <c r="E2701" s="67"/>
      <c r="F2701" s="68"/>
      <c r="G2701" s="68"/>
      <c r="H2701" s="68"/>
      <c r="I2701" s="68"/>
      <c r="J2701" s="68"/>
      <c r="K2701" s="69">
        <v>1500.0</v>
      </c>
      <c r="L2701" s="69">
        <v>12.64</v>
      </c>
      <c r="M2701" s="68">
        <f t="shared" si="1"/>
        <v>26.47</v>
      </c>
    </row>
    <row r="2702">
      <c r="A2702" s="70"/>
      <c r="B2702" s="70"/>
      <c r="C2702" s="70"/>
      <c r="D2702" s="70"/>
      <c r="E2702" s="70"/>
      <c r="F2702" s="66"/>
      <c r="G2702" s="66"/>
      <c r="H2702" s="66"/>
      <c r="I2702" s="66"/>
      <c r="J2702" s="66"/>
      <c r="K2702" s="63">
        <v>2000.0</v>
      </c>
      <c r="L2702" s="63">
        <v>13.46</v>
      </c>
      <c r="M2702" s="66">
        <f t="shared" si="1"/>
        <v>37.59</v>
      </c>
    </row>
    <row r="2703">
      <c r="A2703" s="67"/>
      <c r="B2703" s="67"/>
      <c r="C2703" s="67"/>
      <c r="D2703" s="67"/>
      <c r="E2703" s="67"/>
      <c r="F2703" s="68"/>
      <c r="G2703" s="68"/>
      <c r="H2703" s="68"/>
      <c r="I2703" s="68"/>
      <c r="J2703" s="68"/>
      <c r="K2703" s="69">
        <v>2500.0</v>
      </c>
      <c r="L2703" s="69">
        <v>14.17</v>
      </c>
      <c r="M2703" s="68">
        <f t="shared" si="1"/>
        <v>49.46</v>
      </c>
    </row>
    <row r="2704">
      <c r="A2704" s="70"/>
      <c r="B2704" s="70"/>
      <c r="C2704" s="70"/>
      <c r="D2704" s="70"/>
      <c r="E2704" s="70"/>
      <c r="F2704" s="66"/>
      <c r="G2704" s="66"/>
      <c r="H2704" s="66"/>
      <c r="I2704" s="66"/>
      <c r="J2704" s="66"/>
      <c r="K2704" s="63">
        <v>3000.0</v>
      </c>
      <c r="L2704" s="63">
        <v>14.56</v>
      </c>
      <c r="M2704" s="66">
        <f t="shared" si="1"/>
        <v>60.99</v>
      </c>
    </row>
    <row r="2705">
      <c r="A2705" s="67"/>
      <c r="B2705" s="67"/>
      <c r="C2705" s="67"/>
      <c r="D2705" s="67"/>
      <c r="E2705" s="67"/>
      <c r="F2705" s="68"/>
      <c r="G2705" s="68"/>
      <c r="H2705" s="68"/>
      <c r="I2705" s="68"/>
      <c r="J2705" s="68"/>
      <c r="K2705" s="69">
        <v>3500.0</v>
      </c>
      <c r="L2705" s="69">
        <v>14.82</v>
      </c>
      <c r="M2705" s="68">
        <f t="shared" si="1"/>
        <v>72.42</v>
      </c>
    </row>
    <row r="2706">
      <c r="A2706" s="70"/>
      <c r="B2706" s="70"/>
      <c r="C2706" s="70"/>
      <c r="D2706" s="70"/>
      <c r="E2706" s="70"/>
      <c r="F2706" s="66"/>
      <c r="G2706" s="66"/>
      <c r="H2706" s="66"/>
      <c r="I2706" s="66"/>
      <c r="J2706" s="66"/>
      <c r="K2706" s="63">
        <v>4000.0</v>
      </c>
      <c r="L2706" s="63">
        <v>14.99</v>
      </c>
      <c r="M2706" s="66">
        <f t="shared" si="1"/>
        <v>83.72</v>
      </c>
    </row>
    <row r="2707">
      <c r="A2707" s="67"/>
      <c r="B2707" s="67"/>
      <c r="C2707" s="67"/>
      <c r="D2707" s="67"/>
      <c r="E2707" s="67"/>
      <c r="F2707" s="68"/>
      <c r="G2707" s="68"/>
      <c r="H2707" s="68"/>
      <c r="I2707" s="68"/>
      <c r="J2707" s="68"/>
      <c r="K2707" s="69">
        <v>4500.0</v>
      </c>
      <c r="L2707" s="69">
        <v>14.72</v>
      </c>
      <c r="M2707" s="68">
        <f t="shared" si="1"/>
        <v>92.49</v>
      </c>
    </row>
    <row r="2708">
      <c r="A2708" s="70"/>
      <c r="B2708" s="70"/>
      <c r="C2708" s="70"/>
      <c r="D2708" s="70"/>
      <c r="E2708" s="70"/>
      <c r="F2708" s="66"/>
      <c r="G2708" s="66"/>
      <c r="H2708" s="66"/>
      <c r="I2708" s="66"/>
      <c r="J2708" s="66"/>
      <c r="K2708" s="63">
        <v>5000.0</v>
      </c>
      <c r="L2708" s="63">
        <v>14.35</v>
      </c>
      <c r="M2708" s="66">
        <f t="shared" si="1"/>
        <v>100.18</v>
      </c>
    </row>
    <row r="2709">
      <c r="A2709" s="67"/>
      <c r="B2709" s="67"/>
      <c r="C2709" s="67"/>
      <c r="D2709" s="67"/>
      <c r="E2709" s="67"/>
      <c r="F2709" s="68"/>
      <c r="G2709" s="68"/>
      <c r="H2709" s="68"/>
      <c r="I2709" s="68"/>
      <c r="J2709" s="68"/>
      <c r="K2709" s="69">
        <v>5500.0</v>
      </c>
      <c r="L2709" s="69">
        <v>13.82</v>
      </c>
      <c r="M2709" s="68">
        <f t="shared" si="1"/>
        <v>106.13</v>
      </c>
    </row>
    <row r="2710">
      <c r="A2710" s="70"/>
      <c r="B2710" s="70"/>
      <c r="C2710" s="70"/>
      <c r="D2710" s="70"/>
      <c r="E2710" s="70"/>
      <c r="F2710" s="66"/>
      <c r="G2710" s="66"/>
      <c r="H2710" s="66"/>
      <c r="I2710" s="66"/>
      <c r="J2710" s="66"/>
      <c r="K2710" s="63">
        <v>6000.0</v>
      </c>
      <c r="L2710" s="63">
        <v>12.97</v>
      </c>
      <c r="M2710" s="66">
        <f t="shared" si="1"/>
        <v>108.66</v>
      </c>
    </row>
    <row r="2711">
      <c r="A2711" s="67"/>
      <c r="B2711" s="67"/>
      <c r="C2711" s="67"/>
      <c r="D2711" s="67"/>
      <c r="E2711" s="67"/>
      <c r="F2711" s="68"/>
      <c r="G2711" s="68"/>
      <c r="H2711" s="68"/>
      <c r="I2711" s="68"/>
      <c r="J2711" s="68"/>
      <c r="K2711" s="69">
        <v>6500.0</v>
      </c>
      <c r="L2711" s="69">
        <v>11.73</v>
      </c>
      <c r="M2711" s="68">
        <f t="shared" si="1"/>
        <v>106.46</v>
      </c>
    </row>
    <row r="2712">
      <c r="A2712" s="70"/>
      <c r="B2712" s="70"/>
      <c r="C2712" s="70"/>
      <c r="D2712" s="70"/>
      <c r="E2712" s="70"/>
      <c r="F2712" s="66"/>
      <c r="G2712" s="66"/>
      <c r="H2712" s="66"/>
      <c r="I2712" s="66"/>
      <c r="J2712" s="66"/>
      <c r="K2712" s="63">
        <v>7000.0</v>
      </c>
      <c r="L2712" s="63">
        <v>10.2</v>
      </c>
      <c r="M2712" s="66">
        <f t="shared" si="1"/>
        <v>99.69</v>
      </c>
    </row>
    <row r="2713">
      <c r="A2713" s="68">
        <v>181.0</v>
      </c>
      <c r="B2713" s="68">
        <v>298.0</v>
      </c>
      <c r="C2713" s="71" t="s">
        <v>591</v>
      </c>
      <c r="D2713" s="71" t="s">
        <v>592</v>
      </c>
      <c r="E2713" s="71" t="s">
        <v>593</v>
      </c>
      <c r="F2713" s="72">
        <v>7000.0</v>
      </c>
      <c r="G2713" s="72">
        <v>7000.0</v>
      </c>
      <c r="H2713" s="72">
        <v>800.0</v>
      </c>
      <c r="I2713" s="72">
        <v>4000.0</v>
      </c>
      <c r="J2713" s="72">
        <v>5500.0</v>
      </c>
      <c r="K2713" s="69">
        <v>500.0</v>
      </c>
      <c r="L2713" s="69">
        <v>18.0</v>
      </c>
      <c r="M2713" s="68">
        <f t="shared" si="1"/>
        <v>12.57</v>
      </c>
    </row>
    <row r="2714">
      <c r="A2714" s="73"/>
      <c r="B2714" s="73"/>
      <c r="C2714" s="73"/>
      <c r="D2714" s="73"/>
      <c r="E2714" s="73"/>
      <c r="F2714" s="66"/>
      <c r="G2714" s="66"/>
      <c r="H2714" s="66"/>
      <c r="I2714" s="66"/>
      <c r="J2714" s="66"/>
      <c r="K2714" s="63">
        <v>1000.0</v>
      </c>
      <c r="L2714" s="63">
        <v>23.55</v>
      </c>
      <c r="M2714" s="66">
        <f t="shared" si="1"/>
        <v>32.88</v>
      </c>
    </row>
    <row r="2715">
      <c r="A2715" s="67"/>
      <c r="B2715" s="67"/>
      <c r="C2715" s="67"/>
      <c r="D2715" s="67"/>
      <c r="E2715" s="67"/>
      <c r="F2715" s="68"/>
      <c r="G2715" s="68"/>
      <c r="H2715" s="68"/>
      <c r="I2715" s="68"/>
      <c r="J2715" s="68"/>
      <c r="K2715" s="69">
        <v>1500.0</v>
      </c>
      <c r="L2715" s="69">
        <v>40.35</v>
      </c>
      <c r="M2715" s="68">
        <f t="shared" si="1"/>
        <v>84.51</v>
      </c>
    </row>
    <row r="2716">
      <c r="A2716" s="70"/>
      <c r="B2716" s="70"/>
      <c r="C2716" s="70"/>
      <c r="D2716" s="70"/>
      <c r="E2716" s="70"/>
      <c r="F2716" s="66"/>
      <c r="G2716" s="66"/>
      <c r="H2716" s="66"/>
      <c r="I2716" s="66"/>
      <c r="J2716" s="66"/>
      <c r="K2716" s="63">
        <v>2000.0</v>
      </c>
      <c r="L2716" s="63">
        <v>47.1</v>
      </c>
      <c r="M2716" s="66">
        <f t="shared" si="1"/>
        <v>131.53</v>
      </c>
    </row>
    <row r="2717">
      <c r="A2717" s="67"/>
      <c r="B2717" s="67"/>
      <c r="C2717" s="67"/>
      <c r="D2717" s="67"/>
      <c r="E2717" s="67"/>
      <c r="F2717" s="68"/>
      <c r="G2717" s="68"/>
      <c r="H2717" s="68"/>
      <c r="I2717" s="68"/>
      <c r="J2717" s="68"/>
      <c r="K2717" s="69">
        <v>2500.0</v>
      </c>
      <c r="L2717" s="69">
        <v>50.55</v>
      </c>
      <c r="M2717" s="68">
        <f t="shared" si="1"/>
        <v>176.45</v>
      </c>
    </row>
    <row r="2718">
      <c r="A2718" s="70"/>
      <c r="B2718" s="70"/>
      <c r="C2718" s="70"/>
      <c r="D2718" s="70"/>
      <c r="E2718" s="70"/>
      <c r="F2718" s="66"/>
      <c r="G2718" s="66"/>
      <c r="H2718" s="66"/>
      <c r="I2718" s="66"/>
      <c r="J2718" s="66"/>
      <c r="K2718" s="63">
        <v>2750.0</v>
      </c>
      <c r="L2718" s="63">
        <v>51.7</v>
      </c>
      <c r="M2718" s="66">
        <f t="shared" si="1"/>
        <v>198.51</v>
      </c>
    </row>
    <row r="2719">
      <c r="A2719" s="67"/>
      <c r="B2719" s="67"/>
      <c r="C2719" s="67"/>
      <c r="D2719" s="67"/>
      <c r="E2719" s="67"/>
      <c r="F2719" s="68"/>
      <c r="G2719" s="68"/>
      <c r="H2719" s="68"/>
      <c r="I2719" s="68"/>
      <c r="J2719" s="68"/>
      <c r="K2719" s="69">
        <v>3300.0</v>
      </c>
      <c r="L2719" s="69">
        <v>52.65</v>
      </c>
      <c r="M2719" s="68">
        <f t="shared" si="1"/>
        <v>242.59</v>
      </c>
    </row>
    <row r="2720">
      <c r="A2720" s="70"/>
      <c r="B2720" s="70"/>
      <c r="C2720" s="70"/>
      <c r="D2720" s="70"/>
      <c r="E2720" s="70"/>
      <c r="F2720" s="66"/>
      <c r="G2720" s="66"/>
      <c r="H2720" s="66"/>
      <c r="I2720" s="66"/>
      <c r="J2720" s="66"/>
      <c r="K2720" s="63">
        <v>4000.0</v>
      </c>
      <c r="L2720" s="63">
        <v>53.1</v>
      </c>
      <c r="M2720" s="66">
        <f t="shared" si="1"/>
        <v>296.57</v>
      </c>
    </row>
    <row r="2721">
      <c r="A2721" s="67"/>
      <c r="B2721" s="67"/>
      <c r="C2721" s="67"/>
      <c r="D2721" s="67"/>
      <c r="E2721" s="67"/>
      <c r="F2721" s="68"/>
      <c r="G2721" s="68"/>
      <c r="H2721" s="68"/>
      <c r="I2721" s="68"/>
      <c r="J2721" s="68"/>
      <c r="K2721" s="69">
        <v>4500.0</v>
      </c>
      <c r="L2721" s="69">
        <v>47.4</v>
      </c>
      <c r="M2721" s="68">
        <f t="shared" si="1"/>
        <v>297.82</v>
      </c>
    </row>
    <row r="2722">
      <c r="A2722" s="70"/>
      <c r="B2722" s="70"/>
      <c r="C2722" s="70"/>
      <c r="D2722" s="70"/>
      <c r="E2722" s="70"/>
      <c r="F2722" s="66"/>
      <c r="G2722" s="66"/>
      <c r="H2722" s="66"/>
      <c r="I2722" s="66"/>
      <c r="J2722" s="66"/>
      <c r="K2722" s="63">
        <v>5000.0</v>
      </c>
      <c r="L2722" s="63">
        <v>42.6</v>
      </c>
      <c r="M2722" s="66">
        <f t="shared" si="1"/>
        <v>297.4</v>
      </c>
    </row>
    <row r="2723">
      <c r="A2723" s="67"/>
      <c r="B2723" s="67"/>
      <c r="C2723" s="67"/>
      <c r="D2723" s="67"/>
      <c r="E2723" s="67"/>
      <c r="F2723" s="68"/>
      <c r="G2723" s="68"/>
      <c r="H2723" s="68"/>
      <c r="I2723" s="68"/>
      <c r="J2723" s="68"/>
      <c r="K2723" s="69">
        <v>5500.0</v>
      </c>
      <c r="L2723" s="69">
        <v>39.05</v>
      </c>
      <c r="M2723" s="68">
        <f t="shared" si="1"/>
        <v>299.88</v>
      </c>
    </row>
    <row r="2724">
      <c r="A2724" s="70"/>
      <c r="B2724" s="70"/>
      <c r="C2724" s="70"/>
      <c r="D2724" s="70"/>
      <c r="E2724" s="70"/>
      <c r="F2724" s="66"/>
      <c r="G2724" s="66"/>
      <c r="H2724" s="66"/>
      <c r="I2724" s="66"/>
      <c r="J2724" s="66"/>
      <c r="K2724" s="63">
        <v>6000.0</v>
      </c>
      <c r="L2724" s="63">
        <v>34.5</v>
      </c>
      <c r="M2724" s="66">
        <f t="shared" si="1"/>
        <v>289.03</v>
      </c>
    </row>
    <row r="2725">
      <c r="A2725" s="67"/>
      <c r="B2725" s="67"/>
      <c r="C2725" s="67"/>
      <c r="D2725" s="67"/>
      <c r="E2725" s="67"/>
      <c r="F2725" s="68"/>
      <c r="G2725" s="68"/>
      <c r="H2725" s="68"/>
      <c r="I2725" s="68"/>
      <c r="J2725" s="68"/>
      <c r="K2725" s="69">
        <v>6500.0</v>
      </c>
      <c r="L2725" s="69">
        <v>28.35</v>
      </c>
      <c r="M2725" s="68">
        <f t="shared" si="1"/>
        <v>257.3</v>
      </c>
    </row>
    <row r="2726">
      <c r="A2726" s="70"/>
      <c r="B2726" s="70"/>
      <c r="C2726" s="70"/>
      <c r="D2726" s="70"/>
      <c r="E2726" s="70"/>
      <c r="F2726" s="66"/>
      <c r="G2726" s="66"/>
      <c r="H2726" s="66"/>
      <c r="I2726" s="66"/>
      <c r="J2726" s="66"/>
      <c r="K2726" s="63">
        <v>7000.0</v>
      </c>
      <c r="L2726" s="63">
        <v>21.9</v>
      </c>
      <c r="M2726" s="66">
        <f t="shared" si="1"/>
        <v>214.05</v>
      </c>
    </row>
    <row r="2727">
      <c r="A2727" s="67"/>
      <c r="B2727" s="67"/>
      <c r="C2727" s="67"/>
      <c r="D2727" s="67"/>
      <c r="E2727" s="67"/>
      <c r="F2727" s="68"/>
      <c r="G2727" s="68"/>
      <c r="H2727" s="68"/>
      <c r="I2727" s="68"/>
      <c r="J2727" s="68"/>
      <c r="K2727" s="69">
        <v>7500.0</v>
      </c>
      <c r="L2727" s="69">
        <v>15.0</v>
      </c>
      <c r="M2727" s="68">
        <f t="shared" si="1"/>
        <v>157.08</v>
      </c>
    </row>
    <row r="2728">
      <c r="A2728" s="66">
        <v>182.0</v>
      </c>
      <c r="B2728" s="66">
        <v>299.0</v>
      </c>
      <c r="C2728" s="74" t="s">
        <v>594</v>
      </c>
      <c r="D2728" s="74" t="s">
        <v>595</v>
      </c>
      <c r="E2728" s="74" t="s">
        <v>596</v>
      </c>
      <c r="F2728" s="65">
        <v>6300.0</v>
      </c>
      <c r="G2728" s="65">
        <v>6400.0</v>
      </c>
      <c r="H2728" s="65">
        <v>700.0</v>
      </c>
      <c r="I2728" s="65">
        <v>4400.0</v>
      </c>
      <c r="J2728" s="65">
        <v>5800.0</v>
      </c>
      <c r="K2728" s="63">
        <v>500.0</v>
      </c>
      <c r="L2728" s="63">
        <v>18.0</v>
      </c>
      <c r="M2728" s="66">
        <f t="shared" si="1"/>
        <v>12.57</v>
      </c>
    </row>
    <row r="2729">
      <c r="A2729" s="67"/>
      <c r="B2729" s="67"/>
      <c r="C2729" s="67"/>
      <c r="D2729" s="67"/>
      <c r="E2729" s="67"/>
      <c r="F2729" s="68"/>
      <c r="G2729" s="68"/>
      <c r="H2729" s="68"/>
      <c r="I2729" s="68"/>
      <c r="J2729" s="68"/>
      <c r="K2729" s="69">
        <v>1000.0</v>
      </c>
      <c r="L2729" s="69">
        <v>19.7</v>
      </c>
      <c r="M2729" s="68">
        <f t="shared" si="1"/>
        <v>27.51</v>
      </c>
    </row>
    <row r="2730">
      <c r="A2730" s="70"/>
      <c r="B2730" s="70"/>
      <c r="C2730" s="70"/>
      <c r="D2730" s="70"/>
      <c r="E2730" s="70"/>
      <c r="F2730" s="66"/>
      <c r="G2730" s="66"/>
      <c r="H2730" s="66"/>
      <c r="I2730" s="66"/>
      <c r="J2730" s="66"/>
      <c r="K2730" s="63">
        <v>1500.0</v>
      </c>
      <c r="L2730" s="63">
        <v>20.9</v>
      </c>
      <c r="M2730" s="66">
        <f t="shared" si="1"/>
        <v>43.77</v>
      </c>
    </row>
    <row r="2731">
      <c r="A2731" s="67"/>
      <c r="B2731" s="67"/>
      <c r="C2731" s="67"/>
      <c r="D2731" s="67"/>
      <c r="E2731" s="67"/>
      <c r="F2731" s="68"/>
      <c r="G2731" s="68"/>
      <c r="H2731" s="68"/>
      <c r="I2731" s="68"/>
      <c r="J2731" s="68"/>
      <c r="K2731" s="69">
        <v>2000.0</v>
      </c>
      <c r="L2731" s="69">
        <v>23.4</v>
      </c>
      <c r="M2731" s="68">
        <f t="shared" si="1"/>
        <v>65.34</v>
      </c>
    </row>
    <row r="2732">
      <c r="A2732" s="70"/>
      <c r="B2732" s="70"/>
      <c r="C2732" s="70"/>
      <c r="D2732" s="70"/>
      <c r="E2732" s="70"/>
      <c r="F2732" s="66"/>
      <c r="G2732" s="66"/>
      <c r="H2732" s="66"/>
      <c r="I2732" s="66"/>
      <c r="J2732" s="66"/>
      <c r="K2732" s="63">
        <v>2500.0</v>
      </c>
      <c r="L2732" s="63">
        <v>26.7</v>
      </c>
      <c r="M2732" s="66">
        <f t="shared" si="1"/>
        <v>93.2</v>
      </c>
    </row>
    <row r="2733">
      <c r="A2733" s="67"/>
      <c r="B2733" s="67"/>
      <c r="C2733" s="67"/>
      <c r="D2733" s="67"/>
      <c r="E2733" s="67"/>
      <c r="F2733" s="68"/>
      <c r="G2733" s="68"/>
      <c r="H2733" s="68"/>
      <c r="I2733" s="68"/>
      <c r="J2733" s="68"/>
      <c r="K2733" s="69">
        <v>3000.0</v>
      </c>
      <c r="L2733" s="69">
        <v>29.2</v>
      </c>
      <c r="M2733" s="68">
        <f t="shared" si="1"/>
        <v>122.31</v>
      </c>
    </row>
    <row r="2734">
      <c r="A2734" s="70"/>
      <c r="B2734" s="70"/>
      <c r="C2734" s="70"/>
      <c r="D2734" s="70"/>
      <c r="E2734" s="70"/>
      <c r="F2734" s="66"/>
      <c r="G2734" s="66"/>
      <c r="H2734" s="66"/>
      <c r="I2734" s="66"/>
      <c r="J2734" s="66"/>
      <c r="K2734" s="63">
        <v>3500.0</v>
      </c>
      <c r="L2734" s="63">
        <v>30.4</v>
      </c>
      <c r="M2734" s="66">
        <f t="shared" si="1"/>
        <v>148.56</v>
      </c>
    </row>
    <row r="2735">
      <c r="A2735" s="67"/>
      <c r="B2735" s="67"/>
      <c r="C2735" s="67"/>
      <c r="D2735" s="67"/>
      <c r="E2735" s="67"/>
      <c r="F2735" s="68"/>
      <c r="G2735" s="68"/>
      <c r="H2735" s="68"/>
      <c r="I2735" s="68"/>
      <c r="J2735" s="68"/>
      <c r="K2735" s="69">
        <v>4000.0</v>
      </c>
      <c r="L2735" s="69">
        <v>30.8</v>
      </c>
      <c r="M2735" s="68">
        <f t="shared" si="1"/>
        <v>172.02</v>
      </c>
    </row>
    <row r="2736">
      <c r="A2736" s="70"/>
      <c r="B2736" s="70"/>
      <c r="C2736" s="70"/>
      <c r="D2736" s="70"/>
      <c r="E2736" s="70"/>
      <c r="F2736" s="66"/>
      <c r="G2736" s="66"/>
      <c r="H2736" s="66"/>
      <c r="I2736" s="66"/>
      <c r="J2736" s="66"/>
      <c r="K2736" s="63">
        <v>4400.0</v>
      </c>
      <c r="L2736" s="63">
        <v>31.0</v>
      </c>
      <c r="M2736" s="66">
        <f t="shared" si="1"/>
        <v>190.45</v>
      </c>
    </row>
    <row r="2737">
      <c r="A2737" s="67"/>
      <c r="B2737" s="67"/>
      <c r="C2737" s="67"/>
      <c r="D2737" s="67"/>
      <c r="E2737" s="67"/>
      <c r="F2737" s="68"/>
      <c r="G2737" s="68"/>
      <c r="H2737" s="68"/>
      <c r="I2737" s="68"/>
      <c r="J2737" s="68"/>
      <c r="K2737" s="69">
        <v>5000.0</v>
      </c>
      <c r="L2737" s="69">
        <v>29.6</v>
      </c>
      <c r="M2737" s="68">
        <f t="shared" si="1"/>
        <v>206.65</v>
      </c>
    </row>
    <row r="2738">
      <c r="A2738" s="73"/>
      <c r="B2738" s="73"/>
      <c r="C2738" s="73"/>
      <c r="D2738" s="73"/>
      <c r="E2738" s="73"/>
      <c r="F2738" s="66"/>
      <c r="G2738" s="66"/>
      <c r="H2738" s="66"/>
      <c r="I2738" s="66"/>
      <c r="J2738" s="66"/>
      <c r="K2738" s="63">
        <v>5400.0</v>
      </c>
      <c r="L2738" s="63">
        <v>28.5</v>
      </c>
      <c r="M2738" s="66">
        <f t="shared" si="1"/>
        <v>214.88</v>
      </c>
    </row>
    <row r="2739">
      <c r="A2739" s="67"/>
      <c r="B2739" s="67"/>
      <c r="C2739" s="67"/>
      <c r="D2739" s="67"/>
      <c r="E2739" s="67"/>
      <c r="F2739" s="68"/>
      <c r="G2739" s="68"/>
      <c r="H2739" s="68"/>
      <c r="I2739" s="68"/>
      <c r="J2739" s="68"/>
      <c r="K2739" s="69">
        <v>5800.0</v>
      </c>
      <c r="L2739" s="69">
        <v>27.2</v>
      </c>
      <c r="M2739" s="68">
        <f t="shared" si="1"/>
        <v>220.27</v>
      </c>
    </row>
    <row r="2740">
      <c r="A2740" s="70"/>
      <c r="B2740" s="70"/>
      <c r="C2740" s="70"/>
      <c r="D2740" s="70"/>
      <c r="E2740" s="70"/>
      <c r="F2740" s="66"/>
      <c r="G2740" s="66"/>
      <c r="H2740" s="66"/>
      <c r="I2740" s="66"/>
      <c r="J2740" s="66"/>
      <c r="K2740" s="63">
        <v>6200.0</v>
      </c>
      <c r="L2740" s="63">
        <v>25.2</v>
      </c>
      <c r="M2740" s="66">
        <f t="shared" si="1"/>
        <v>218.15</v>
      </c>
    </row>
    <row r="2741">
      <c r="A2741" s="67"/>
      <c r="B2741" s="67"/>
      <c r="C2741" s="67"/>
      <c r="D2741" s="67"/>
      <c r="E2741" s="67"/>
      <c r="F2741" s="68"/>
      <c r="G2741" s="68"/>
      <c r="H2741" s="68"/>
      <c r="I2741" s="68"/>
      <c r="J2741" s="68"/>
      <c r="K2741" s="69">
        <v>6800.0</v>
      </c>
      <c r="L2741" s="69">
        <v>21.4</v>
      </c>
      <c r="M2741" s="68">
        <f t="shared" si="1"/>
        <v>203.18</v>
      </c>
    </row>
    <row r="2742">
      <c r="A2742" s="66">
        <v>183.0</v>
      </c>
      <c r="B2742" s="66">
        <v>300.0</v>
      </c>
      <c r="C2742" s="74" t="s">
        <v>597</v>
      </c>
      <c r="D2742" s="74" t="s">
        <v>598</v>
      </c>
      <c r="E2742" s="74" t="s">
        <v>599</v>
      </c>
      <c r="F2742" s="65">
        <v>6500.0</v>
      </c>
      <c r="G2742" s="65">
        <v>7000.0</v>
      </c>
      <c r="H2742" s="65">
        <v>700.0</v>
      </c>
      <c r="I2742" s="65">
        <v>4000.0</v>
      </c>
      <c r="J2742" s="65">
        <v>6000.0</v>
      </c>
      <c r="K2742" s="63">
        <v>500.0</v>
      </c>
      <c r="L2742" s="63">
        <v>24.1</v>
      </c>
      <c r="M2742" s="66">
        <f t="shared" si="1"/>
        <v>16.82</v>
      </c>
    </row>
    <row r="2743">
      <c r="A2743" s="67"/>
      <c r="B2743" s="67"/>
      <c r="C2743" s="67"/>
      <c r="D2743" s="67"/>
      <c r="E2743" s="67"/>
      <c r="F2743" s="68"/>
      <c r="G2743" s="68"/>
      <c r="H2743" s="68"/>
      <c r="I2743" s="68"/>
      <c r="J2743" s="68"/>
      <c r="K2743" s="69">
        <v>1000.0</v>
      </c>
      <c r="L2743" s="69">
        <v>28.3</v>
      </c>
      <c r="M2743" s="68">
        <f t="shared" si="1"/>
        <v>39.51</v>
      </c>
    </row>
    <row r="2744">
      <c r="A2744" s="70"/>
      <c r="B2744" s="70"/>
      <c r="C2744" s="70"/>
      <c r="D2744" s="70"/>
      <c r="E2744" s="70"/>
      <c r="F2744" s="66"/>
      <c r="G2744" s="66"/>
      <c r="H2744" s="66"/>
      <c r="I2744" s="66"/>
      <c r="J2744" s="66"/>
      <c r="K2744" s="63">
        <v>1500.0</v>
      </c>
      <c r="L2744" s="63">
        <v>31.8</v>
      </c>
      <c r="M2744" s="66">
        <f t="shared" si="1"/>
        <v>66.6</v>
      </c>
    </row>
    <row r="2745">
      <c r="A2745" s="67"/>
      <c r="B2745" s="67"/>
      <c r="C2745" s="67"/>
      <c r="D2745" s="67"/>
      <c r="E2745" s="67"/>
      <c r="F2745" s="68"/>
      <c r="G2745" s="68"/>
      <c r="H2745" s="68"/>
      <c r="I2745" s="68"/>
      <c r="J2745" s="68"/>
      <c r="K2745" s="69">
        <v>2000.0</v>
      </c>
      <c r="L2745" s="69">
        <v>34.5</v>
      </c>
      <c r="M2745" s="68">
        <f t="shared" si="1"/>
        <v>96.34</v>
      </c>
    </row>
    <row r="2746">
      <c r="A2746" s="70"/>
      <c r="B2746" s="70"/>
      <c r="C2746" s="70"/>
      <c r="D2746" s="70"/>
      <c r="E2746" s="70"/>
      <c r="F2746" s="66"/>
      <c r="G2746" s="66"/>
      <c r="H2746" s="66"/>
      <c r="I2746" s="66"/>
      <c r="J2746" s="66"/>
      <c r="K2746" s="63">
        <v>2500.0</v>
      </c>
      <c r="L2746" s="63">
        <v>36.5</v>
      </c>
      <c r="M2746" s="66">
        <f t="shared" si="1"/>
        <v>127.41</v>
      </c>
    </row>
    <row r="2747">
      <c r="A2747" s="67"/>
      <c r="B2747" s="67"/>
      <c r="C2747" s="67"/>
      <c r="D2747" s="67"/>
      <c r="E2747" s="67"/>
      <c r="F2747" s="68"/>
      <c r="G2747" s="68"/>
      <c r="H2747" s="68"/>
      <c r="I2747" s="68"/>
      <c r="J2747" s="68"/>
      <c r="K2747" s="69">
        <v>3000.0</v>
      </c>
      <c r="L2747" s="69">
        <v>37.9</v>
      </c>
      <c r="M2747" s="68">
        <f t="shared" si="1"/>
        <v>158.75</v>
      </c>
    </row>
    <row r="2748">
      <c r="A2748" s="70"/>
      <c r="B2748" s="70"/>
      <c r="C2748" s="70"/>
      <c r="D2748" s="70"/>
      <c r="E2748" s="70"/>
      <c r="F2748" s="66"/>
      <c r="G2748" s="66"/>
      <c r="H2748" s="66"/>
      <c r="I2748" s="66"/>
      <c r="J2748" s="66"/>
      <c r="K2748" s="63">
        <v>3500.0</v>
      </c>
      <c r="L2748" s="63">
        <v>38.7</v>
      </c>
      <c r="M2748" s="66">
        <f t="shared" si="1"/>
        <v>189.12</v>
      </c>
    </row>
    <row r="2749">
      <c r="A2749" s="67"/>
      <c r="B2749" s="67"/>
      <c r="C2749" s="67"/>
      <c r="D2749" s="67"/>
      <c r="E2749" s="67"/>
      <c r="F2749" s="68"/>
      <c r="G2749" s="68"/>
      <c r="H2749" s="68"/>
      <c r="I2749" s="68"/>
      <c r="J2749" s="68"/>
      <c r="K2749" s="69">
        <v>4000.0</v>
      </c>
      <c r="L2749" s="69">
        <v>39.0</v>
      </c>
      <c r="M2749" s="68">
        <f t="shared" si="1"/>
        <v>217.82</v>
      </c>
    </row>
    <row r="2750">
      <c r="A2750" s="70"/>
      <c r="B2750" s="70"/>
      <c r="C2750" s="70"/>
      <c r="D2750" s="70"/>
      <c r="E2750" s="70"/>
      <c r="F2750" s="66"/>
      <c r="G2750" s="66"/>
      <c r="H2750" s="66"/>
      <c r="I2750" s="66"/>
      <c r="J2750" s="66"/>
      <c r="K2750" s="63">
        <v>4500.0</v>
      </c>
      <c r="L2750" s="63">
        <v>38.7</v>
      </c>
      <c r="M2750" s="66">
        <f t="shared" si="1"/>
        <v>243.16</v>
      </c>
    </row>
    <row r="2751">
      <c r="A2751" s="67"/>
      <c r="B2751" s="67"/>
      <c r="C2751" s="67"/>
      <c r="D2751" s="67"/>
      <c r="E2751" s="67"/>
      <c r="F2751" s="68"/>
      <c r="G2751" s="68"/>
      <c r="H2751" s="68"/>
      <c r="I2751" s="68"/>
      <c r="J2751" s="68"/>
      <c r="K2751" s="69">
        <v>5000.0</v>
      </c>
      <c r="L2751" s="69">
        <v>37.5</v>
      </c>
      <c r="M2751" s="68">
        <f t="shared" si="1"/>
        <v>261.8</v>
      </c>
    </row>
    <row r="2752">
      <c r="A2752" s="70"/>
      <c r="B2752" s="70"/>
      <c r="C2752" s="70"/>
      <c r="D2752" s="70"/>
      <c r="E2752" s="70"/>
      <c r="F2752" s="66"/>
      <c r="G2752" s="66"/>
      <c r="H2752" s="66"/>
      <c r="I2752" s="66"/>
      <c r="J2752" s="66"/>
      <c r="K2752" s="63">
        <v>5500.0</v>
      </c>
      <c r="L2752" s="63">
        <v>35.4</v>
      </c>
      <c r="M2752" s="66">
        <f t="shared" si="1"/>
        <v>271.85</v>
      </c>
    </row>
    <row r="2753">
      <c r="A2753" s="67"/>
      <c r="B2753" s="67"/>
      <c r="C2753" s="67"/>
      <c r="D2753" s="67"/>
      <c r="E2753" s="67"/>
      <c r="F2753" s="68"/>
      <c r="G2753" s="68"/>
      <c r="H2753" s="68"/>
      <c r="I2753" s="68"/>
      <c r="J2753" s="68"/>
      <c r="K2753" s="69">
        <v>6000.0</v>
      </c>
      <c r="L2753" s="69">
        <v>33.0</v>
      </c>
      <c r="M2753" s="68">
        <f t="shared" si="1"/>
        <v>276.46</v>
      </c>
    </row>
    <row r="2754">
      <c r="A2754" s="70"/>
      <c r="B2754" s="70"/>
      <c r="C2754" s="70"/>
      <c r="D2754" s="70"/>
      <c r="E2754" s="70"/>
      <c r="F2754" s="66"/>
      <c r="G2754" s="66"/>
      <c r="H2754" s="66"/>
      <c r="I2754" s="66"/>
      <c r="J2754" s="66"/>
      <c r="K2754" s="63">
        <v>6500.0</v>
      </c>
      <c r="L2754" s="63">
        <v>29.6</v>
      </c>
      <c r="M2754" s="66">
        <f t="shared" si="1"/>
        <v>268.64</v>
      </c>
    </row>
    <row r="2755">
      <c r="A2755" s="67"/>
      <c r="B2755" s="67"/>
      <c r="C2755" s="67"/>
      <c r="D2755" s="67"/>
      <c r="E2755" s="67"/>
      <c r="F2755" s="68"/>
      <c r="G2755" s="68"/>
      <c r="H2755" s="68"/>
      <c r="I2755" s="68"/>
      <c r="J2755" s="68"/>
      <c r="K2755" s="69">
        <v>7000.0</v>
      </c>
      <c r="L2755" s="69">
        <v>25.5</v>
      </c>
      <c r="M2755" s="68">
        <f t="shared" si="1"/>
        <v>249.23</v>
      </c>
    </row>
    <row r="2756">
      <c r="A2756" s="66">
        <v>184.0</v>
      </c>
      <c r="B2756" s="66">
        <v>301.0</v>
      </c>
      <c r="C2756" s="74" t="s">
        <v>600</v>
      </c>
      <c r="D2756" s="74" t="s">
        <v>601</v>
      </c>
      <c r="E2756" s="74" t="s">
        <v>602</v>
      </c>
      <c r="F2756" s="65">
        <v>6800.0</v>
      </c>
      <c r="G2756" s="65">
        <v>7050.0</v>
      </c>
      <c r="H2756" s="65">
        <v>800.0</v>
      </c>
      <c r="I2756" s="65">
        <v>4200.0</v>
      </c>
      <c r="J2756" s="65">
        <v>5800.0</v>
      </c>
      <c r="K2756" s="63">
        <v>500.0</v>
      </c>
      <c r="L2756" s="63">
        <v>34.0</v>
      </c>
      <c r="M2756" s="66">
        <f t="shared" si="1"/>
        <v>23.74</v>
      </c>
    </row>
    <row r="2757">
      <c r="A2757" s="67"/>
      <c r="B2757" s="67"/>
      <c r="C2757" s="67"/>
      <c r="D2757" s="67"/>
      <c r="E2757" s="67"/>
      <c r="F2757" s="68"/>
      <c r="G2757" s="68"/>
      <c r="H2757" s="68"/>
      <c r="I2757" s="68"/>
      <c r="J2757" s="68"/>
      <c r="K2757" s="69">
        <v>1000.0</v>
      </c>
      <c r="L2757" s="69">
        <v>38.38</v>
      </c>
      <c r="M2757" s="68">
        <f t="shared" si="1"/>
        <v>53.59</v>
      </c>
    </row>
    <row r="2758">
      <c r="A2758" s="70"/>
      <c r="B2758" s="70"/>
      <c r="C2758" s="70"/>
      <c r="D2758" s="70"/>
      <c r="E2758" s="70"/>
      <c r="F2758" s="66"/>
      <c r="G2758" s="66"/>
      <c r="H2758" s="66"/>
      <c r="I2758" s="66"/>
      <c r="J2758" s="66"/>
      <c r="K2758" s="63">
        <v>1500.0</v>
      </c>
      <c r="L2758" s="63">
        <v>41.0</v>
      </c>
      <c r="M2758" s="66">
        <f t="shared" si="1"/>
        <v>85.87</v>
      </c>
    </row>
    <row r="2759">
      <c r="A2759" s="67"/>
      <c r="B2759" s="67"/>
      <c r="C2759" s="67"/>
      <c r="D2759" s="67"/>
      <c r="E2759" s="67"/>
      <c r="F2759" s="68"/>
      <c r="G2759" s="68"/>
      <c r="H2759" s="68"/>
      <c r="I2759" s="68"/>
      <c r="J2759" s="68"/>
      <c r="K2759" s="69">
        <v>2000.0</v>
      </c>
      <c r="L2759" s="69">
        <v>42.75</v>
      </c>
      <c r="M2759" s="68">
        <f t="shared" si="1"/>
        <v>119.38</v>
      </c>
    </row>
    <row r="2760">
      <c r="A2760" s="70"/>
      <c r="B2760" s="70"/>
      <c r="C2760" s="70"/>
      <c r="D2760" s="70"/>
      <c r="E2760" s="70"/>
      <c r="F2760" s="66"/>
      <c r="G2760" s="66"/>
      <c r="H2760" s="66"/>
      <c r="I2760" s="66"/>
      <c r="J2760" s="66"/>
      <c r="K2760" s="63">
        <v>2500.0</v>
      </c>
      <c r="L2760" s="63">
        <v>43.38</v>
      </c>
      <c r="M2760" s="66">
        <f t="shared" si="1"/>
        <v>151.42</v>
      </c>
    </row>
    <row r="2761">
      <c r="A2761" s="67"/>
      <c r="B2761" s="67"/>
      <c r="C2761" s="67"/>
      <c r="D2761" s="67"/>
      <c r="E2761" s="67"/>
      <c r="F2761" s="68"/>
      <c r="G2761" s="68"/>
      <c r="H2761" s="68"/>
      <c r="I2761" s="68"/>
      <c r="J2761" s="68"/>
      <c r="K2761" s="69">
        <v>3000.0</v>
      </c>
      <c r="L2761" s="69">
        <v>43.75</v>
      </c>
      <c r="M2761" s="68">
        <f t="shared" si="1"/>
        <v>183.26</v>
      </c>
    </row>
    <row r="2762">
      <c r="A2762" s="73"/>
      <c r="B2762" s="73"/>
      <c r="C2762" s="73"/>
      <c r="D2762" s="73"/>
      <c r="E2762" s="73"/>
      <c r="F2762" s="66"/>
      <c r="G2762" s="66"/>
      <c r="H2762" s="66"/>
      <c r="I2762" s="66"/>
      <c r="J2762" s="66"/>
      <c r="K2762" s="63">
        <v>3500.0</v>
      </c>
      <c r="L2762" s="63">
        <v>44.13</v>
      </c>
      <c r="M2762" s="66">
        <f t="shared" si="1"/>
        <v>215.66</v>
      </c>
    </row>
    <row r="2763">
      <c r="A2763" s="67"/>
      <c r="B2763" s="67"/>
      <c r="C2763" s="67"/>
      <c r="D2763" s="67"/>
      <c r="E2763" s="67"/>
      <c r="F2763" s="68"/>
      <c r="G2763" s="68"/>
      <c r="H2763" s="68"/>
      <c r="I2763" s="68"/>
      <c r="J2763" s="68"/>
      <c r="K2763" s="69">
        <v>4000.0</v>
      </c>
      <c r="L2763" s="69">
        <v>44.25</v>
      </c>
      <c r="M2763" s="68">
        <f t="shared" si="1"/>
        <v>247.14</v>
      </c>
    </row>
    <row r="2764">
      <c r="A2764" s="70"/>
      <c r="B2764" s="70"/>
      <c r="C2764" s="70"/>
      <c r="D2764" s="70"/>
      <c r="E2764" s="70"/>
      <c r="F2764" s="66"/>
      <c r="G2764" s="66"/>
      <c r="H2764" s="66"/>
      <c r="I2764" s="66"/>
      <c r="J2764" s="66"/>
      <c r="K2764" s="63">
        <v>4200.0</v>
      </c>
      <c r="L2764" s="63">
        <v>44.24</v>
      </c>
      <c r="M2764" s="66">
        <f t="shared" si="1"/>
        <v>259.44</v>
      </c>
    </row>
    <row r="2765">
      <c r="A2765" s="67"/>
      <c r="B2765" s="67"/>
      <c r="C2765" s="67"/>
      <c r="D2765" s="67"/>
      <c r="E2765" s="67"/>
      <c r="F2765" s="68"/>
      <c r="G2765" s="68"/>
      <c r="H2765" s="68"/>
      <c r="I2765" s="68"/>
      <c r="J2765" s="68"/>
      <c r="K2765" s="69">
        <v>4900.0</v>
      </c>
      <c r="L2765" s="69">
        <v>42.75</v>
      </c>
      <c r="M2765" s="68">
        <f t="shared" si="1"/>
        <v>292.48</v>
      </c>
    </row>
    <row r="2766">
      <c r="A2766" s="70"/>
      <c r="B2766" s="70"/>
      <c r="C2766" s="70"/>
      <c r="D2766" s="70"/>
      <c r="E2766" s="70"/>
      <c r="F2766" s="66"/>
      <c r="G2766" s="66"/>
      <c r="H2766" s="66"/>
      <c r="I2766" s="66"/>
      <c r="J2766" s="66"/>
      <c r="K2766" s="63">
        <v>5400.0</v>
      </c>
      <c r="L2766" s="63">
        <v>40.25</v>
      </c>
      <c r="M2766" s="66">
        <f t="shared" si="1"/>
        <v>303.48</v>
      </c>
    </row>
    <row r="2767">
      <c r="A2767" s="67"/>
      <c r="B2767" s="67"/>
      <c r="C2767" s="67"/>
      <c r="D2767" s="67"/>
      <c r="E2767" s="67"/>
      <c r="F2767" s="68"/>
      <c r="G2767" s="68"/>
      <c r="H2767" s="68"/>
      <c r="I2767" s="68"/>
      <c r="J2767" s="68"/>
      <c r="K2767" s="69">
        <v>5800.0</v>
      </c>
      <c r="L2767" s="69">
        <v>37.5</v>
      </c>
      <c r="M2767" s="68">
        <f t="shared" si="1"/>
        <v>303.69</v>
      </c>
    </row>
    <row r="2768">
      <c r="A2768" s="70"/>
      <c r="B2768" s="70"/>
      <c r="C2768" s="70"/>
      <c r="D2768" s="70"/>
      <c r="E2768" s="70"/>
      <c r="F2768" s="66"/>
      <c r="G2768" s="66"/>
      <c r="H2768" s="66"/>
      <c r="I2768" s="66"/>
      <c r="J2768" s="66"/>
      <c r="K2768" s="63">
        <v>6500.0</v>
      </c>
      <c r="L2768" s="63">
        <v>32.5</v>
      </c>
      <c r="M2768" s="66">
        <f t="shared" si="1"/>
        <v>294.96</v>
      </c>
    </row>
    <row r="2769">
      <c r="A2769" s="67"/>
      <c r="B2769" s="67"/>
      <c r="C2769" s="67"/>
      <c r="D2769" s="67"/>
      <c r="E2769" s="67"/>
      <c r="F2769" s="68"/>
      <c r="G2769" s="68"/>
      <c r="H2769" s="68"/>
      <c r="I2769" s="68"/>
      <c r="J2769" s="68"/>
      <c r="K2769" s="69">
        <v>7000.0</v>
      </c>
      <c r="L2769" s="69">
        <v>28.88</v>
      </c>
      <c r="M2769" s="68">
        <f t="shared" si="1"/>
        <v>282.27</v>
      </c>
    </row>
    <row r="2770">
      <c r="A2770" s="70"/>
      <c r="B2770" s="70"/>
      <c r="C2770" s="70"/>
      <c r="D2770" s="70"/>
      <c r="E2770" s="70"/>
      <c r="F2770" s="66"/>
      <c r="G2770" s="66"/>
      <c r="H2770" s="66"/>
      <c r="I2770" s="66"/>
      <c r="J2770" s="66"/>
      <c r="K2770" s="63">
        <v>7500.0</v>
      </c>
      <c r="L2770" s="63">
        <v>24.0</v>
      </c>
      <c r="M2770" s="66">
        <f t="shared" si="1"/>
        <v>251.33</v>
      </c>
    </row>
    <row r="2771">
      <c r="A2771" s="68">
        <v>185.0</v>
      </c>
      <c r="B2771" s="68">
        <v>302.0</v>
      </c>
      <c r="C2771" s="71" t="s">
        <v>603</v>
      </c>
      <c r="D2771" s="71" t="s">
        <v>604</v>
      </c>
      <c r="E2771" s="71" t="s">
        <v>605</v>
      </c>
      <c r="F2771" s="72">
        <v>6500.0</v>
      </c>
      <c r="G2771" s="72">
        <v>6500.0</v>
      </c>
      <c r="H2771" s="72">
        <v>700.0</v>
      </c>
      <c r="I2771" s="72">
        <v>3000.0</v>
      </c>
      <c r="J2771" s="72">
        <v>6200.0</v>
      </c>
      <c r="K2771" s="69">
        <v>500.0</v>
      </c>
      <c r="L2771" s="69">
        <v>27.3</v>
      </c>
      <c r="M2771" s="68">
        <f t="shared" si="1"/>
        <v>19.06</v>
      </c>
    </row>
    <row r="2772">
      <c r="A2772" s="70"/>
      <c r="B2772" s="70"/>
      <c r="C2772" s="70"/>
      <c r="D2772" s="70"/>
      <c r="E2772" s="70"/>
      <c r="F2772" s="66"/>
      <c r="G2772" s="66"/>
      <c r="H2772" s="66"/>
      <c r="I2772" s="66"/>
      <c r="J2772" s="66"/>
      <c r="K2772" s="63">
        <v>1000.0</v>
      </c>
      <c r="L2772" s="63">
        <v>30.59</v>
      </c>
      <c r="M2772" s="66">
        <f t="shared" si="1"/>
        <v>42.71</v>
      </c>
    </row>
    <row r="2773">
      <c r="A2773" s="67"/>
      <c r="B2773" s="67"/>
      <c r="C2773" s="67"/>
      <c r="D2773" s="67"/>
      <c r="E2773" s="67"/>
      <c r="F2773" s="68"/>
      <c r="G2773" s="68"/>
      <c r="H2773" s="68"/>
      <c r="I2773" s="68"/>
      <c r="J2773" s="68"/>
      <c r="K2773" s="69">
        <v>1500.0</v>
      </c>
      <c r="L2773" s="69">
        <v>32.97</v>
      </c>
      <c r="M2773" s="68">
        <f t="shared" si="1"/>
        <v>69.05</v>
      </c>
    </row>
    <row r="2774">
      <c r="A2774" s="70"/>
      <c r="B2774" s="70"/>
      <c r="C2774" s="70"/>
      <c r="D2774" s="70"/>
      <c r="E2774" s="70"/>
      <c r="F2774" s="66"/>
      <c r="G2774" s="66"/>
      <c r="H2774" s="66"/>
      <c r="I2774" s="66"/>
      <c r="J2774" s="66"/>
      <c r="K2774" s="63">
        <v>2000.0</v>
      </c>
      <c r="L2774" s="63">
        <v>35.25</v>
      </c>
      <c r="M2774" s="66">
        <f t="shared" si="1"/>
        <v>98.44</v>
      </c>
    </row>
    <row r="2775">
      <c r="A2775" s="67"/>
      <c r="B2775" s="67"/>
      <c r="C2775" s="67"/>
      <c r="D2775" s="67"/>
      <c r="E2775" s="67"/>
      <c r="F2775" s="68"/>
      <c r="G2775" s="68"/>
      <c r="H2775" s="68"/>
      <c r="I2775" s="68"/>
      <c r="J2775" s="68"/>
      <c r="K2775" s="69">
        <v>2500.0</v>
      </c>
      <c r="L2775" s="69">
        <v>38.24</v>
      </c>
      <c r="M2775" s="68">
        <f t="shared" si="1"/>
        <v>133.48</v>
      </c>
    </row>
    <row r="2776">
      <c r="A2776" s="70"/>
      <c r="B2776" s="70"/>
      <c r="C2776" s="70"/>
      <c r="D2776" s="70"/>
      <c r="E2776" s="70"/>
      <c r="F2776" s="66"/>
      <c r="G2776" s="66"/>
      <c r="H2776" s="66"/>
      <c r="I2776" s="66"/>
      <c r="J2776" s="66"/>
      <c r="K2776" s="63">
        <v>3000.0</v>
      </c>
      <c r="L2776" s="63">
        <v>41.81</v>
      </c>
      <c r="M2776" s="66">
        <f t="shared" si="1"/>
        <v>175.13</v>
      </c>
    </row>
    <row r="2777">
      <c r="A2777" s="67"/>
      <c r="B2777" s="67"/>
      <c r="C2777" s="67"/>
      <c r="D2777" s="67"/>
      <c r="E2777" s="67"/>
      <c r="F2777" s="68"/>
      <c r="G2777" s="68"/>
      <c r="H2777" s="68"/>
      <c r="I2777" s="68"/>
      <c r="J2777" s="68"/>
      <c r="K2777" s="69">
        <v>3500.0</v>
      </c>
      <c r="L2777" s="69">
        <v>41.81</v>
      </c>
      <c r="M2777" s="68">
        <f t="shared" si="1"/>
        <v>204.32</v>
      </c>
    </row>
    <row r="2778">
      <c r="A2778" s="70"/>
      <c r="B2778" s="70"/>
      <c r="C2778" s="70"/>
      <c r="D2778" s="70"/>
      <c r="E2778" s="70"/>
      <c r="F2778" s="66"/>
      <c r="G2778" s="66"/>
      <c r="H2778" s="66"/>
      <c r="I2778" s="66"/>
      <c r="J2778" s="66"/>
      <c r="K2778" s="63">
        <v>4000.0</v>
      </c>
      <c r="L2778" s="63">
        <v>41.81</v>
      </c>
      <c r="M2778" s="66">
        <f t="shared" si="1"/>
        <v>233.51</v>
      </c>
    </row>
    <row r="2779">
      <c r="A2779" s="67"/>
      <c r="B2779" s="67"/>
      <c r="C2779" s="67"/>
      <c r="D2779" s="67"/>
      <c r="E2779" s="67"/>
      <c r="F2779" s="68"/>
      <c r="G2779" s="68"/>
      <c r="H2779" s="68"/>
      <c r="I2779" s="68"/>
      <c r="J2779" s="68"/>
      <c r="K2779" s="69">
        <v>4500.0</v>
      </c>
      <c r="L2779" s="69">
        <v>40.52</v>
      </c>
      <c r="M2779" s="68">
        <f t="shared" si="1"/>
        <v>254.59</v>
      </c>
    </row>
    <row r="2780">
      <c r="A2780" s="70"/>
      <c r="B2780" s="70"/>
      <c r="C2780" s="70"/>
      <c r="D2780" s="70"/>
      <c r="E2780" s="70"/>
      <c r="F2780" s="66"/>
      <c r="G2780" s="66"/>
      <c r="H2780" s="66"/>
      <c r="I2780" s="66"/>
      <c r="J2780" s="66"/>
      <c r="K2780" s="63">
        <v>5000.0</v>
      </c>
      <c r="L2780" s="63">
        <v>39.03</v>
      </c>
      <c r="M2780" s="66">
        <f t="shared" si="1"/>
        <v>272.48</v>
      </c>
    </row>
    <row r="2781">
      <c r="A2781" s="67"/>
      <c r="B2781" s="67"/>
      <c r="C2781" s="67"/>
      <c r="D2781" s="67"/>
      <c r="E2781" s="67"/>
      <c r="F2781" s="68"/>
      <c r="G2781" s="68"/>
      <c r="H2781" s="68"/>
      <c r="I2781" s="68"/>
      <c r="J2781" s="68"/>
      <c r="K2781" s="69">
        <v>5500.0</v>
      </c>
      <c r="L2781" s="69">
        <v>37.73</v>
      </c>
      <c r="M2781" s="68">
        <f t="shared" si="1"/>
        <v>289.74</v>
      </c>
    </row>
    <row r="2782">
      <c r="A2782" s="70"/>
      <c r="B2782" s="70"/>
      <c r="C2782" s="70"/>
      <c r="D2782" s="70"/>
      <c r="E2782" s="70"/>
      <c r="F2782" s="66"/>
      <c r="G2782" s="66"/>
      <c r="H2782" s="66"/>
      <c r="I2782" s="66"/>
      <c r="J2782" s="66"/>
      <c r="K2782" s="63">
        <v>6000.0</v>
      </c>
      <c r="L2782" s="63">
        <v>37.01</v>
      </c>
      <c r="M2782" s="66">
        <f t="shared" si="1"/>
        <v>310.05</v>
      </c>
    </row>
    <row r="2783">
      <c r="A2783" s="67"/>
      <c r="B2783" s="67"/>
      <c r="C2783" s="67"/>
      <c r="D2783" s="67"/>
      <c r="E2783" s="67"/>
      <c r="F2783" s="68"/>
      <c r="G2783" s="68"/>
      <c r="H2783" s="68"/>
      <c r="I2783" s="68"/>
      <c r="J2783" s="68"/>
      <c r="K2783" s="69">
        <v>6500.0</v>
      </c>
      <c r="L2783" s="69">
        <v>33.61</v>
      </c>
      <c r="M2783" s="68">
        <f t="shared" si="1"/>
        <v>305.03</v>
      </c>
    </row>
    <row r="2784">
      <c r="A2784" s="70"/>
      <c r="B2784" s="70"/>
      <c r="C2784" s="70"/>
      <c r="D2784" s="70"/>
      <c r="E2784" s="70"/>
      <c r="F2784" s="66"/>
      <c r="G2784" s="66"/>
      <c r="H2784" s="66"/>
      <c r="I2784" s="66"/>
      <c r="J2784" s="66"/>
      <c r="K2784" s="63">
        <v>7000.0</v>
      </c>
      <c r="L2784" s="63">
        <v>28.0</v>
      </c>
      <c r="M2784" s="66">
        <f t="shared" si="1"/>
        <v>273.67</v>
      </c>
    </row>
    <row r="2785">
      <c r="A2785" s="68">
        <v>186.0</v>
      </c>
      <c r="B2785" s="68">
        <v>304.0</v>
      </c>
      <c r="C2785" s="71" t="s">
        <v>606</v>
      </c>
      <c r="D2785" s="71" t="s">
        <v>607</v>
      </c>
      <c r="E2785" s="71" t="s">
        <v>607</v>
      </c>
      <c r="F2785" s="72">
        <v>7500.0</v>
      </c>
      <c r="G2785" s="72">
        <v>7500.0</v>
      </c>
      <c r="H2785" s="72">
        <v>900.0</v>
      </c>
      <c r="I2785" s="72">
        <v>5500.0</v>
      </c>
      <c r="J2785" s="72">
        <v>7500.0</v>
      </c>
      <c r="K2785" s="69">
        <v>500.0</v>
      </c>
      <c r="L2785" s="69">
        <v>22.0</v>
      </c>
      <c r="M2785" s="68">
        <f t="shared" si="1"/>
        <v>15.36</v>
      </c>
    </row>
    <row r="2786">
      <c r="A2786" s="73"/>
      <c r="B2786" s="73"/>
      <c r="C2786" s="73"/>
      <c r="D2786" s="73"/>
      <c r="E2786" s="73"/>
      <c r="F2786" s="66"/>
      <c r="G2786" s="66"/>
      <c r="H2786" s="66"/>
      <c r="I2786" s="66"/>
      <c r="J2786" s="66"/>
      <c r="K2786" s="63">
        <v>1000.0</v>
      </c>
      <c r="L2786" s="63">
        <v>24.88</v>
      </c>
      <c r="M2786" s="66">
        <f t="shared" si="1"/>
        <v>34.74</v>
      </c>
    </row>
    <row r="2787">
      <c r="A2787" s="67"/>
      <c r="B2787" s="67"/>
      <c r="C2787" s="67"/>
      <c r="D2787" s="67"/>
      <c r="E2787" s="67"/>
      <c r="F2787" s="68"/>
      <c r="G2787" s="68"/>
      <c r="H2787" s="68"/>
      <c r="I2787" s="68"/>
      <c r="J2787" s="68"/>
      <c r="K2787" s="69">
        <v>1500.0</v>
      </c>
      <c r="L2787" s="69">
        <v>27.05</v>
      </c>
      <c r="M2787" s="68">
        <f t="shared" si="1"/>
        <v>56.65</v>
      </c>
    </row>
    <row r="2788">
      <c r="A2788" s="70"/>
      <c r="B2788" s="70"/>
      <c r="C2788" s="70"/>
      <c r="D2788" s="70"/>
      <c r="E2788" s="70"/>
      <c r="F2788" s="66"/>
      <c r="G2788" s="66"/>
      <c r="H2788" s="66"/>
      <c r="I2788" s="66"/>
      <c r="J2788" s="66"/>
      <c r="K2788" s="63">
        <v>2000.0</v>
      </c>
      <c r="L2788" s="63">
        <v>28.88</v>
      </c>
      <c r="M2788" s="66">
        <f t="shared" si="1"/>
        <v>80.65</v>
      </c>
    </row>
    <row r="2789">
      <c r="A2789" s="67"/>
      <c r="B2789" s="67"/>
      <c r="C2789" s="67"/>
      <c r="D2789" s="67"/>
      <c r="E2789" s="67"/>
      <c r="F2789" s="68"/>
      <c r="G2789" s="68"/>
      <c r="H2789" s="68"/>
      <c r="I2789" s="68"/>
      <c r="J2789" s="68"/>
      <c r="K2789" s="69">
        <v>2500.0</v>
      </c>
      <c r="L2789" s="69">
        <v>31.13</v>
      </c>
      <c r="M2789" s="68">
        <f t="shared" si="1"/>
        <v>108.66</v>
      </c>
    </row>
    <row r="2790">
      <c r="A2790" s="70"/>
      <c r="B2790" s="70"/>
      <c r="C2790" s="70"/>
      <c r="D2790" s="70"/>
      <c r="E2790" s="70"/>
      <c r="F2790" s="66"/>
      <c r="G2790" s="66"/>
      <c r="H2790" s="66"/>
      <c r="I2790" s="66"/>
      <c r="J2790" s="66"/>
      <c r="K2790" s="63">
        <v>3000.0</v>
      </c>
      <c r="L2790" s="63">
        <v>34.25</v>
      </c>
      <c r="M2790" s="66">
        <f t="shared" si="1"/>
        <v>143.47</v>
      </c>
    </row>
    <row r="2791">
      <c r="A2791" s="67"/>
      <c r="B2791" s="67"/>
      <c r="C2791" s="67"/>
      <c r="D2791" s="67"/>
      <c r="E2791" s="67"/>
      <c r="F2791" s="68"/>
      <c r="G2791" s="68"/>
      <c r="H2791" s="68"/>
      <c r="I2791" s="68"/>
      <c r="J2791" s="68"/>
      <c r="K2791" s="69">
        <v>3500.0</v>
      </c>
      <c r="L2791" s="69">
        <v>39.0</v>
      </c>
      <c r="M2791" s="68">
        <f t="shared" si="1"/>
        <v>190.59</v>
      </c>
    </row>
    <row r="2792">
      <c r="A2792" s="70"/>
      <c r="B2792" s="70"/>
      <c r="C2792" s="70"/>
      <c r="D2792" s="70"/>
      <c r="E2792" s="70"/>
      <c r="F2792" s="66"/>
      <c r="G2792" s="66"/>
      <c r="H2792" s="66"/>
      <c r="I2792" s="66"/>
      <c r="J2792" s="66"/>
      <c r="K2792" s="63">
        <v>4000.0</v>
      </c>
      <c r="L2792" s="63">
        <v>43.42</v>
      </c>
      <c r="M2792" s="66">
        <f t="shared" si="1"/>
        <v>242.5</v>
      </c>
    </row>
    <row r="2793">
      <c r="A2793" s="67"/>
      <c r="B2793" s="67"/>
      <c r="C2793" s="67"/>
      <c r="D2793" s="67"/>
      <c r="E2793" s="67"/>
      <c r="F2793" s="68"/>
      <c r="G2793" s="68"/>
      <c r="H2793" s="68"/>
      <c r="I2793" s="68"/>
      <c r="J2793" s="68"/>
      <c r="K2793" s="69">
        <v>4500.0</v>
      </c>
      <c r="L2793" s="69">
        <v>46.88</v>
      </c>
      <c r="M2793" s="68">
        <f t="shared" si="1"/>
        <v>294.55</v>
      </c>
    </row>
    <row r="2794">
      <c r="A2794" s="70"/>
      <c r="B2794" s="70"/>
      <c r="C2794" s="70"/>
      <c r="D2794" s="70"/>
      <c r="E2794" s="70"/>
      <c r="F2794" s="66"/>
      <c r="G2794" s="66"/>
      <c r="H2794" s="66"/>
      <c r="I2794" s="66"/>
      <c r="J2794" s="66"/>
      <c r="K2794" s="63">
        <v>5000.0</v>
      </c>
      <c r="L2794" s="63">
        <v>48.53</v>
      </c>
      <c r="M2794" s="66">
        <f t="shared" si="1"/>
        <v>338.8</v>
      </c>
    </row>
    <row r="2795">
      <c r="A2795" s="67"/>
      <c r="B2795" s="67"/>
      <c r="C2795" s="67"/>
      <c r="D2795" s="67"/>
      <c r="E2795" s="67"/>
      <c r="F2795" s="68"/>
      <c r="G2795" s="68"/>
      <c r="H2795" s="68"/>
      <c r="I2795" s="68"/>
      <c r="J2795" s="68"/>
      <c r="K2795" s="69">
        <v>5500.0</v>
      </c>
      <c r="L2795" s="69">
        <v>49.0</v>
      </c>
      <c r="M2795" s="68">
        <f t="shared" si="1"/>
        <v>376.29</v>
      </c>
    </row>
    <row r="2796">
      <c r="A2796" s="70"/>
      <c r="B2796" s="70"/>
      <c r="C2796" s="70"/>
      <c r="D2796" s="70"/>
      <c r="E2796" s="70"/>
      <c r="F2796" s="66"/>
      <c r="G2796" s="66"/>
      <c r="H2796" s="66"/>
      <c r="I2796" s="66"/>
      <c r="J2796" s="66"/>
      <c r="K2796" s="63">
        <v>6000.0</v>
      </c>
      <c r="L2796" s="63">
        <v>48.45</v>
      </c>
      <c r="M2796" s="66">
        <f t="shared" si="1"/>
        <v>405.89</v>
      </c>
    </row>
    <row r="2797">
      <c r="A2797" s="67"/>
      <c r="B2797" s="67"/>
      <c r="C2797" s="67"/>
      <c r="D2797" s="67"/>
      <c r="E2797" s="67"/>
      <c r="F2797" s="68"/>
      <c r="G2797" s="68"/>
      <c r="H2797" s="68"/>
      <c r="I2797" s="68"/>
      <c r="J2797" s="68"/>
      <c r="K2797" s="69">
        <v>6500.0</v>
      </c>
      <c r="L2797" s="69">
        <v>47.47</v>
      </c>
      <c r="M2797" s="68">
        <f t="shared" si="1"/>
        <v>430.82</v>
      </c>
    </row>
    <row r="2798">
      <c r="A2798" s="70"/>
      <c r="B2798" s="70"/>
      <c r="C2798" s="70"/>
      <c r="D2798" s="70"/>
      <c r="E2798" s="70"/>
      <c r="F2798" s="66"/>
      <c r="G2798" s="66"/>
      <c r="H2798" s="66"/>
      <c r="I2798" s="66"/>
      <c r="J2798" s="66"/>
      <c r="K2798" s="63">
        <v>7000.0</v>
      </c>
      <c r="L2798" s="63">
        <v>45.97</v>
      </c>
      <c r="M2798" s="66">
        <f t="shared" si="1"/>
        <v>449.3</v>
      </c>
    </row>
    <row r="2799">
      <c r="A2799" s="67"/>
      <c r="B2799" s="67"/>
      <c r="C2799" s="67"/>
      <c r="D2799" s="67"/>
      <c r="E2799" s="67"/>
      <c r="F2799" s="68"/>
      <c r="G2799" s="68"/>
      <c r="H2799" s="68"/>
      <c r="I2799" s="68"/>
      <c r="J2799" s="68"/>
      <c r="K2799" s="69">
        <v>7500.0</v>
      </c>
      <c r="L2799" s="69">
        <v>44.0</v>
      </c>
      <c r="M2799" s="68">
        <f t="shared" si="1"/>
        <v>460.77</v>
      </c>
    </row>
    <row r="2800">
      <c r="A2800" s="70"/>
      <c r="B2800" s="70"/>
      <c r="C2800" s="70"/>
      <c r="D2800" s="70"/>
      <c r="E2800" s="70"/>
      <c r="F2800" s="66"/>
      <c r="G2800" s="66"/>
      <c r="H2800" s="66"/>
      <c r="I2800" s="66"/>
      <c r="J2800" s="66"/>
      <c r="K2800" s="63">
        <v>8000.0</v>
      </c>
      <c r="L2800" s="63">
        <v>40.5</v>
      </c>
      <c r="M2800" s="66">
        <f t="shared" si="1"/>
        <v>452.39</v>
      </c>
    </row>
    <row r="2801">
      <c r="A2801" s="67"/>
      <c r="B2801" s="67"/>
      <c r="C2801" s="67"/>
      <c r="D2801" s="67"/>
      <c r="E2801" s="67"/>
      <c r="F2801" s="68"/>
      <c r="G2801" s="68"/>
      <c r="H2801" s="68"/>
      <c r="I2801" s="68"/>
      <c r="J2801" s="68"/>
      <c r="K2801" s="69">
        <v>8500.0</v>
      </c>
      <c r="L2801" s="69">
        <v>34.88</v>
      </c>
      <c r="M2801" s="68">
        <f t="shared" si="1"/>
        <v>413.96</v>
      </c>
    </row>
    <row r="2802">
      <c r="A2802" s="66">
        <v>187.0</v>
      </c>
      <c r="B2802" s="66">
        <v>305.0</v>
      </c>
      <c r="C2802" s="74" t="s">
        <v>608</v>
      </c>
      <c r="D2802" s="74" t="s">
        <v>609</v>
      </c>
      <c r="E2802" s="74" t="s">
        <v>610</v>
      </c>
      <c r="F2802" s="65">
        <v>6200.0</v>
      </c>
      <c r="G2802" s="65">
        <v>6200.0</v>
      </c>
      <c r="H2802" s="65">
        <v>700.0</v>
      </c>
      <c r="I2802" s="65">
        <v>4250.0</v>
      </c>
      <c r="J2802" s="65">
        <v>6000.0</v>
      </c>
      <c r="K2802" s="63">
        <v>500.0</v>
      </c>
      <c r="L2802" s="63">
        <v>9.04</v>
      </c>
      <c r="M2802" s="66">
        <f t="shared" si="1"/>
        <v>6.31</v>
      </c>
    </row>
    <row r="2803">
      <c r="A2803" s="67"/>
      <c r="B2803" s="67"/>
      <c r="C2803" s="67"/>
      <c r="D2803" s="67"/>
      <c r="E2803" s="67"/>
      <c r="F2803" s="68"/>
      <c r="G2803" s="68"/>
      <c r="H2803" s="68"/>
      <c r="I2803" s="68"/>
      <c r="J2803" s="68"/>
      <c r="K2803" s="69">
        <v>1000.0</v>
      </c>
      <c r="L2803" s="69">
        <v>9.43</v>
      </c>
      <c r="M2803" s="68">
        <f t="shared" si="1"/>
        <v>13.17</v>
      </c>
    </row>
    <row r="2804">
      <c r="A2804" s="70"/>
      <c r="B2804" s="70"/>
      <c r="C2804" s="70"/>
      <c r="D2804" s="70"/>
      <c r="E2804" s="70"/>
      <c r="F2804" s="66"/>
      <c r="G2804" s="66"/>
      <c r="H2804" s="66"/>
      <c r="I2804" s="66"/>
      <c r="J2804" s="66"/>
      <c r="K2804" s="63">
        <v>1500.0</v>
      </c>
      <c r="L2804" s="63">
        <v>11.22</v>
      </c>
      <c r="M2804" s="66">
        <f t="shared" si="1"/>
        <v>23.5</v>
      </c>
    </row>
    <row r="2805">
      <c r="A2805" s="67"/>
      <c r="B2805" s="67"/>
      <c r="C2805" s="67"/>
      <c r="D2805" s="67"/>
      <c r="E2805" s="67"/>
      <c r="F2805" s="68"/>
      <c r="G2805" s="68"/>
      <c r="H2805" s="68"/>
      <c r="I2805" s="68"/>
      <c r="J2805" s="68"/>
      <c r="K2805" s="69">
        <v>2000.0</v>
      </c>
      <c r="L2805" s="69">
        <v>11.87</v>
      </c>
      <c r="M2805" s="68">
        <f t="shared" si="1"/>
        <v>33.15</v>
      </c>
    </row>
    <row r="2806">
      <c r="A2806" s="70"/>
      <c r="B2806" s="70"/>
      <c r="C2806" s="70"/>
      <c r="D2806" s="70"/>
      <c r="E2806" s="70"/>
      <c r="F2806" s="66"/>
      <c r="G2806" s="66"/>
      <c r="H2806" s="66"/>
      <c r="I2806" s="66"/>
      <c r="J2806" s="66"/>
      <c r="K2806" s="63">
        <v>2500.0</v>
      </c>
      <c r="L2806" s="63">
        <v>12.96</v>
      </c>
      <c r="M2806" s="66">
        <f t="shared" si="1"/>
        <v>45.24</v>
      </c>
    </row>
    <row r="2807">
      <c r="A2807" s="67"/>
      <c r="B2807" s="67"/>
      <c r="C2807" s="67"/>
      <c r="D2807" s="67"/>
      <c r="E2807" s="67"/>
      <c r="F2807" s="68"/>
      <c r="G2807" s="68"/>
      <c r="H2807" s="68"/>
      <c r="I2807" s="68"/>
      <c r="J2807" s="68"/>
      <c r="K2807" s="69">
        <v>3000.0</v>
      </c>
      <c r="L2807" s="69">
        <v>12.96</v>
      </c>
      <c r="M2807" s="68">
        <f t="shared" si="1"/>
        <v>54.29</v>
      </c>
    </row>
    <row r="2808">
      <c r="A2808" s="70"/>
      <c r="B2808" s="70"/>
      <c r="C2808" s="70"/>
      <c r="D2808" s="70"/>
      <c r="E2808" s="70"/>
      <c r="F2808" s="66"/>
      <c r="G2808" s="66"/>
      <c r="H2808" s="66"/>
      <c r="I2808" s="66"/>
      <c r="J2808" s="66"/>
      <c r="K2808" s="63">
        <v>3500.0</v>
      </c>
      <c r="L2808" s="63">
        <v>13.12</v>
      </c>
      <c r="M2808" s="66">
        <f t="shared" si="1"/>
        <v>64.12</v>
      </c>
    </row>
    <row r="2809">
      <c r="A2809" s="67"/>
      <c r="B2809" s="67"/>
      <c r="C2809" s="67"/>
      <c r="D2809" s="67"/>
      <c r="E2809" s="67"/>
      <c r="F2809" s="68"/>
      <c r="G2809" s="68"/>
      <c r="H2809" s="68"/>
      <c r="I2809" s="68"/>
      <c r="J2809" s="68"/>
      <c r="K2809" s="69">
        <v>4000.0</v>
      </c>
      <c r="L2809" s="69">
        <v>13.32</v>
      </c>
      <c r="M2809" s="68">
        <f t="shared" si="1"/>
        <v>74.39</v>
      </c>
    </row>
    <row r="2810">
      <c r="A2810" s="73"/>
      <c r="B2810" s="73"/>
      <c r="C2810" s="73"/>
      <c r="D2810" s="73"/>
      <c r="E2810" s="73"/>
      <c r="F2810" s="66"/>
      <c r="G2810" s="66"/>
      <c r="H2810" s="66"/>
      <c r="I2810" s="66"/>
      <c r="J2810" s="66"/>
      <c r="K2810" s="63">
        <v>4500.0</v>
      </c>
      <c r="L2810" s="63">
        <v>13.46</v>
      </c>
      <c r="M2810" s="66">
        <f t="shared" si="1"/>
        <v>84.57</v>
      </c>
    </row>
    <row r="2811">
      <c r="A2811" s="67"/>
      <c r="B2811" s="67"/>
      <c r="C2811" s="67"/>
      <c r="D2811" s="67"/>
      <c r="E2811" s="67"/>
      <c r="F2811" s="68"/>
      <c r="G2811" s="68"/>
      <c r="H2811" s="68"/>
      <c r="I2811" s="68"/>
      <c r="J2811" s="68"/>
      <c r="K2811" s="69">
        <v>5000.0</v>
      </c>
      <c r="L2811" s="69">
        <v>13.26</v>
      </c>
      <c r="M2811" s="68">
        <f t="shared" si="1"/>
        <v>92.57</v>
      </c>
    </row>
    <row r="2812">
      <c r="A2812" s="70"/>
      <c r="B2812" s="70"/>
      <c r="C2812" s="70"/>
      <c r="D2812" s="70"/>
      <c r="E2812" s="70"/>
      <c r="F2812" s="66"/>
      <c r="G2812" s="66"/>
      <c r="H2812" s="66"/>
      <c r="I2812" s="66"/>
      <c r="J2812" s="66"/>
      <c r="K2812" s="63">
        <v>5500.0</v>
      </c>
      <c r="L2812" s="63">
        <v>12.49</v>
      </c>
      <c r="M2812" s="66">
        <f t="shared" si="1"/>
        <v>95.92</v>
      </c>
    </row>
    <row r="2813">
      <c r="A2813" s="67"/>
      <c r="B2813" s="67"/>
      <c r="C2813" s="67"/>
      <c r="D2813" s="67"/>
      <c r="E2813" s="67"/>
      <c r="F2813" s="68"/>
      <c r="G2813" s="68"/>
      <c r="H2813" s="68"/>
      <c r="I2813" s="68"/>
      <c r="J2813" s="68"/>
      <c r="K2813" s="69">
        <v>6000.0</v>
      </c>
      <c r="L2813" s="69">
        <v>11.73</v>
      </c>
      <c r="M2813" s="68">
        <f t="shared" si="1"/>
        <v>98.27</v>
      </c>
    </row>
    <row r="2814">
      <c r="A2814" s="70"/>
      <c r="B2814" s="70"/>
      <c r="C2814" s="70"/>
      <c r="D2814" s="70"/>
      <c r="E2814" s="70"/>
      <c r="F2814" s="66"/>
      <c r="G2814" s="66"/>
      <c r="H2814" s="66"/>
      <c r="I2814" s="66"/>
      <c r="J2814" s="66"/>
      <c r="K2814" s="63">
        <v>6500.0</v>
      </c>
      <c r="L2814" s="63">
        <v>10.72</v>
      </c>
      <c r="M2814" s="66">
        <f t="shared" si="1"/>
        <v>97.29</v>
      </c>
    </row>
    <row r="2815">
      <c r="A2815" s="67"/>
      <c r="B2815" s="67"/>
      <c r="C2815" s="67"/>
      <c r="D2815" s="67"/>
      <c r="E2815" s="67"/>
      <c r="F2815" s="68"/>
      <c r="G2815" s="68"/>
      <c r="H2815" s="68"/>
      <c r="I2815" s="68"/>
      <c r="J2815" s="68"/>
      <c r="K2815" s="69">
        <v>7000.0</v>
      </c>
      <c r="L2815" s="69">
        <v>9.63</v>
      </c>
      <c r="M2815" s="68">
        <f t="shared" si="1"/>
        <v>94.12</v>
      </c>
    </row>
    <row r="2816">
      <c r="A2816" s="66">
        <v>188.0</v>
      </c>
      <c r="B2816" s="66">
        <v>306.0</v>
      </c>
      <c r="C2816" s="74" t="s">
        <v>611</v>
      </c>
      <c r="D2816" s="74" t="s">
        <v>612</v>
      </c>
      <c r="E2816" s="74" t="s">
        <v>613</v>
      </c>
      <c r="F2816" s="65">
        <v>7000.0</v>
      </c>
      <c r="G2816" s="65">
        <v>7200.0</v>
      </c>
      <c r="H2816" s="65">
        <v>800.0</v>
      </c>
      <c r="I2816" s="65">
        <v>2750.0</v>
      </c>
      <c r="J2816" s="65">
        <v>6500.0</v>
      </c>
      <c r="K2816" s="63">
        <v>500.0</v>
      </c>
      <c r="L2816" s="63">
        <v>18.6</v>
      </c>
      <c r="M2816" s="66">
        <f t="shared" si="1"/>
        <v>12.99</v>
      </c>
    </row>
    <row r="2817">
      <c r="A2817" s="67"/>
      <c r="B2817" s="67"/>
      <c r="C2817" s="67"/>
      <c r="D2817" s="67"/>
      <c r="E2817" s="67"/>
      <c r="F2817" s="68"/>
      <c r="G2817" s="68"/>
      <c r="H2817" s="68"/>
      <c r="I2817" s="68"/>
      <c r="J2817" s="68"/>
      <c r="K2817" s="69">
        <v>1000.0</v>
      </c>
      <c r="L2817" s="69">
        <v>26.3</v>
      </c>
      <c r="M2817" s="68">
        <f t="shared" si="1"/>
        <v>36.72</v>
      </c>
    </row>
    <row r="2818">
      <c r="A2818" s="70"/>
      <c r="B2818" s="70"/>
      <c r="C2818" s="70"/>
      <c r="D2818" s="70"/>
      <c r="E2818" s="70"/>
      <c r="F2818" s="66"/>
      <c r="G2818" s="66"/>
      <c r="H2818" s="66"/>
      <c r="I2818" s="66"/>
      <c r="J2818" s="66"/>
      <c r="K2818" s="63">
        <v>1500.0</v>
      </c>
      <c r="L2818" s="63">
        <v>32.8</v>
      </c>
      <c r="M2818" s="66">
        <f t="shared" si="1"/>
        <v>68.7</v>
      </c>
    </row>
    <row r="2819">
      <c r="A2819" s="67"/>
      <c r="B2819" s="67"/>
      <c r="C2819" s="67"/>
      <c r="D2819" s="67"/>
      <c r="E2819" s="67"/>
      <c r="F2819" s="68"/>
      <c r="G2819" s="68"/>
      <c r="H2819" s="68"/>
      <c r="I2819" s="68"/>
      <c r="J2819" s="68"/>
      <c r="K2819" s="69">
        <v>2000.0</v>
      </c>
      <c r="L2819" s="69">
        <v>37.3</v>
      </c>
      <c r="M2819" s="68">
        <f t="shared" si="1"/>
        <v>104.16</v>
      </c>
    </row>
    <row r="2820">
      <c r="A2820" s="70"/>
      <c r="B2820" s="70"/>
      <c r="C2820" s="70"/>
      <c r="D2820" s="70"/>
      <c r="E2820" s="70"/>
      <c r="F2820" s="66"/>
      <c r="G2820" s="66"/>
      <c r="H2820" s="66"/>
      <c r="I2820" s="66"/>
      <c r="J2820" s="66"/>
      <c r="K2820" s="63">
        <v>2500.0</v>
      </c>
      <c r="L2820" s="63">
        <v>38.0</v>
      </c>
      <c r="M2820" s="66">
        <f t="shared" si="1"/>
        <v>132.64</v>
      </c>
    </row>
    <row r="2821">
      <c r="A2821" s="67"/>
      <c r="B2821" s="67"/>
      <c r="C2821" s="67"/>
      <c r="D2821" s="67"/>
      <c r="E2821" s="67"/>
      <c r="F2821" s="68"/>
      <c r="G2821" s="68"/>
      <c r="H2821" s="68"/>
      <c r="I2821" s="68"/>
      <c r="J2821" s="68"/>
      <c r="K2821" s="69">
        <v>3000.0</v>
      </c>
      <c r="L2821" s="69">
        <v>38.3</v>
      </c>
      <c r="M2821" s="68">
        <f t="shared" si="1"/>
        <v>160.43</v>
      </c>
    </row>
    <row r="2822">
      <c r="A2822" s="70"/>
      <c r="B2822" s="70"/>
      <c r="C2822" s="70"/>
      <c r="D2822" s="70"/>
      <c r="E2822" s="70"/>
      <c r="F2822" s="66"/>
      <c r="G2822" s="66"/>
      <c r="H2822" s="66"/>
      <c r="I2822" s="66"/>
      <c r="J2822" s="66"/>
      <c r="K2822" s="63">
        <v>3500.0</v>
      </c>
      <c r="L2822" s="63">
        <v>38.2</v>
      </c>
      <c r="M2822" s="66">
        <f t="shared" si="1"/>
        <v>186.68</v>
      </c>
    </row>
    <row r="2823">
      <c r="A2823" s="67"/>
      <c r="B2823" s="67"/>
      <c r="C2823" s="67"/>
      <c r="D2823" s="67"/>
      <c r="E2823" s="67"/>
      <c r="F2823" s="68"/>
      <c r="G2823" s="68"/>
      <c r="H2823" s="68"/>
      <c r="I2823" s="68"/>
      <c r="J2823" s="68"/>
      <c r="K2823" s="69">
        <v>4000.0</v>
      </c>
      <c r="L2823" s="69">
        <v>38.1</v>
      </c>
      <c r="M2823" s="68">
        <f t="shared" si="1"/>
        <v>212.79</v>
      </c>
    </row>
    <row r="2824">
      <c r="A2824" s="70"/>
      <c r="B2824" s="70"/>
      <c r="C2824" s="70"/>
      <c r="D2824" s="70"/>
      <c r="E2824" s="70"/>
      <c r="F2824" s="66"/>
      <c r="G2824" s="66"/>
      <c r="H2824" s="66"/>
      <c r="I2824" s="66"/>
      <c r="J2824" s="66"/>
      <c r="K2824" s="63">
        <v>4500.0</v>
      </c>
      <c r="L2824" s="63">
        <v>37.9</v>
      </c>
      <c r="M2824" s="66">
        <f t="shared" si="1"/>
        <v>238.13</v>
      </c>
    </row>
    <row r="2825">
      <c r="A2825" s="67"/>
      <c r="B2825" s="67"/>
      <c r="C2825" s="67"/>
      <c r="D2825" s="67"/>
      <c r="E2825" s="67"/>
      <c r="F2825" s="68"/>
      <c r="G2825" s="68"/>
      <c r="H2825" s="68"/>
      <c r="I2825" s="68"/>
      <c r="J2825" s="68"/>
      <c r="K2825" s="69">
        <v>5000.0</v>
      </c>
      <c r="L2825" s="69">
        <v>37.1</v>
      </c>
      <c r="M2825" s="68">
        <f t="shared" si="1"/>
        <v>259.01</v>
      </c>
    </row>
    <row r="2826">
      <c r="A2826" s="70"/>
      <c r="B2826" s="70"/>
      <c r="C2826" s="70"/>
      <c r="D2826" s="70"/>
      <c r="E2826" s="70"/>
      <c r="F2826" s="66"/>
      <c r="G2826" s="66"/>
      <c r="H2826" s="66"/>
      <c r="I2826" s="66"/>
      <c r="J2826" s="66"/>
      <c r="K2826" s="63">
        <v>5500.0</v>
      </c>
      <c r="L2826" s="63">
        <v>35.8</v>
      </c>
      <c r="M2826" s="66">
        <f t="shared" si="1"/>
        <v>274.92</v>
      </c>
    </row>
    <row r="2827">
      <c r="A2827" s="67"/>
      <c r="B2827" s="67"/>
      <c r="C2827" s="67"/>
      <c r="D2827" s="67"/>
      <c r="E2827" s="67"/>
      <c r="F2827" s="68"/>
      <c r="G2827" s="68"/>
      <c r="H2827" s="68"/>
      <c r="I2827" s="68"/>
      <c r="J2827" s="68"/>
      <c r="K2827" s="69">
        <v>6000.0</v>
      </c>
      <c r="L2827" s="69">
        <v>33.4</v>
      </c>
      <c r="M2827" s="68">
        <f t="shared" si="1"/>
        <v>279.81</v>
      </c>
    </row>
    <row r="2828">
      <c r="A2828" s="70"/>
      <c r="B2828" s="70"/>
      <c r="C2828" s="70"/>
      <c r="D2828" s="70"/>
      <c r="E2828" s="70"/>
      <c r="F2828" s="66"/>
      <c r="G2828" s="66"/>
      <c r="H2828" s="66"/>
      <c r="I2828" s="66"/>
      <c r="J2828" s="66"/>
      <c r="K2828" s="63">
        <v>6500.0</v>
      </c>
      <c r="L2828" s="63">
        <v>31.0</v>
      </c>
      <c r="M2828" s="66">
        <f t="shared" si="1"/>
        <v>281.35</v>
      </c>
    </row>
    <row r="2829">
      <c r="A2829" s="67"/>
      <c r="B2829" s="67"/>
      <c r="C2829" s="67"/>
      <c r="D2829" s="67"/>
      <c r="E2829" s="67"/>
      <c r="F2829" s="68"/>
      <c r="G2829" s="68"/>
      <c r="H2829" s="68"/>
      <c r="I2829" s="68"/>
      <c r="J2829" s="68"/>
      <c r="K2829" s="69">
        <v>7000.0</v>
      </c>
      <c r="L2829" s="69">
        <v>27.6</v>
      </c>
      <c r="M2829" s="68">
        <f t="shared" si="1"/>
        <v>269.76</v>
      </c>
    </row>
    <row r="2830">
      <c r="A2830" s="70"/>
      <c r="B2830" s="70"/>
      <c r="C2830" s="70"/>
      <c r="D2830" s="70"/>
      <c r="E2830" s="70"/>
      <c r="F2830" s="66"/>
      <c r="G2830" s="66"/>
      <c r="H2830" s="66"/>
      <c r="I2830" s="66"/>
      <c r="J2830" s="66"/>
      <c r="K2830" s="63">
        <v>7500.0</v>
      </c>
      <c r="L2830" s="63">
        <v>22.2</v>
      </c>
      <c r="M2830" s="66">
        <f t="shared" si="1"/>
        <v>232.48</v>
      </c>
    </row>
    <row r="2831">
      <c r="A2831" s="68">
        <v>189.0</v>
      </c>
      <c r="B2831" s="68">
        <v>307.0</v>
      </c>
      <c r="C2831" s="71" t="s">
        <v>614</v>
      </c>
      <c r="D2831" s="71" t="s">
        <v>615</v>
      </c>
      <c r="E2831" s="71" t="s">
        <v>616</v>
      </c>
      <c r="F2831" s="72">
        <v>6800.0</v>
      </c>
      <c r="G2831" s="72">
        <v>7000.0</v>
      </c>
      <c r="H2831" s="72">
        <v>800.0</v>
      </c>
      <c r="I2831" s="72">
        <v>5100.0</v>
      </c>
      <c r="J2831" s="72">
        <v>5950.0</v>
      </c>
      <c r="K2831" s="69">
        <v>500.0</v>
      </c>
      <c r="L2831" s="69">
        <v>19.25</v>
      </c>
      <c r="M2831" s="68">
        <f t="shared" si="1"/>
        <v>13.44</v>
      </c>
    </row>
    <row r="2832">
      <c r="A2832" s="70"/>
      <c r="B2832" s="70"/>
      <c r="C2832" s="70"/>
      <c r="D2832" s="70"/>
      <c r="E2832" s="70"/>
      <c r="F2832" s="66"/>
      <c r="G2832" s="66"/>
      <c r="H2832" s="66"/>
      <c r="I2832" s="66"/>
      <c r="J2832" s="66"/>
      <c r="K2832" s="63">
        <v>1000.0</v>
      </c>
      <c r="L2832" s="63">
        <v>23.55</v>
      </c>
      <c r="M2832" s="66">
        <f t="shared" si="1"/>
        <v>32.88</v>
      </c>
    </row>
    <row r="2833">
      <c r="A2833" s="67"/>
      <c r="B2833" s="67"/>
      <c r="C2833" s="67"/>
      <c r="D2833" s="67"/>
      <c r="E2833" s="67"/>
      <c r="F2833" s="68"/>
      <c r="G2833" s="68"/>
      <c r="H2833" s="68"/>
      <c r="I2833" s="68"/>
      <c r="J2833" s="68"/>
      <c r="K2833" s="69">
        <v>1500.0</v>
      </c>
      <c r="L2833" s="69">
        <v>27.95</v>
      </c>
      <c r="M2833" s="68">
        <f t="shared" si="1"/>
        <v>58.54</v>
      </c>
    </row>
    <row r="2834">
      <c r="A2834" s="73"/>
      <c r="B2834" s="73"/>
      <c r="C2834" s="73"/>
      <c r="D2834" s="73"/>
      <c r="E2834" s="73"/>
      <c r="F2834" s="66"/>
      <c r="G2834" s="66"/>
      <c r="H2834" s="66"/>
      <c r="I2834" s="66"/>
      <c r="J2834" s="66"/>
      <c r="K2834" s="63">
        <v>2000.0</v>
      </c>
      <c r="L2834" s="63">
        <v>34.5</v>
      </c>
      <c r="M2834" s="66">
        <f t="shared" si="1"/>
        <v>96.34</v>
      </c>
    </row>
    <row r="2835">
      <c r="A2835" s="67"/>
      <c r="B2835" s="67"/>
      <c r="C2835" s="67"/>
      <c r="D2835" s="67"/>
      <c r="E2835" s="67"/>
      <c r="F2835" s="68"/>
      <c r="G2835" s="68"/>
      <c r="H2835" s="68"/>
      <c r="I2835" s="68"/>
      <c r="J2835" s="68"/>
      <c r="K2835" s="69">
        <v>2500.0</v>
      </c>
      <c r="L2835" s="69">
        <v>44.3</v>
      </c>
      <c r="M2835" s="68">
        <f t="shared" si="1"/>
        <v>154.64</v>
      </c>
    </row>
    <row r="2836">
      <c r="A2836" s="70"/>
      <c r="B2836" s="70"/>
      <c r="C2836" s="70"/>
      <c r="D2836" s="70"/>
      <c r="E2836" s="70"/>
      <c r="F2836" s="66"/>
      <c r="G2836" s="66"/>
      <c r="H2836" s="66"/>
      <c r="I2836" s="66"/>
      <c r="J2836" s="66"/>
      <c r="K2836" s="63">
        <v>3000.0</v>
      </c>
      <c r="L2836" s="63">
        <v>51.35</v>
      </c>
      <c r="M2836" s="66">
        <f t="shared" si="1"/>
        <v>215.09</v>
      </c>
    </row>
    <row r="2837">
      <c r="A2837" s="67"/>
      <c r="B2837" s="67"/>
      <c r="C2837" s="67"/>
      <c r="D2837" s="67"/>
      <c r="E2837" s="67"/>
      <c r="F2837" s="68"/>
      <c r="G2837" s="68"/>
      <c r="H2837" s="68"/>
      <c r="I2837" s="68"/>
      <c r="J2837" s="68"/>
      <c r="K2837" s="69">
        <v>3500.0</v>
      </c>
      <c r="L2837" s="69">
        <v>54.0</v>
      </c>
      <c r="M2837" s="68">
        <f t="shared" si="1"/>
        <v>263.89</v>
      </c>
    </row>
    <row r="2838">
      <c r="A2838" s="70"/>
      <c r="B2838" s="70"/>
      <c r="C2838" s="70"/>
      <c r="D2838" s="70"/>
      <c r="E2838" s="70"/>
      <c r="F2838" s="66"/>
      <c r="G2838" s="66"/>
      <c r="H2838" s="66"/>
      <c r="I2838" s="66"/>
      <c r="J2838" s="66"/>
      <c r="K2838" s="63">
        <v>4000.0</v>
      </c>
      <c r="L2838" s="63">
        <v>55.4</v>
      </c>
      <c r="M2838" s="66">
        <f t="shared" si="1"/>
        <v>309.41</v>
      </c>
    </row>
    <row r="2839">
      <c r="A2839" s="67"/>
      <c r="B2839" s="67"/>
      <c r="C2839" s="67"/>
      <c r="D2839" s="67"/>
      <c r="E2839" s="67"/>
      <c r="F2839" s="68"/>
      <c r="G2839" s="68"/>
      <c r="H2839" s="68"/>
      <c r="I2839" s="68"/>
      <c r="J2839" s="68"/>
      <c r="K2839" s="69">
        <v>4500.0</v>
      </c>
      <c r="L2839" s="69">
        <v>55.9</v>
      </c>
      <c r="M2839" s="68">
        <f t="shared" si="1"/>
        <v>351.23</v>
      </c>
    </row>
    <row r="2840">
      <c r="A2840" s="70"/>
      <c r="B2840" s="70"/>
      <c r="C2840" s="70"/>
      <c r="D2840" s="70"/>
      <c r="E2840" s="70"/>
      <c r="F2840" s="66"/>
      <c r="G2840" s="66"/>
      <c r="H2840" s="66"/>
      <c r="I2840" s="66"/>
      <c r="J2840" s="66"/>
      <c r="K2840" s="63">
        <v>5100.0</v>
      </c>
      <c r="L2840" s="63">
        <v>56.4</v>
      </c>
      <c r="M2840" s="66">
        <f t="shared" si="1"/>
        <v>401.62</v>
      </c>
    </row>
    <row r="2841">
      <c r="A2841" s="67"/>
      <c r="B2841" s="67"/>
      <c r="C2841" s="67"/>
      <c r="D2841" s="67"/>
      <c r="E2841" s="67"/>
      <c r="F2841" s="68"/>
      <c r="G2841" s="68"/>
      <c r="H2841" s="68"/>
      <c r="I2841" s="68"/>
      <c r="J2841" s="68"/>
      <c r="K2841" s="69">
        <v>5500.0</v>
      </c>
      <c r="L2841" s="69">
        <v>56.25</v>
      </c>
      <c r="M2841" s="68">
        <f t="shared" si="1"/>
        <v>431.97</v>
      </c>
    </row>
    <row r="2842">
      <c r="A2842" s="70"/>
      <c r="B2842" s="70"/>
      <c r="C2842" s="70"/>
      <c r="D2842" s="70"/>
      <c r="E2842" s="70"/>
      <c r="F2842" s="66"/>
      <c r="G2842" s="66"/>
      <c r="H2842" s="66"/>
      <c r="I2842" s="66"/>
      <c r="J2842" s="66"/>
      <c r="K2842" s="63">
        <v>5950.0</v>
      </c>
      <c r="L2842" s="63">
        <v>56.0</v>
      </c>
      <c r="M2842" s="66">
        <f t="shared" si="1"/>
        <v>465.23</v>
      </c>
    </row>
    <row r="2843">
      <c r="A2843" s="67"/>
      <c r="B2843" s="67"/>
      <c r="C2843" s="67"/>
      <c r="D2843" s="67"/>
      <c r="E2843" s="67"/>
      <c r="F2843" s="68"/>
      <c r="G2843" s="68"/>
      <c r="H2843" s="68"/>
      <c r="I2843" s="68"/>
      <c r="J2843" s="68"/>
      <c r="K2843" s="69">
        <v>6500.0</v>
      </c>
      <c r="L2843" s="69">
        <v>51.05</v>
      </c>
      <c r="M2843" s="68">
        <f t="shared" si="1"/>
        <v>463.31</v>
      </c>
    </row>
    <row r="2844">
      <c r="A2844" s="70"/>
      <c r="B2844" s="70"/>
      <c r="C2844" s="70"/>
      <c r="D2844" s="70"/>
      <c r="E2844" s="70"/>
      <c r="F2844" s="66"/>
      <c r="G2844" s="66"/>
      <c r="H2844" s="66"/>
      <c r="I2844" s="66"/>
      <c r="J2844" s="66"/>
      <c r="K2844" s="63">
        <v>7000.0</v>
      </c>
      <c r="L2844" s="63">
        <v>46.05</v>
      </c>
      <c r="M2844" s="66">
        <f t="shared" si="1"/>
        <v>450.08</v>
      </c>
    </row>
    <row r="2845">
      <c r="A2845" s="67"/>
      <c r="B2845" s="67"/>
      <c r="C2845" s="67"/>
      <c r="D2845" s="67"/>
      <c r="E2845" s="67"/>
      <c r="F2845" s="68"/>
      <c r="G2845" s="68"/>
      <c r="H2845" s="68"/>
      <c r="I2845" s="68"/>
      <c r="J2845" s="68"/>
      <c r="K2845" s="69">
        <v>7500.0</v>
      </c>
      <c r="L2845" s="69">
        <v>40.5</v>
      </c>
      <c r="M2845" s="68">
        <f t="shared" si="1"/>
        <v>424.11</v>
      </c>
    </row>
    <row r="2846">
      <c r="A2846" s="66">
        <v>190.0</v>
      </c>
      <c r="B2846" s="66">
        <v>308.0</v>
      </c>
      <c r="C2846" s="74" t="s">
        <v>617</v>
      </c>
      <c r="D2846" s="74" t="s">
        <v>618</v>
      </c>
      <c r="E2846" s="74" t="s">
        <v>619</v>
      </c>
      <c r="F2846" s="65">
        <v>8000.0</v>
      </c>
      <c r="G2846" s="65">
        <v>8000.0</v>
      </c>
      <c r="H2846" s="65">
        <v>700.0</v>
      </c>
      <c r="I2846" s="65">
        <v>5200.0</v>
      </c>
      <c r="J2846" s="65">
        <v>7700.0</v>
      </c>
      <c r="K2846" s="63">
        <v>500.0</v>
      </c>
      <c r="L2846" s="63">
        <v>20.2</v>
      </c>
      <c r="M2846" s="66">
        <f t="shared" si="1"/>
        <v>14.1</v>
      </c>
    </row>
    <row r="2847">
      <c r="A2847" s="67"/>
      <c r="B2847" s="67"/>
      <c r="C2847" s="67"/>
      <c r="D2847" s="67"/>
      <c r="E2847" s="67"/>
      <c r="F2847" s="68"/>
      <c r="G2847" s="68"/>
      <c r="H2847" s="68"/>
      <c r="I2847" s="68"/>
      <c r="J2847" s="68"/>
      <c r="K2847" s="69">
        <v>1000.0</v>
      </c>
      <c r="L2847" s="69">
        <v>24.4</v>
      </c>
      <c r="M2847" s="68">
        <f t="shared" si="1"/>
        <v>34.07</v>
      </c>
    </row>
    <row r="2848">
      <c r="A2848" s="70"/>
      <c r="B2848" s="70"/>
      <c r="C2848" s="70"/>
      <c r="D2848" s="70"/>
      <c r="E2848" s="70"/>
      <c r="F2848" s="66"/>
      <c r="G2848" s="66"/>
      <c r="H2848" s="66"/>
      <c r="I2848" s="66"/>
      <c r="J2848" s="66"/>
      <c r="K2848" s="63">
        <v>1500.0</v>
      </c>
      <c r="L2848" s="63">
        <v>26.7</v>
      </c>
      <c r="M2848" s="66">
        <f t="shared" si="1"/>
        <v>55.92</v>
      </c>
    </row>
    <row r="2849">
      <c r="A2849" s="67"/>
      <c r="B2849" s="67"/>
      <c r="C2849" s="67"/>
      <c r="D2849" s="67"/>
      <c r="E2849" s="67"/>
      <c r="F2849" s="68"/>
      <c r="G2849" s="68"/>
      <c r="H2849" s="68"/>
      <c r="I2849" s="68"/>
      <c r="J2849" s="68"/>
      <c r="K2849" s="69">
        <v>2000.0</v>
      </c>
      <c r="L2849" s="69">
        <v>27.7</v>
      </c>
      <c r="M2849" s="68">
        <f t="shared" si="1"/>
        <v>77.35</v>
      </c>
    </row>
    <row r="2850">
      <c r="A2850" s="70"/>
      <c r="B2850" s="70"/>
      <c r="C2850" s="70"/>
      <c r="D2850" s="70"/>
      <c r="E2850" s="70"/>
      <c r="F2850" s="66"/>
      <c r="G2850" s="66"/>
      <c r="H2850" s="66"/>
      <c r="I2850" s="66"/>
      <c r="J2850" s="66"/>
      <c r="K2850" s="63">
        <v>2500.0</v>
      </c>
      <c r="L2850" s="63">
        <v>29.0</v>
      </c>
      <c r="M2850" s="66">
        <f t="shared" si="1"/>
        <v>101.23</v>
      </c>
    </row>
    <row r="2851">
      <c r="A2851" s="67"/>
      <c r="B2851" s="67"/>
      <c r="C2851" s="67"/>
      <c r="D2851" s="67"/>
      <c r="E2851" s="67"/>
      <c r="F2851" s="68"/>
      <c r="G2851" s="68"/>
      <c r="H2851" s="68"/>
      <c r="I2851" s="68"/>
      <c r="J2851" s="68"/>
      <c r="K2851" s="69">
        <v>3000.0</v>
      </c>
      <c r="L2851" s="69">
        <v>30.6</v>
      </c>
      <c r="M2851" s="68">
        <f t="shared" si="1"/>
        <v>128.18</v>
      </c>
    </row>
    <row r="2852">
      <c r="A2852" s="70"/>
      <c r="B2852" s="70"/>
      <c r="C2852" s="70"/>
      <c r="D2852" s="70"/>
      <c r="E2852" s="70"/>
      <c r="F2852" s="66"/>
      <c r="G2852" s="66"/>
      <c r="H2852" s="66"/>
      <c r="I2852" s="66"/>
      <c r="J2852" s="66"/>
      <c r="K2852" s="63">
        <v>3500.0</v>
      </c>
      <c r="L2852" s="63">
        <v>33.1</v>
      </c>
      <c r="M2852" s="66">
        <f t="shared" si="1"/>
        <v>161.76</v>
      </c>
    </row>
    <row r="2853">
      <c r="A2853" s="67"/>
      <c r="B2853" s="67"/>
      <c r="C2853" s="67"/>
      <c r="D2853" s="67"/>
      <c r="E2853" s="67"/>
      <c r="F2853" s="68"/>
      <c r="G2853" s="68"/>
      <c r="H2853" s="68"/>
      <c r="I2853" s="68"/>
      <c r="J2853" s="68"/>
      <c r="K2853" s="69">
        <v>4000.0</v>
      </c>
      <c r="L2853" s="69">
        <v>35.5</v>
      </c>
      <c r="M2853" s="68">
        <f t="shared" si="1"/>
        <v>198.27</v>
      </c>
    </row>
    <row r="2854">
      <c r="A2854" s="70"/>
      <c r="B2854" s="70"/>
      <c r="C2854" s="70"/>
      <c r="D2854" s="70"/>
      <c r="E2854" s="70"/>
      <c r="F2854" s="66"/>
      <c r="G2854" s="66"/>
      <c r="H2854" s="66"/>
      <c r="I2854" s="66"/>
      <c r="J2854" s="66"/>
      <c r="K2854" s="63">
        <v>4500.0</v>
      </c>
      <c r="L2854" s="63">
        <v>37.3</v>
      </c>
      <c r="M2854" s="66">
        <f t="shared" si="1"/>
        <v>234.36</v>
      </c>
    </row>
    <row r="2855">
      <c r="A2855" s="67"/>
      <c r="B2855" s="67"/>
      <c r="C2855" s="67"/>
      <c r="D2855" s="67"/>
      <c r="E2855" s="67"/>
      <c r="F2855" s="68"/>
      <c r="G2855" s="68"/>
      <c r="H2855" s="68"/>
      <c r="I2855" s="68"/>
      <c r="J2855" s="68"/>
      <c r="K2855" s="69">
        <v>5200.0</v>
      </c>
      <c r="L2855" s="69">
        <v>38.2</v>
      </c>
      <c r="M2855" s="68">
        <f t="shared" si="1"/>
        <v>277.35</v>
      </c>
    </row>
    <row r="2856">
      <c r="A2856" s="70"/>
      <c r="B2856" s="70"/>
      <c r="C2856" s="70"/>
      <c r="D2856" s="70"/>
      <c r="E2856" s="70"/>
      <c r="F2856" s="66"/>
      <c r="G2856" s="66"/>
      <c r="H2856" s="66"/>
      <c r="I2856" s="66"/>
      <c r="J2856" s="66"/>
      <c r="K2856" s="63">
        <v>5700.0</v>
      </c>
      <c r="L2856" s="63">
        <v>38.3</v>
      </c>
      <c r="M2856" s="66">
        <f t="shared" si="1"/>
        <v>304.82</v>
      </c>
    </row>
    <row r="2857">
      <c r="A2857" s="67"/>
      <c r="B2857" s="67"/>
      <c r="C2857" s="67"/>
      <c r="D2857" s="67"/>
      <c r="E2857" s="67"/>
      <c r="F2857" s="68"/>
      <c r="G2857" s="68"/>
      <c r="H2857" s="68"/>
      <c r="I2857" s="68"/>
      <c r="J2857" s="68"/>
      <c r="K2857" s="69">
        <v>6100.0</v>
      </c>
      <c r="L2857" s="69">
        <v>38.3</v>
      </c>
      <c r="M2857" s="68">
        <f t="shared" si="1"/>
        <v>326.21</v>
      </c>
    </row>
    <row r="2858">
      <c r="A2858" s="73"/>
      <c r="B2858" s="73"/>
      <c r="C2858" s="73"/>
      <c r="D2858" s="73"/>
      <c r="E2858" s="73"/>
      <c r="F2858" s="66"/>
      <c r="G2858" s="66"/>
      <c r="H2858" s="66"/>
      <c r="I2858" s="66"/>
      <c r="J2858" s="66"/>
      <c r="K2858" s="63">
        <v>6500.0</v>
      </c>
      <c r="L2858" s="63">
        <v>38.1</v>
      </c>
      <c r="M2858" s="66">
        <f t="shared" si="1"/>
        <v>345.78</v>
      </c>
    </row>
    <row r="2859">
      <c r="A2859" s="67"/>
      <c r="B2859" s="67"/>
      <c r="C2859" s="67"/>
      <c r="D2859" s="67"/>
      <c r="E2859" s="67"/>
      <c r="F2859" s="68"/>
      <c r="G2859" s="68"/>
      <c r="H2859" s="68"/>
      <c r="I2859" s="68"/>
      <c r="J2859" s="68"/>
      <c r="K2859" s="69">
        <v>7000.0</v>
      </c>
      <c r="L2859" s="69">
        <v>37.6</v>
      </c>
      <c r="M2859" s="68">
        <f t="shared" si="1"/>
        <v>367.5</v>
      </c>
    </row>
    <row r="2860">
      <c r="A2860" s="70"/>
      <c r="B2860" s="70"/>
      <c r="C2860" s="70"/>
      <c r="D2860" s="70"/>
      <c r="E2860" s="70"/>
      <c r="F2860" s="66"/>
      <c r="G2860" s="66"/>
      <c r="H2860" s="66"/>
      <c r="I2860" s="66"/>
      <c r="J2860" s="66"/>
      <c r="K2860" s="63">
        <v>7700.0</v>
      </c>
      <c r="L2860" s="63">
        <v>35.7</v>
      </c>
      <c r="M2860" s="66">
        <f t="shared" si="1"/>
        <v>383.82</v>
      </c>
    </row>
    <row r="2861">
      <c r="A2861" s="67"/>
      <c r="B2861" s="67"/>
      <c r="C2861" s="67"/>
      <c r="D2861" s="67"/>
      <c r="E2861" s="67"/>
      <c r="F2861" s="68"/>
      <c r="G2861" s="68"/>
      <c r="H2861" s="68"/>
      <c r="I2861" s="68"/>
      <c r="J2861" s="68"/>
      <c r="K2861" s="69">
        <v>8000.0</v>
      </c>
      <c r="L2861" s="69">
        <v>34.2</v>
      </c>
      <c r="M2861" s="68">
        <f t="shared" si="1"/>
        <v>382.02</v>
      </c>
    </row>
    <row r="2862">
      <c r="A2862" s="70"/>
      <c r="B2862" s="70"/>
      <c r="C2862" s="70"/>
      <c r="D2862" s="70"/>
      <c r="E2862" s="70"/>
      <c r="F2862" s="66"/>
      <c r="G2862" s="66"/>
      <c r="H2862" s="66"/>
      <c r="I2862" s="66"/>
      <c r="J2862" s="66"/>
      <c r="K2862" s="63">
        <v>8500.0</v>
      </c>
      <c r="L2862" s="63">
        <v>31.0</v>
      </c>
      <c r="M2862" s="66">
        <f t="shared" si="1"/>
        <v>367.91</v>
      </c>
    </row>
    <row r="2863">
      <c r="A2863" s="67"/>
      <c r="B2863" s="67"/>
      <c r="C2863" s="67"/>
      <c r="D2863" s="67"/>
      <c r="E2863" s="67"/>
      <c r="F2863" s="68"/>
      <c r="G2863" s="68"/>
      <c r="H2863" s="68"/>
      <c r="I2863" s="68"/>
      <c r="J2863" s="68"/>
      <c r="K2863" s="69">
        <v>9000.0</v>
      </c>
      <c r="L2863" s="69">
        <v>27.5</v>
      </c>
      <c r="M2863" s="68">
        <f t="shared" si="1"/>
        <v>345.57</v>
      </c>
    </row>
    <row r="2864">
      <c r="A2864" s="66">
        <v>191.0</v>
      </c>
      <c r="B2864" s="66">
        <v>309.0</v>
      </c>
      <c r="C2864" s="74" t="s">
        <v>620</v>
      </c>
      <c r="D2864" s="74" t="s">
        <v>621</v>
      </c>
      <c r="E2864" s="74" t="s">
        <v>622</v>
      </c>
      <c r="F2864" s="65">
        <v>6500.0</v>
      </c>
      <c r="G2864" s="65">
        <v>7000.0</v>
      </c>
      <c r="H2864" s="65">
        <v>900.0</v>
      </c>
      <c r="I2864" s="65">
        <v>4800.0</v>
      </c>
      <c r="J2864" s="65">
        <v>5500.0</v>
      </c>
      <c r="K2864" s="63">
        <v>500.0</v>
      </c>
      <c r="L2864" s="63">
        <v>26.06</v>
      </c>
      <c r="M2864" s="66">
        <f t="shared" si="1"/>
        <v>18.19</v>
      </c>
    </row>
    <row r="2865">
      <c r="A2865" s="67"/>
      <c r="B2865" s="67"/>
      <c r="C2865" s="67"/>
      <c r="D2865" s="67"/>
      <c r="E2865" s="67"/>
      <c r="F2865" s="68"/>
      <c r="G2865" s="68"/>
      <c r="H2865" s="68"/>
      <c r="I2865" s="68"/>
      <c r="J2865" s="68"/>
      <c r="K2865" s="69">
        <v>1000.0</v>
      </c>
      <c r="L2865" s="69">
        <v>27.27</v>
      </c>
      <c r="M2865" s="68">
        <f t="shared" si="1"/>
        <v>38.08</v>
      </c>
    </row>
    <row r="2866">
      <c r="A2866" s="70"/>
      <c r="B2866" s="70"/>
      <c r="C2866" s="70"/>
      <c r="D2866" s="70"/>
      <c r="E2866" s="70"/>
      <c r="F2866" s="66"/>
      <c r="G2866" s="66"/>
      <c r="H2866" s="66"/>
      <c r="I2866" s="66"/>
      <c r="J2866" s="66"/>
      <c r="K2866" s="63">
        <v>1500.0</v>
      </c>
      <c r="L2866" s="63">
        <v>29.22</v>
      </c>
      <c r="M2866" s="66">
        <f t="shared" si="1"/>
        <v>61.2</v>
      </c>
    </row>
    <row r="2867">
      <c r="A2867" s="67"/>
      <c r="B2867" s="67"/>
      <c r="C2867" s="67"/>
      <c r="D2867" s="67"/>
      <c r="E2867" s="67"/>
      <c r="F2867" s="68"/>
      <c r="G2867" s="68"/>
      <c r="H2867" s="68"/>
      <c r="I2867" s="68"/>
      <c r="J2867" s="68"/>
      <c r="K2867" s="69">
        <v>2000.0</v>
      </c>
      <c r="L2867" s="69">
        <v>34.22</v>
      </c>
      <c r="M2867" s="68">
        <f t="shared" si="1"/>
        <v>95.56</v>
      </c>
    </row>
    <row r="2868">
      <c r="A2868" s="70"/>
      <c r="B2868" s="70"/>
      <c r="C2868" s="70"/>
      <c r="D2868" s="70"/>
      <c r="E2868" s="70"/>
      <c r="F2868" s="66"/>
      <c r="G2868" s="66"/>
      <c r="H2868" s="66"/>
      <c r="I2868" s="66"/>
      <c r="J2868" s="66"/>
      <c r="K2868" s="63">
        <v>2500.0</v>
      </c>
      <c r="L2868" s="63">
        <v>40.74</v>
      </c>
      <c r="M2868" s="66">
        <f t="shared" si="1"/>
        <v>142.21</v>
      </c>
    </row>
    <row r="2869">
      <c r="A2869" s="67"/>
      <c r="B2869" s="67"/>
      <c r="C2869" s="67"/>
      <c r="D2869" s="67"/>
      <c r="E2869" s="67"/>
      <c r="F2869" s="68"/>
      <c r="G2869" s="68"/>
      <c r="H2869" s="68"/>
      <c r="I2869" s="68"/>
      <c r="J2869" s="68"/>
      <c r="K2869" s="69">
        <v>3000.0</v>
      </c>
      <c r="L2869" s="69">
        <v>47.36</v>
      </c>
      <c r="M2869" s="68">
        <f t="shared" si="1"/>
        <v>198.38</v>
      </c>
    </row>
    <row r="2870">
      <c r="A2870" s="70"/>
      <c r="B2870" s="70"/>
      <c r="C2870" s="70"/>
      <c r="D2870" s="70"/>
      <c r="E2870" s="70"/>
      <c r="F2870" s="66"/>
      <c r="G2870" s="66"/>
      <c r="H2870" s="66"/>
      <c r="I2870" s="66"/>
      <c r="J2870" s="66"/>
      <c r="K2870" s="63">
        <v>3500.0</v>
      </c>
      <c r="L2870" s="63">
        <v>56.14</v>
      </c>
      <c r="M2870" s="66">
        <f t="shared" si="1"/>
        <v>274.35</v>
      </c>
    </row>
    <row r="2871">
      <c r="A2871" s="67"/>
      <c r="B2871" s="67"/>
      <c r="C2871" s="67"/>
      <c r="D2871" s="67"/>
      <c r="E2871" s="67"/>
      <c r="F2871" s="68"/>
      <c r="G2871" s="68"/>
      <c r="H2871" s="68"/>
      <c r="I2871" s="68"/>
      <c r="J2871" s="68"/>
      <c r="K2871" s="69">
        <v>4000.0</v>
      </c>
      <c r="L2871" s="69">
        <v>62.22</v>
      </c>
      <c r="M2871" s="68">
        <f t="shared" si="1"/>
        <v>347.5</v>
      </c>
    </row>
    <row r="2872">
      <c r="A2872" s="70"/>
      <c r="B2872" s="70"/>
      <c r="C2872" s="70"/>
      <c r="D2872" s="70"/>
      <c r="E2872" s="70"/>
      <c r="F2872" s="66"/>
      <c r="G2872" s="66"/>
      <c r="H2872" s="66"/>
      <c r="I2872" s="66"/>
      <c r="J2872" s="66"/>
      <c r="K2872" s="63">
        <v>4800.0</v>
      </c>
      <c r="L2872" s="63">
        <v>66.3</v>
      </c>
      <c r="M2872" s="66">
        <f t="shared" si="1"/>
        <v>444.35</v>
      </c>
    </row>
    <row r="2873">
      <c r="A2873" s="67"/>
      <c r="B2873" s="67"/>
      <c r="C2873" s="67"/>
      <c r="D2873" s="67"/>
      <c r="E2873" s="67"/>
      <c r="F2873" s="68"/>
      <c r="G2873" s="68"/>
      <c r="H2873" s="68"/>
      <c r="I2873" s="68"/>
      <c r="J2873" s="68"/>
      <c r="K2873" s="69">
        <v>5000.0</v>
      </c>
      <c r="L2873" s="69">
        <v>66.18</v>
      </c>
      <c r="M2873" s="68">
        <f t="shared" si="1"/>
        <v>462.02</v>
      </c>
    </row>
    <row r="2874">
      <c r="A2874" s="70"/>
      <c r="B2874" s="70"/>
      <c r="C2874" s="70"/>
      <c r="D2874" s="70"/>
      <c r="E2874" s="70"/>
      <c r="F2874" s="66"/>
      <c r="G2874" s="66"/>
      <c r="H2874" s="66"/>
      <c r="I2874" s="66"/>
      <c r="J2874" s="66"/>
      <c r="K2874" s="63">
        <v>5500.0</v>
      </c>
      <c r="L2874" s="63">
        <v>63.88</v>
      </c>
      <c r="M2874" s="66">
        <f t="shared" si="1"/>
        <v>490.56</v>
      </c>
    </row>
    <row r="2875">
      <c r="A2875" s="67"/>
      <c r="B2875" s="67"/>
      <c r="C2875" s="67"/>
      <c r="D2875" s="67"/>
      <c r="E2875" s="67"/>
      <c r="F2875" s="68"/>
      <c r="G2875" s="68"/>
      <c r="H2875" s="68"/>
      <c r="I2875" s="68"/>
      <c r="J2875" s="68"/>
      <c r="K2875" s="69">
        <v>6000.0</v>
      </c>
      <c r="L2875" s="69">
        <v>57.81</v>
      </c>
      <c r="M2875" s="68">
        <f t="shared" si="1"/>
        <v>484.31</v>
      </c>
    </row>
    <row r="2876">
      <c r="A2876" s="70"/>
      <c r="B2876" s="70"/>
      <c r="C2876" s="70"/>
      <c r="D2876" s="70"/>
      <c r="E2876" s="70"/>
      <c r="F2876" s="66"/>
      <c r="G2876" s="66"/>
      <c r="H2876" s="66"/>
      <c r="I2876" s="66"/>
      <c r="J2876" s="66"/>
      <c r="K2876" s="63">
        <v>6500.0</v>
      </c>
      <c r="L2876" s="63">
        <v>51.77</v>
      </c>
      <c r="M2876" s="66">
        <f t="shared" si="1"/>
        <v>469.85</v>
      </c>
    </row>
    <row r="2877">
      <c r="A2877" s="67"/>
      <c r="B2877" s="67"/>
      <c r="C2877" s="67"/>
      <c r="D2877" s="67"/>
      <c r="E2877" s="67"/>
      <c r="F2877" s="68"/>
      <c r="G2877" s="68"/>
      <c r="H2877" s="68"/>
      <c r="I2877" s="68"/>
      <c r="J2877" s="68"/>
      <c r="K2877" s="69">
        <v>7000.0</v>
      </c>
      <c r="L2877" s="69">
        <v>43.7</v>
      </c>
      <c r="M2877" s="68">
        <f t="shared" si="1"/>
        <v>427.12</v>
      </c>
    </row>
    <row r="2878">
      <c r="A2878" s="70"/>
      <c r="B2878" s="70"/>
      <c r="C2878" s="70"/>
      <c r="D2878" s="70"/>
      <c r="E2878" s="70"/>
      <c r="F2878" s="66"/>
      <c r="G2878" s="66"/>
      <c r="H2878" s="66"/>
      <c r="I2878" s="66"/>
      <c r="J2878" s="66"/>
      <c r="K2878" s="63">
        <v>7500.0</v>
      </c>
      <c r="L2878" s="63">
        <v>35.88</v>
      </c>
      <c r="M2878" s="66">
        <f t="shared" si="1"/>
        <v>375.73</v>
      </c>
    </row>
    <row r="2879">
      <c r="A2879" s="68">
        <v>192.0</v>
      </c>
      <c r="B2879" s="68">
        <v>310.0</v>
      </c>
      <c r="C2879" s="71" t="s">
        <v>623</v>
      </c>
      <c r="D2879" s="71" t="s">
        <v>624</v>
      </c>
      <c r="E2879" s="71" t="s">
        <v>625</v>
      </c>
      <c r="F2879" s="72">
        <v>6500.0</v>
      </c>
      <c r="G2879" s="72">
        <v>6500.0</v>
      </c>
      <c r="H2879" s="72">
        <v>700.0</v>
      </c>
      <c r="I2879" s="72">
        <v>3750.0</v>
      </c>
      <c r="J2879" s="72">
        <v>6000.0</v>
      </c>
      <c r="K2879" s="69">
        <v>500.0</v>
      </c>
      <c r="L2879" s="69">
        <v>23.25</v>
      </c>
      <c r="M2879" s="68">
        <f t="shared" si="1"/>
        <v>16.23</v>
      </c>
    </row>
    <row r="2880">
      <c r="A2880" s="70"/>
      <c r="B2880" s="70"/>
      <c r="C2880" s="70"/>
      <c r="D2880" s="70"/>
      <c r="E2880" s="70"/>
      <c r="F2880" s="66"/>
      <c r="G2880" s="66"/>
      <c r="H2880" s="66"/>
      <c r="I2880" s="66"/>
      <c r="J2880" s="66"/>
      <c r="K2880" s="63">
        <v>1000.0</v>
      </c>
      <c r="L2880" s="63">
        <v>23.76</v>
      </c>
      <c r="M2880" s="66">
        <f t="shared" si="1"/>
        <v>33.18</v>
      </c>
    </row>
    <row r="2881">
      <c r="A2881" s="67"/>
      <c r="B2881" s="67"/>
      <c r="C2881" s="67"/>
      <c r="D2881" s="67"/>
      <c r="E2881" s="67"/>
      <c r="F2881" s="68"/>
      <c r="G2881" s="68"/>
      <c r="H2881" s="68"/>
      <c r="I2881" s="68"/>
      <c r="J2881" s="68"/>
      <c r="K2881" s="69">
        <v>1500.0</v>
      </c>
      <c r="L2881" s="69">
        <v>24.37</v>
      </c>
      <c r="M2881" s="68">
        <f t="shared" si="1"/>
        <v>51.04</v>
      </c>
    </row>
    <row r="2882">
      <c r="A2882" s="73"/>
      <c r="B2882" s="73"/>
      <c r="C2882" s="73"/>
      <c r="D2882" s="73"/>
      <c r="E2882" s="73"/>
      <c r="F2882" s="66"/>
      <c r="G2882" s="66"/>
      <c r="H2882" s="66"/>
      <c r="I2882" s="66"/>
      <c r="J2882" s="66"/>
      <c r="K2882" s="63">
        <v>2000.0</v>
      </c>
      <c r="L2882" s="63">
        <v>25.29</v>
      </c>
      <c r="M2882" s="66">
        <f t="shared" si="1"/>
        <v>70.62</v>
      </c>
    </row>
    <row r="2883">
      <c r="A2883" s="67"/>
      <c r="B2883" s="67"/>
      <c r="C2883" s="67"/>
      <c r="D2883" s="67"/>
      <c r="E2883" s="67"/>
      <c r="F2883" s="68"/>
      <c r="G2883" s="68"/>
      <c r="H2883" s="68"/>
      <c r="I2883" s="68"/>
      <c r="J2883" s="68"/>
      <c r="K2883" s="69">
        <v>2500.0</v>
      </c>
      <c r="L2883" s="69">
        <v>26.61</v>
      </c>
      <c r="M2883" s="68">
        <f t="shared" si="1"/>
        <v>92.89</v>
      </c>
    </row>
    <row r="2884">
      <c r="A2884" s="70"/>
      <c r="B2884" s="70"/>
      <c r="C2884" s="70"/>
      <c r="D2884" s="70"/>
      <c r="E2884" s="70"/>
      <c r="F2884" s="66"/>
      <c r="G2884" s="66"/>
      <c r="H2884" s="66"/>
      <c r="I2884" s="66"/>
      <c r="J2884" s="66"/>
      <c r="K2884" s="63">
        <v>3000.0</v>
      </c>
      <c r="L2884" s="63">
        <v>26.92</v>
      </c>
      <c r="M2884" s="66">
        <f t="shared" si="1"/>
        <v>112.76</v>
      </c>
    </row>
    <row r="2885">
      <c r="A2885" s="67"/>
      <c r="B2885" s="67"/>
      <c r="C2885" s="67"/>
      <c r="D2885" s="67"/>
      <c r="E2885" s="67"/>
      <c r="F2885" s="68"/>
      <c r="G2885" s="68"/>
      <c r="H2885" s="68"/>
      <c r="I2885" s="68"/>
      <c r="J2885" s="68"/>
      <c r="K2885" s="69">
        <v>3500.0</v>
      </c>
      <c r="L2885" s="69">
        <v>28.25</v>
      </c>
      <c r="M2885" s="68">
        <f t="shared" si="1"/>
        <v>138.06</v>
      </c>
    </row>
    <row r="2886">
      <c r="A2886" s="70"/>
      <c r="B2886" s="70"/>
      <c r="C2886" s="70"/>
      <c r="D2886" s="70"/>
      <c r="E2886" s="70"/>
      <c r="F2886" s="66"/>
      <c r="G2886" s="66"/>
      <c r="H2886" s="66"/>
      <c r="I2886" s="66"/>
      <c r="J2886" s="66"/>
      <c r="K2886" s="63">
        <v>4000.0</v>
      </c>
      <c r="L2886" s="63">
        <v>28.55</v>
      </c>
      <c r="M2886" s="66">
        <f t="shared" si="1"/>
        <v>159.45</v>
      </c>
    </row>
    <row r="2887">
      <c r="A2887" s="67"/>
      <c r="B2887" s="67"/>
      <c r="C2887" s="67"/>
      <c r="D2887" s="67"/>
      <c r="E2887" s="67"/>
      <c r="F2887" s="68"/>
      <c r="G2887" s="68"/>
      <c r="H2887" s="68"/>
      <c r="I2887" s="68"/>
      <c r="J2887" s="68"/>
      <c r="K2887" s="69">
        <v>4500.0</v>
      </c>
      <c r="L2887" s="69">
        <v>27.84</v>
      </c>
      <c r="M2887" s="68">
        <f t="shared" si="1"/>
        <v>174.92</v>
      </c>
    </row>
    <row r="2888">
      <c r="A2888" s="70"/>
      <c r="B2888" s="70"/>
      <c r="C2888" s="70"/>
      <c r="D2888" s="70"/>
      <c r="E2888" s="70"/>
      <c r="F2888" s="66"/>
      <c r="G2888" s="66"/>
      <c r="H2888" s="66"/>
      <c r="I2888" s="66"/>
      <c r="J2888" s="66"/>
      <c r="K2888" s="63">
        <v>5000.0</v>
      </c>
      <c r="L2888" s="63">
        <v>26.92</v>
      </c>
      <c r="M2888" s="66">
        <f t="shared" si="1"/>
        <v>187.94</v>
      </c>
    </row>
    <row r="2889">
      <c r="A2889" s="67"/>
      <c r="B2889" s="67"/>
      <c r="C2889" s="67"/>
      <c r="D2889" s="67"/>
      <c r="E2889" s="67"/>
      <c r="F2889" s="68"/>
      <c r="G2889" s="68"/>
      <c r="H2889" s="68"/>
      <c r="I2889" s="68"/>
      <c r="J2889" s="68"/>
      <c r="K2889" s="69">
        <v>5500.0</v>
      </c>
      <c r="L2889" s="69">
        <v>25.8</v>
      </c>
      <c r="M2889" s="68">
        <f t="shared" si="1"/>
        <v>198.13</v>
      </c>
    </row>
    <row r="2890">
      <c r="A2890" s="70"/>
      <c r="B2890" s="70"/>
      <c r="C2890" s="70"/>
      <c r="D2890" s="70"/>
      <c r="E2890" s="70"/>
      <c r="F2890" s="66"/>
      <c r="G2890" s="66"/>
      <c r="H2890" s="66"/>
      <c r="I2890" s="66"/>
      <c r="J2890" s="66"/>
      <c r="K2890" s="63">
        <v>6000.0</v>
      </c>
      <c r="L2890" s="63">
        <v>24.68</v>
      </c>
      <c r="M2890" s="66">
        <f t="shared" si="1"/>
        <v>206.76</v>
      </c>
    </row>
    <row r="2891">
      <c r="A2891" s="67"/>
      <c r="B2891" s="67"/>
      <c r="C2891" s="67"/>
      <c r="D2891" s="67"/>
      <c r="E2891" s="67"/>
      <c r="F2891" s="68"/>
      <c r="G2891" s="68"/>
      <c r="H2891" s="68"/>
      <c r="I2891" s="68"/>
      <c r="J2891" s="68"/>
      <c r="K2891" s="69">
        <v>6500.0</v>
      </c>
      <c r="L2891" s="69">
        <v>22.74</v>
      </c>
      <c r="M2891" s="68">
        <f t="shared" si="1"/>
        <v>206.38</v>
      </c>
    </row>
    <row r="2892">
      <c r="A2892" s="70"/>
      <c r="B2892" s="70"/>
      <c r="C2892" s="70"/>
      <c r="D2892" s="70"/>
      <c r="E2892" s="70"/>
      <c r="F2892" s="66"/>
      <c r="G2892" s="66"/>
      <c r="H2892" s="66"/>
      <c r="I2892" s="66"/>
      <c r="J2892" s="66"/>
      <c r="K2892" s="63">
        <v>7000.0</v>
      </c>
      <c r="L2892" s="63">
        <v>20.4</v>
      </c>
      <c r="M2892" s="66">
        <f t="shared" si="1"/>
        <v>199.39</v>
      </c>
    </row>
    <row r="2893">
      <c r="A2893" s="68">
        <v>193.0</v>
      </c>
      <c r="B2893" s="68">
        <v>311.0</v>
      </c>
      <c r="C2893" s="71" t="s">
        <v>626</v>
      </c>
      <c r="D2893" s="71" t="s">
        <v>627</v>
      </c>
      <c r="E2893" s="71" t="s">
        <v>628</v>
      </c>
      <c r="F2893" s="72">
        <v>7000.0</v>
      </c>
      <c r="G2893" s="72">
        <v>7200.0</v>
      </c>
      <c r="H2893" s="72">
        <v>700.0</v>
      </c>
      <c r="I2893" s="72">
        <v>4800.0</v>
      </c>
      <c r="J2893" s="72">
        <v>6000.0</v>
      </c>
      <c r="K2893" s="69">
        <v>500.0</v>
      </c>
      <c r="L2893" s="69">
        <v>16.27</v>
      </c>
      <c r="M2893" s="68">
        <f t="shared" si="1"/>
        <v>11.36</v>
      </c>
    </row>
    <row r="2894">
      <c r="A2894" s="70"/>
      <c r="B2894" s="70"/>
      <c r="C2894" s="70"/>
      <c r="D2894" s="70"/>
      <c r="E2894" s="70"/>
      <c r="F2894" s="66"/>
      <c r="G2894" s="66"/>
      <c r="H2894" s="66"/>
      <c r="I2894" s="66"/>
      <c r="J2894" s="66"/>
      <c r="K2894" s="63">
        <v>1000.0</v>
      </c>
      <c r="L2894" s="63">
        <v>18.9</v>
      </c>
      <c r="M2894" s="66">
        <f t="shared" si="1"/>
        <v>26.39</v>
      </c>
    </row>
    <row r="2895">
      <c r="A2895" s="67"/>
      <c r="B2895" s="67"/>
      <c r="C2895" s="67"/>
      <c r="D2895" s="67"/>
      <c r="E2895" s="67"/>
      <c r="F2895" s="68"/>
      <c r="G2895" s="68"/>
      <c r="H2895" s="68"/>
      <c r="I2895" s="68"/>
      <c r="J2895" s="68"/>
      <c r="K2895" s="69">
        <v>1500.0</v>
      </c>
      <c r="L2895" s="69">
        <v>21.38</v>
      </c>
      <c r="M2895" s="68">
        <f t="shared" si="1"/>
        <v>44.78</v>
      </c>
    </row>
    <row r="2896">
      <c r="A2896" s="70"/>
      <c r="B2896" s="70"/>
      <c r="C2896" s="70"/>
      <c r="D2896" s="70"/>
      <c r="E2896" s="70"/>
      <c r="F2896" s="66"/>
      <c r="G2896" s="66"/>
      <c r="H2896" s="66"/>
      <c r="I2896" s="66"/>
      <c r="J2896" s="66"/>
      <c r="K2896" s="63">
        <v>2000.0</v>
      </c>
      <c r="L2896" s="63">
        <v>23.4</v>
      </c>
      <c r="M2896" s="66">
        <f t="shared" si="1"/>
        <v>65.34</v>
      </c>
    </row>
    <row r="2897">
      <c r="A2897" s="67"/>
      <c r="B2897" s="67"/>
      <c r="C2897" s="67"/>
      <c r="D2897" s="67"/>
      <c r="E2897" s="67"/>
      <c r="F2897" s="68"/>
      <c r="G2897" s="68"/>
      <c r="H2897" s="68"/>
      <c r="I2897" s="68"/>
      <c r="J2897" s="68"/>
      <c r="K2897" s="69">
        <v>2500.0</v>
      </c>
      <c r="L2897" s="69">
        <v>25.45</v>
      </c>
      <c r="M2897" s="68">
        <f t="shared" si="1"/>
        <v>88.84</v>
      </c>
    </row>
    <row r="2898">
      <c r="A2898" s="70"/>
      <c r="B2898" s="70"/>
      <c r="C2898" s="70"/>
      <c r="D2898" s="70"/>
      <c r="E2898" s="70"/>
      <c r="F2898" s="66"/>
      <c r="G2898" s="66"/>
      <c r="H2898" s="66"/>
      <c r="I2898" s="66"/>
      <c r="J2898" s="66"/>
      <c r="K2898" s="63">
        <v>3000.0</v>
      </c>
      <c r="L2898" s="63">
        <v>27.0</v>
      </c>
      <c r="M2898" s="66">
        <f t="shared" si="1"/>
        <v>113.1</v>
      </c>
    </row>
    <row r="2899">
      <c r="A2899" s="67"/>
      <c r="B2899" s="67"/>
      <c r="C2899" s="67"/>
      <c r="D2899" s="67"/>
      <c r="E2899" s="67"/>
      <c r="F2899" s="68"/>
      <c r="G2899" s="68"/>
      <c r="H2899" s="68"/>
      <c r="I2899" s="68"/>
      <c r="J2899" s="68"/>
      <c r="K2899" s="69">
        <v>3500.0</v>
      </c>
      <c r="L2899" s="69">
        <v>27.5</v>
      </c>
      <c r="M2899" s="68">
        <f t="shared" si="1"/>
        <v>134.39</v>
      </c>
    </row>
    <row r="2900">
      <c r="A2900" s="70"/>
      <c r="B2900" s="70"/>
      <c r="C2900" s="70"/>
      <c r="D2900" s="70"/>
      <c r="E2900" s="70"/>
      <c r="F2900" s="66"/>
      <c r="G2900" s="66"/>
      <c r="H2900" s="66"/>
      <c r="I2900" s="66"/>
      <c r="J2900" s="66"/>
      <c r="K2900" s="63">
        <v>4000.0</v>
      </c>
      <c r="L2900" s="63">
        <v>27.8</v>
      </c>
      <c r="M2900" s="66">
        <f t="shared" si="1"/>
        <v>155.26</v>
      </c>
    </row>
    <row r="2901">
      <c r="A2901" s="67"/>
      <c r="B2901" s="67"/>
      <c r="C2901" s="67"/>
      <c r="D2901" s="67"/>
      <c r="E2901" s="67"/>
      <c r="F2901" s="68"/>
      <c r="G2901" s="68"/>
      <c r="H2901" s="68"/>
      <c r="I2901" s="68"/>
      <c r="J2901" s="68"/>
      <c r="K2901" s="69">
        <v>4800.0</v>
      </c>
      <c r="L2901" s="69">
        <v>28.0</v>
      </c>
      <c r="M2901" s="68">
        <f t="shared" si="1"/>
        <v>187.66</v>
      </c>
    </row>
    <row r="2902">
      <c r="A2902" s="70"/>
      <c r="B2902" s="70"/>
      <c r="C2902" s="70"/>
      <c r="D2902" s="70"/>
      <c r="E2902" s="70"/>
      <c r="F2902" s="66"/>
      <c r="G2902" s="66"/>
      <c r="H2902" s="66"/>
      <c r="I2902" s="66"/>
      <c r="J2902" s="66"/>
      <c r="K2902" s="63">
        <v>5000.0</v>
      </c>
      <c r="L2902" s="63">
        <v>28.0</v>
      </c>
      <c r="M2902" s="66">
        <f t="shared" si="1"/>
        <v>195.48</v>
      </c>
    </row>
    <row r="2903">
      <c r="A2903" s="67"/>
      <c r="B2903" s="67"/>
      <c r="C2903" s="67"/>
      <c r="D2903" s="67"/>
      <c r="E2903" s="67"/>
      <c r="F2903" s="68"/>
      <c r="G2903" s="68"/>
      <c r="H2903" s="68"/>
      <c r="I2903" s="68"/>
      <c r="J2903" s="68"/>
      <c r="K2903" s="69">
        <v>5500.0</v>
      </c>
      <c r="L2903" s="69">
        <v>27.6</v>
      </c>
      <c r="M2903" s="68">
        <f t="shared" si="1"/>
        <v>211.95</v>
      </c>
    </row>
    <row r="2904">
      <c r="A2904" s="70"/>
      <c r="B2904" s="70"/>
      <c r="C2904" s="70"/>
      <c r="D2904" s="70"/>
      <c r="E2904" s="70"/>
      <c r="F2904" s="66"/>
      <c r="G2904" s="66"/>
      <c r="H2904" s="66"/>
      <c r="I2904" s="66"/>
      <c r="J2904" s="66"/>
      <c r="K2904" s="63">
        <v>6000.0</v>
      </c>
      <c r="L2904" s="63">
        <v>26.2</v>
      </c>
      <c r="M2904" s="66">
        <f t="shared" si="1"/>
        <v>219.49</v>
      </c>
    </row>
    <row r="2905">
      <c r="A2905" s="67"/>
      <c r="B2905" s="67"/>
      <c r="C2905" s="67"/>
      <c r="D2905" s="67"/>
      <c r="E2905" s="67"/>
      <c r="F2905" s="68"/>
      <c r="G2905" s="68"/>
      <c r="H2905" s="68"/>
      <c r="I2905" s="68"/>
      <c r="J2905" s="68"/>
      <c r="K2905" s="69">
        <v>6500.0</v>
      </c>
      <c r="L2905" s="69">
        <v>24.0</v>
      </c>
      <c r="M2905" s="68">
        <f t="shared" si="1"/>
        <v>217.82</v>
      </c>
    </row>
    <row r="2906">
      <c r="A2906" s="73"/>
      <c r="B2906" s="73"/>
      <c r="C2906" s="73"/>
      <c r="D2906" s="73"/>
      <c r="E2906" s="73"/>
      <c r="F2906" s="66"/>
      <c r="G2906" s="66"/>
      <c r="H2906" s="66"/>
      <c r="I2906" s="66"/>
      <c r="J2906" s="66"/>
      <c r="K2906" s="63">
        <v>7000.0</v>
      </c>
      <c r="L2906" s="63">
        <v>21.8</v>
      </c>
      <c r="M2906" s="66">
        <f t="shared" si="1"/>
        <v>213.07</v>
      </c>
    </row>
    <row r="2907">
      <c r="A2907" s="67"/>
      <c r="B2907" s="67"/>
      <c r="C2907" s="67"/>
      <c r="D2907" s="67"/>
      <c r="E2907" s="67"/>
      <c r="F2907" s="68"/>
      <c r="G2907" s="68"/>
      <c r="H2907" s="68"/>
      <c r="I2907" s="68"/>
      <c r="J2907" s="68"/>
      <c r="K2907" s="69">
        <v>7500.0</v>
      </c>
      <c r="L2907" s="69">
        <v>18.6</v>
      </c>
      <c r="M2907" s="68">
        <f t="shared" si="1"/>
        <v>194.78</v>
      </c>
    </row>
    <row r="2908">
      <c r="A2908" s="70"/>
      <c r="B2908" s="70"/>
      <c r="C2908" s="70"/>
      <c r="D2908" s="70"/>
      <c r="E2908" s="70"/>
      <c r="F2908" s="66"/>
      <c r="G2908" s="66"/>
      <c r="H2908" s="66"/>
      <c r="I2908" s="66"/>
      <c r="J2908" s="66"/>
      <c r="K2908" s="63">
        <v>8000.0</v>
      </c>
      <c r="L2908" s="63">
        <v>15.0</v>
      </c>
      <c r="M2908" s="66">
        <f t="shared" si="1"/>
        <v>167.55</v>
      </c>
    </row>
    <row r="2909">
      <c r="A2909" s="68">
        <v>194.0</v>
      </c>
      <c r="B2909" s="68">
        <v>315.0</v>
      </c>
      <c r="C2909" s="71" t="s">
        <v>629</v>
      </c>
      <c r="D2909" s="71" t="s">
        <v>630</v>
      </c>
      <c r="E2909" s="71" t="s">
        <v>631</v>
      </c>
      <c r="F2909" s="72">
        <v>8000.0</v>
      </c>
      <c r="G2909" s="72">
        <v>8000.0</v>
      </c>
      <c r="H2909" s="72">
        <v>700.0</v>
      </c>
      <c r="I2909" s="72">
        <v>4000.0</v>
      </c>
      <c r="J2909" s="72">
        <v>6500.0</v>
      </c>
      <c r="K2909" s="69">
        <v>500.0</v>
      </c>
      <c r="L2909" s="69">
        <v>14.92</v>
      </c>
      <c r="M2909" s="68">
        <f t="shared" si="1"/>
        <v>10.42</v>
      </c>
    </row>
    <row r="2910">
      <c r="A2910" s="70"/>
      <c r="B2910" s="70"/>
      <c r="C2910" s="70"/>
      <c r="D2910" s="70"/>
      <c r="E2910" s="70"/>
      <c r="F2910" s="66"/>
      <c r="G2910" s="66"/>
      <c r="H2910" s="66"/>
      <c r="I2910" s="66"/>
      <c r="J2910" s="66"/>
      <c r="K2910" s="63">
        <v>1000.0</v>
      </c>
      <c r="L2910" s="63">
        <v>16.5</v>
      </c>
      <c r="M2910" s="66">
        <f t="shared" si="1"/>
        <v>23.04</v>
      </c>
    </row>
    <row r="2911">
      <c r="A2911" s="67"/>
      <c r="B2911" s="67"/>
      <c r="C2911" s="67"/>
      <c r="D2911" s="67"/>
      <c r="E2911" s="67"/>
      <c r="F2911" s="68"/>
      <c r="G2911" s="68"/>
      <c r="H2911" s="68"/>
      <c r="I2911" s="68"/>
      <c r="J2911" s="68"/>
      <c r="K2911" s="69">
        <v>1500.0</v>
      </c>
      <c r="L2911" s="69">
        <v>18.05</v>
      </c>
      <c r="M2911" s="68">
        <f t="shared" si="1"/>
        <v>37.8</v>
      </c>
    </row>
    <row r="2912">
      <c r="A2912" s="70"/>
      <c r="B2912" s="70"/>
      <c r="C2912" s="70"/>
      <c r="D2912" s="70"/>
      <c r="E2912" s="70"/>
      <c r="F2912" s="66"/>
      <c r="G2912" s="66"/>
      <c r="H2912" s="66"/>
      <c r="I2912" s="66"/>
      <c r="J2912" s="66"/>
      <c r="K2912" s="63">
        <v>2000.0</v>
      </c>
      <c r="L2912" s="63">
        <v>20.46</v>
      </c>
      <c r="M2912" s="66">
        <f t="shared" si="1"/>
        <v>57.13</v>
      </c>
    </row>
    <row r="2913">
      <c r="A2913" s="67"/>
      <c r="B2913" s="67"/>
      <c r="C2913" s="67"/>
      <c r="D2913" s="67"/>
      <c r="E2913" s="67"/>
      <c r="F2913" s="68"/>
      <c r="G2913" s="68"/>
      <c r="H2913" s="68"/>
      <c r="I2913" s="68"/>
      <c r="J2913" s="68"/>
      <c r="K2913" s="69">
        <v>2500.0</v>
      </c>
      <c r="L2913" s="69">
        <v>25.89</v>
      </c>
      <c r="M2913" s="68">
        <f t="shared" si="1"/>
        <v>90.37</v>
      </c>
    </row>
    <row r="2914">
      <c r="A2914" s="70"/>
      <c r="B2914" s="70"/>
      <c r="C2914" s="70"/>
      <c r="D2914" s="70"/>
      <c r="E2914" s="70"/>
      <c r="F2914" s="66"/>
      <c r="G2914" s="66"/>
      <c r="H2914" s="66"/>
      <c r="I2914" s="66"/>
      <c r="J2914" s="66"/>
      <c r="K2914" s="63">
        <v>3000.0</v>
      </c>
      <c r="L2914" s="63">
        <v>31.71</v>
      </c>
      <c r="M2914" s="66">
        <f t="shared" si="1"/>
        <v>132.83</v>
      </c>
    </row>
    <row r="2915">
      <c r="A2915" s="67"/>
      <c r="B2915" s="67"/>
      <c r="C2915" s="67"/>
      <c r="D2915" s="67"/>
      <c r="E2915" s="67"/>
      <c r="F2915" s="68"/>
      <c r="G2915" s="68"/>
      <c r="H2915" s="68"/>
      <c r="I2915" s="68"/>
      <c r="J2915" s="68"/>
      <c r="K2915" s="69">
        <v>3500.0</v>
      </c>
      <c r="L2915" s="69">
        <v>35.47</v>
      </c>
      <c r="M2915" s="68">
        <f t="shared" si="1"/>
        <v>173.34</v>
      </c>
    </row>
    <row r="2916">
      <c r="A2916" s="70"/>
      <c r="B2916" s="70"/>
      <c r="C2916" s="70"/>
      <c r="D2916" s="70"/>
      <c r="E2916" s="70"/>
      <c r="F2916" s="66"/>
      <c r="G2916" s="66"/>
      <c r="H2916" s="66"/>
      <c r="I2916" s="66"/>
      <c r="J2916" s="66"/>
      <c r="K2916" s="63">
        <v>4000.0</v>
      </c>
      <c r="L2916" s="63">
        <v>36.0</v>
      </c>
      <c r="M2916" s="66">
        <f t="shared" si="1"/>
        <v>201.06</v>
      </c>
    </row>
    <row r="2917">
      <c r="A2917" s="67"/>
      <c r="B2917" s="67"/>
      <c r="C2917" s="67"/>
      <c r="D2917" s="67"/>
      <c r="E2917" s="67"/>
      <c r="F2917" s="68"/>
      <c r="G2917" s="68"/>
      <c r="H2917" s="68"/>
      <c r="I2917" s="68"/>
      <c r="J2917" s="68"/>
      <c r="K2917" s="69">
        <v>4500.0</v>
      </c>
      <c r="L2917" s="69">
        <v>35.9</v>
      </c>
      <c r="M2917" s="68">
        <f t="shared" si="1"/>
        <v>225.57</v>
      </c>
    </row>
    <row r="2918">
      <c r="A2918" s="70"/>
      <c r="B2918" s="70"/>
      <c r="C2918" s="70"/>
      <c r="D2918" s="70"/>
      <c r="E2918" s="70"/>
      <c r="F2918" s="66"/>
      <c r="G2918" s="66"/>
      <c r="H2918" s="66"/>
      <c r="I2918" s="66"/>
      <c r="J2918" s="66"/>
      <c r="K2918" s="63">
        <v>5000.0</v>
      </c>
      <c r="L2918" s="63">
        <v>35.63</v>
      </c>
      <c r="M2918" s="66">
        <f t="shared" si="1"/>
        <v>248.74</v>
      </c>
    </row>
    <row r="2919">
      <c r="A2919" s="67"/>
      <c r="B2919" s="67"/>
      <c r="C2919" s="67"/>
      <c r="D2919" s="67"/>
      <c r="E2919" s="67"/>
      <c r="F2919" s="68"/>
      <c r="G2919" s="68"/>
      <c r="H2919" s="68"/>
      <c r="I2919" s="68"/>
      <c r="J2919" s="68"/>
      <c r="K2919" s="69">
        <v>5500.0</v>
      </c>
      <c r="L2919" s="69">
        <v>34.88</v>
      </c>
      <c r="M2919" s="68">
        <f t="shared" si="1"/>
        <v>267.86</v>
      </c>
    </row>
    <row r="2920">
      <c r="A2920" s="70"/>
      <c r="B2920" s="70"/>
      <c r="C2920" s="70"/>
      <c r="D2920" s="70"/>
      <c r="E2920" s="70"/>
      <c r="F2920" s="66"/>
      <c r="G2920" s="66"/>
      <c r="H2920" s="66"/>
      <c r="I2920" s="66"/>
      <c r="J2920" s="66"/>
      <c r="K2920" s="63">
        <v>6000.0</v>
      </c>
      <c r="L2920" s="63">
        <v>33.23</v>
      </c>
      <c r="M2920" s="66">
        <f t="shared" si="1"/>
        <v>278.39</v>
      </c>
    </row>
    <row r="2921">
      <c r="A2921" s="67"/>
      <c r="B2921" s="67"/>
      <c r="C2921" s="67"/>
      <c r="D2921" s="67"/>
      <c r="E2921" s="67"/>
      <c r="F2921" s="68"/>
      <c r="G2921" s="68"/>
      <c r="H2921" s="68"/>
      <c r="I2921" s="68"/>
      <c r="J2921" s="68"/>
      <c r="K2921" s="69">
        <v>6500.0</v>
      </c>
      <c r="L2921" s="69">
        <v>30.85</v>
      </c>
      <c r="M2921" s="68">
        <f t="shared" si="1"/>
        <v>279.98</v>
      </c>
    </row>
    <row r="2922">
      <c r="A2922" s="70"/>
      <c r="B2922" s="70"/>
      <c r="C2922" s="70"/>
      <c r="D2922" s="70"/>
      <c r="E2922" s="70"/>
      <c r="F2922" s="66"/>
      <c r="G2922" s="66"/>
      <c r="H2922" s="66"/>
      <c r="I2922" s="66"/>
      <c r="J2922" s="66"/>
      <c r="K2922" s="63">
        <v>7000.0</v>
      </c>
      <c r="L2922" s="63">
        <v>28.19</v>
      </c>
      <c r="M2922" s="66">
        <f t="shared" si="1"/>
        <v>275.52</v>
      </c>
    </row>
    <row r="2923">
      <c r="A2923" s="67"/>
      <c r="B2923" s="67"/>
      <c r="C2923" s="67"/>
      <c r="D2923" s="67"/>
      <c r="E2923" s="67"/>
      <c r="F2923" s="68"/>
      <c r="G2923" s="68"/>
      <c r="H2923" s="68"/>
      <c r="I2923" s="68"/>
      <c r="J2923" s="68"/>
      <c r="K2923" s="69">
        <v>7500.0</v>
      </c>
      <c r="L2923" s="69">
        <v>24.68</v>
      </c>
      <c r="M2923" s="68">
        <f t="shared" si="1"/>
        <v>258.45</v>
      </c>
    </row>
    <row r="2924">
      <c r="A2924" s="70"/>
      <c r="B2924" s="70"/>
      <c r="C2924" s="70"/>
      <c r="D2924" s="70"/>
      <c r="E2924" s="70"/>
      <c r="F2924" s="66"/>
      <c r="G2924" s="66"/>
      <c r="H2924" s="66"/>
      <c r="I2924" s="66"/>
      <c r="J2924" s="66"/>
      <c r="K2924" s="63">
        <v>8000.0</v>
      </c>
      <c r="L2924" s="63">
        <v>20.66</v>
      </c>
      <c r="M2924" s="66">
        <f t="shared" si="1"/>
        <v>230.77</v>
      </c>
    </row>
    <row r="2925">
      <c r="A2925" s="68">
        <v>195.0</v>
      </c>
      <c r="B2925" s="68">
        <v>316.0</v>
      </c>
      <c r="C2925" s="71" t="s">
        <v>632</v>
      </c>
      <c r="D2925" s="71" t="s">
        <v>633</v>
      </c>
      <c r="E2925" s="71" t="s">
        <v>634</v>
      </c>
      <c r="F2925" s="72">
        <v>7500.0</v>
      </c>
      <c r="G2925" s="72">
        <v>7700.0</v>
      </c>
      <c r="H2925" s="72">
        <v>800.0</v>
      </c>
      <c r="I2925" s="72">
        <v>4400.0</v>
      </c>
      <c r="J2925" s="72">
        <v>6400.0</v>
      </c>
      <c r="K2925" s="69">
        <v>500.0</v>
      </c>
      <c r="L2925" s="69">
        <v>11.31</v>
      </c>
      <c r="M2925" s="68">
        <f t="shared" si="1"/>
        <v>7.9</v>
      </c>
    </row>
    <row r="2926">
      <c r="A2926" s="70"/>
      <c r="B2926" s="70"/>
      <c r="C2926" s="70"/>
      <c r="D2926" s="70"/>
      <c r="E2926" s="70"/>
      <c r="F2926" s="66"/>
      <c r="G2926" s="66"/>
      <c r="H2926" s="66"/>
      <c r="I2926" s="66"/>
      <c r="J2926" s="66"/>
      <c r="K2926" s="63">
        <v>1000.0</v>
      </c>
      <c r="L2926" s="63">
        <v>12.49</v>
      </c>
      <c r="M2926" s="66">
        <f t="shared" si="1"/>
        <v>17.44</v>
      </c>
    </row>
    <row r="2927">
      <c r="A2927" s="67"/>
      <c r="B2927" s="67"/>
      <c r="C2927" s="67"/>
      <c r="D2927" s="67"/>
      <c r="E2927" s="67"/>
      <c r="F2927" s="68"/>
      <c r="G2927" s="68"/>
      <c r="H2927" s="68"/>
      <c r="I2927" s="68"/>
      <c r="J2927" s="68"/>
      <c r="K2927" s="69">
        <v>1500.0</v>
      </c>
      <c r="L2927" s="69">
        <v>13.65</v>
      </c>
      <c r="M2927" s="68">
        <f t="shared" si="1"/>
        <v>28.59</v>
      </c>
    </row>
    <row r="2928">
      <c r="A2928" s="70"/>
      <c r="B2928" s="70"/>
      <c r="C2928" s="70"/>
      <c r="D2928" s="70"/>
      <c r="E2928" s="70"/>
      <c r="F2928" s="66"/>
      <c r="G2928" s="66"/>
      <c r="H2928" s="66"/>
      <c r="I2928" s="66"/>
      <c r="J2928" s="66"/>
      <c r="K2928" s="63">
        <v>2000.0</v>
      </c>
      <c r="L2928" s="63">
        <v>14.86</v>
      </c>
      <c r="M2928" s="66">
        <f t="shared" si="1"/>
        <v>41.5</v>
      </c>
    </row>
    <row r="2929">
      <c r="A2929" s="67"/>
      <c r="B2929" s="67"/>
      <c r="C2929" s="67"/>
      <c r="D2929" s="67"/>
      <c r="E2929" s="67"/>
      <c r="F2929" s="68"/>
      <c r="G2929" s="68"/>
      <c r="H2929" s="68"/>
      <c r="I2929" s="68"/>
      <c r="J2929" s="68"/>
      <c r="K2929" s="69">
        <v>2500.0</v>
      </c>
      <c r="L2929" s="69">
        <v>15.95</v>
      </c>
      <c r="M2929" s="68">
        <f t="shared" si="1"/>
        <v>55.68</v>
      </c>
    </row>
    <row r="2930">
      <c r="A2930" s="73"/>
      <c r="B2930" s="73"/>
      <c r="C2930" s="73"/>
      <c r="D2930" s="73"/>
      <c r="E2930" s="73"/>
      <c r="F2930" s="66"/>
      <c r="G2930" s="66"/>
      <c r="H2930" s="66"/>
      <c r="I2930" s="66"/>
      <c r="J2930" s="66"/>
      <c r="K2930" s="63">
        <v>3000.0</v>
      </c>
      <c r="L2930" s="63">
        <v>16.87</v>
      </c>
      <c r="M2930" s="66">
        <f t="shared" si="1"/>
        <v>70.66</v>
      </c>
    </row>
    <row r="2931">
      <c r="A2931" s="67"/>
      <c r="B2931" s="67"/>
      <c r="C2931" s="67"/>
      <c r="D2931" s="67"/>
      <c r="E2931" s="67"/>
      <c r="F2931" s="68"/>
      <c r="G2931" s="68"/>
      <c r="H2931" s="68"/>
      <c r="I2931" s="68"/>
      <c r="J2931" s="68"/>
      <c r="K2931" s="69">
        <v>3500.0</v>
      </c>
      <c r="L2931" s="69">
        <v>17.76</v>
      </c>
      <c r="M2931" s="68">
        <f t="shared" si="1"/>
        <v>86.79</v>
      </c>
    </row>
    <row r="2932">
      <c r="A2932" s="70"/>
      <c r="B2932" s="70"/>
      <c r="C2932" s="70"/>
      <c r="D2932" s="70"/>
      <c r="E2932" s="70"/>
      <c r="F2932" s="66"/>
      <c r="G2932" s="66"/>
      <c r="H2932" s="66"/>
      <c r="I2932" s="66"/>
      <c r="J2932" s="66"/>
      <c r="K2932" s="63">
        <v>4000.0</v>
      </c>
      <c r="L2932" s="63">
        <v>18.51</v>
      </c>
      <c r="M2932" s="66">
        <f t="shared" si="1"/>
        <v>103.38</v>
      </c>
    </row>
    <row r="2933">
      <c r="A2933" s="67"/>
      <c r="B2933" s="67"/>
      <c r="C2933" s="67"/>
      <c r="D2933" s="67"/>
      <c r="E2933" s="67"/>
      <c r="F2933" s="68"/>
      <c r="G2933" s="68"/>
      <c r="H2933" s="68"/>
      <c r="I2933" s="68"/>
      <c r="J2933" s="68"/>
      <c r="K2933" s="69">
        <v>4500.0</v>
      </c>
      <c r="L2933" s="69">
        <v>19.01</v>
      </c>
      <c r="M2933" s="68">
        <f t="shared" si="1"/>
        <v>119.44</v>
      </c>
    </row>
    <row r="2934">
      <c r="A2934" s="70"/>
      <c r="B2934" s="70"/>
      <c r="C2934" s="70"/>
      <c r="D2934" s="70"/>
      <c r="E2934" s="70"/>
      <c r="F2934" s="66"/>
      <c r="G2934" s="66"/>
      <c r="H2934" s="66"/>
      <c r="I2934" s="66"/>
      <c r="J2934" s="66"/>
      <c r="K2934" s="63">
        <v>5000.0</v>
      </c>
      <c r="L2934" s="63">
        <v>18.94</v>
      </c>
      <c r="M2934" s="66">
        <f t="shared" si="1"/>
        <v>132.23</v>
      </c>
    </row>
    <row r="2935">
      <c r="A2935" s="67"/>
      <c r="B2935" s="67"/>
      <c r="C2935" s="67"/>
      <c r="D2935" s="67"/>
      <c r="E2935" s="67"/>
      <c r="F2935" s="68"/>
      <c r="G2935" s="68"/>
      <c r="H2935" s="68"/>
      <c r="I2935" s="68"/>
      <c r="J2935" s="68"/>
      <c r="K2935" s="69">
        <v>5500.0</v>
      </c>
      <c r="L2935" s="69">
        <v>18.45</v>
      </c>
      <c r="M2935" s="68">
        <f t="shared" si="1"/>
        <v>141.69</v>
      </c>
    </row>
    <row r="2936">
      <c r="A2936" s="70"/>
      <c r="B2936" s="70"/>
      <c r="C2936" s="70"/>
      <c r="D2936" s="70"/>
      <c r="E2936" s="70"/>
      <c r="F2936" s="66"/>
      <c r="G2936" s="66"/>
      <c r="H2936" s="66"/>
      <c r="I2936" s="66"/>
      <c r="J2936" s="66"/>
      <c r="K2936" s="63">
        <v>6000.0</v>
      </c>
      <c r="L2936" s="63">
        <v>17.43</v>
      </c>
      <c r="M2936" s="66">
        <f t="shared" si="1"/>
        <v>146.02</v>
      </c>
    </row>
    <row r="2937">
      <c r="A2937" s="67"/>
      <c r="B2937" s="67"/>
      <c r="C2937" s="67"/>
      <c r="D2937" s="67"/>
      <c r="E2937" s="67"/>
      <c r="F2937" s="68"/>
      <c r="G2937" s="68"/>
      <c r="H2937" s="68"/>
      <c r="I2937" s="68"/>
      <c r="J2937" s="68"/>
      <c r="K2937" s="69">
        <v>6500.0</v>
      </c>
      <c r="L2937" s="69">
        <v>16.01</v>
      </c>
      <c r="M2937" s="68">
        <f t="shared" si="1"/>
        <v>145.3</v>
      </c>
    </row>
    <row r="2938">
      <c r="A2938" s="70"/>
      <c r="B2938" s="70"/>
      <c r="C2938" s="70"/>
      <c r="D2938" s="70"/>
      <c r="E2938" s="70"/>
      <c r="F2938" s="66"/>
      <c r="G2938" s="66"/>
      <c r="H2938" s="66"/>
      <c r="I2938" s="66"/>
      <c r="J2938" s="66"/>
      <c r="K2938" s="63">
        <v>7000.0</v>
      </c>
      <c r="L2938" s="63">
        <v>14.27</v>
      </c>
      <c r="M2938" s="66">
        <f t="shared" si="1"/>
        <v>139.47</v>
      </c>
    </row>
    <row r="2939">
      <c r="A2939" s="67"/>
      <c r="B2939" s="67"/>
      <c r="C2939" s="67"/>
      <c r="D2939" s="67"/>
      <c r="E2939" s="67"/>
      <c r="F2939" s="68"/>
      <c r="G2939" s="68"/>
      <c r="H2939" s="68"/>
      <c r="I2939" s="68"/>
      <c r="J2939" s="68"/>
      <c r="K2939" s="69">
        <v>7500.0</v>
      </c>
      <c r="L2939" s="69">
        <v>12.34</v>
      </c>
      <c r="M2939" s="68">
        <f t="shared" si="1"/>
        <v>129.22</v>
      </c>
    </row>
    <row r="2940">
      <c r="A2940" s="70"/>
      <c r="B2940" s="70"/>
      <c r="C2940" s="70"/>
      <c r="D2940" s="70"/>
      <c r="E2940" s="70"/>
      <c r="F2940" s="66"/>
      <c r="G2940" s="66"/>
      <c r="H2940" s="66"/>
      <c r="I2940" s="66"/>
      <c r="J2940" s="66"/>
      <c r="K2940" s="63">
        <v>8000.0</v>
      </c>
      <c r="L2940" s="63">
        <v>10.34</v>
      </c>
      <c r="M2940" s="66">
        <f t="shared" si="1"/>
        <v>115.5</v>
      </c>
    </row>
    <row r="2941">
      <c r="A2941" s="67"/>
      <c r="B2941" s="67"/>
      <c r="C2941" s="67"/>
      <c r="D2941" s="67"/>
      <c r="E2941" s="67"/>
      <c r="F2941" s="68"/>
      <c r="G2941" s="68"/>
      <c r="H2941" s="68"/>
      <c r="I2941" s="68"/>
      <c r="J2941" s="68"/>
      <c r="K2941" s="69">
        <v>8500.0</v>
      </c>
      <c r="L2941" s="69">
        <v>7.84</v>
      </c>
      <c r="M2941" s="68">
        <f t="shared" si="1"/>
        <v>93.05</v>
      </c>
    </row>
    <row r="2942">
      <c r="A2942" s="70"/>
      <c r="B2942" s="70"/>
      <c r="C2942" s="70"/>
      <c r="D2942" s="70"/>
      <c r="E2942" s="70"/>
      <c r="F2942" s="66"/>
      <c r="G2942" s="66"/>
      <c r="H2942" s="66"/>
      <c r="I2942" s="66"/>
      <c r="J2942" s="66"/>
      <c r="K2942" s="63">
        <v>9000.0</v>
      </c>
      <c r="L2942" s="63">
        <v>5.48</v>
      </c>
      <c r="M2942" s="66">
        <f t="shared" si="1"/>
        <v>68.86</v>
      </c>
    </row>
    <row r="2943">
      <c r="A2943" s="68">
        <v>196.0</v>
      </c>
      <c r="B2943" s="68">
        <v>319.0</v>
      </c>
      <c r="C2943" s="71" t="s">
        <v>635</v>
      </c>
      <c r="D2943" s="71" t="s">
        <v>636</v>
      </c>
      <c r="E2943" s="71" t="s">
        <v>637</v>
      </c>
      <c r="F2943" s="72">
        <v>6500.0</v>
      </c>
      <c r="G2943" s="72">
        <v>6500.0</v>
      </c>
      <c r="H2943" s="72">
        <v>900.0</v>
      </c>
      <c r="I2943" s="72">
        <v>3000.0</v>
      </c>
      <c r="J2943" s="72">
        <v>6000.0</v>
      </c>
      <c r="K2943" s="69">
        <v>500.0</v>
      </c>
      <c r="L2943" s="69">
        <v>11.35</v>
      </c>
      <c r="M2943" s="68">
        <f t="shared" si="1"/>
        <v>7.92</v>
      </c>
    </row>
    <row r="2944">
      <c r="A2944" s="70"/>
      <c r="B2944" s="70"/>
      <c r="C2944" s="70"/>
      <c r="D2944" s="70"/>
      <c r="E2944" s="70"/>
      <c r="F2944" s="66"/>
      <c r="G2944" s="66"/>
      <c r="H2944" s="66"/>
      <c r="I2944" s="66"/>
      <c r="J2944" s="66"/>
      <c r="K2944" s="63">
        <v>1000.0</v>
      </c>
      <c r="L2944" s="63">
        <v>13.4</v>
      </c>
      <c r="M2944" s="66">
        <f t="shared" si="1"/>
        <v>18.71</v>
      </c>
    </row>
    <row r="2945">
      <c r="A2945" s="67"/>
      <c r="B2945" s="67"/>
      <c r="C2945" s="67"/>
      <c r="D2945" s="67"/>
      <c r="E2945" s="67"/>
      <c r="F2945" s="68"/>
      <c r="G2945" s="68"/>
      <c r="H2945" s="68"/>
      <c r="I2945" s="68"/>
      <c r="J2945" s="68"/>
      <c r="K2945" s="69">
        <v>1500.0</v>
      </c>
      <c r="L2945" s="69">
        <v>14.35</v>
      </c>
      <c r="M2945" s="68">
        <f t="shared" si="1"/>
        <v>30.05</v>
      </c>
    </row>
    <row r="2946">
      <c r="A2946" s="70"/>
      <c r="B2946" s="70"/>
      <c r="C2946" s="70"/>
      <c r="D2946" s="70"/>
      <c r="E2946" s="70"/>
      <c r="F2946" s="66"/>
      <c r="G2946" s="66"/>
      <c r="H2946" s="66"/>
      <c r="I2946" s="66"/>
      <c r="J2946" s="66"/>
      <c r="K2946" s="63">
        <v>2000.0</v>
      </c>
      <c r="L2946" s="63">
        <v>15.0</v>
      </c>
      <c r="M2946" s="66">
        <f t="shared" si="1"/>
        <v>41.89</v>
      </c>
    </row>
    <row r="2947">
      <c r="A2947" s="67"/>
      <c r="B2947" s="67"/>
      <c r="C2947" s="67"/>
      <c r="D2947" s="67"/>
      <c r="E2947" s="67"/>
      <c r="F2947" s="68"/>
      <c r="G2947" s="68"/>
      <c r="H2947" s="68"/>
      <c r="I2947" s="68"/>
      <c r="J2947" s="68"/>
      <c r="K2947" s="69">
        <v>2500.0</v>
      </c>
      <c r="L2947" s="69">
        <v>15.45</v>
      </c>
      <c r="M2947" s="68">
        <f t="shared" si="1"/>
        <v>53.93</v>
      </c>
    </row>
    <row r="2948">
      <c r="A2948" s="70"/>
      <c r="B2948" s="70"/>
      <c r="C2948" s="70"/>
      <c r="D2948" s="70"/>
      <c r="E2948" s="70"/>
      <c r="F2948" s="66"/>
      <c r="G2948" s="66"/>
      <c r="H2948" s="66"/>
      <c r="I2948" s="66"/>
      <c r="J2948" s="66"/>
      <c r="K2948" s="63">
        <v>3000.0</v>
      </c>
      <c r="L2948" s="63">
        <v>15.8</v>
      </c>
      <c r="M2948" s="66">
        <f t="shared" si="1"/>
        <v>66.18</v>
      </c>
    </row>
    <row r="2949">
      <c r="A2949" s="67"/>
      <c r="B2949" s="67"/>
      <c r="C2949" s="67"/>
      <c r="D2949" s="67"/>
      <c r="E2949" s="67"/>
      <c r="F2949" s="68"/>
      <c r="G2949" s="68"/>
      <c r="H2949" s="68"/>
      <c r="I2949" s="68"/>
      <c r="J2949" s="68"/>
      <c r="K2949" s="69">
        <v>3500.0</v>
      </c>
      <c r="L2949" s="69">
        <v>15.65</v>
      </c>
      <c r="M2949" s="68">
        <f t="shared" si="1"/>
        <v>76.48</v>
      </c>
    </row>
    <row r="2950">
      <c r="A2950" s="70"/>
      <c r="B2950" s="70"/>
      <c r="C2950" s="70"/>
      <c r="D2950" s="70"/>
      <c r="E2950" s="70"/>
      <c r="F2950" s="66"/>
      <c r="G2950" s="66"/>
      <c r="H2950" s="66"/>
      <c r="I2950" s="66"/>
      <c r="J2950" s="66"/>
      <c r="K2950" s="63">
        <v>4000.0</v>
      </c>
      <c r="L2950" s="63">
        <v>15.15</v>
      </c>
      <c r="M2950" s="66">
        <f t="shared" si="1"/>
        <v>84.61</v>
      </c>
    </row>
    <row r="2951">
      <c r="A2951" s="67"/>
      <c r="B2951" s="67"/>
      <c r="C2951" s="67"/>
      <c r="D2951" s="67"/>
      <c r="E2951" s="67"/>
      <c r="F2951" s="68"/>
      <c r="G2951" s="68"/>
      <c r="H2951" s="68"/>
      <c r="I2951" s="68"/>
      <c r="J2951" s="68"/>
      <c r="K2951" s="69">
        <v>4500.0</v>
      </c>
      <c r="L2951" s="69">
        <v>15.0</v>
      </c>
      <c r="M2951" s="68">
        <f t="shared" si="1"/>
        <v>94.25</v>
      </c>
    </row>
    <row r="2952">
      <c r="A2952" s="70"/>
      <c r="B2952" s="70"/>
      <c r="C2952" s="70"/>
      <c r="D2952" s="70"/>
      <c r="E2952" s="70"/>
      <c r="F2952" s="66"/>
      <c r="G2952" s="66"/>
      <c r="H2952" s="66"/>
      <c r="I2952" s="66"/>
      <c r="J2952" s="66"/>
      <c r="K2952" s="63">
        <v>5000.0</v>
      </c>
      <c r="L2952" s="63">
        <v>14.75</v>
      </c>
      <c r="M2952" s="66">
        <f t="shared" si="1"/>
        <v>102.97</v>
      </c>
    </row>
    <row r="2953">
      <c r="A2953" s="67"/>
      <c r="B2953" s="67"/>
      <c r="C2953" s="67"/>
      <c r="D2953" s="67"/>
      <c r="E2953" s="67"/>
      <c r="F2953" s="68"/>
      <c r="G2953" s="68"/>
      <c r="H2953" s="68"/>
      <c r="I2953" s="68"/>
      <c r="J2953" s="68"/>
      <c r="K2953" s="69">
        <v>5500.0</v>
      </c>
      <c r="L2953" s="69">
        <v>14.45</v>
      </c>
      <c r="M2953" s="68">
        <f t="shared" si="1"/>
        <v>110.97</v>
      </c>
    </row>
    <row r="2954">
      <c r="A2954" s="73"/>
      <c r="B2954" s="73"/>
      <c r="C2954" s="73"/>
      <c r="D2954" s="73"/>
      <c r="E2954" s="73"/>
      <c r="F2954" s="66"/>
      <c r="G2954" s="66"/>
      <c r="H2954" s="66"/>
      <c r="I2954" s="66"/>
      <c r="J2954" s="66"/>
      <c r="K2954" s="63">
        <v>6000.0</v>
      </c>
      <c r="L2954" s="63">
        <v>13.75</v>
      </c>
      <c r="M2954" s="66">
        <f t="shared" si="1"/>
        <v>115.19</v>
      </c>
    </row>
    <row r="2955">
      <c r="A2955" s="67"/>
      <c r="B2955" s="67"/>
      <c r="C2955" s="67"/>
      <c r="D2955" s="67"/>
      <c r="E2955" s="67"/>
      <c r="F2955" s="68"/>
      <c r="G2955" s="68"/>
      <c r="H2955" s="68"/>
      <c r="I2955" s="68"/>
      <c r="J2955" s="68"/>
      <c r="K2955" s="69">
        <v>6500.0</v>
      </c>
      <c r="L2955" s="69">
        <v>12.55</v>
      </c>
      <c r="M2955" s="68">
        <f t="shared" si="1"/>
        <v>113.9</v>
      </c>
    </row>
    <row r="2956">
      <c r="A2956" s="70"/>
      <c r="B2956" s="70"/>
      <c r="C2956" s="70"/>
      <c r="D2956" s="70"/>
      <c r="E2956" s="70"/>
      <c r="F2956" s="66"/>
      <c r="G2956" s="66"/>
      <c r="H2956" s="66"/>
      <c r="I2956" s="66"/>
      <c r="J2956" s="66"/>
      <c r="K2956" s="63">
        <v>7000.0</v>
      </c>
      <c r="L2956" s="63">
        <v>10.45</v>
      </c>
      <c r="M2956" s="66">
        <f t="shared" si="1"/>
        <v>102.14</v>
      </c>
    </row>
    <row r="2957">
      <c r="A2957" s="68">
        <v>197.0</v>
      </c>
      <c r="B2957" s="68">
        <v>320.0</v>
      </c>
      <c r="C2957" s="71" t="s">
        <v>638</v>
      </c>
      <c r="D2957" s="71" t="s">
        <v>639</v>
      </c>
      <c r="E2957" s="71" t="s">
        <v>640</v>
      </c>
      <c r="F2957" s="72">
        <v>7000.0</v>
      </c>
      <c r="G2957" s="72">
        <v>7100.0</v>
      </c>
      <c r="H2957" s="72">
        <v>700.0</v>
      </c>
      <c r="I2957" s="72">
        <v>4800.0</v>
      </c>
      <c r="J2957" s="72">
        <v>6200.0</v>
      </c>
      <c r="K2957" s="69">
        <v>500.0</v>
      </c>
      <c r="L2957" s="69">
        <v>20.39</v>
      </c>
      <c r="M2957" s="68">
        <f t="shared" si="1"/>
        <v>14.23</v>
      </c>
    </row>
    <row r="2958">
      <c r="A2958" s="70"/>
      <c r="B2958" s="70"/>
      <c r="C2958" s="70"/>
      <c r="D2958" s="70"/>
      <c r="E2958" s="70"/>
      <c r="F2958" s="66"/>
      <c r="G2958" s="66"/>
      <c r="H2958" s="66"/>
      <c r="I2958" s="66"/>
      <c r="J2958" s="66"/>
      <c r="K2958" s="63">
        <v>1000.0</v>
      </c>
      <c r="L2958" s="63">
        <v>22.43</v>
      </c>
      <c r="M2958" s="66">
        <f t="shared" si="1"/>
        <v>31.32</v>
      </c>
    </row>
    <row r="2959">
      <c r="A2959" s="67"/>
      <c r="B2959" s="67"/>
      <c r="C2959" s="67"/>
      <c r="D2959" s="67"/>
      <c r="E2959" s="67"/>
      <c r="F2959" s="68"/>
      <c r="G2959" s="68"/>
      <c r="H2959" s="68"/>
      <c r="I2959" s="68"/>
      <c r="J2959" s="68"/>
      <c r="K2959" s="69">
        <v>1500.0</v>
      </c>
      <c r="L2959" s="69">
        <v>23.45</v>
      </c>
      <c r="M2959" s="68">
        <f t="shared" si="1"/>
        <v>49.11</v>
      </c>
    </row>
    <row r="2960">
      <c r="A2960" s="70"/>
      <c r="B2960" s="70"/>
      <c r="C2960" s="70"/>
      <c r="D2960" s="70"/>
      <c r="E2960" s="70"/>
      <c r="F2960" s="66"/>
      <c r="G2960" s="66"/>
      <c r="H2960" s="66"/>
      <c r="I2960" s="66"/>
      <c r="J2960" s="66"/>
      <c r="K2960" s="63">
        <v>2000.0</v>
      </c>
      <c r="L2960" s="63">
        <v>24.47</v>
      </c>
      <c r="M2960" s="66">
        <f t="shared" si="1"/>
        <v>68.33</v>
      </c>
    </row>
    <row r="2961">
      <c r="A2961" s="67"/>
      <c r="B2961" s="67"/>
      <c r="C2961" s="67"/>
      <c r="D2961" s="67"/>
      <c r="E2961" s="67"/>
      <c r="F2961" s="68"/>
      <c r="G2961" s="68"/>
      <c r="H2961" s="68"/>
      <c r="I2961" s="68"/>
      <c r="J2961" s="68"/>
      <c r="K2961" s="69">
        <v>2500.0</v>
      </c>
      <c r="L2961" s="69">
        <v>24.98</v>
      </c>
      <c r="M2961" s="68">
        <f t="shared" si="1"/>
        <v>87.2</v>
      </c>
    </row>
    <row r="2962">
      <c r="A2962" s="70"/>
      <c r="B2962" s="70"/>
      <c r="C2962" s="70"/>
      <c r="D2962" s="70"/>
      <c r="E2962" s="70"/>
      <c r="F2962" s="66"/>
      <c r="G2962" s="66"/>
      <c r="H2962" s="66"/>
      <c r="I2962" s="66"/>
      <c r="J2962" s="66"/>
      <c r="K2962" s="63">
        <v>3000.0</v>
      </c>
      <c r="L2962" s="63">
        <v>25.29</v>
      </c>
      <c r="M2962" s="66">
        <f t="shared" si="1"/>
        <v>105.93</v>
      </c>
    </row>
    <row r="2963">
      <c r="A2963" s="67"/>
      <c r="B2963" s="67"/>
      <c r="C2963" s="67"/>
      <c r="D2963" s="67"/>
      <c r="E2963" s="67"/>
      <c r="F2963" s="68"/>
      <c r="G2963" s="68"/>
      <c r="H2963" s="68"/>
      <c r="I2963" s="68"/>
      <c r="J2963" s="68"/>
      <c r="K2963" s="69">
        <v>3500.0</v>
      </c>
      <c r="L2963" s="69">
        <v>25.49</v>
      </c>
      <c r="M2963" s="68">
        <f t="shared" si="1"/>
        <v>124.57</v>
      </c>
    </row>
    <row r="2964">
      <c r="A2964" s="70"/>
      <c r="B2964" s="70"/>
      <c r="C2964" s="70"/>
      <c r="D2964" s="70"/>
      <c r="E2964" s="70"/>
      <c r="F2964" s="66"/>
      <c r="G2964" s="66"/>
      <c r="H2964" s="66"/>
      <c r="I2964" s="66"/>
      <c r="J2964" s="66"/>
      <c r="K2964" s="63">
        <v>4000.0</v>
      </c>
      <c r="L2964" s="63">
        <v>26.51</v>
      </c>
      <c r="M2964" s="66">
        <f t="shared" si="1"/>
        <v>148.06</v>
      </c>
    </row>
    <row r="2965">
      <c r="A2965" s="67"/>
      <c r="B2965" s="67"/>
      <c r="C2965" s="67"/>
      <c r="D2965" s="67"/>
      <c r="E2965" s="67"/>
      <c r="F2965" s="68"/>
      <c r="G2965" s="68"/>
      <c r="H2965" s="68"/>
      <c r="I2965" s="68"/>
      <c r="J2965" s="68"/>
      <c r="K2965" s="69">
        <v>4500.0</v>
      </c>
      <c r="L2965" s="69">
        <v>28.04</v>
      </c>
      <c r="M2965" s="68">
        <f t="shared" si="1"/>
        <v>176.18</v>
      </c>
    </row>
    <row r="2966">
      <c r="A2966" s="70"/>
      <c r="B2966" s="70"/>
      <c r="C2966" s="70"/>
      <c r="D2966" s="70"/>
      <c r="E2966" s="70"/>
      <c r="F2966" s="66"/>
      <c r="G2966" s="66"/>
      <c r="H2966" s="66"/>
      <c r="I2966" s="66"/>
      <c r="J2966" s="66"/>
      <c r="K2966" s="63">
        <v>5000.0</v>
      </c>
      <c r="L2966" s="63">
        <v>29.47</v>
      </c>
      <c r="M2966" s="66">
        <f t="shared" si="1"/>
        <v>205.74</v>
      </c>
    </row>
    <row r="2967">
      <c r="A2967" s="67"/>
      <c r="B2967" s="67"/>
      <c r="C2967" s="67"/>
      <c r="D2967" s="67"/>
      <c r="E2967" s="67"/>
      <c r="F2967" s="68"/>
      <c r="G2967" s="68"/>
      <c r="H2967" s="68"/>
      <c r="I2967" s="68"/>
      <c r="J2967" s="68"/>
      <c r="K2967" s="69">
        <v>5500.0</v>
      </c>
      <c r="L2967" s="69">
        <v>29.06</v>
      </c>
      <c r="M2967" s="68">
        <f t="shared" si="1"/>
        <v>223.16</v>
      </c>
    </row>
    <row r="2968">
      <c r="A2968" s="70"/>
      <c r="B2968" s="70"/>
      <c r="C2968" s="70"/>
      <c r="D2968" s="70"/>
      <c r="E2968" s="70"/>
      <c r="F2968" s="66"/>
      <c r="G2968" s="66"/>
      <c r="H2968" s="66"/>
      <c r="I2968" s="66"/>
      <c r="J2968" s="66"/>
      <c r="K2968" s="63">
        <v>6000.0</v>
      </c>
      <c r="L2968" s="63">
        <v>28.65</v>
      </c>
      <c r="M2968" s="66">
        <f t="shared" si="1"/>
        <v>240.02</v>
      </c>
    </row>
    <row r="2969">
      <c r="A2969" s="67"/>
      <c r="B2969" s="67"/>
      <c r="C2969" s="67"/>
      <c r="D2969" s="67"/>
      <c r="E2969" s="67"/>
      <c r="F2969" s="68"/>
      <c r="G2969" s="68"/>
      <c r="H2969" s="68"/>
      <c r="I2969" s="68"/>
      <c r="J2969" s="68"/>
      <c r="K2969" s="69">
        <v>6500.0</v>
      </c>
      <c r="L2969" s="69">
        <v>26.0</v>
      </c>
      <c r="M2969" s="68">
        <f t="shared" si="1"/>
        <v>235.97</v>
      </c>
    </row>
    <row r="2970">
      <c r="A2970" s="70"/>
      <c r="B2970" s="70"/>
      <c r="C2970" s="70"/>
      <c r="D2970" s="70"/>
      <c r="E2970" s="70"/>
      <c r="F2970" s="66"/>
      <c r="G2970" s="66"/>
      <c r="H2970" s="66"/>
      <c r="I2970" s="66"/>
      <c r="J2970" s="66"/>
      <c r="K2970" s="63">
        <v>7000.0</v>
      </c>
      <c r="L2970" s="63">
        <v>21.8</v>
      </c>
      <c r="M2970" s="66">
        <f t="shared" si="1"/>
        <v>213.07</v>
      </c>
    </row>
    <row r="2971">
      <c r="A2971" s="67"/>
      <c r="B2971" s="67"/>
      <c r="C2971" s="67"/>
      <c r="D2971" s="67"/>
      <c r="E2971" s="67"/>
      <c r="F2971" s="68"/>
      <c r="G2971" s="68"/>
      <c r="H2971" s="68"/>
      <c r="I2971" s="68"/>
      <c r="J2971" s="68"/>
      <c r="K2971" s="69">
        <v>7500.0</v>
      </c>
      <c r="L2971" s="69">
        <v>14.85</v>
      </c>
      <c r="M2971" s="68">
        <f t="shared" si="1"/>
        <v>155.51</v>
      </c>
    </row>
    <row r="2972">
      <c r="A2972" s="66">
        <v>198.0</v>
      </c>
      <c r="B2972" s="66">
        <v>321.0</v>
      </c>
      <c r="C2972" s="74" t="s">
        <v>641</v>
      </c>
      <c r="D2972" s="74" t="s">
        <v>642</v>
      </c>
      <c r="E2972" s="74" t="s">
        <v>643</v>
      </c>
      <c r="F2972" s="65">
        <v>7000.0</v>
      </c>
      <c r="G2972" s="65">
        <v>7200.0</v>
      </c>
      <c r="H2972" s="65">
        <v>700.0</v>
      </c>
      <c r="I2972" s="65">
        <v>2400.0</v>
      </c>
      <c r="J2972" s="65">
        <v>6400.0</v>
      </c>
      <c r="K2972" s="63">
        <v>500.0</v>
      </c>
      <c r="L2972" s="63">
        <v>7.48</v>
      </c>
      <c r="M2972" s="66">
        <f t="shared" si="1"/>
        <v>5.22</v>
      </c>
    </row>
    <row r="2973">
      <c r="A2973" s="67"/>
      <c r="B2973" s="67"/>
      <c r="C2973" s="67"/>
      <c r="D2973" s="67"/>
      <c r="E2973" s="67"/>
      <c r="F2973" s="68"/>
      <c r="G2973" s="68"/>
      <c r="H2973" s="68"/>
      <c r="I2973" s="68"/>
      <c r="J2973" s="68"/>
      <c r="K2973" s="69">
        <v>1000.0</v>
      </c>
      <c r="L2973" s="69">
        <v>14.96</v>
      </c>
      <c r="M2973" s="68">
        <f t="shared" si="1"/>
        <v>20.89</v>
      </c>
    </row>
    <row r="2974">
      <c r="A2974" s="70"/>
      <c r="B2974" s="70"/>
      <c r="C2974" s="70"/>
      <c r="D2974" s="70"/>
      <c r="E2974" s="70"/>
      <c r="F2974" s="66"/>
      <c r="G2974" s="66"/>
      <c r="H2974" s="66"/>
      <c r="I2974" s="66"/>
      <c r="J2974" s="66"/>
      <c r="K2974" s="63">
        <v>1500.0</v>
      </c>
      <c r="L2974" s="63">
        <v>22.43</v>
      </c>
      <c r="M2974" s="66">
        <f t="shared" si="1"/>
        <v>46.98</v>
      </c>
    </row>
    <row r="2975">
      <c r="A2975" s="67"/>
      <c r="B2975" s="67"/>
      <c r="C2975" s="67"/>
      <c r="D2975" s="67"/>
      <c r="E2975" s="67"/>
      <c r="F2975" s="68"/>
      <c r="G2975" s="68"/>
      <c r="H2975" s="68"/>
      <c r="I2975" s="68"/>
      <c r="J2975" s="68"/>
      <c r="K2975" s="69">
        <v>2000.0</v>
      </c>
      <c r="L2975" s="69">
        <v>34.67</v>
      </c>
      <c r="M2975" s="68">
        <f t="shared" si="1"/>
        <v>96.82</v>
      </c>
    </row>
    <row r="2976">
      <c r="A2976" s="70"/>
      <c r="B2976" s="70"/>
      <c r="C2976" s="70"/>
      <c r="D2976" s="70"/>
      <c r="E2976" s="70"/>
      <c r="F2976" s="66"/>
      <c r="G2976" s="66"/>
      <c r="H2976" s="66"/>
      <c r="I2976" s="66"/>
      <c r="J2976" s="66"/>
      <c r="K2976" s="63">
        <v>2500.0</v>
      </c>
      <c r="L2976" s="63">
        <v>34.98</v>
      </c>
      <c r="M2976" s="66">
        <f t="shared" si="1"/>
        <v>122.1</v>
      </c>
    </row>
    <row r="2977">
      <c r="A2977" s="67"/>
      <c r="B2977" s="67"/>
      <c r="C2977" s="67"/>
      <c r="D2977" s="67"/>
      <c r="E2977" s="67"/>
      <c r="F2977" s="68"/>
      <c r="G2977" s="68"/>
      <c r="H2977" s="68"/>
      <c r="I2977" s="68"/>
      <c r="J2977" s="68"/>
      <c r="K2977" s="69">
        <v>3000.0</v>
      </c>
      <c r="L2977" s="69">
        <v>34.87</v>
      </c>
      <c r="M2977" s="68">
        <f t="shared" si="1"/>
        <v>146.06</v>
      </c>
    </row>
    <row r="2978">
      <c r="A2978" s="73"/>
      <c r="B2978" s="73"/>
      <c r="C2978" s="73"/>
      <c r="D2978" s="73"/>
      <c r="E2978" s="73"/>
      <c r="F2978" s="66"/>
      <c r="G2978" s="66"/>
      <c r="H2978" s="66"/>
      <c r="I2978" s="66"/>
      <c r="J2978" s="66"/>
      <c r="K2978" s="63">
        <v>3500.0</v>
      </c>
      <c r="L2978" s="63">
        <v>34.77</v>
      </c>
      <c r="M2978" s="66">
        <f t="shared" si="1"/>
        <v>169.92</v>
      </c>
    </row>
    <row r="2979">
      <c r="A2979" s="67"/>
      <c r="B2979" s="67"/>
      <c r="C2979" s="67"/>
      <c r="D2979" s="67"/>
      <c r="E2979" s="67"/>
      <c r="F2979" s="68"/>
      <c r="G2979" s="68"/>
      <c r="H2979" s="68"/>
      <c r="I2979" s="68"/>
      <c r="J2979" s="68"/>
      <c r="K2979" s="69">
        <v>4000.0</v>
      </c>
      <c r="L2979" s="69">
        <v>34.67</v>
      </c>
      <c r="M2979" s="68">
        <f t="shared" si="1"/>
        <v>193.63</v>
      </c>
    </row>
    <row r="2980">
      <c r="A2980" s="70"/>
      <c r="B2980" s="70"/>
      <c r="C2980" s="70"/>
      <c r="D2980" s="70"/>
      <c r="E2980" s="70"/>
      <c r="F2980" s="66"/>
      <c r="G2980" s="66"/>
      <c r="H2980" s="66"/>
      <c r="I2980" s="66"/>
      <c r="J2980" s="66"/>
      <c r="K2980" s="63">
        <v>4500.0</v>
      </c>
      <c r="L2980" s="63">
        <v>34.16</v>
      </c>
      <c r="M2980" s="66">
        <f t="shared" si="1"/>
        <v>214.63</v>
      </c>
    </row>
    <row r="2981">
      <c r="A2981" s="67"/>
      <c r="B2981" s="67"/>
      <c r="C2981" s="67"/>
      <c r="D2981" s="67"/>
      <c r="E2981" s="67"/>
      <c r="F2981" s="68"/>
      <c r="G2981" s="68"/>
      <c r="H2981" s="68"/>
      <c r="I2981" s="68"/>
      <c r="J2981" s="68"/>
      <c r="K2981" s="69">
        <v>5000.0</v>
      </c>
      <c r="L2981" s="69">
        <v>33.65</v>
      </c>
      <c r="M2981" s="68">
        <f t="shared" si="1"/>
        <v>234.92</v>
      </c>
    </row>
    <row r="2982">
      <c r="A2982" s="70"/>
      <c r="B2982" s="70"/>
      <c r="C2982" s="70"/>
      <c r="D2982" s="70"/>
      <c r="E2982" s="70"/>
      <c r="F2982" s="66"/>
      <c r="G2982" s="66"/>
      <c r="H2982" s="66"/>
      <c r="I2982" s="66"/>
      <c r="J2982" s="66"/>
      <c r="K2982" s="63">
        <v>5500.0</v>
      </c>
      <c r="L2982" s="63">
        <v>33.14</v>
      </c>
      <c r="M2982" s="66">
        <f t="shared" si="1"/>
        <v>254.5</v>
      </c>
    </row>
    <row r="2983">
      <c r="A2983" s="67"/>
      <c r="B2983" s="67"/>
      <c r="C2983" s="67"/>
      <c r="D2983" s="67"/>
      <c r="E2983" s="67"/>
      <c r="F2983" s="68"/>
      <c r="G2983" s="68"/>
      <c r="H2983" s="68"/>
      <c r="I2983" s="68"/>
      <c r="J2983" s="68"/>
      <c r="K2983" s="69">
        <v>6000.0</v>
      </c>
      <c r="L2983" s="69">
        <v>32.11</v>
      </c>
      <c r="M2983" s="68">
        <f t="shared" si="1"/>
        <v>269</v>
      </c>
    </row>
    <row r="2984">
      <c r="A2984" s="70"/>
      <c r="B2984" s="70"/>
      <c r="C2984" s="70"/>
      <c r="D2984" s="70"/>
      <c r="E2984" s="70"/>
      <c r="F2984" s="66"/>
      <c r="G2984" s="66"/>
      <c r="H2984" s="66"/>
      <c r="I2984" s="66"/>
      <c r="J2984" s="66"/>
      <c r="K2984" s="63">
        <v>6500.0</v>
      </c>
      <c r="L2984" s="63">
        <v>30.79</v>
      </c>
      <c r="M2984" s="66">
        <f t="shared" si="1"/>
        <v>279.44</v>
      </c>
    </row>
    <row r="2985">
      <c r="A2985" s="67"/>
      <c r="B2985" s="67"/>
      <c r="C2985" s="67"/>
      <c r="D2985" s="67"/>
      <c r="E2985" s="67"/>
      <c r="F2985" s="68"/>
      <c r="G2985" s="68"/>
      <c r="H2985" s="68"/>
      <c r="I2985" s="68"/>
      <c r="J2985" s="68"/>
      <c r="K2985" s="69">
        <v>7000.0</v>
      </c>
      <c r="L2985" s="69">
        <v>27.82</v>
      </c>
      <c r="M2985" s="68">
        <f t="shared" si="1"/>
        <v>271.91</v>
      </c>
    </row>
    <row r="2986">
      <c r="A2986" s="66">
        <v>199.0</v>
      </c>
      <c r="B2986" s="66">
        <v>323.0</v>
      </c>
      <c r="C2986" s="74" t="s">
        <v>644</v>
      </c>
      <c r="D2986" s="74" t="s">
        <v>645</v>
      </c>
      <c r="E2986" s="74" t="s">
        <v>646</v>
      </c>
      <c r="F2986" s="65">
        <v>6500.0</v>
      </c>
      <c r="G2986" s="65">
        <v>6650.0</v>
      </c>
      <c r="H2986" s="65">
        <v>700.0</v>
      </c>
      <c r="I2986" s="65">
        <v>3750.0</v>
      </c>
      <c r="J2986" s="65">
        <v>6500.0</v>
      </c>
      <c r="K2986" s="63">
        <v>500.0</v>
      </c>
      <c r="L2986" s="63">
        <v>41.47</v>
      </c>
      <c r="M2986" s="66">
        <f t="shared" si="1"/>
        <v>28.95</v>
      </c>
    </row>
    <row r="2987">
      <c r="A2987" s="67"/>
      <c r="B2987" s="67"/>
      <c r="C2987" s="67"/>
      <c r="D2987" s="67"/>
      <c r="E2987" s="67"/>
      <c r="F2987" s="68"/>
      <c r="G2987" s="68"/>
      <c r="H2987" s="68"/>
      <c r="I2987" s="68"/>
      <c r="J2987" s="68"/>
      <c r="K2987" s="69">
        <v>1000.0</v>
      </c>
      <c r="L2987" s="69">
        <v>49.0</v>
      </c>
      <c r="M2987" s="68">
        <f t="shared" si="1"/>
        <v>68.42</v>
      </c>
    </row>
    <row r="2988">
      <c r="A2988" s="70"/>
      <c r="B2988" s="70"/>
      <c r="C2988" s="70"/>
      <c r="D2988" s="70"/>
      <c r="E2988" s="70"/>
      <c r="F2988" s="66"/>
      <c r="G2988" s="66"/>
      <c r="H2988" s="66"/>
      <c r="I2988" s="66"/>
      <c r="J2988" s="66"/>
      <c r="K2988" s="63">
        <v>1500.0</v>
      </c>
      <c r="L2988" s="63">
        <v>56.0</v>
      </c>
      <c r="M2988" s="66">
        <f t="shared" si="1"/>
        <v>117.29</v>
      </c>
    </row>
    <row r="2989">
      <c r="A2989" s="67"/>
      <c r="B2989" s="67"/>
      <c r="C2989" s="67"/>
      <c r="D2989" s="67"/>
      <c r="E2989" s="67"/>
      <c r="F2989" s="68"/>
      <c r="G2989" s="68"/>
      <c r="H2989" s="68"/>
      <c r="I2989" s="68"/>
      <c r="J2989" s="68"/>
      <c r="K2989" s="69">
        <v>2000.0</v>
      </c>
      <c r="L2989" s="69">
        <v>61.6</v>
      </c>
      <c r="M2989" s="68">
        <f t="shared" si="1"/>
        <v>172.02</v>
      </c>
    </row>
    <row r="2990">
      <c r="A2990" s="70"/>
      <c r="B2990" s="70"/>
      <c r="C2990" s="70"/>
      <c r="D2990" s="70"/>
      <c r="E2990" s="70"/>
      <c r="F2990" s="66"/>
      <c r="G2990" s="66"/>
      <c r="H2990" s="66"/>
      <c r="I2990" s="66"/>
      <c r="J2990" s="66"/>
      <c r="K2990" s="63">
        <v>2500.0</v>
      </c>
      <c r="L2990" s="63">
        <v>65.63</v>
      </c>
      <c r="M2990" s="66">
        <f t="shared" si="1"/>
        <v>229.09</v>
      </c>
    </row>
    <row r="2991">
      <c r="A2991" s="67"/>
      <c r="B2991" s="67"/>
      <c r="C2991" s="67"/>
      <c r="D2991" s="67"/>
      <c r="E2991" s="67"/>
      <c r="F2991" s="68"/>
      <c r="G2991" s="68"/>
      <c r="H2991" s="68"/>
      <c r="I2991" s="68"/>
      <c r="J2991" s="68"/>
      <c r="K2991" s="69">
        <v>3000.0</v>
      </c>
      <c r="L2991" s="69">
        <v>68.07</v>
      </c>
      <c r="M2991" s="68">
        <f t="shared" si="1"/>
        <v>285.13</v>
      </c>
    </row>
    <row r="2992">
      <c r="A2992" s="70"/>
      <c r="B2992" s="70"/>
      <c r="C2992" s="70"/>
      <c r="D2992" s="70"/>
      <c r="E2992" s="70"/>
      <c r="F2992" s="66"/>
      <c r="G2992" s="66"/>
      <c r="H2992" s="66"/>
      <c r="I2992" s="66"/>
      <c r="J2992" s="66"/>
      <c r="K2992" s="63">
        <v>3750.0</v>
      </c>
      <c r="L2992" s="63">
        <v>69.1</v>
      </c>
      <c r="M2992" s="66">
        <f t="shared" si="1"/>
        <v>361.81</v>
      </c>
    </row>
    <row r="2993">
      <c r="A2993" s="67"/>
      <c r="B2993" s="67"/>
      <c r="C2993" s="67"/>
      <c r="D2993" s="67"/>
      <c r="E2993" s="67"/>
      <c r="F2993" s="68"/>
      <c r="G2993" s="68"/>
      <c r="H2993" s="68"/>
      <c r="I2993" s="68"/>
      <c r="J2993" s="68"/>
      <c r="K2993" s="69">
        <v>4000.0</v>
      </c>
      <c r="L2993" s="69">
        <v>68.78</v>
      </c>
      <c r="M2993" s="68">
        <f t="shared" si="1"/>
        <v>384.14</v>
      </c>
    </row>
    <row r="2994">
      <c r="A2994" s="70"/>
      <c r="B2994" s="70"/>
      <c r="C2994" s="70"/>
      <c r="D2994" s="70"/>
      <c r="E2994" s="70"/>
      <c r="F2994" s="66"/>
      <c r="G2994" s="66"/>
      <c r="H2994" s="66"/>
      <c r="I2994" s="66"/>
      <c r="J2994" s="66"/>
      <c r="K2994" s="63">
        <v>4500.0</v>
      </c>
      <c r="L2994" s="63">
        <v>67.55</v>
      </c>
      <c r="M2994" s="66">
        <f t="shared" si="1"/>
        <v>424.43</v>
      </c>
    </row>
    <row r="2995">
      <c r="A2995" s="67"/>
      <c r="B2995" s="67"/>
      <c r="C2995" s="67"/>
      <c r="D2995" s="67"/>
      <c r="E2995" s="67"/>
      <c r="F2995" s="68"/>
      <c r="G2995" s="68"/>
      <c r="H2995" s="68"/>
      <c r="I2995" s="68"/>
      <c r="J2995" s="68"/>
      <c r="K2995" s="69">
        <v>5000.0</v>
      </c>
      <c r="L2995" s="69">
        <v>65.45</v>
      </c>
      <c r="M2995" s="68">
        <f t="shared" si="1"/>
        <v>456.93</v>
      </c>
    </row>
    <row r="2996">
      <c r="A2996" s="70"/>
      <c r="B2996" s="70"/>
      <c r="C2996" s="70"/>
      <c r="D2996" s="70"/>
      <c r="E2996" s="70"/>
      <c r="F2996" s="66"/>
      <c r="G2996" s="66"/>
      <c r="H2996" s="66"/>
      <c r="I2996" s="66"/>
      <c r="J2996" s="66"/>
      <c r="K2996" s="63">
        <v>5500.0</v>
      </c>
      <c r="L2996" s="63">
        <v>62.3</v>
      </c>
      <c r="M2996" s="66">
        <f t="shared" si="1"/>
        <v>478.43</v>
      </c>
    </row>
    <row r="2997">
      <c r="A2997" s="67"/>
      <c r="B2997" s="67"/>
      <c r="C2997" s="67"/>
      <c r="D2997" s="67"/>
      <c r="E2997" s="67"/>
      <c r="F2997" s="68"/>
      <c r="G2997" s="68"/>
      <c r="H2997" s="68"/>
      <c r="I2997" s="68"/>
      <c r="J2997" s="68"/>
      <c r="K2997" s="69">
        <v>6000.0</v>
      </c>
      <c r="L2997" s="69">
        <v>58.8</v>
      </c>
      <c r="M2997" s="68">
        <f t="shared" si="1"/>
        <v>492.6</v>
      </c>
    </row>
    <row r="2998">
      <c r="A2998" s="70"/>
      <c r="B2998" s="70"/>
      <c r="C2998" s="70"/>
      <c r="D2998" s="70"/>
      <c r="E2998" s="70"/>
      <c r="F2998" s="66"/>
      <c r="G2998" s="66"/>
      <c r="H2998" s="66"/>
      <c r="I2998" s="66"/>
      <c r="J2998" s="66"/>
      <c r="K2998" s="63">
        <v>6500.0</v>
      </c>
      <c r="L2998" s="63">
        <v>55.0</v>
      </c>
      <c r="M2998" s="66">
        <f t="shared" si="1"/>
        <v>499.16</v>
      </c>
    </row>
    <row r="2999">
      <c r="A2999" s="67"/>
      <c r="B2999" s="67"/>
      <c r="C2999" s="67"/>
      <c r="D2999" s="67"/>
      <c r="E2999" s="67"/>
      <c r="F2999" s="68"/>
      <c r="G2999" s="68"/>
      <c r="H2999" s="68"/>
      <c r="I2999" s="68"/>
      <c r="J2999" s="68"/>
      <c r="K2999" s="69">
        <v>7000.0</v>
      </c>
      <c r="L2999" s="69">
        <v>49.88</v>
      </c>
      <c r="M2999" s="68">
        <f t="shared" si="1"/>
        <v>487.52</v>
      </c>
    </row>
    <row r="3000">
      <c r="A3000" s="66">
        <v>200.0</v>
      </c>
      <c r="B3000" s="66">
        <v>327.0</v>
      </c>
      <c r="C3000" s="74" t="s">
        <v>647</v>
      </c>
      <c r="D3000" s="74" t="s">
        <v>648</v>
      </c>
      <c r="E3000" s="74" t="s">
        <v>649</v>
      </c>
      <c r="F3000" s="65">
        <v>8600.0</v>
      </c>
      <c r="G3000" s="65">
        <v>8600.0</v>
      </c>
      <c r="H3000" s="65">
        <v>900.0</v>
      </c>
      <c r="I3000" s="65">
        <v>6800.0</v>
      </c>
      <c r="J3000" s="65">
        <v>8200.0</v>
      </c>
      <c r="K3000" s="63">
        <v>500.0</v>
      </c>
      <c r="L3000" s="63">
        <v>5.55</v>
      </c>
      <c r="M3000" s="66">
        <f t="shared" si="1"/>
        <v>3.87</v>
      </c>
    </row>
    <row r="3001">
      <c r="A3001" s="67"/>
      <c r="B3001" s="67"/>
      <c r="C3001" s="67"/>
      <c r="D3001" s="67"/>
      <c r="E3001" s="67"/>
      <c r="F3001" s="68"/>
      <c r="G3001" s="68"/>
      <c r="H3001" s="68"/>
      <c r="I3001" s="68"/>
      <c r="J3001" s="68"/>
      <c r="K3001" s="69">
        <v>1000.0</v>
      </c>
      <c r="L3001" s="69">
        <v>6.8</v>
      </c>
      <c r="M3001" s="68">
        <f t="shared" si="1"/>
        <v>9.49</v>
      </c>
    </row>
    <row r="3002">
      <c r="A3002" s="73"/>
      <c r="B3002" s="73"/>
      <c r="C3002" s="73"/>
      <c r="D3002" s="73"/>
      <c r="E3002" s="73"/>
      <c r="F3002" s="66"/>
      <c r="G3002" s="66"/>
      <c r="H3002" s="66"/>
      <c r="I3002" s="66"/>
      <c r="J3002" s="66"/>
      <c r="K3002" s="63">
        <v>1500.0</v>
      </c>
      <c r="L3002" s="63">
        <v>7.7</v>
      </c>
      <c r="M3002" s="66">
        <f t="shared" si="1"/>
        <v>16.13</v>
      </c>
    </row>
    <row r="3003">
      <c r="A3003" s="67"/>
      <c r="B3003" s="67"/>
      <c r="C3003" s="67"/>
      <c r="D3003" s="67"/>
      <c r="E3003" s="67"/>
      <c r="F3003" s="68"/>
      <c r="G3003" s="68"/>
      <c r="H3003" s="68"/>
      <c r="I3003" s="68"/>
      <c r="J3003" s="68"/>
      <c r="K3003" s="69">
        <v>2000.0</v>
      </c>
      <c r="L3003" s="69">
        <v>8.45</v>
      </c>
      <c r="M3003" s="68">
        <f t="shared" si="1"/>
        <v>23.6</v>
      </c>
    </row>
    <row r="3004">
      <c r="A3004" s="70"/>
      <c r="B3004" s="70"/>
      <c r="C3004" s="70"/>
      <c r="D3004" s="70"/>
      <c r="E3004" s="70"/>
      <c r="F3004" s="66"/>
      <c r="G3004" s="66"/>
      <c r="H3004" s="66"/>
      <c r="I3004" s="66"/>
      <c r="J3004" s="66"/>
      <c r="K3004" s="63">
        <v>2500.0</v>
      </c>
      <c r="L3004" s="63">
        <v>8.85</v>
      </c>
      <c r="M3004" s="66">
        <f t="shared" si="1"/>
        <v>30.89</v>
      </c>
    </row>
    <row r="3005">
      <c r="A3005" s="67"/>
      <c r="B3005" s="67"/>
      <c r="C3005" s="67"/>
      <c r="D3005" s="67"/>
      <c r="E3005" s="67"/>
      <c r="F3005" s="68"/>
      <c r="G3005" s="68"/>
      <c r="H3005" s="68"/>
      <c r="I3005" s="68"/>
      <c r="J3005" s="68"/>
      <c r="K3005" s="69">
        <v>3000.0</v>
      </c>
      <c r="L3005" s="69">
        <v>9.3</v>
      </c>
      <c r="M3005" s="68">
        <f t="shared" si="1"/>
        <v>38.96</v>
      </c>
    </row>
    <row r="3006">
      <c r="A3006" s="70"/>
      <c r="B3006" s="70"/>
      <c r="C3006" s="70"/>
      <c r="D3006" s="70"/>
      <c r="E3006" s="70"/>
      <c r="F3006" s="66"/>
      <c r="G3006" s="66"/>
      <c r="H3006" s="66"/>
      <c r="I3006" s="66"/>
      <c r="J3006" s="66"/>
      <c r="K3006" s="63">
        <v>3500.0</v>
      </c>
      <c r="L3006" s="63">
        <v>9.95</v>
      </c>
      <c r="M3006" s="66">
        <f t="shared" si="1"/>
        <v>48.62</v>
      </c>
    </row>
    <row r="3007">
      <c r="A3007" s="67"/>
      <c r="B3007" s="67"/>
      <c r="C3007" s="67"/>
      <c r="D3007" s="67"/>
      <c r="E3007" s="67"/>
      <c r="F3007" s="68"/>
      <c r="G3007" s="68"/>
      <c r="H3007" s="68"/>
      <c r="I3007" s="68"/>
      <c r="J3007" s="68"/>
      <c r="K3007" s="69">
        <v>4000.0</v>
      </c>
      <c r="L3007" s="69">
        <v>10.8</v>
      </c>
      <c r="M3007" s="68">
        <f t="shared" si="1"/>
        <v>60.32</v>
      </c>
    </row>
    <row r="3008">
      <c r="A3008" s="70"/>
      <c r="B3008" s="70"/>
      <c r="C3008" s="70"/>
      <c r="D3008" s="70"/>
      <c r="E3008" s="70"/>
      <c r="F3008" s="66"/>
      <c r="G3008" s="66"/>
      <c r="H3008" s="66"/>
      <c r="I3008" s="66"/>
      <c r="J3008" s="66"/>
      <c r="K3008" s="63">
        <v>4500.0</v>
      </c>
      <c r="L3008" s="63">
        <v>11.45</v>
      </c>
      <c r="M3008" s="66">
        <f t="shared" si="1"/>
        <v>71.94</v>
      </c>
    </row>
    <row r="3009">
      <c r="A3009" s="67"/>
      <c r="B3009" s="67"/>
      <c r="C3009" s="67"/>
      <c r="D3009" s="67"/>
      <c r="E3009" s="67"/>
      <c r="F3009" s="68"/>
      <c r="G3009" s="68"/>
      <c r="H3009" s="68"/>
      <c r="I3009" s="68"/>
      <c r="J3009" s="68"/>
      <c r="K3009" s="69">
        <v>5000.0</v>
      </c>
      <c r="L3009" s="69">
        <v>11.85</v>
      </c>
      <c r="M3009" s="68">
        <f t="shared" si="1"/>
        <v>82.73</v>
      </c>
    </row>
    <row r="3010">
      <c r="A3010" s="70"/>
      <c r="B3010" s="70"/>
      <c r="C3010" s="70"/>
      <c r="D3010" s="70"/>
      <c r="E3010" s="70"/>
      <c r="F3010" s="66"/>
      <c r="G3010" s="66"/>
      <c r="H3010" s="66"/>
      <c r="I3010" s="66"/>
      <c r="J3010" s="66"/>
      <c r="K3010" s="63">
        <v>5500.0</v>
      </c>
      <c r="L3010" s="63">
        <v>12.2</v>
      </c>
      <c r="M3010" s="66">
        <f t="shared" si="1"/>
        <v>93.69</v>
      </c>
    </row>
    <row r="3011">
      <c r="A3011" s="67"/>
      <c r="B3011" s="67"/>
      <c r="C3011" s="67"/>
      <c r="D3011" s="67"/>
      <c r="E3011" s="67"/>
      <c r="F3011" s="68"/>
      <c r="G3011" s="68"/>
      <c r="H3011" s="68"/>
      <c r="I3011" s="68"/>
      <c r="J3011" s="68"/>
      <c r="K3011" s="69">
        <v>6000.0</v>
      </c>
      <c r="L3011" s="69">
        <v>12.4</v>
      </c>
      <c r="M3011" s="68">
        <f t="shared" si="1"/>
        <v>103.88</v>
      </c>
    </row>
    <row r="3012">
      <c r="A3012" s="70"/>
      <c r="B3012" s="70"/>
      <c r="C3012" s="70"/>
      <c r="D3012" s="70"/>
      <c r="E3012" s="70"/>
      <c r="F3012" s="66"/>
      <c r="G3012" s="66"/>
      <c r="H3012" s="66"/>
      <c r="I3012" s="66"/>
      <c r="J3012" s="66"/>
      <c r="K3012" s="63">
        <v>6800.0</v>
      </c>
      <c r="L3012" s="63">
        <v>12.5</v>
      </c>
      <c r="M3012" s="66">
        <f t="shared" si="1"/>
        <v>118.68</v>
      </c>
    </row>
    <row r="3013">
      <c r="A3013" s="67"/>
      <c r="B3013" s="67"/>
      <c r="C3013" s="67"/>
      <c r="D3013" s="67"/>
      <c r="E3013" s="67"/>
      <c r="F3013" s="68"/>
      <c r="G3013" s="68"/>
      <c r="H3013" s="68"/>
      <c r="I3013" s="68"/>
      <c r="J3013" s="68"/>
      <c r="K3013" s="69">
        <v>7000.0</v>
      </c>
      <c r="L3013" s="69">
        <v>12.1</v>
      </c>
      <c r="M3013" s="68">
        <f t="shared" si="1"/>
        <v>118.26</v>
      </c>
    </row>
    <row r="3014">
      <c r="A3014" s="70"/>
      <c r="B3014" s="70"/>
      <c r="C3014" s="70"/>
      <c r="D3014" s="70"/>
      <c r="E3014" s="70"/>
      <c r="F3014" s="66"/>
      <c r="G3014" s="66"/>
      <c r="H3014" s="66"/>
      <c r="I3014" s="66"/>
      <c r="J3014" s="66"/>
      <c r="K3014" s="63">
        <v>7500.0</v>
      </c>
      <c r="L3014" s="63">
        <v>11.15</v>
      </c>
      <c r="M3014" s="66">
        <f t="shared" si="1"/>
        <v>116.76</v>
      </c>
    </row>
    <row r="3015">
      <c r="A3015" s="67"/>
      <c r="B3015" s="67"/>
      <c r="C3015" s="67"/>
      <c r="D3015" s="67"/>
      <c r="E3015" s="67"/>
      <c r="F3015" s="68"/>
      <c r="G3015" s="68"/>
      <c r="H3015" s="68"/>
      <c r="I3015" s="68"/>
      <c r="J3015" s="68"/>
      <c r="K3015" s="69">
        <v>8000.0</v>
      </c>
      <c r="L3015" s="69">
        <v>10.1</v>
      </c>
      <c r="M3015" s="68">
        <f t="shared" si="1"/>
        <v>112.82</v>
      </c>
    </row>
    <row r="3016">
      <c r="A3016" s="70"/>
      <c r="B3016" s="70"/>
      <c r="C3016" s="70"/>
      <c r="D3016" s="70"/>
      <c r="E3016" s="70"/>
      <c r="F3016" s="66"/>
      <c r="G3016" s="66"/>
      <c r="H3016" s="66"/>
      <c r="I3016" s="66"/>
      <c r="J3016" s="66"/>
      <c r="K3016" s="63">
        <v>8200.0</v>
      </c>
      <c r="L3016" s="63">
        <v>9.5</v>
      </c>
      <c r="M3016" s="66">
        <f t="shared" si="1"/>
        <v>108.77</v>
      </c>
    </row>
    <row r="3017">
      <c r="A3017" s="67"/>
      <c r="B3017" s="67"/>
      <c r="C3017" s="67"/>
      <c r="D3017" s="67"/>
      <c r="E3017" s="67"/>
      <c r="F3017" s="68"/>
      <c r="G3017" s="68"/>
      <c r="H3017" s="68"/>
      <c r="I3017" s="68"/>
      <c r="J3017" s="68"/>
      <c r="K3017" s="69">
        <v>9000.0</v>
      </c>
      <c r="L3017" s="69">
        <v>6.95</v>
      </c>
      <c r="M3017" s="68">
        <f t="shared" si="1"/>
        <v>87.34</v>
      </c>
    </row>
    <row r="3018">
      <c r="A3018" s="66">
        <v>201.0</v>
      </c>
      <c r="B3018" s="66">
        <v>330.0</v>
      </c>
      <c r="C3018" s="74" t="s">
        <v>650</v>
      </c>
      <c r="D3018" s="74" t="s">
        <v>651</v>
      </c>
      <c r="E3018" s="74" t="s">
        <v>652</v>
      </c>
      <c r="F3018" s="65">
        <v>7100.0</v>
      </c>
      <c r="G3018" s="65">
        <v>7300.0</v>
      </c>
      <c r="H3018" s="65">
        <v>600.0</v>
      </c>
      <c r="I3018" s="65">
        <v>3500.0</v>
      </c>
      <c r="J3018" s="65">
        <v>5500.0</v>
      </c>
      <c r="K3018" s="63">
        <v>500.0</v>
      </c>
      <c r="L3018" s="63">
        <v>25.0</v>
      </c>
      <c r="M3018" s="66">
        <f t="shared" si="1"/>
        <v>17.45</v>
      </c>
    </row>
    <row r="3019">
      <c r="A3019" s="67"/>
      <c r="B3019" s="67"/>
      <c r="C3019" s="67"/>
      <c r="D3019" s="67"/>
      <c r="E3019" s="67"/>
      <c r="F3019" s="68"/>
      <c r="G3019" s="68"/>
      <c r="H3019" s="68"/>
      <c r="I3019" s="68"/>
      <c r="J3019" s="68"/>
      <c r="K3019" s="69">
        <v>1000.0</v>
      </c>
      <c r="L3019" s="69">
        <v>27.6</v>
      </c>
      <c r="M3019" s="68">
        <f t="shared" si="1"/>
        <v>38.54</v>
      </c>
    </row>
    <row r="3020">
      <c r="A3020" s="70"/>
      <c r="B3020" s="70"/>
      <c r="C3020" s="70"/>
      <c r="D3020" s="70"/>
      <c r="E3020" s="70"/>
      <c r="F3020" s="66"/>
      <c r="G3020" s="66"/>
      <c r="H3020" s="66"/>
      <c r="I3020" s="66"/>
      <c r="J3020" s="66"/>
      <c r="K3020" s="63">
        <v>1500.0</v>
      </c>
      <c r="L3020" s="63">
        <v>30.0</v>
      </c>
      <c r="M3020" s="66">
        <f t="shared" si="1"/>
        <v>62.83</v>
      </c>
    </row>
    <row r="3021">
      <c r="A3021" s="67"/>
      <c r="B3021" s="67"/>
      <c r="C3021" s="67"/>
      <c r="D3021" s="67"/>
      <c r="E3021" s="67"/>
      <c r="F3021" s="68"/>
      <c r="G3021" s="68"/>
      <c r="H3021" s="68"/>
      <c r="I3021" s="68"/>
      <c r="J3021" s="68"/>
      <c r="K3021" s="69">
        <v>2000.0</v>
      </c>
      <c r="L3021" s="69">
        <v>32.1</v>
      </c>
      <c r="M3021" s="68">
        <f t="shared" si="1"/>
        <v>89.64</v>
      </c>
    </row>
    <row r="3022">
      <c r="A3022" s="70"/>
      <c r="B3022" s="70"/>
      <c r="C3022" s="70"/>
      <c r="D3022" s="70"/>
      <c r="E3022" s="70"/>
      <c r="F3022" s="66"/>
      <c r="G3022" s="66"/>
      <c r="H3022" s="66"/>
      <c r="I3022" s="66"/>
      <c r="J3022" s="66"/>
      <c r="K3022" s="63">
        <v>2500.0</v>
      </c>
      <c r="L3022" s="63">
        <v>33.9</v>
      </c>
      <c r="M3022" s="66">
        <f t="shared" si="1"/>
        <v>118.33</v>
      </c>
    </row>
    <row r="3023">
      <c r="A3023" s="67"/>
      <c r="B3023" s="67"/>
      <c r="C3023" s="67"/>
      <c r="D3023" s="67"/>
      <c r="E3023" s="67"/>
      <c r="F3023" s="68"/>
      <c r="G3023" s="68"/>
      <c r="H3023" s="68"/>
      <c r="I3023" s="68"/>
      <c r="J3023" s="68"/>
      <c r="K3023" s="69">
        <v>3000.0</v>
      </c>
      <c r="L3023" s="69">
        <v>35.3</v>
      </c>
      <c r="M3023" s="68">
        <f t="shared" si="1"/>
        <v>147.86</v>
      </c>
    </row>
    <row r="3024">
      <c r="A3024" s="70"/>
      <c r="B3024" s="70"/>
      <c r="C3024" s="70"/>
      <c r="D3024" s="70"/>
      <c r="E3024" s="70"/>
      <c r="F3024" s="66"/>
      <c r="G3024" s="66"/>
      <c r="H3024" s="66"/>
      <c r="I3024" s="66"/>
      <c r="J3024" s="66"/>
      <c r="K3024" s="63">
        <v>3500.0</v>
      </c>
      <c r="L3024" s="63">
        <v>36.0</v>
      </c>
      <c r="M3024" s="66">
        <f t="shared" si="1"/>
        <v>175.93</v>
      </c>
    </row>
    <row r="3025">
      <c r="A3025" s="67"/>
      <c r="B3025" s="67"/>
      <c r="C3025" s="67"/>
      <c r="D3025" s="67"/>
      <c r="E3025" s="67"/>
      <c r="F3025" s="68"/>
      <c r="G3025" s="68"/>
      <c r="H3025" s="68"/>
      <c r="I3025" s="68"/>
      <c r="J3025" s="68"/>
      <c r="K3025" s="69">
        <v>4000.0</v>
      </c>
      <c r="L3025" s="69">
        <v>35.8</v>
      </c>
      <c r="M3025" s="68">
        <f t="shared" si="1"/>
        <v>199.94</v>
      </c>
    </row>
    <row r="3026">
      <c r="A3026" s="73"/>
      <c r="B3026" s="73"/>
      <c r="C3026" s="73"/>
      <c r="D3026" s="73"/>
      <c r="E3026" s="73"/>
      <c r="F3026" s="66"/>
      <c r="G3026" s="66"/>
      <c r="H3026" s="66"/>
      <c r="I3026" s="66"/>
      <c r="J3026" s="66"/>
      <c r="K3026" s="63">
        <v>4500.0</v>
      </c>
      <c r="L3026" s="63">
        <v>35.6</v>
      </c>
      <c r="M3026" s="66">
        <f t="shared" si="1"/>
        <v>223.68</v>
      </c>
    </row>
    <row r="3027">
      <c r="A3027" s="67"/>
      <c r="B3027" s="67"/>
      <c r="C3027" s="67"/>
      <c r="D3027" s="67"/>
      <c r="E3027" s="67"/>
      <c r="F3027" s="68"/>
      <c r="G3027" s="68"/>
      <c r="H3027" s="68"/>
      <c r="I3027" s="68"/>
      <c r="J3027" s="68"/>
      <c r="K3027" s="69">
        <v>5000.0</v>
      </c>
      <c r="L3027" s="69">
        <v>35.3</v>
      </c>
      <c r="M3027" s="68">
        <f t="shared" si="1"/>
        <v>246.44</v>
      </c>
    </row>
    <row r="3028">
      <c r="A3028" s="70"/>
      <c r="B3028" s="70"/>
      <c r="C3028" s="70"/>
      <c r="D3028" s="70"/>
      <c r="E3028" s="70"/>
      <c r="F3028" s="66"/>
      <c r="G3028" s="66"/>
      <c r="H3028" s="66"/>
      <c r="I3028" s="66"/>
      <c r="J3028" s="66"/>
      <c r="K3028" s="63">
        <v>5500.0</v>
      </c>
      <c r="L3028" s="63">
        <v>35.0</v>
      </c>
      <c r="M3028" s="66">
        <f t="shared" si="1"/>
        <v>268.78</v>
      </c>
    </row>
    <row r="3029">
      <c r="A3029" s="67"/>
      <c r="B3029" s="67"/>
      <c r="C3029" s="67"/>
      <c r="D3029" s="67"/>
      <c r="E3029" s="67"/>
      <c r="F3029" s="68"/>
      <c r="G3029" s="68"/>
      <c r="H3029" s="68"/>
      <c r="I3029" s="68"/>
      <c r="J3029" s="68"/>
      <c r="K3029" s="69">
        <v>6000.0</v>
      </c>
      <c r="L3029" s="69">
        <v>31.5</v>
      </c>
      <c r="M3029" s="68">
        <f t="shared" si="1"/>
        <v>263.89</v>
      </c>
    </row>
    <row r="3030">
      <c r="A3030" s="70"/>
      <c r="B3030" s="70"/>
      <c r="C3030" s="70"/>
      <c r="D3030" s="70"/>
      <c r="E3030" s="70"/>
      <c r="F3030" s="66"/>
      <c r="G3030" s="66"/>
      <c r="H3030" s="66"/>
      <c r="I3030" s="66"/>
      <c r="J3030" s="66"/>
      <c r="K3030" s="63">
        <v>6500.0</v>
      </c>
      <c r="L3030" s="63">
        <v>26.7</v>
      </c>
      <c r="M3030" s="66">
        <f t="shared" si="1"/>
        <v>242.32</v>
      </c>
    </row>
    <row r="3031">
      <c r="A3031" s="67"/>
      <c r="B3031" s="67"/>
      <c r="C3031" s="67"/>
      <c r="D3031" s="67"/>
      <c r="E3031" s="67"/>
      <c r="F3031" s="68"/>
      <c r="G3031" s="68"/>
      <c r="H3031" s="68"/>
      <c r="I3031" s="68"/>
      <c r="J3031" s="68"/>
      <c r="K3031" s="69">
        <v>7000.0</v>
      </c>
      <c r="L3031" s="69">
        <v>22.2</v>
      </c>
      <c r="M3031" s="68">
        <f t="shared" si="1"/>
        <v>216.98</v>
      </c>
    </row>
    <row r="3032">
      <c r="A3032" s="70"/>
      <c r="B3032" s="70"/>
      <c r="C3032" s="70"/>
      <c r="D3032" s="70"/>
      <c r="E3032" s="70"/>
      <c r="F3032" s="66"/>
      <c r="G3032" s="66"/>
      <c r="H3032" s="66"/>
      <c r="I3032" s="66"/>
      <c r="J3032" s="66"/>
      <c r="K3032" s="63">
        <v>7500.0</v>
      </c>
      <c r="L3032" s="63">
        <v>18.3</v>
      </c>
      <c r="M3032" s="66">
        <f t="shared" si="1"/>
        <v>191.64</v>
      </c>
    </row>
    <row r="3033">
      <c r="A3033" s="68">
        <v>202.0</v>
      </c>
      <c r="B3033" s="68">
        <v>331.0</v>
      </c>
      <c r="C3033" s="71" t="s">
        <v>653</v>
      </c>
      <c r="D3033" s="71" t="s">
        <v>654</v>
      </c>
      <c r="E3033" s="71" t="s">
        <v>655</v>
      </c>
      <c r="F3033" s="72">
        <v>5500.0</v>
      </c>
      <c r="G3033" s="72">
        <v>5500.0</v>
      </c>
      <c r="H3033" s="72">
        <v>700.0</v>
      </c>
      <c r="I3033" s="72">
        <v>4000.0</v>
      </c>
      <c r="J3033" s="72">
        <v>5000.0</v>
      </c>
      <c r="K3033" s="69">
        <v>500.0</v>
      </c>
      <c r="L3033" s="69">
        <v>27.7</v>
      </c>
      <c r="M3033" s="68">
        <f t="shared" si="1"/>
        <v>19.34</v>
      </c>
    </row>
    <row r="3034">
      <c r="A3034" s="70"/>
      <c r="B3034" s="70"/>
      <c r="C3034" s="70"/>
      <c r="D3034" s="70"/>
      <c r="E3034" s="70"/>
      <c r="F3034" s="66"/>
      <c r="G3034" s="66"/>
      <c r="H3034" s="66"/>
      <c r="I3034" s="66"/>
      <c r="J3034" s="66"/>
      <c r="K3034" s="63">
        <v>1000.0</v>
      </c>
      <c r="L3034" s="63">
        <v>30.2</v>
      </c>
      <c r="M3034" s="66">
        <f t="shared" si="1"/>
        <v>42.17</v>
      </c>
    </row>
    <row r="3035">
      <c r="A3035" s="67"/>
      <c r="B3035" s="67"/>
      <c r="C3035" s="67"/>
      <c r="D3035" s="67"/>
      <c r="E3035" s="67"/>
      <c r="F3035" s="68"/>
      <c r="G3035" s="68"/>
      <c r="H3035" s="68"/>
      <c r="I3035" s="68"/>
      <c r="J3035" s="68"/>
      <c r="K3035" s="69">
        <v>1500.0</v>
      </c>
      <c r="L3035" s="69">
        <v>32.3</v>
      </c>
      <c r="M3035" s="68">
        <f t="shared" si="1"/>
        <v>67.65</v>
      </c>
    </row>
    <row r="3036">
      <c r="A3036" s="70"/>
      <c r="B3036" s="70"/>
      <c r="C3036" s="70"/>
      <c r="D3036" s="70"/>
      <c r="E3036" s="70"/>
      <c r="F3036" s="66"/>
      <c r="G3036" s="66"/>
      <c r="H3036" s="66"/>
      <c r="I3036" s="66"/>
      <c r="J3036" s="66"/>
      <c r="K3036" s="63">
        <v>2000.0</v>
      </c>
      <c r="L3036" s="63">
        <v>33.8</v>
      </c>
      <c r="M3036" s="66">
        <f t="shared" si="1"/>
        <v>94.39</v>
      </c>
    </row>
    <row r="3037">
      <c r="A3037" s="67"/>
      <c r="B3037" s="67"/>
      <c r="C3037" s="67"/>
      <c r="D3037" s="67"/>
      <c r="E3037" s="67"/>
      <c r="F3037" s="68"/>
      <c r="G3037" s="68"/>
      <c r="H3037" s="68"/>
      <c r="I3037" s="68"/>
      <c r="J3037" s="68"/>
      <c r="K3037" s="69">
        <v>2500.0</v>
      </c>
      <c r="L3037" s="69">
        <v>34.9</v>
      </c>
      <c r="M3037" s="68">
        <f t="shared" si="1"/>
        <v>121.82</v>
      </c>
    </row>
    <row r="3038">
      <c r="A3038" s="70"/>
      <c r="B3038" s="70"/>
      <c r="C3038" s="70"/>
      <c r="D3038" s="70"/>
      <c r="E3038" s="70"/>
      <c r="F3038" s="66"/>
      <c r="G3038" s="66"/>
      <c r="H3038" s="66"/>
      <c r="I3038" s="66"/>
      <c r="J3038" s="66"/>
      <c r="K3038" s="63">
        <v>3000.0</v>
      </c>
      <c r="L3038" s="63">
        <v>35.8</v>
      </c>
      <c r="M3038" s="66">
        <f t="shared" si="1"/>
        <v>149.96</v>
      </c>
    </row>
    <row r="3039">
      <c r="A3039" s="67"/>
      <c r="B3039" s="67"/>
      <c r="C3039" s="67"/>
      <c r="D3039" s="67"/>
      <c r="E3039" s="67"/>
      <c r="F3039" s="68"/>
      <c r="G3039" s="68"/>
      <c r="H3039" s="68"/>
      <c r="I3039" s="68"/>
      <c r="J3039" s="68"/>
      <c r="K3039" s="69">
        <v>3500.0</v>
      </c>
      <c r="L3039" s="69">
        <v>36.6</v>
      </c>
      <c r="M3039" s="68">
        <f t="shared" si="1"/>
        <v>178.86</v>
      </c>
    </row>
    <row r="3040">
      <c r="A3040" s="70"/>
      <c r="B3040" s="70"/>
      <c r="C3040" s="70"/>
      <c r="D3040" s="70"/>
      <c r="E3040" s="70"/>
      <c r="F3040" s="66"/>
      <c r="G3040" s="66"/>
      <c r="H3040" s="66"/>
      <c r="I3040" s="66"/>
      <c r="J3040" s="66"/>
      <c r="K3040" s="63">
        <v>4000.0</v>
      </c>
      <c r="L3040" s="63">
        <v>37.0</v>
      </c>
      <c r="M3040" s="66">
        <f t="shared" si="1"/>
        <v>206.65</v>
      </c>
    </row>
    <row r="3041">
      <c r="A3041" s="67"/>
      <c r="B3041" s="67"/>
      <c r="C3041" s="67"/>
      <c r="D3041" s="67"/>
      <c r="E3041" s="67"/>
      <c r="F3041" s="68"/>
      <c r="G3041" s="68"/>
      <c r="H3041" s="68"/>
      <c r="I3041" s="68"/>
      <c r="J3041" s="68"/>
      <c r="K3041" s="69">
        <v>4500.0</v>
      </c>
      <c r="L3041" s="69">
        <v>37.0</v>
      </c>
      <c r="M3041" s="68">
        <f t="shared" si="1"/>
        <v>232.48</v>
      </c>
    </row>
    <row r="3042">
      <c r="A3042" s="70"/>
      <c r="B3042" s="70"/>
      <c r="C3042" s="70"/>
      <c r="D3042" s="70"/>
      <c r="E3042" s="70"/>
      <c r="F3042" s="66"/>
      <c r="G3042" s="66"/>
      <c r="H3042" s="66"/>
      <c r="I3042" s="66"/>
      <c r="J3042" s="66"/>
      <c r="K3042" s="63">
        <v>5000.0</v>
      </c>
      <c r="L3042" s="63">
        <v>37.0</v>
      </c>
      <c r="M3042" s="66">
        <f t="shared" si="1"/>
        <v>258.31</v>
      </c>
    </row>
    <row r="3043">
      <c r="A3043" s="67"/>
      <c r="B3043" s="67"/>
      <c r="C3043" s="67"/>
      <c r="D3043" s="67"/>
      <c r="E3043" s="67"/>
      <c r="F3043" s="68"/>
      <c r="G3043" s="68"/>
      <c r="H3043" s="68"/>
      <c r="I3043" s="68"/>
      <c r="J3043" s="68"/>
      <c r="K3043" s="69">
        <v>5500.0</v>
      </c>
      <c r="L3043" s="69">
        <v>36.4</v>
      </c>
      <c r="M3043" s="68">
        <f t="shared" si="1"/>
        <v>279.53</v>
      </c>
    </row>
    <row r="3044">
      <c r="A3044" s="70"/>
      <c r="B3044" s="70"/>
      <c r="C3044" s="70"/>
      <c r="D3044" s="70"/>
      <c r="E3044" s="70"/>
      <c r="F3044" s="66"/>
      <c r="G3044" s="66"/>
      <c r="H3044" s="66"/>
      <c r="I3044" s="66"/>
      <c r="J3044" s="66"/>
      <c r="K3044" s="63">
        <v>6000.0</v>
      </c>
      <c r="L3044" s="63">
        <v>32.5</v>
      </c>
      <c r="M3044" s="66">
        <f t="shared" si="1"/>
        <v>272.27</v>
      </c>
    </row>
    <row r="3045">
      <c r="A3045" s="68">
        <v>203.0</v>
      </c>
      <c r="B3045" s="68">
        <v>332.0</v>
      </c>
      <c r="C3045" s="71" t="s">
        <v>656</v>
      </c>
      <c r="D3045" s="71" t="s">
        <v>657</v>
      </c>
      <c r="E3045" s="71" t="s">
        <v>658</v>
      </c>
      <c r="F3045" s="72">
        <v>7000.0</v>
      </c>
      <c r="G3045" s="72">
        <v>7200.0</v>
      </c>
      <c r="H3045" s="72">
        <v>700.0</v>
      </c>
      <c r="I3045" s="72">
        <v>3250.0</v>
      </c>
      <c r="J3045" s="72">
        <v>6500.0</v>
      </c>
      <c r="K3045" s="69">
        <v>500.0</v>
      </c>
      <c r="L3045" s="69">
        <v>45.2</v>
      </c>
      <c r="M3045" s="68">
        <f t="shared" si="1"/>
        <v>31.56</v>
      </c>
    </row>
    <row r="3046">
      <c r="A3046" s="70"/>
      <c r="B3046" s="70"/>
      <c r="C3046" s="70"/>
      <c r="D3046" s="70"/>
      <c r="E3046" s="70"/>
      <c r="F3046" s="66"/>
      <c r="G3046" s="66"/>
      <c r="H3046" s="66"/>
      <c r="I3046" s="66"/>
      <c r="J3046" s="66"/>
      <c r="K3046" s="63">
        <v>1000.0</v>
      </c>
      <c r="L3046" s="63">
        <v>61.4</v>
      </c>
      <c r="M3046" s="66">
        <f t="shared" si="1"/>
        <v>85.73</v>
      </c>
    </row>
    <row r="3047">
      <c r="A3047" s="67"/>
      <c r="B3047" s="67"/>
      <c r="C3047" s="67"/>
      <c r="D3047" s="67"/>
      <c r="E3047" s="67"/>
      <c r="F3047" s="68"/>
      <c r="G3047" s="68"/>
      <c r="H3047" s="68"/>
      <c r="I3047" s="68"/>
      <c r="J3047" s="68"/>
      <c r="K3047" s="69">
        <v>1500.0</v>
      </c>
      <c r="L3047" s="69">
        <v>68.2</v>
      </c>
      <c r="M3047" s="68">
        <f t="shared" si="1"/>
        <v>142.84</v>
      </c>
    </row>
    <row r="3048">
      <c r="A3048" s="70"/>
      <c r="B3048" s="70"/>
      <c r="C3048" s="70"/>
      <c r="D3048" s="70"/>
      <c r="E3048" s="70"/>
      <c r="F3048" s="66"/>
      <c r="G3048" s="66"/>
      <c r="H3048" s="66"/>
      <c r="I3048" s="66"/>
      <c r="J3048" s="66"/>
      <c r="K3048" s="63">
        <v>2000.0</v>
      </c>
      <c r="L3048" s="63">
        <v>72.0</v>
      </c>
      <c r="M3048" s="66">
        <f t="shared" si="1"/>
        <v>201.06</v>
      </c>
    </row>
    <row r="3049">
      <c r="A3049" s="67"/>
      <c r="B3049" s="67"/>
      <c r="C3049" s="67"/>
      <c r="D3049" s="67"/>
      <c r="E3049" s="67"/>
      <c r="F3049" s="68"/>
      <c r="G3049" s="68"/>
      <c r="H3049" s="68"/>
      <c r="I3049" s="68"/>
      <c r="J3049" s="68"/>
      <c r="K3049" s="69">
        <v>2500.0</v>
      </c>
      <c r="L3049" s="69">
        <v>73.6</v>
      </c>
      <c r="M3049" s="68">
        <f t="shared" si="1"/>
        <v>256.91</v>
      </c>
    </row>
    <row r="3050">
      <c r="A3050" s="73"/>
      <c r="B3050" s="73"/>
      <c r="C3050" s="73"/>
      <c r="D3050" s="73"/>
      <c r="E3050" s="73"/>
      <c r="F3050" s="66"/>
      <c r="G3050" s="66"/>
      <c r="H3050" s="66"/>
      <c r="I3050" s="66"/>
      <c r="J3050" s="66"/>
      <c r="K3050" s="63">
        <v>3250.0</v>
      </c>
      <c r="L3050" s="63">
        <v>75.0</v>
      </c>
      <c r="M3050" s="66">
        <f t="shared" si="1"/>
        <v>340.34</v>
      </c>
    </row>
    <row r="3051">
      <c r="A3051" s="67"/>
      <c r="B3051" s="67"/>
      <c r="C3051" s="67"/>
      <c r="D3051" s="67"/>
      <c r="E3051" s="67"/>
      <c r="F3051" s="68"/>
      <c r="G3051" s="68"/>
      <c r="H3051" s="68"/>
      <c r="I3051" s="68"/>
      <c r="J3051" s="68"/>
      <c r="K3051" s="69">
        <v>3500.0</v>
      </c>
      <c r="L3051" s="69">
        <v>75.0</v>
      </c>
      <c r="M3051" s="68">
        <f t="shared" si="1"/>
        <v>366.52</v>
      </c>
    </row>
    <row r="3052">
      <c r="A3052" s="70"/>
      <c r="B3052" s="70"/>
      <c r="C3052" s="70"/>
      <c r="D3052" s="70"/>
      <c r="E3052" s="70"/>
      <c r="F3052" s="66"/>
      <c r="G3052" s="66"/>
      <c r="H3052" s="66"/>
      <c r="I3052" s="66"/>
      <c r="J3052" s="66"/>
      <c r="K3052" s="63">
        <v>4000.0</v>
      </c>
      <c r="L3052" s="63">
        <v>74.8</v>
      </c>
      <c r="M3052" s="66">
        <f t="shared" si="1"/>
        <v>417.76</v>
      </c>
    </row>
    <row r="3053">
      <c r="A3053" s="67"/>
      <c r="B3053" s="67"/>
      <c r="C3053" s="67"/>
      <c r="D3053" s="67"/>
      <c r="E3053" s="67"/>
      <c r="F3053" s="68"/>
      <c r="G3053" s="68"/>
      <c r="H3053" s="68"/>
      <c r="I3053" s="68"/>
      <c r="J3053" s="68"/>
      <c r="K3053" s="69">
        <v>4500.0</v>
      </c>
      <c r="L3053" s="69">
        <v>74.2</v>
      </c>
      <c r="M3053" s="68">
        <f t="shared" si="1"/>
        <v>466.21</v>
      </c>
    </row>
    <row r="3054">
      <c r="A3054" s="70"/>
      <c r="B3054" s="70"/>
      <c r="C3054" s="70"/>
      <c r="D3054" s="70"/>
      <c r="E3054" s="70"/>
      <c r="F3054" s="66"/>
      <c r="G3054" s="66"/>
      <c r="H3054" s="66"/>
      <c r="I3054" s="66"/>
      <c r="J3054" s="66"/>
      <c r="K3054" s="63">
        <v>5000.0</v>
      </c>
      <c r="L3054" s="63">
        <v>73.6</v>
      </c>
      <c r="M3054" s="66">
        <f t="shared" si="1"/>
        <v>513.82</v>
      </c>
    </row>
    <row r="3055">
      <c r="A3055" s="67"/>
      <c r="B3055" s="67"/>
      <c r="C3055" s="67"/>
      <c r="D3055" s="67"/>
      <c r="E3055" s="67"/>
      <c r="F3055" s="68"/>
      <c r="G3055" s="68"/>
      <c r="H3055" s="68"/>
      <c r="I3055" s="68"/>
      <c r="J3055" s="68"/>
      <c r="K3055" s="69">
        <v>5500.0</v>
      </c>
      <c r="L3055" s="69">
        <v>72.4</v>
      </c>
      <c r="M3055" s="68">
        <f t="shared" si="1"/>
        <v>555.99</v>
      </c>
    </row>
    <row r="3056">
      <c r="A3056" s="70"/>
      <c r="B3056" s="70"/>
      <c r="C3056" s="70"/>
      <c r="D3056" s="70"/>
      <c r="E3056" s="70"/>
      <c r="F3056" s="66"/>
      <c r="G3056" s="66"/>
      <c r="H3056" s="66"/>
      <c r="I3056" s="66"/>
      <c r="J3056" s="66"/>
      <c r="K3056" s="63">
        <v>6000.0</v>
      </c>
      <c r="L3056" s="63">
        <v>70.9</v>
      </c>
      <c r="M3056" s="66">
        <f t="shared" si="1"/>
        <v>593.97</v>
      </c>
    </row>
    <row r="3057">
      <c r="A3057" s="67"/>
      <c r="B3057" s="67"/>
      <c r="C3057" s="67"/>
      <c r="D3057" s="67"/>
      <c r="E3057" s="67"/>
      <c r="F3057" s="68"/>
      <c r="G3057" s="68"/>
      <c r="H3057" s="68"/>
      <c r="I3057" s="68"/>
      <c r="J3057" s="68"/>
      <c r="K3057" s="69">
        <v>6500.0</v>
      </c>
      <c r="L3057" s="69">
        <v>66.6</v>
      </c>
      <c r="M3057" s="68">
        <f t="shared" si="1"/>
        <v>604.44</v>
      </c>
    </row>
    <row r="3058">
      <c r="A3058" s="70"/>
      <c r="B3058" s="70"/>
      <c r="C3058" s="70"/>
      <c r="D3058" s="70"/>
      <c r="E3058" s="70"/>
      <c r="F3058" s="66"/>
      <c r="G3058" s="66"/>
      <c r="H3058" s="66"/>
      <c r="I3058" s="66"/>
      <c r="J3058" s="66"/>
      <c r="K3058" s="63">
        <v>7000.0</v>
      </c>
      <c r="L3058" s="63">
        <v>60.8</v>
      </c>
      <c r="M3058" s="66">
        <f t="shared" si="1"/>
        <v>594.25</v>
      </c>
    </row>
    <row r="3059">
      <c r="A3059" s="67"/>
      <c r="B3059" s="67"/>
      <c r="C3059" s="67"/>
      <c r="D3059" s="67"/>
      <c r="E3059" s="67"/>
      <c r="F3059" s="68"/>
      <c r="G3059" s="68"/>
      <c r="H3059" s="68"/>
      <c r="I3059" s="68"/>
      <c r="J3059" s="68"/>
      <c r="K3059" s="69">
        <v>7500.0</v>
      </c>
      <c r="L3059" s="69">
        <v>51.6</v>
      </c>
      <c r="M3059" s="68">
        <f t="shared" si="1"/>
        <v>540.35</v>
      </c>
    </row>
    <row r="3060">
      <c r="A3060" s="66">
        <v>204.0</v>
      </c>
      <c r="B3060" s="66">
        <v>333.0</v>
      </c>
      <c r="C3060" s="74" t="s">
        <v>659</v>
      </c>
      <c r="D3060" s="74" t="s">
        <v>660</v>
      </c>
      <c r="E3060" s="74" t="s">
        <v>661</v>
      </c>
      <c r="F3060" s="65">
        <v>6865.0</v>
      </c>
      <c r="G3060" s="65">
        <v>7200.0</v>
      </c>
      <c r="H3060" s="65">
        <v>700.0</v>
      </c>
      <c r="I3060" s="65">
        <v>1800.0</v>
      </c>
      <c r="J3060" s="65">
        <v>5500.0</v>
      </c>
      <c r="K3060" s="63">
        <v>500.0</v>
      </c>
      <c r="L3060" s="63">
        <v>15.6</v>
      </c>
      <c r="M3060" s="66">
        <f t="shared" si="1"/>
        <v>10.89</v>
      </c>
    </row>
    <row r="3061">
      <c r="A3061" s="67"/>
      <c r="B3061" s="67"/>
      <c r="C3061" s="67"/>
      <c r="D3061" s="67"/>
      <c r="E3061" s="67"/>
      <c r="F3061" s="68"/>
      <c r="G3061" s="68"/>
      <c r="H3061" s="68"/>
      <c r="I3061" s="68"/>
      <c r="J3061" s="68"/>
      <c r="K3061" s="69">
        <v>1000.0</v>
      </c>
      <c r="L3061" s="69">
        <v>19.13</v>
      </c>
      <c r="M3061" s="68">
        <f t="shared" si="1"/>
        <v>26.71</v>
      </c>
    </row>
    <row r="3062">
      <c r="A3062" s="70"/>
      <c r="B3062" s="70"/>
      <c r="C3062" s="70"/>
      <c r="D3062" s="70"/>
      <c r="E3062" s="70"/>
      <c r="F3062" s="66"/>
      <c r="G3062" s="66"/>
      <c r="H3062" s="66"/>
      <c r="I3062" s="66"/>
      <c r="J3062" s="66"/>
      <c r="K3062" s="63">
        <v>1500.0</v>
      </c>
      <c r="L3062" s="63">
        <v>22.47</v>
      </c>
      <c r="M3062" s="66">
        <f t="shared" si="1"/>
        <v>47.06</v>
      </c>
    </row>
    <row r="3063">
      <c r="A3063" s="67"/>
      <c r="B3063" s="67"/>
      <c r="C3063" s="67"/>
      <c r="D3063" s="67"/>
      <c r="E3063" s="67"/>
      <c r="F3063" s="68"/>
      <c r="G3063" s="68"/>
      <c r="H3063" s="68"/>
      <c r="I3063" s="68"/>
      <c r="J3063" s="68"/>
      <c r="K3063" s="69">
        <v>2000.0</v>
      </c>
      <c r="L3063" s="69">
        <v>25.07</v>
      </c>
      <c r="M3063" s="68">
        <f t="shared" si="1"/>
        <v>70.01</v>
      </c>
    </row>
    <row r="3064">
      <c r="A3064" s="70"/>
      <c r="B3064" s="70"/>
      <c r="C3064" s="70"/>
      <c r="D3064" s="70"/>
      <c r="E3064" s="70"/>
      <c r="F3064" s="66"/>
      <c r="G3064" s="66"/>
      <c r="H3064" s="66"/>
      <c r="I3064" s="66"/>
      <c r="J3064" s="66"/>
      <c r="K3064" s="63">
        <v>2500.0</v>
      </c>
      <c r="L3064" s="63">
        <v>25.3</v>
      </c>
      <c r="M3064" s="66">
        <f t="shared" si="1"/>
        <v>88.31</v>
      </c>
    </row>
    <row r="3065">
      <c r="A3065" s="67"/>
      <c r="B3065" s="67"/>
      <c r="C3065" s="67"/>
      <c r="D3065" s="67"/>
      <c r="E3065" s="67"/>
      <c r="F3065" s="68"/>
      <c r="G3065" s="68"/>
      <c r="H3065" s="68"/>
      <c r="I3065" s="68"/>
      <c r="J3065" s="68"/>
      <c r="K3065" s="69">
        <v>3000.0</v>
      </c>
      <c r="L3065" s="69">
        <v>25.37</v>
      </c>
      <c r="M3065" s="68">
        <f t="shared" si="1"/>
        <v>106.27</v>
      </c>
    </row>
    <row r="3066">
      <c r="A3066" s="70"/>
      <c r="B3066" s="70"/>
      <c r="C3066" s="70"/>
      <c r="D3066" s="70"/>
      <c r="E3066" s="70"/>
      <c r="F3066" s="66"/>
      <c r="G3066" s="66"/>
      <c r="H3066" s="66"/>
      <c r="I3066" s="66"/>
      <c r="J3066" s="66"/>
      <c r="K3066" s="63">
        <v>3500.0</v>
      </c>
      <c r="L3066" s="63">
        <v>25.45</v>
      </c>
      <c r="M3066" s="66">
        <f t="shared" si="1"/>
        <v>124.37</v>
      </c>
    </row>
    <row r="3067">
      <c r="A3067" s="67"/>
      <c r="B3067" s="67"/>
      <c r="C3067" s="67"/>
      <c r="D3067" s="67"/>
      <c r="E3067" s="67"/>
      <c r="F3067" s="68"/>
      <c r="G3067" s="68"/>
      <c r="H3067" s="68"/>
      <c r="I3067" s="68"/>
      <c r="J3067" s="68"/>
      <c r="K3067" s="69">
        <v>4000.0</v>
      </c>
      <c r="L3067" s="69">
        <v>25.3</v>
      </c>
      <c r="M3067" s="68">
        <f t="shared" si="1"/>
        <v>141.3</v>
      </c>
    </row>
    <row r="3068">
      <c r="A3068" s="70"/>
      <c r="B3068" s="70"/>
      <c r="C3068" s="70"/>
      <c r="D3068" s="70"/>
      <c r="E3068" s="70"/>
      <c r="F3068" s="66"/>
      <c r="G3068" s="66"/>
      <c r="H3068" s="66"/>
      <c r="I3068" s="66"/>
      <c r="J3068" s="66"/>
      <c r="K3068" s="63">
        <v>4500.0</v>
      </c>
      <c r="L3068" s="63">
        <v>25.22</v>
      </c>
      <c r="M3068" s="66">
        <f t="shared" si="1"/>
        <v>158.46</v>
      </c>
    </row>
    <row r="3069">
      <c r="A3069" s="67"/>
      <c r="B3069" s="67"/>
      <c r="C3069" s="67"/>
      <c r="D3069" s="67"/>
      <c r="E3069" s="67"/>
      <c r="F3069" s="68"/>
      <c r="G3069" s="68"/>
      <c r="H3069" s="68"/>
      <c r="I3069" s="68"/>
      <c r="J3069" s="68"/>
      <c r="K3069" s="69">
        <v>5000.0</v>
      </c>
      <c r="L3069" s="69">
        <v>25.15</v>
      </c>
      <c r="M3069" s="68">
        <f t="shared" si="1"/>
        <v>175.58</v>
      </c>
    </row>
    <row r="3070">
      <c r="A3070" s="70"/>
      <c r="B3070" s="70"/>
      <c r="C3070" s="70"/>
      <c r="D3070" s="70"/>
      <c r="E3070" s="70"/>
      <c r="F3070" s="66"/>
      <c r="G3070" s="66"/>
      <c r="H3070" s="66"/>
      <c r="I3070" s="66"/>
      <c r="J3070" s="66"/>
      <c r="K3070" s="63">
        <v>5700.0</v>
      </c>
      <c r="L3070" s="63">
        <v>25.0</v>
      </c>
      <c r="M3070" s="66">
        <f t="shared" si="1"/>
        <v>198.97</v>
      </c>
    </row>
    <row r="3071">
      <c r="A3071" s="67"/>
      <c r="B3071" s="67"/>
      <c r="C3071" s="67"/>
      <c r="D3071" s="67"/>
      <c r="E3071" s="67"/>
      <c r="F3071" s="68"/>
      <c r="G3071" s="68"/>
      <c r="H3071" s="68"/>
      <c r="I3071" s="68"/>
      <c r="J3071" s="68"/>
      <c r="K3071" s="69">
        <v>6000.0</v>
      </c>
      <c r="L3071" s="69">
        <v>23.55</v>
      </c>
      <c r="M3071" s="68">
        <f t="shared" si="1"/>
        <v>197.29</v>
      </c>
    </row>
    <row r="3072">
      <c r="A3072" s="70"/>
      <c r="B3072" s="70"/>
      <c r="C3072" s="70"/>
      <c r="D3072" s="70"/>
      <c r="E3072" s="70"/>
      <c r="F3072" s="66"/>
      <c r="G3072" s="66"/>
      <c r="H3072" s="66"/>
      <c r="I3072" s="66"/>
      <c r="J3072" s="66"/>
      <c r="K3072" s="63">
        <v>6500.0</v>
      </c>
      <c r="L3072" s="63">
        <v>20.27</v>
      </c>
      <c r="M3072" s="66">
        <f t="shared" si="1"/>
        <v>183.96</v>
      </c>
    </row>
    <row r="3073">
      <c r="A3073" s="67"/>
      <c r="B3073" s="67"/>
      <c r="C3073" s="67"/>
      <c r="D3073" s="67"/>
      <c r="E3073" s="67"/>
      <c r="F3073" s="68"/>
      <c r="G3073" s="68"/>
      <c r="H3073" s="68"/>
      <c r="I3073" s="68"/>
      <c r="J3073" s="68"/>
      <c r="K3073" s="69">
        <v>7000.0</v>
      </c>
      <c r="L3073" s="69">
        <v>16.05</v>
      </c>
      <c r="M3073" s="68">
        <f t="shared" si="1"/>
        <v>156.87</v>
      </c>
    </row>
    <row r="3074">
      <c r="A3074" s="73"/>
      <c r="B3074" s="73"/>
      <c r="C3074" s="73"/>
      <c r="D3074" s="73"/>
      <c r="E3074" s="73"/>
      <c r="F3074" s="66"/>
      <c r="G3074" s="66"/>
      <c r="H3074" s="66"/>
      <c r="I3074" s="66"/>
      <c r="J3074" s="66"/>
      <c r="K3074" s="63">
        <v>7500.0</v>
      </c>
      <c r="L3074" s="63">
        <v>11.77</v>
      </c>
      <c r="M3074" s="66">
        <f t="shared" si="1"/>
        <v>123.25</v>
      </c>
    </row>
    <row r="3075">
      <c r="A3075" s="68">
        <v>205.0</v>
      </c>
      <c r="B3075" s="68">
        <v>334.0</v>
      </c>
      <c r="C3075" s="71" t="s">
        <v>662</v>
      </c>
      <c r="D3075" s="71" t="s">
        <v>663</v>
      </c>
      <c r="E3075" s="71" t="s">
        <v>664</v>
      </c>
      <c r="F3075" s="72">
        <v>7500.0</v>
      </c>
      <c r="G3075" s="72">
        <v>7500.0</v>
      </c>
      <c r="H3075" s="72">
        <v>900.0</v>
      </c>
      <c r="I3075" s="72">
        <v>4500.0</v>
      </c>
      <c r="J3075" s="72">
        <v>7500.0</v>
      </c>
      <c r="K3075" s="69">
        <v>500.0</v>
      </c>
      <c r="L3075" s="69">
        <v>32.4</v>
      </c>
      <c r="M3075" s="68">
        <f t="shared" si="1"/>
        <v>22.62</v>
      </c>
    </row>
    <row r="3076">
      <c r="A3076" s="70"/>
      <c r="B3076" s="70"/>
      <c r="C3076" s="70"/>
      <c r="D3076" s="70"/>
      <c r="E3076" s="70"/>
      <c r="F3076" s="66"/>
      <c r="G3076" s="66"/>
      <c r="H3076" s="66"/>
      <c r="I3076" s="66"/>
      <c r="J3076" s="66"/>
      <c r="K3076" s="63">
        <v>1000.0</v>
      </c>
      <c r="L3076" s="63">
        <v>40.8</v>
      </c>
      <c r="M3076" s="66">
        <f t="shared" si="1"/>
        <v>56.97</v>
      </c>
    </row>
    <row r="3077">
      <c r="A3077" s="67"/>
      <c r="B3077" s="67"/>
      <c r="C3077" s="67"/>
      <c r="D3077" s="67"/>
      <c r="E3077" s="67"/>
      <c r="F3077" s="68"/>
      <c r="G3077" s="68"/>
      <c r="H3077" s="68"/>
      <c r="I3077" s="68"/>
      <c r="J3077" s="68"/>
      <c r="K3077" s="69">
        <v>1500.0</v>
      </c>
      <c r="L3077" s="69">
        <v>48.0</v>
      </c>
      <c r="M3077" s="68">
        <f t="shared" si="1"/>
        <v>100.53</v>
      </c>
    </row>
    <row r="3078">
      <c r="A3078" s="70"/>
      <c r="B3078" s="70"/>
      <c r="C3078" s="70"/>
      <c r="D3078" s="70"/>
      <c r="E3078" s="70"/>
      <c r="F3078" s="66"/>
      <c r="G3078" s="66"/>
      <c r="H3078" s="66"/>
      <c r="I3078" s="66"/>
      <c r="J3078" s="66"/>
      <c r="K3078" s="63">
        <v>2000.0</v>
      </c>
      <c r="L3078" s="63">
        <v>55.0</v>
      </c>
      <c r="M3078" s="66">
        <f t="shared" si="1"/>
        <v>153.59</v>
      </c>
    </row>
    <row r="3079">
      <c r="A3079" s="67"/>
      <c r="B3079" s="67"/>
      <c r="C3079" s="67"/>
      <c r="D3079" s="67"/>
      <c r="E3079" s="67"/>
      <c r="F3079" s="68"/>
      <c r="G3079" s="68"/>
      <c r="H3079" s="68"/>
      <c r="I3079" s="68"/>
      <c r="J3079" s="68"/>
      <c r="K3079" s="69">
        <v>2500.0</v>
      </c>
      <c r="L3079" s="69">
        <v>60.2</v>
      </c>
      <c r="M3079" s="68">
        <f t="shared" si="1"/>
        <v>210.14</v>
      </c>
    </row>
    <row r="3080">
      <c r="A3080" s="70"/>
      <c r="B3080" s="70"/>
      <c r="C3080" s="70"/>
      <c r="D3080" s="70"/>
      <c r="E3080" s="70"/>
      <c r="F3080" s="66"/>
      <c r="G3080" s="66"/>
      <c r="H3080" s="66"/>
      <c r="I3080" s="66"/>
      <c r="J3080" s="66"/>
      <c r="K3080" s="63">
        <v>3000.0</v>
      </c>
      <c r="L3080" s="63">
        <v>64.4</v>
      </c>
      <c r="M3080" s="66">
        <f t="shared" si="1"/>
        <v>269.76</v>
      </c>
    </row>
    <row r="3081">
      <c r="A3081" s="67"/>
      <c r="B3081" s="67"/>
      <c r="C3081" s="67"/>
      <c r="D3081" s="67"/>
      <c r="E3081" s="67"/>
      <c r="F3081" s="68"/>
      <c r="G3081" s="68"/>
      <c r="H3081" s="68"/>
      <c r="I3081" s="68"/>
      <c r="J3081" s="68"/>
      <c r="K3081" s="69">
        <v>3500.0</v>
      </c>
      <c r="L3081" s="69">
        <v>67.4</v>
      </c>
      <c r="M3081" s="68">
        <f t="shared" si="1"/>
        <v>329.38</v>
      </c>
    </row>
    <row r="3082">
      <c r="A3082" s="70"/>
      <c r="B3082" s="70"/>
      <c r="C3082" s="70"/>
      <c r="D3082" s="70"/>
      <c r="E3082" s="70"/>
      <c r="F3082" s="66"/>
      <c r="G3082" s="66"/>
      <c r="H3082" s="66"/>
      <c r="I3082" s="66"/>
      <c r="J3082" s="66"/>
      <c r="K3082" s="63">
        <v>4000.0</v>
      </c>
      <c r="L3082" s="63">
        <v>69.2</v>
      </c>
      <c r="M3082" s="66">
        <f t="shared" si="1"/>
        <v>386.48</v>
      </c>
    </row>
    <row r="3083">
      <c r="A3083" s="67"/>
      <c r="B3083" s="67"/>
      <c r="C3083" s="67"/>
      <c r="D3083" s="67"/>
      <c r="E3083" s="67"/>
      <c r="F3083" s="68"/>
      <c r="G3083" s="68"/>
      <c r="H3083" s="68"/>
      <c r="I3083" s="68"/>
      <c r="J3083" s="68"/>
      <c r="K3083" s="69">
        <v>4500.0</v>
      </c>
      <c r="L3083" s="69">
        <v>70.0</v>
      </c>
      <c r="M3083" s="68">
        <f t="shared" si="1"/>
        <v>439.82</v>
      </c>
    </row>
    <row r="3084">
      <c r="A3084" s="70"/>
      <c r="B3084" s="70"/>
      <c r="C3084" s="70"/>
      <c r="D3084" s="70"/>
      <c r="E3084" s="70"/>
      <c r="F3084" s="66"/>
      <c r="G3084" s="66"/>
      <c r="H3084" s="66"/>
      <c r="I3084" s="66"/>
      <c r="J3084" s="66"/>
      <c r="K3084" s="63">
        <v>5000.0</v>
      </c>
      <c r="L3084" s="63">
        <v>69.4</v>
      </c>
      <c r="M3084" s="66">
        <f t="shared" si="1"/>
        <v>484.5</v>
      </c>
    </row>
    <row r="3085">
      <c r="A3085" s="67"/>
      <c r="B3085" s="67"/>
      <c r="C3085" s="67"/>
      <c r="D3085" s="67"/>
      <c r="E3085" s="67"/>
      <c r="F3085" s="68"/>
      <c r="G3085" s="68"/>
      <c r="H3085" s="68"/>
      <c r="I3085" s="68"/>
      <c r="J3085" s="68"/>
      <c r="K3085" s="69">
        <v>5500.0</v>
      </c>
      <c r="L3085" s="69">
        <v>68.4</v>
      </c>
      <c r="M3085" s="68">
        <f t="shared" si="1"/>
        <v>525.27</v>
      </c>
    </row>
    <row r="3086">
      <c r="A3086" s="70"/>
      <c r="B3086" s="70"/>
      <c r="C3086" s="70"/>
      <c r="D3086" s="70"/>
      <c r="E3086" s="70"/>
      <c r="F3086" s="66"/>
      <c r="G3086" s="66"/>
      <c r="H3086" s="66"/>
      <c r="I3086" s="66"/>
      <c r="J3086" s="66"/>
      <c r="K3086" s="63">
        <v>6000.0</v>
      </c>
      <c r="L3086" s="63">
        <v>66.4</v>
      </c>
      <c r="M3086" s="66">
        <f t="shared" si="1"/>
        <v>556.27</v>
      </c>
    </row>
    <row r="3087">
      <c r="A3087" s="67"/>
      <c r="B3087" s="67"/>
      <c r="C3087" s="67"/>
      <c r="D3087" s="67"/>
      <c r="E3087" s="67"/>
      <c r="F3087" s="68"/>
      <c r="G3087" s="68"/>
      <c r="H3087" s="68"/>
      <c r="I3087" s="68"/>
      <c r="J3087" s="68"/>
      <c r="K3087" s="69">
        <v>6500.0</v>
      </c>
      <c r="L3087" s="69">
        <v>63.8</v>
      </c>
      <c r="M3087" s="68">
        <f t="shared" si="1"/>
        <v>579.03</v>
      </c>
    </row>
    <row r="3088">
      <c r="A3088" s="70"/>
      <c r="B3088" s="70"/>
      <c r="C3088" s="70"/>
      <c r="D3088" s="70"/>
      <c r="E3088" s="70"/>
      <c r="F3088" s="66"/>
      <c r="G3088" s="66"/>
      <c r="H3088" s="66"/>
      <c r="I3088" s="66"/>
      <c r="J3088" s="66"/>
      <c r="K3088" s="63">
        <v>7000.0</v>
      </c>
      <c r="L3088" s="63">
        <v>60.4</v>
      </c>
      <c r="M3088" s="66">
        <f t="shared" si="1"/>
        <v>590.34</v>
      </c>
    </row>
    <row r="3089">
      <c r="A3089" s="67"/>
      <c r="B3089" s="67"/>
      <c r="C3089" s="67"/>
      <c r="D3089" s="67"/>
      <c r="E3089" s="67"/>
      <c r="F3089" s="68"/>
      <c r="G3089" s="68"/>
      <c r="H3089" s="68"/>
      <c r="I3089" s="68"/>
      <c r="J3089" s="68"/>
      <c r="K3089" s="69">
        <v>7500.0</v>
      </c>
      <c r="L3089" s="69">
        <v>57.0</v>
      </c>
      <c r="M3089" s="68">
        <f t="shared" si="1"/>
        <v>596.9</v>
      </c>
    </row>
    <row r="3090">
      <c r="A3090" s="70"/>
      <c r="B3090" s="70"/>
      <c r="C3090" s="70"/>
      <c r="D3090" s="70"/>
      <c r="E3090" s="70"/>
      <c r="F3090" s="66"/>
      <c r="G3090" s="66"/>
      <c r="H3090" s="66"/>
      <c r="I3090" s="66"/>
      <c r="J3090" s="66"/>
      <c r="K3090" s="63">
        <v>8000.0</v>
      </c>
      <c r="L3090" s="63">
        <v>51.8</v>
      </c>
      <c r="M3090" s="66">
        <f t="shared" si="1"/>
        <v>578.61</v>
      </c>
    </row>
    <row r="3091">
      <c r="A3091" s="68">
        <v>206.0</v>
      </c>
      <c r="B3091" s="68">
        <v>335.0</v>
      </c>
      <c r="C3091" s="71" t="s">
        <v>665</v>
      </c>
      <c r="D3091" s="71" t="s">
        <v>666</v>
      </c>
      <c r="E3091" s="71" t="s">
        <v>667</v>
      </c>
      <c r="F3091" s="72">
        <v>8000.0</v>
      </c>
      <c r="G3091" s="72">
        <v>8100.0</v>
      </c>
      <c r="H3091" s="72">
        <v>800.0</v>
      </c>
      <c r="I3091" s="72">
        <v>4500.0</v>
      </c>
      <c r="J3091" s="72">
        <v>7000.0</v>
      </c>
      <c r="K3091" s="69">
        <v>500.0</v>
      </c>
      <c r="L3091" s="69">
        <v>23.5</v>
      </c>
      <c r="M3091" s="68">
        <f t="shared" si="1"/>
        <v>16.41</v>
      </c>
    </row>
    <row r="3092">
      <c r="A3092" s="70"/>
      <c r="B3092" s="70"/>
      <c r="C3092" s="70"/>
      <c r="D3092" s="70"/>
      <c r="E3092" s="70"/>
      <c r="F3092" s="66"/>
      <c r="G3092" s="66"/>
      <c r="H3092" s="66"/>
      <c r="I3092" s="66"/>
      <c r="J3092" s="66"/>
      <c r="K3092" s="63">
        <v>1000.0</v>
      </c>
      <c r="L3092" s="63">
        <v>27.6</v>
      </c>
      <c r="M3092" s="66">
        <f t="shared" si="1"/>
        <v>38.54</v>
      </c>
    </row>
    <row r="3093">
      <c r="A3093" s="67"/>
      <c r="B3093" s="67"/>
      <c r="C3093" s="67"/>
      <c r="D3093" s="67"/>
      <c r="E3093" s="67"/>
      <c r="F3093" s="68"/>
      <c r="G3093" s="68"/>
      <c r="H3093" s="68"/>
      <c r="I3093" s="68"/>
      <c r="J3093" s="68"/>
      <c r="K3093" s="69">
        <v>1500.0</v>
      </c>
      <c r="L3093" s="69">
        <v>30.3</v>
      </c>
      <c r="M3093" s="68">
        <f t="shared" si="1"/>
        <v>63.46</v>
      </c>
    </row>
    <row r="3094">
      <c r="A3094" s="70"/>
      <c r="B3094" s="70"/>
      <c r="C3094" s="70"/>
      <c r="D3094" s="70"/>
      <c r="E3094" s="70"/>
      <c r="F3094" s="66"/>
      <c r="G3094" s="66"/>
      <c r="H3094" s="66"/>
      <c r="I3094" s="66"/>
      <c r="J3094" s="66"/>
      <c r="K3094" s="63">
        <v>2000.0</v>
      </c>
      <c r="L3094" s="63">
        <v>33.1</v>
      </c>
      <c r="M3094" s="66">
        <f t="shared" si="1"/>
        <v>92.43</v>
      </c>
    </row>
    <row r="3095">
      <c r="A3095" s="67"/>
      <c r="B3095" s="67"/>
      <c r="C3095" s="67"/>
      <c r="D3095" s="67"/>
      <c r="E3095" s="67"/>
      <c r="F3095" s="68"/>
      <c r="G3095" s="68"/>
      <c r="H3095" s="68"/>
      <c r="I3095" s="68"/>
      <c r="J3095" s="68"/>
      <c r="K3095" s="69">
        <v>2500.0</v>
      </c>
      <c r="L3095" s="69">
        <v>35.3</v>
      </c>
      <c r="M3095" s="68">
        <f t="shared" si="1"/>
        <v>123.22</v>
      </c>
    </row>
    <row r="3096">
      <c r="A3096" s="70"/>
      <c r="B3096" s="70"/>
      <c r="C3096" s="70"/>
      <c r="D3096" s="70"/>
      <c r="E3096" s="70"/>
      <c r="F3096" s="66"/>
      <c r="G3096" s="66"/>
      <c r="H3096" s="66"/>
      <c r="I3096" s="66"/>
      <c r="J3096" s="66"/>
      <c r="K3096" s="63">
        <v>3000.0</v>
      </c>
      <c r="L3096" s="63">
        <v>36.9</v>
      </c>
      <c r="M3096" s="66">
        <f t="shared" si="1"/>
        <v>154.57</v>
      </c>
    </row>
    <row r="3097">
      <c r="A3097" s="67"/>
      <c r="B3097" s="67"/>
      <c r="C3097" s="67"/>
      <c r="D3097" s="67"/>
      <c r="E3097" s="67"/>
      <c r="F3097" s="68"/>
      <c r="G3097" s="68"/>
      <c r="H3097" s="68"/>
      <c r="I3097" s="68"/>
      <c r="J3097" s="68"/>
      <c r="K3097" s="69">
        <v>3500.0</v>
      </c>
      <c r="L3097" s="69">
        <v>38.1</v>
      </c>
      <c r="M3097" s="68">
        <f t="shared" si="1"/>
        <v>186.19</v>
      </c>
    </row>
    <row r="3098">
      <c r="A3098" s="73"/>
      <c r="B3098" s="73"/>
      <c r="C3098" s="73"/>
      <c r="D3098" s="73"/>
      <c r="E3098" s="73"/>
      <c r="F3098" s="66"/>
      <c r="G3098" s="66"/>
      <c r="H3098" s="66"/>
      <c r="I3098" s="66"/>
      <c r="J3098" s="66"/>
      <c r="K3098" s="63">
        <v>4000.0</v>
      </c>
      <c r="L3098" s="63">
        <v>38.9</v>
      </c>
      <c r="M3098" s="66">
        <f t="shared" si="1"/>
        <v>217.26</v>
      </c>
    </row>
    <row r="3099">
      <c r="A3099" s="67"/>
      <c r="B3099" s="67"/>
      <c r="C3099" s="67"/>
      <c r="D3099" s="67"/>
      <c r="E3099" s="67"/>
      <c r="F3099" s="68"/>
      <c r="G3099" s="68"/>
      <c r="H3099" s="68"/>
      <c r="I3099" s="68"/>
      <c r="J3099" s="68"/>
      <c r="K3099" s="69">
        <v>4500.0</v>
      </c>
      <c r="L3099" s="69">
        <v>39.7</v>
      </c>
      <c r="M3099" s="68">
        <f t="shared" si="1"/>
        <v>249.44</v>
      </c>
    </row>
    <row r="3100">
      <c r="A3100" s="70"/>
      <c r="B3100" s="70"/>
      <c r="C3100" s="70"/>
      <c r="D3100" s="70"/>
      <c r="E3100" s="70"/>
      <c r="F3100" s="66"/>
      <c r="G3100" s="66"/>
      <c r="H3100" s="66"/>
      <c r="I3100" s="66"/>
      <c r="J3100" s="66"/>
      <c r="K3100" s="63">
        <v>5000.0</v>
      </c>
      <c r="L3100" s="63">
        <v>39.6</v>
      </c>
      <c r="M3100" s="66">
        <f t="shared" si="1"/>
        <v>276.46</v>
      </c>
    </row>
    <row r="3101">
      <c r="A3101" s="67"/>
      <c r="B3101" s="67"/>
      <c r="C3101" s="67"/>
      <c r="D3101" s="67"/>
      <c r="E3101" s="67"/>
      <c r="F3101" s="68"/>
      <c r="G3101" s="68"/>
      <c r="H3101" s="68"/>
      <c r="I3101" s="68"/>
      <c r="J3101" s="68"/>
      <c r="K3101" s="69">
        <v>5500.0</v>
      </c>
      <c r="L3101" s="69">
        <v>39.5</v>
      </c>
      <c r="M3101" s="68">
        <f t="shared" si="1"/>
        <v>303.34</v>
      </c>
    </row>
    <row r="3102">
      <c r="A3102" s="70"/>
      <c r="B3102" s="70"/>
      <c r="C3102" s="70"/>
      <c r="D3102" s="70"/>
      <c r="E3102" s="70"/>
      <c r="F3102" s="66"/>
      <c r="G3102" s="66"/>
      <c r="H3102" s="66"/>
      <c r="I3102" s="66"/>
      <c r="J3102" s="66"/>
      <c r="K3102" s="63">
        <v>6000.0</v>
      </c>
      <c r="L3102" s="63">
        <v>39.4</v>
      </c>
      <c r="M3102" s="66">
        <f t="shared" si="1"/>
        <v>330.08</v>
      </c>
    </row>
    <row r="3103">
      <c r="A3103" s="67"/>
      <c r="B3103" s="67"/>
      <c r="C3103" s="67"/>
      <c r="D3103" s="67"/>
      <c r="E3103" s="67"/>
      <c r="F3103" s="68"/>
      <c r="G3103" s="68"/>
      <c r="H3103" s="68"/>
      <c r="I3103" s="68"/>
      <c r="J3103" s="68"/>
      <c r="K3103" s="69">
        <v>6500.0</v>
      </c>
      <c r="L3103" s="69">
        <v>39.2</v>
      </c>
      <c r="M3103" s="68">
        <f t="shared" si="1"/>
        <v>355.77</v>
      </c>
    </row>
    <row r="3104">
      <c r="A3104" s="70"/>
      <c r="B3104" s="70"/>
      <c r="C3104" s="70"/>
      <c r="D3104" s="70"/>
      <c r="E3104" s="70"/>
      <c r="F3104" s="66"/>
      <c r="G3104" s="66"/>
      <c r="H3104" s="66"/>
      <c r="I3104" s="66"/>
      <c r="J3104" s="66"/>
      <c r="K3104" s="63">
        <v>7000.0</v>
      </c>
      <c r="L3104" s="63">
        <v>38.8</v>
      </c>
      <c r="M3104" s="66">
        <f t="shared" si="1"/>
        <v>379.22</v>
      </c>
    </row>
    <row r="3105">
      <c r="A3105" s="67"/>
      <c r="B3105" s="67"/>
      <c r="C3105" s="67"/>
      <c r="D3105" s="67"/>
      <c r="E3105" s="67"/>
      <c r="F3105" s="68"/>
      <c r="G3105" s="68"/>
      <c r="H3105" s="68"/>
      <c r="I3105" s="68"/>
      <c r="J3105" s="68"/>
      <c r="K3105" s="69">
        <v>7500.0</v>
      </c>
      <c r="L3105" s="69">
        <v>35.7</v>
      </c>
      <c r="M3105" s="68">
        <f t="shared" si="1"/>
        <v>373.85</v>
      </c>
    </row>
    <row r="3106">
      <c r="A3106" s="70"/>
      <c r="B3106" s="70"/>
      <c r="C3106" s="70"/>
      <c r="D3106" s="70"/>
      <c r="E3106" s="70"/>
      <c r="F3106" s="66"/>
      <c r="G3106" s="66"/>
      <c r="H3106" s="66"/>
      <c r="I3106" s="66"/>
      <c r="J3106" s="66"/>
      <c r="K3106" s="63">
        <v>8000.0</v>
      </c>
      <c r="L3106" s="63">
        <v>31.2</v>
      </c>
      <c r="M3106" s="66">
        <f t="shared" si="1"/>
        <v>348.51</v>
      </c>
    </row>
    <row r="3107">
      <c r="A3107" s="67"/>
      <c r="B3107" s="67"/>
      <c r="C3107" s="67"/>
      <c r="D3107" s="67"/>
      <c r="E3107" s="67"/>
      <c r="F3107" s="68"/>
      <c r="G3107" s="68"/>
      <c r="H3107" s="68"/>
      <c r="I3107" s="68"/>
      <c r="J3107" s="68"/>
      <c r="K3107" s="69">
        <v>8500.0</v>
      </c>
      <c r="L3107" s="69">
        <v>25.4</v>
      </c>
      <c r="M3107" s="68">
        <f t="shared" si="1"/>
        <v>301.45</v>
      </c>
    </row>
    <row r="3108">
      <c r="A3108" s="66">
        <v>207.0</v>
      </c>
      <c r="B3108" s="66">
        <v>336.0</v>
      </c>
      <c r="C3108" s="74" t="s">
        <v>668</v>
      </c>
      <c r="D3108" s="74" t="s">
        <v>669</v>
      </c>
      <c r="E3108" s="74" t="s">
        <v>670</v>
      </c>
      <c r="F3108" s="65">
        <v>9000.0</v>
      </c>
      <c r="G3108" s="65">
        <v>9000.0</v>
      </c>
      <c r="H3108" s="65">
        <v>800.0</v>
      </c>
      <c r="I3108" s="65">
        <v>4000.0</v>
      </c>
      <c r="J3108" s="65">
        <v>5600.0</v>
      </c>
      <c r="K3108" s="63">
        <v>500.0</v>
      </c>
      <c r="L3108" s="63">
        <v>15.68</v>
      </c>
      <c r="M3108" s="66">
        <f t="shared" si="1"/>
        <v>10.95</v>
      </c>
    </row>
    <row r="3109">
      <c r="A3109" s="67"/>
      <c r="B3109" s="67"/>
      <c r="C3109" s="67"/>
      <c r="D3109" s="67"/>
      <c r="E3109" s="67"/>
      <c r="F3109" s="68"/>
      <c r="G3109" s="68"/>
      <c r="H3109" s="68"/>
      <c r="I3109" s="68"/>
      <c r="J3109" s="68"/>
      <c r="K3109" s="69">
        <v>1000.0</v>
      </c>
      <c r="L3109" s="69">
        <v>19.27</v>
      </c>
      <c r="M3109" s="68">
        <f t="shared" si="1"/>
        <v>26.91</v>
      </c>
    </row>
    <row r="3110">
      <c r="A3110" s="70"/>
      <c r="B3110" s="70"/>
      <c r="C3110" s="70"/>
      <c r="D3110" s="70"/>
      <c r="E3110" s="70"/>
      <c r="F3110" s="66"/>
      <c r="G3110" s="66"/>
      <c r="H3110" s="66"/>
      <c r="I3110" s="66"/>
      <c r="J3110" s="66"/>
      <c r="K3110" s="63">
        <v>1500.0</v>
      </c>
      <c r="L3110" s="63">
        <v>21.88</v>
      </c>
      <c r="M3110" s="66">
        <f t="shared" si="1"/>
        <v>45.83</v>
      </c>
    </row>
    <row r="3111">
      <c r="A3111" s="67"/>
      <c r="B3111" s="67"/>
      <c r="C3111" s="67"/>
      <c r="D3111" s="67"/>
      <c r="E3111" s="67"/>
      <c r="F3111" s="68"/>
      <c r="G3111" s="68"/>
      <c r="H3111" s="68"/>
      <c r="I3111" s="68"/>
      <c r="J3111" s="68"/>
      <c r="K3111" s="69">
        <v>2000.0</v>
      </c>
      <c r="L3111" s="69">
        <v>22.75</v>
      </c>
      <c r="M3111" s="68">
        <f t="shared" si="1"/>
        <v>63.53</v>
      </c>
    </row>
    <row r="3112">
      <c r="A3112" s="70"/>
      <c r="B3112" s="70"/>
      <c r="C3112" s="70"/>
      <c r="D3112" s="70"/>
      <c r="E3112" s="70"/>
      <c r="F3112" s="66"/>
      <c r="G3112" s="66"/>
      <c r="H3112" s="66"/>
      <c r="I3112" s="66"/>
      <c r="J3112" s="66"/>
      <c r="K3112" s="63">
        <v>2500.0</v>
      </c>
      <c r="L3112" s="63">
        <v>23.73</v>
      </c>
      <c r="M3112" s="66">
        <f t="shared" si="1"/>
        <v>82.83</v>
      </c>
    </row>
    <row r="3113">
      <c r="A3113" s="67"/>
      <c r="B3113" s="67"/>
      <c r="C3113" s="67"/>
      <c r="D3113" s="67"/>
      <c r="E3113" s="67"/>
      <c r="F3113" s="68"/>
      <c r="G3113" s="68"/>
      <c r="H3113" s="68"/>
      <c r="I3113" s="68"/>
      <c r="J3113" s="68"/>
      <c r="K3113" s="69">
        <v>3000.0</v>
      </c>
      <c r="L3113" s="69">
        <v>25.08</v>
      </c>
      <c r="M3113" s="68">
        <f t="shared" si="1"/>
        <v>105.05</v>
      </c>
    </row>
    <row r="3114">
      <c r="A3114" s="70"/>
      <c r="B3114" s="70"/>
      <c r="C3114" s="70"/>
      <c r="D3114" s="70"/>
      <c r="E3114" s="70"/>
      <c r="F3114" s="66"/>
      <c r="G3114" s="66"/>
      <c r="H3114" s="66"/>
      <c r="I3114" s="66"/>
      <c r="J3114" s="66"/>
      <c r="K3114" s="63">
        <v>3500.0</v>
      </c>
      <c r="L3114" s="63">
        <v>26.42</v>
      </c>
      <c r="M3114" s="66">
        <f t="shared" si="1"/>
        <v>129.11</v>
      </c>
    </row>
    <row r="3115">
      <c r="A3115" s="67"/>
      <c r="B3115" s="67"/>
      <c r="C3115" s="67"/>
      <c r="D3115" s="67"/>
      <c r="E3115" s="67"/>
      <c r="F3115" s="68"/>
      <c r="G3115" s="68"/>
      <c r="H3115" s="68"/>
      <c r="I3115" s="68"/>
      <c r="J3115" s="68"/>
      <c r="K3115" s="69">
        <v>4000.0</v>
      </c>
      <c r="L3115" s="69">
        <v>26.9</v>
      </c>
      <c r="M3115" s="68">
        <f t="shared" si="1"/>
        <v>150.24</v>
      </c>
    </row>
    <row r="3116">
      <c r="A3116" s="70"/>
      <c r="B3116" s="70"/>
      <c r="C3116" s="70"/>
      <c r="D3116" s="70"/>
      <c r="E3116" s="70"/>
      <c r="F3116" s="66"/>
      <c r="G3116" s="66"/>
      <c r="H3116" s="66"/>
      <c r="I3116" s="66"/>
      <c r="J3116" s="66"/>
      <c r="K3116" s="63">
        <v>4500.0</v>
      </c>
      <c r="L3116" s="63">
        <v>27.65</v>
      </c>
      <c r="M3116" s="66">
        <f t="shared" si="1"/>
        <v>173.73</v>
      </c>
    </row>
    <row r="3117">
      <c r="A3117" s="67"/>
      <c r="B3117" s="67"/>
      <c r="C3117" s="67"/>
      <c r="D3117" s="67"/>
      <c r="E3117" s="67"/>
      <c r="F3117" s="68"/>
      <c r="G3117" s="68"/>
      <c r="H3117" s="68"/>
      <c r="I3117" s="68"/>
      <c r="J3117" s="68"/>
      <c r="K3117" s="69">
        <v>5000.0</v>
      </c>
      <c r="L3117" s="69">
        <v>28.27</v>
      </c>
      <c r="M3117" s="68">
        <f t="shared" si="1"/>
        <v>197.36</v>
      </c>
    </row>
    <row r="3118">
      <c r="A3118" s="70"/>
      <c r="B3118" s="70"/>
      <c r="C3118" s="70"/>
      <c r="D3118" s="70"/>
      <c r="E3118" s="70"/>
      <c r="F3118" s="66"/>
      <c r="G3118" s="66"/>
      <c r="H3118" s="66"/>
      <c r="I3118" s="66"/>
      <c r="J3118" s="66"/>
      <c r="K3118" s="63">
        <v>5600.0</v>
      </c>
      <c r="L3118" s="63">
        <v>28.6</v>
      </c>
      <c r="M3118" s="66">
        <f t="shared" si="1"/>
        <v>223.62</v>
      </c>
    </row>
    <row r="3119">
      <c r="A3119" s="67"/>
      <c r="B3119" s="67"/>
      <c r="C3119" s="67"/>
      <c r="D3119" s="67"/>
      <c r="E3119" s="67"/>
      <c r="F3119" s="68"/>
      <c r="G3119" s="68"/>
      <c r="H3119" s="68"/>
      <c r="I3119" s="68"/>
      <c r="J3119" s="68"/>
      <c r="K3119" s="69">
        <v>6000.0</v>
      </c>
      <c r="L3119" s="69">
        <v>28.77</v>
      </c>
      <c r="M3119" s="68">
        <f t="shared" si="1"/>
        <v>241.02</v>
      </c>
    </row>
    <row r="3120">
      <c r="A3120" s="70"/>
      <c r="B3120" s="70"/>
      <c r="C3120" s="70"/>
      <c r="D3120" s="70"/>
      <c r="E3120" s="70"/>
      <c r="F3120" s="66"/>
      <c r="G3120" s="66"/>
      <c r="H3120" s="66"/>
      <c r="I3120" s="66"/>
      <c r="J3120" s="66"/>
      <c r="K3120" s="63">
        <v>6500.0</v>
      </c>
      <c r="L3120" s="63">
        <v>28.72</v>
      </c>
      <c r="M3120" s="66">
        <f t="shared" si="1"/>
        <v>260.65</v>
      </c>
    </row>
    <row r="3121">
      <c r="A3121" s="67"/>
      <c r="B3121" s="67"/>
      <c r="C3121" s="67"/>
      <c r="D3121" s="67"/>
      <c r="E3121" s="67"/>
      <c r="F3121" s="68"/>
      <c r="G3121" s="68"/>
      <c r="H3121" s="68"/>
      <c r="I3121" s="68"/>
      <c r="J3121" s="68"/>
      <c r="K3121" s="69">
        <v>7000.0</v>
      </c>
      <c r="L3121" s="69">
        <v>28.77</v>
      </c>
      <c r="M3121" s="68">
        <f t="shared" si="1"/>
        <v>281.19</v>
      </c>
    </row>
    <row r="3122">
      <c r="A3122" s="73"/>
      <c r="B3122" s="73"/>
      <c r="C3122" s="73"/>
      <c r="D3122" s="73"/>
      <c r="E3122" s="73"/>
      <c r="F3122" s="66"/>
      <c r="G3122" s="66"/>
      <c r="H3122" s="66"/>
      <c r="I3122" s="66"/>
      <c r="J3122" s="66"/>
      <c r="K3122" s="63">
        <v>7500.0</v>
      </c>
      <c r="L3122" s="63">
        <v>28.92</v>
      </c>
      <c r="M3122" s="66">
        <f t="shared" si="1"/>
        <v>302.85</v>
      </c>
    </row>
    <row r="3123">
      <c r="A3123" s="67"/>
      <c r="B3123" s="67"/>
      <c r="C3123" s="67"/>
      <c r="D3123" s="67"/>
      <c r="E3123" s="67"/>
      <c r="F3123" s="68"/>
      <c r="G3123" s="68"/>
      <c r="H3123" s="68"/>
      <c r="I3123" s="68"/>
      <c r="J3123" s="68"/>
      <c r="K3123" s="69">
        <v>8000.0</v>
      </c>
      <c r="L3123" s="69">
        <v>28.4</v>
      </c>
      <c r="M3123" s="68">
        <f t="shared" si="1"/>
        <v>317.23</v>
      </c>
    </row>
    <row r="3124">
      <c r="A3124" s="70"/>
      <c r="B3124" s="70"/>
      <c r="C3124" s="70"/>
      <c r="D3124" s="70"/>
      <c r="E3124" s="70"/>
      <c r="F3124" s="66"/>
      <c r="G3124" s="66"/>
      <c r="H3124" s="66"/>
      <c r="I3124" s="66"/>
      <c r="J3124" s="66"/>
      <c r="K3124" s="63">
        <v>8500.0</v>
      </c>
      <c r="L3124" s="63">
        <v>27.32</v>
      </c>
      <c r="M3124" s="66">
        <f t="shared" si="1"/>
        <v>324.24</v>
      </c>
    </row>
    <row r="3125">
      <c r="A3125" s="67"/>
      <c r="B3125" s="67"/>
      <c r="C3125" s="67"/>
      <c r="D3125" s="67"/>
      <c r="E3125" s="67"/>
      <c r="F3125" s="68"/>
      <c r="G3125" s="68"/>
      <c r="H3125" s="68"/>
      <c r="I3125" s="68"/>
      <c r="J3125" s="68"/>
      <c r="K3125" s="69">
        <v>9000.0</v>
      </c>
      <c r="L3125" s="69">
        <v>25.5</v>
      </c>
      <c r="M3125" s="68">
        <f t="shared" si="1"/>
        <v>320.44</v>
      </c>
    </row>
    <row r="3126">
      <c r="A3126" s="70"/>
      <c r="B3126" s="70"/>
      <c r="C3126" s="70"/>
      <c r="D3126" s="70"/>
      <c r="E3126" s="70"/>
      <c r="F3126" s="66"/>
      <c r="G3126" s="66"/>
      <c r="H3126" s="66"/>
      <c r="I3126" s="66"/>
      <c r="J3126" s="66"/>
      <c r="K3126" s="63">
        <v>9500.0</v>
      </c>
      <c r="L3126" s="63">
        <v>22.2</v>
      </c>
      <c r="M3126" s="66">
        <f t="shared" si="1"/>
        <v>294.47</v>
      </c>
    </row>
    <row r="3127">
      <c r="A3127" s="67"/>
      <c r="B3127" s="67"/>
      <c r="C3127" s="67"/>
      <c r="D3127" s="67"/>
      <c r="E3127" s="67"/>
      <c r="F3127" s="68"/>
      <c r="G3127" s="68"/>
      <c r="H3127" s="68"/>
      <c r="I3127" s="68"/>
      <c r="J3127" s="68"/>
      <c r="K3127" s="69">
        <v>10000.0</v>
      </c>
      <c r="L3127" s="69">
        <v>17.4</v>
      </c>
      <c r="M3127" s="68">
        <f t="shared" si="1"/>
        <v>242.95</v>
      </c>
    </row>
    <row r="3128">
      <c r="A3128" s="66">
        <v>208.0</v>
      </c>
      <c r="B3128" s="66">
        <v>337.0</v>
      </c>
      <c r="C3128" s="74" t="s">
        <v>671</v>
      </c>
      <c r="D3128" s="74" t="s">
        <v>672</v>
      </c>
      <c r="E3128" s="74" t="s">
        <v>673</v>
      </c>
      <c r="F3128" s="65">
        <v>9000.0</v>
      </c>
      <c r="G3128" s="65">
        <v>9000.0</v>
      </c>
      <c r="H3128" s="65">
        <v>1200.0</v>
      </c>
      <c r="I3128" s="65">
        <v>7000.0</v>
      </c>
      <c r="J3128" s="65">
        <v>9000.0</v>
      </c>
      <c r="K3128" s="63">
        <v>500.0</v>
      </c>
      <c r="L3128" s="63">
        <v>18.8</v>
      </c>
      <c r="M3128" s="66">
        <f t="shared" si="1"/>
        <v>13.12</v>
      </c>
    </row>
    <row r="3129">
      <c r="A3129" s="67"/>
      <c r="B3129" s="67"/>
      <c r="C3129" s="67"/>
      <c r="D3129" s="67"/>
      <c r="E3129" s="67"/>
      <c r="F3129" s="68"/>
      <c r="G3129" s="68"/>
      <c r="H3129" s="68"/>
      <c r="I3129" s="68"/>
      <c r="J3129" s="68"/>
      <c r="K3129" s="69">
        <v>1000.0</v>
      </c>
      <c r="L3129" s="69">
        <v>21.0</v>
      </c>
      <c r="M3129" s="68">
        <f t="shared" si="1"/>
        <v>29.32</v>
      </c>
    </row>
    <row r="3130">
      <c r="A3130" s="70"/>
      <c r="B3130" s="70"/>
      <c r="C3130" s="70"/>
      <c r="D3130" s="70"/>
      <c r="E3130" s="70"/>
      <c r="F3130" s="66"/>
      <c r="G3130" s="66"/>
      <c r="H3130" s="66"/>
      <c r="I3130" s="66"/>
      <c r="J3130" s="66"/>
      <c r="K3130" s="63">
        <v>1500.0</v>
      </c>
      <c r="L3130" s="63">
        <v>23.2</v>
      </c>
      <c r="M3130" s="66">
        <f t="shared" si="1"/>
        <v>48.59</v>
      </c>
    </row>
    <row r="3131">
      <c r="A3131" s="67"/>
      <c r="B3131" s="67"/>
      <c r="C3131" s="67"/>
      <c r="D3131" s="67"/>
      <c r="E3131" s="67"/>
      <c r="F3131" s="68"/>
      <c r="G3131" s="68"/>
      <c r="H3131" s="68"/>
      <c r="I3131" s="68"/>
      <c r="J3131" s="68"/>
      <c r="K3131" s="69">
        <v>2000.0</v>
      </c>
      <c r="L3131" s="69">
        <v>25.6</v>
      </c>
      <c r="M3131" s="68">
        <f t="shared" si="1"/>
        <v>71.49</v>
      </c>
    </row>
    <row r="3132">
      <c r="A3132" s="70"/>
      <c r="B3132" s="70"/>
      <c r="C3132" s="70"/>
      <c r="D3132" s="70"/>
      <c r="E3132" s="70"/>
      <c r="F3132" s="66"/>
      <c r="G3132" s="66"/>
      <c r="H3132" s="66"/>
      <c r="I3132" s="66"/>
      <c r="J3132" s="66"/>
      <c r="K3132" s="63">
        <v>2500.0</v>
      </c>
      <c r="L3132" s="63">
        <v>27.6</v>
      </c>
      <c r="M3132" s="66">
        <f t="shared" si="1"/>
        <v>96.34</v>
      </c>
    </row>
    <row r="3133">
      <c r="A3133" s="67"/>
      <c r="B3133" s="67"/>
      <c r="C3133" s="67"/>
      <c r="D3133" s="67"/>
      <c r="E3133" s="67"/>
      <c r="F3133" s="68"/>
      <c r="G3133" s="68"/>
      <c r="H3133" s="68"/>
      <c r="I3133" s="68"/>
      <c r="J3133" s="68"/>
      <c r="K3133" s="69">
        <v>3000.0</v>
      </c>
      <c r="L3133" s="69">
        <v>29.5</v>
      </c>
      <c r="M3133" s="68">
        <f t="shared" si="1"/>
        <v>123.57</v>
      </c>
    </row>
    <row r="3134">
      <c r="A3134" s="70"/>
      <c r="B3134" s="70"/>
      <c r="C3134" s="70"/>
      <c r="D3134" s="70"/>
      <c r="E3134" s="70"/>
      <c r="F3134" s="66"/>
      <c r="G3134" s="66"/>
      <c r="H3134" s="66"/>
      <c r="I3134" s="66"/>
      <c r="J3134" s="66"/>
      <c r="K3134" s="63">
        <v>3500.0</v>
      </c>
      <c r="L3134" s="63">
        <v>31.7</v>
      </c>
      <c r="M3134" s="66">
        <f t="shared" si="1"/>
        <v>154.91</v>
      </c>
    </row>
    <row r="3135">
      <c r="A3135" s="67"/>
      <c r="B3135" s="67"/>
      <c r="C3135" s="67"/>
      <c r="D3135" s="67"/>
      <c r="E3135" s="67"/>
      <c r="F3135" s="68"/>
      <c r="G3135" s="68"/>
      <c r="H3135" s="68"/>
      <c r="I3135" s="68"/>
      <c r="J3135" s="68"/>
      <c r="K3135" s="69">
        <v>4000.0</v>
      </c>
      <c r="L3135" s="69">
        <v>33.7</v>
      </c>
      <c r="M3135" s="68">
        <f t="shared" si="1"/>
        <v>188.22</v>
      </c>
    </row>
    <row r="3136">
      <c r="A3136" s="70"/>
      <c r="B3136" s="70"/>
      <c r="C3136" s="70"/>
      <c r="D3136" s="70"/>
      <c r="E3136" s="70"/>
      <c r="F3136" s="66"/>
      <c r="G3136" s="66"/>
      <c r="H3136" s="66"/>
      <c r="I3136" s="66"/>
      <c r="J3136" s="66"/>
      <c r="K3136" s="63">
        <v>4500.0</v>
      </c>
      <c r="L3136" s="63">
        <v>35.5</v>
      </c>
      <c r="M3136" s="66">
        <f t="shared" si="1"/>
        <v>223.05</v>
      </c>
    </row>
    <row r="3137">
      <c r="A3137" s="67"/>
      <c r="B3137" s="67"/>
      <c r="C3137" s="67"/>
      <c r="D3137" s="67"/>
      <c r="E3137" s="67"/>
      <c r="F3137" s="68"/>
      <c r="G3137" s="68"/>
      <c r="H3137" s="68"/>
      <c r="I3137" s="68"/>
      <c r="J3137" s="68"/>
      <c r="K3137" s="69">
        <v>5000.0</v>
      </c>
      <c r="L3137" s="69">
        <v>36.8</v>
      </c>
      <c r="M3137" s="68">
        <f t="shared" si="1"/>
        <v>256.91</v>
      </c>
    </row>
    <row r="3138">
      <c r="A3138" s="70"/>
      <c r="B3138" s="70"/>
      <c r="C3138" s="70"/>
      <c r="D3138" s="70"/>
      <c r="E3138" s="70"/>
      <c r="F3138" s="66"/>
      <c r="G3138" s="66"/>
      <c r="H3138" s="66"/>
      <c r="I3138" s="66"/>
      <c r="J3138" s="66"/>
      <c r="K3138" s="63">
        <v>5500.0</v>
      </c>
      <c r="L3138" s="63">
        <v>37.7</v>
      </c>
      <c r="M3138" s="66">
        <f t="shared" si="1"/>
        <v>289.51</v>
      </c>
    </row>
    <row r="3139">
      <c r="A3139" s="67"/>
      <c r="B3139" s="67"/>
      <c r="C3139" s="67"/>
      <c r="D3139" s="67"/>
      <c r="E3139" s="67"/>
      <c r="F3139" s="68"/>
      <c r="G3139" s="68"/>
      <c r="H3139" s="68"/>
      <c r="I3139" s="68"/>
      <c r="J3139" s="68"/>
      <c r="K3139" s="69">
        <v>6000.0</v>
      </c>
      <c r="L3139" s="69">
        <v>38.4</v>
      </c>
      <c r="M3139" s="68">
        <f t="shared" si="1"/>
        <v>321.7</v>
      </c>
    </row>
    <row r="3140">
      <c r="A3140" s="70"/>
      <c r="B3140" s="70"/>
      <c r="C3140" s="70"/>
      <c r="D3140" s="70"/>
      <c r="E3140" s="70"/>
      <c r="F3140" s="66"/>
      <c r="G3140" s="66"/>
      <c r="H3140" s="66"/>
      <c r="I3140" s="66"/>
      <c r="J3140" s="66"/>
      <c r="K3140" s="63">
        <v>6500.0</v>
      </c>
      <c r="L3140" s="63">
        <v>38.8</v>
      </c>
      <c r="M3140" s="66">
        <f t="shared" si="1"/>
        <v>352.14</v>
      </c>
    </row>
    <row r="3141">
      <c r="A3141" s="67"/>
      <c r="B3141" s="67"/>
      <c r="C3141" s="67"/>
      <c r="D3141" s="67"/>
      <c r="E3141" s="67"/>
      <c r="F3141" s="68"/>
      <c r="G3141" s="68"/>
      <c r="H3141" s="68"/>
      <c r="I3141" s="68"/>
      <c r="J3141" s="68"/>
      <c r="K3141" s="69">
        <v>7000.0</v>
      </c>
      <c r="L3141" s="69">
        <v>39.0</v>
      </c>
      <c r="M3141" s="68">
        <f t="shared" si="1"/>
        <v>381.18</v>
      </c>
    </row>
    <row r="3142">
      <c r="A3142" s="70"/>
      <c r="B3142" s="70"/>
      <c r="C3142" s="70"/>
      <c r="D3142" s="70"/>
      <c r="E3142" s="70"/>
      <c r="F3142" s="66"/>
      <c r="G3142" s="66"/>
      <c r="H3142" s="66"/>
      <c r="I3142" s="66"/>
      <c r="J3142" s="66"/>
      <c r="K3142" s="63">
        <v>7500.0</v>
      </c>
      <c r="L3142" s="63">
        <v>38.7</v>
      </c>
      <c r="M3142" s="66">
        <f t="shared" si="1"/>
        <v>405.26</v>
      </c>
    </row>
    <row r="3143">
      <c r="A3143" s="67"/>
      <c r="B3143" s="67"/>
      <c r="C3143" s="67"/>
      <c r="D3143" s="67"/>
      <c r="E3143" s="67"/>
      <c r="F3143" s="68"/>
      <c r="G3143" s="68"/>
      <c r="H3143" s="68"/>
      <c r="I3143" s="68"/>
      <c r="J3143" s="68"/>
      <c r="K3143" s="69">
        <v>8000.0</v>
      </c>
      <c r="L3143" s="69">
        <v>38.1</v>
      </c>
      <c r="M3143" s="68">
        <f t="shared" si="1"/>
        <v>425.58</v>
      </c>
    </row>
    <row r="3144">
      <c r="A3144" s="70"/>
      <c r="B3144" s="70"/>
      <c r="C3144" s="70"/>
      <c r="D3144" s="70"/>
      <c r="E3144" s="70"/>
      <c r="F3144" s="66"/>
      <c r="G3144" s="66"/>
      <c r="H3144" s="66"/>
      <c r="I3144" s="66"/>
      <c r="J3144" s="66"/>
      <c r="K3144" s="63">
        <v>8500.0</v>
      </c>
      <c r="L3144" s="63">
        <v>37.7</v>
      </c>
      <c r="M3144" s="66">
        <f t="shared" si="1"/>
        <v>447.43</v>
      </c>
    </row>
    <row r="3145">
      <c r="A3145" s="67"/>
      <c r="B3145" s="67"/>
      <c r="C3145" s="67"/>
      <c r="D3145" s="67"/>
      <c r="E3145" s="67"/>
      <c r="F3145" s="68"/>
      <c r="G3145" s="68"/>
      <c r="H3145" s="68"/>
      <c r="I3145" s="68"/>
      <c r="J3145" s="68"/>
      <c r="K3145" s="69">
        <v>9000.0</v>
      </c>
      <c r="L3145" s="69">
        <v>37.0</v>
      </c>
      <c r="M3145" s="68">
        <f t="shared" si="1"/>
        <v>464.95</v>
      </c>
    </row>
    <row r="3146">
      <c r="A3146" s="73"/>
      <c r="B3146" s="73"/>
      <c r="C3146" s="73"/>
      <c r="D3146" s="73"/>
      <c r="E3146" s="73"/>
      <c r="F3146" s="66"/>
      <c r="G3146" s="66"/>
      <c r="H3146" s="66"/>
      <c r="I3146" s="66"/>
      <c r="J3146" s="66"/>
      <c r="K3146" s="63">
        <v>9500.0</v>
      </c>
      <c r="L3146" s="63">
        <v>34.7</v>
      </c>
      <c r="M3146" s="66">
        <f t="shared" si="1"/>
        <v>460.28</v>
      </c>
    </row>
    <row r="3147">
      <c r="A3147" s="67"/>
      <c r="B3147" s="67"/>
      <c r="C3147" s="67"/>
      <c r="D3147" s="67"/>
      <c r="E3147" s="67"/>
      <c r="F3147" s="68"/>
      <c r="G3147" s="68"/>
      <c r="H3147" s="68"/>
      <c r="I3147" s="68"/>
      <c r="J3147" s="68"/>
      <c r="K3147" s="69">
        <v>10000.0</v>
      </c>
      <c r="L3147" s="69">
        <v>30.2</v>
      </c>
      <c r="M3147" s="68">
        <f t="shared" si="1"/>
        <v>421.67</v>
      </c>
    </row>
    <row r="3148">
      <c r="A3148" s="66">
        <v>209.0</v>
      </c>
      <c r="B3148" s="66">
        <v>338.0</v>
      </c>
      <c r="C3148" s="74" t="s">
        <v>674</v>
      </c>
      <c r="D3148" s="74" t="s">
        <v>675</v>
      </c>
      <c r="E3148" s="74" t="s">
        <v>676</v>
      </c>
      <c r="F3148" s="65">
        <v>7000.0</v>
      </c>
      <c r="G3148" s="65">
        <v>7200.0</v>
      </c>
      <c r="H3148" s="65">
        <v>700.0</v>
      </c>
      <c r="I3148" s="65">
        <v>4750.0</v>
      </c>
      <c r="J3148" s="65">
        <v>7000.0</v>
      </c>
      <c r="K3148" s="63">
        <v>500.0</v>
      </c>
      <c r="L3148" s="63">
        <v>16.2</v>
      </c>
      <c r="M3148" s="66">
        <f t="shared" si="1"/>
        <v>11.31</v>
      </c>
    </row>
    <row r="3149">
      <c r="A3149" s="67"/>
      <c r="B3149" s="67"/>
      <c r="C3149" s="67"/>
      <c r="D3149" s="67"/>
      <c r="E3149" s="67"/>
      <c r="F3149" s="68"/>
      <c r="G3149" s="68"/>
      <c r="H3149" s="68"/>
      <c r="I3149" s="68"/>
      <c r="J3149" s="68"/>
      <c r="K3149" s="69">
        <v>1000.0</v>
      </c>
      <c r="L3149" s="69">
        <v>18.08</v>
      </c>
      <c r="M3149" s="68">
        <f t="shared" si="1"/>
        <v>25.24</v>
      </c>
    </row>
    <row r="3150">
      <c r="A3150" s="70"/>
      <c r="B3150" s="70"/>
      <c r="C3150" s="70"/>
      <c r="D3150" s="70"/>
      <c r="E3150" s="70"/>
      <c r="F3150" s="66"/>
      <c r="G3150" s="66"/>
      <c r="H3150" s="66"/>
      <c r="I3150" s="66"/>
      <c r="J3150" s="66"/>
      <c r="K3150" s="63">
        <v>1500.0</v>
      </c>
      <c r="L3150" s="63">
        <v>19.35</v>
      </c>
      <c r="M3150" s="66">
        <f t="shared" si="1"/>
        <v>40.53</v>
      </c>
    </row>
    <row r="3151">
      <c r="A3151" s="67"/>
      <c r="B3151" s="67"/>
      <c r="C3151" s="67"/>
      <c r="D3151" s="67"/>
      <c r="E3151" s="67"/>
      <c r="F3151" s="68"/>
      <c r="G3151" s="68"/>
      <c r="H3151" s="68"/>
      <c r="I3151" s="68"/>
      <c r="J3151" s="68"/>
      <c r="K3151" s="69">
        <v>2000.0</v>
      </c>
      <c r="L3151" s="69">
        <v>20.63</v>
      </c>
      <c r="M3151" s="68">
        <f t="shared" si="1"/>
        <v>57.61</v>
      </c>
    </row>
    <row r="3152">
      <c r="A3152" s="70"/>
      <c r="B3152" s="70"/>
      <c r="C3152" s="70"/>
      <c r="D3152" s="70"/>
      <c r="E3152" s="70"/>
      <c r="F3152" s="66"/>
      <c r="G3152" s="66"/>
      <c r="H3152" s="66"/>
      <c r="I3152" s="66"/>
      <c r="J3152" s="66"/>
      <c r="K3152" s="63">
        <v>2500.0</v>
      </c>
      <c r="L3152" s="63">
        <v>21.67</v>
      </c>
      <c r="M3152" s="66">
        <f t="shared" si="1"/>
        <v>75.64</v>
      </c>
    </row>
    <row r="3153">
      <c r="A3153" s="67"/>
      <c r="B3153" s="67"/>
      <c r="C3153" s="67"/>
      <c r="D3153" s="67"/>
      <c r="E3153" s="67"/>
      <c r="F3153" s="68"/>
      <c r="G3153" s="68"/>
      <c r="H3153" s="68"/>
      <c r="I3153" s="68"/>
      <c r="J3153" s="68"/>
      <c r="K3153" s="69">
        <v>3000.0</v>
      </c>
      <c r="L3153" s="69">
        <v>22.58</v>
      </c>
      <c r="M3153" s="68">
        <f t="shared" si="1"/>
        <v>94.58</v>
      </c>
    </row>
    <row r="3154">
      <c r="A3154" s="70"/>
      <c r="B3154" s="70"/>
      <c r="C3154" s="70"/>
      <c r="D3154" s="70"/>
      <c r="E3154" s="70"/>
      <c r="F3154" s="66"/>
      <c r="G3154" s="66"/>
      <c r="H3154" s="66"/>
      <c r="I3154" s="66"/>
      <c r="J3154" s="66"/>
      <c r="K3154" s="63">
        <v>3500.0</v>
      </c>
      <c r="L3154" s="63">
        <v>23.33</v>
      </c>
      <c r="M3154" s="66">
        <f t="shared" si="1"/>
        <v>114.01</v>
      </c>
    </row>
    <row r="3155">
      <c r="A3155" s="67"/>
      <c r="B3155" s="67"/>
      <c r="C3155" s="67"/>
      <c r="D3155" s="67"/>
      <c r="E3155" s="67"/>
      <c r="F3155" s="68"/>
      <c r="G3155" s="68"/>
      <c r="H3155" s="68"/>
      <c r="I3155" s="68"/>
      <c r="J3155" s="68"/>
      <c r="K3155" s="69">
        <v>4000.0</v>
      </c>
      <c r="L3155" s="69">
        <v>24.0</v>
      </c>
      <c r="M3155" s="68">
        <f t="shared" si="1"/>
        <v>134.04</v>
      </c>
    </row>
    <row r="3156">
      <c r="A3156" s="70"/>
      <c r="B3156" s="70"/>
      <c r="C3156" s="70"/>
      <c r="D3156" s="70"/>
      <c r="E3156" s="70"/>
      <c r="F3156" s="66"/>
      <c r="G3156" s="66"/>
      <c r="H3156" s="66"/>
      <c r="I3156" s="66"/>
      <c r="J3156" s="66"/>
      <c r="K3156" s="63">
        <v>4750.0</v>
      </c>
      <c r="L3156" s="63">
        <v>24.48</v>
      </c>
      <c r="M3156" s="66">
        <f t="shared" si="1"/>
        <v>162.36</v>
      </c>
    </row>
    <row r="3157">
      <c r="A3157" s="67"/>
      <c r="B3157" s="67"/>
      <c r="C3157" s="67"/>
      <c r="D3157" s="67"/>
      <c r="E3157" s="67"/>
      <c r="F3157" s="68"/>
      <c r="G3157" s="68"/>
      <c r="H3157" s="68"/>
      <c r="I3157" s="68"/>
      <c r="J3157" s="68"/>
      <c r="K3157" s="69">
        <v>5000.0</v>
      </c>
      <c r="L3157" s="69">
        <v>24.38</v>
      </c>
      <c r="M3157" s="68">
        <f t="shared" si="1"/>
        <v>170.2</v>
      </c>
    </row>
    <row r="3158">
      <c r="A3158" s="70"/>
      <c r="B3158" s="70"/>
      <c r="C3158" s="70"/>
      <c r="D3158" s="70"/>
      <c r="E3158" s="70"/>
      <c r="F3158" s="66"/>
      <c r="G3158" s="66"/>
      <c r="H3158" s="66"/>
      <c r="I3158" s="66"/>
      <c r="J3158" s="66"/>
      <c r="K3158" s="63">
        <v>5500.0</v>
      </c>
      <c r="L3158" s="63">
        <v>24.3</v>
      </c>
      <c r="M3158" s="66">
        <f t="shared" si="1"/>
        <v>186.61</v>
      </c>
    </row>
    <row r="3159">
      <c r="A3159" s="67"/>
      <c r="B3159" s="67"/>
      <c r="C3159" s="67"/>
      <c r="D3159" s="67"/>
      <c r="E3159" s="67"/>
      <c r="F3159" s="68"/>
      <c r="G3159" s="68"/>
      <c r="H3159" s="68"/>
      <c r="I3159" s="68"/>
      <c r="J3159" s="68"/>
      <c r="K3159" s="69">
        <v>6000.0</v>
      </c>
      <c r="L3159" s="69">
        <v>24.15</v>
      </c>
      <c r="M3159" s="68">
        <f t="shared" si="1"/>
        <v>202.32</v>
      </c>
    </row>
    <row r="3160">
      <c r="A3160" s="70"/>
      <c r="B3160" s="70"/>
      <c r="C3160" s="70"/>
      <c r="D3160" s="70"/>
      <c r="E3160" s="70"/>
      <c r="F3160" s="66"/>
      <c r="G3160" s="66"/>
      <c r="H3160" s="66"/>
      <c r="I3160" s="66"/>
      <c r="J3160" s="66"/>
      <c r="K3160" s="63">
        <v>6500.0</v>
      </c>
      <c r="L3160" s="63">
        <v>24.15</v>
      </c>
      <c r="M3160" s="66">
        <f t="shared" si="1"/>
        <v>219.18</v>
      </c>
    </row>
    <row r="3161">
      <c r="A3161" s="67"/>
      <c r="B3161" s="67"/>
      <c r="C3161" s="67"/>
      <c r="D3161" s="67"/>
      <c r="E3161" s="67"/>
      <c r="F3161" s="68"/>
      <c r="G3161" s="68"/>
      <c r="H3161" s="68"/>
      <c r="I3161" s="68"/>
      <c r="J3161" s="68"/>
      <c r="K3161" s="69">
        <v>7000.0</v>
      </c>
      <c r="L3161" s="69">
        <v>24.0</v>
      </c>
      <c r="M3161" s="68">
        <f t="shared" si="1"/>
        <v>234.57</v>
      </c>
    </row>
    <row r="3162">
      <c r="A3162" s="70"/>
      <c r="B3162" s="70"/>
      <c r="C3162" s="70"/>
      <c r="D3162" s="70"/>
      <c r="E3162" s="70"/>
      <c r="F3162" s="66"/>
      <c r="G3162" s="66"/>
      <c r="H3162" s="66"/>
      <c r="I3162" s="66"/>
      <c r="J3162" s="66"/>
      <c r="K3162" s="63">
        <v>7500.0</v>
      </c>
      <c r="L3162" s="63">
        <v>21.9</v>
      </c>
      <c r="M3162" s="66">
        <f t="shared" si="1"/>
        <v>229.34</v>
      </c>
    </row>
    <row r="3163">
      <c r="A3163" s="67"/>
      <c r="B3163" s="67"/>
      <c r="C3163" s="67"/>
      <c r="D3163" s="67"/>
      <c r="E3163" s="67"/>
      <c r="F3163" s="68"/>
      <c r="G3163" s="68"/>
      <c r="H3163" s="68"/>
      <c r="I3163" s="68"/>
      <c r="J3163" s="68"/>
      <c r="K3163" s="69">
        <v>8000.0</v>
      </c>
      <c r="L3163" s="69">
        <v>18.23</v>
      </c>
      <c r="M3163" s="68">
        <f t="shared" si="1"/>
        <v>203.63</v>
      </c>
    </row>
    <row r="3164">
      <c r="A3164" s="66">
        <v>210.0</v>
      </c>
      <c r="B3164" s="66">
        <v>353.0</v>
      </c>
      <c r="C3164" s="74" t="s">
        <v>677</v>
      </c>
      <c r="D3164" s="74" t="s">
        <v>678</v>
      </c>
      <c r="E3164" s="74" t="s">
        <v>679</v>
      </c>
      <c r="F3164" s="65">
        <v>6000.0</v>
      </c>
      <c r="G3164" s="65">
        <v>6250.0</v>
      </c>
      <c r="H3164" s="65">
        <v>800.0</v>
      </c>
      <c r="I3164" s="65">
        <v>4500.0</v>
      </c>
      <c r="J3164" s="65">
        <v>6000.0</v>
      </c>
      <c r="K3164" s="63">
        <v>500.0</v>
      </c>
      <c r="L3164" s="63">
        <v>26.38</v>
      </c>
      <c r="M3164" s="66">
        <f t="shared" si="1"/>
        <v>18.42</v>
      </c>
    </row>
    <row r="3165">
      <c r="A3165" s="67"/>
      <c r="B3165" s="67"/>
      <c r="C3165" s="67"/>
      <c r="D3165" s="67"/>
      <c r="E3165" s="67"/>
      <c r="F3165" s="68"/>
      <c r="G3165" s="68"/>
      <c r="H3165" s="68"/>
      <c r="I3165" s="68"/>
      <c r="J3165" s="68"/>
      <c r="K3165" s="69">
        <v>1000.0</v>
      </c>
      <c r="L3165" s="69">
        <v>30.63</v>
      </c>
      <c r="M3165" s="68">
        <f t="shared" si="1"/>
        <v>42.77</v>
      </c>
    </row>
    <row r="3166">
      <c r="A3166" s="70"/>
      <c r="B3166" s="70"/>
      <c r="C3166" s="70"/>
      <c r="D3166" s="70"/>
      <c r="E3166" s="70"/>
      <c r="F3166" s="66"/>
      <c r="G3166" s="66"/>
      <c r="H3166" s="66"/>
      <c r="I3166" s="66"/>
      <c r="J3166" s="66"/>
      <c r="K3166" s="63">
        <v>1500.0</v>
      </c>
      <c r="L3166" s="63">
        <v>33.5</v>
      </c>
      <c r="M3166" s="66">
        <f t="shared" si="1"/>
        <v>70.16</v>
      </c>
    </row>
    <row r="3167">
      <c r="A3167" s="67"/>
      <c r="B3167" s="67"/>
      <c r="C3167" s="67"/>
      <c r="D3167" s="67"/>
      <c r="E3167" s="67"/>
      <c r="F3167" s="68"/>
      <c r="G3167" s="68"/>
      <c r="H3167" s="68"/>
      <c r="I3167" s="68"/>
      <c r="J3167" s="68"/>
      <c r="K3167" s="69">
        <v>2000.0</v>
      </c>
      <c r="L3167" s="69">
        <v>36.0</v>
      </c>
      <c r="M3167" s="68">
        <f t="shared" si="1"/>
        <v>100.53</v>
      </c>
    </row>
    <row r="3168">
      <c r="A3168" s="70"/>
      <c r="B3168" s="70"/>
      <c r="C3168" s="70"/>
      <c r="D3168" s="70"/>
      <c r="E3168" s="70"/>
      <c r="F3168" s="66"/>
      <c r="G3168" s="66"/>
      <c r="H3168" s="66"/>
      <c r="I3168" s="66"/>
      <c r="J3168" s="66"/>
      <c r="K3168" s="63">
        <v>2500.0</v>
      </c>
      <c r="L3168" s="63">
        <v>37.88</v>
      </c>
      <c r="M3168" s="66">
        <f t="shared" si="1"/>
        <v>132.23</v>
      </c>
    </row>
    <row r="3169">
      <c r="A3169" s="67"/>
      <c r="B3169" s="67"/>
      <c r="C3169" s="67"/>
      <c r="D3169" s="67"/>
      <c r="E3169" s="67"/>
      <c r="F3169" s="68"/>
      <c r="G3169" s="68"/>
      <c r="H3169" s="68"/>
      <c r="I3169" s="68"/>
      <c r="J3169" s="68"/>
      <c r="K3169" s="69">
        <v>3000.0</v>
      </c>
      <c r="L3169" s="69">
        <v>39.63</v>
      </c>
      <c r="M3169" s="68">
        <f t="shared" si="1"/>
        <v>166</v>
      </c>
    </row>
    <row r="3170">
      <c r="A3170" s="73"/>
      <c r="B3170" s="73"/>
      <c r="C3170" s="73"/>
      <c r="D3170" s="73"/>
      <c r="E3170" s="73"/>
      <c r="F3170" s="66"/>
      <c r="G3170" s="66"/>
      <c r="H3170" s="66"/>
      <c r="I3170" s="66"/>
      <c r="J3170" s="66"/>
      <c r="K3170" s="63">
        <v>3500.0</v>
      </c>
      <c r="L3170" s="63">
        <v>41.25</v>
      </c>
      <c r="M3170" s="66">
        <f t="shared" si="1"/>
        <v>201.58</v>
      </c>
    </row>
    <row r="3171">
      <c r="A3171" s="67"/>
      <c r="B3171" s="67"/>
      <c r="C3171" s="67"/>
      <c r="D3171" s="67"/>
      <c r="E3171" s="67"/>
      <c r="F3171" s="68"/>
      <c r="G3171" s="68"/>
      <c r="H3171" s="68"/>
      <c r="I3171" s="68"/>
      <c r="J3171" s="68"/>
      <c r="K3171" s="69">
        <v>4000.0</v>
      </c>
      <c r="L3171" s="69">
        <v>42.75</v>
      </c>
      <c r="M3171" s="68">
        <f t="shared" si="1"/>
        <v>238.76</v>
      </c>
    </row>
    <row r="3172">
      <c r="A3172" s="70"/>
      <c r="B3172" s="70"/>
      <c r="C3172" s="70"/>
      <c r="D3172" s="70"/>
      <c r="E3172" s="70"/>
      <c r="F3172" s="66"/>
      <c r="G3172" s="66"/>
      <c r="H3172" s="66"/>
      <c r="I3172" s="66"/>
      <c r="J3172" s="66"/>
      <c r="K3172" s="63">
        <v>4500.0</v>
      </c>
      <c r="L3172" s="63">
        <v>43.5</v>
      </c>
      <c r="M3172" s="66">
        <f t="shared" si="1"/>
        <v>273.32</v>
      </c>
    </row>
    <row r="3173">
      <c r="A3173" s="67"/>
      <c r="B3173" s="67"/>
      <c r="C3173" s="67"/>
      <c r="D3173" s="67"/>
      <c r="E3173" s="67"/>
      <c r="F3173" s="68"/>
      <c r="G3173" s="68"/>
      <c r="H3173" s="68"/>
      <c r="I3173" s="68"/>
      <c r="J3173" s="68"/>
      <c r="K3173" s="69">
        <v>5000.0</v>
      </c>
      <c r="L3173" s="69">
        <v>41.25</v>
      </c>
      <c r="M3173" s="68">
        <f t="shared" si="1"/>
        <v>287.98</v>
      </c>
    </row>
    <row r="3174">
      <c r="A3174" s="70"/>
      <c r="B3174" s="70"/>
      <c r="C3174" s="70"/>
      <c r="D3174" s="70"/>
      <c r="E3174" s="70"/>
      <c r="F3174" s="66"/>
      <c r="G3174" s="66"/>
      <c r="H3174" s="66"/>
      <c r="I3174" s="66"/>
      <c r="J3174" s="66"/>
      <c r="K3174" s="63">
        <v>5500.0</v>
      </c>
      <c r="L3174" s="63">
        <v>38.63</v>
      </c>
      <c r="M3174" s="66">
        <f t="shared" si="1"/>
        <v>296.66</v>
      </c>
    </row>
    <row r="3175">
      <c r="A3175" s="67"/>
      <c r="B3175" s="67"/>
      <c r="C3175" s="67"/>
      <c r="D3175" s="67"/>
      <c r="E3175" s="67"/>
      <c r="F3175" s="68"/>
      <c r="G3175" s="68"/>
      <c r="H3175" s="68"/>
      <c r="I3175" s="68"/>
      <c r="J3175" s="68"/>
      <c r="K3175" s="69">
        <v>6000.0</v>
      </c>
      <c r="L3175" s="69">
        <v>36.0</v>
      </c>
      <c r="M3175" s="68">
        <f t="shared" si="1"/>
        <v>301.59</v>
      </c>
    </row>
    <row r="3176">
      <c r="A3176" s="70"/>
      <c r="B3176" s="70"/>
      <c r="C3176" s="70"/>
      <c r="D3176" s="70"/>
      <c r="E3176" s="70"/>
      <c r="F3176" s="66"/>
      <c r="G3176" s="66"/>
      <c r="H3176" s="66"/>
      <c r="I3176" s="66"/>
      <c r="J3176" s="66"/>
      <c r="K3176" s="63">
        <v>6500.0</v>
      </c>
      <c r="L3176" s="63">
        <v>30.5</v>
      </c>
      <c r="M3176" s="66">
        <f t="shared" si="1"/>
        <v>276.81</v>
      </c>
    </row>
    <row r="3177">
      <c r="A3177" s="68">
        <v>211.0</v>
      </c>
      <c r="B3177" s="68">
        <v>354.0</v>
      </c>
      <c r="C3177" s="71" t="s">
        <v>680</v>
      </c>
      <c r="D3177" s="71" t="s">
        <v>681</v>
      </c>
      <c r="E3177" s="71" t="s">
        <v>682</v>
      </c>
      <c r="F3177" s="72">
        <v>8000.0</v>
      </c>
      <c r="G3177" s="72">
        <v>8000.0</v>
      </c>
      <c r="H3177" s="72">
        <v>900.0</v>
      </c>
      <c r="I3177" s="72">
        <v>5500.0</v>
      </c>
      <c r="J3177" s="72">
        <v>6500.0</v>
      </c>
      <c r="K3177" s="69">
        <v>500.0</v>
      </c>
      <c r="L3177" s="69">
        <v>21.0</v>
      </c>
      <c r="M3177" s="68">
        <f t="shared" si="1"/>
        <v>14.66</v>
      </c>
    </row>
    <row r="3178">
      <c r="A3178" s="70"/>
      <c r="B3178" s="70"/>
      <c r="C3178" s="70"/>
      <c r="D3178" s="70"/>
      <c r="E3178" s="70"/>
      <c r="F3178" s="66"/>
      <c r="G3178" s="66"/>
      <c r="H3178" s="66"/>
      <c r="I3178" s="66"/>
      <c r="J3178" s="66"/>
      <c r="K3178" s="63">
        <v>1000.0</v>
      </c>
      <c r="L3178" s="63">
        <v>24.0</v>
      </c>
      <c r="M3178" s="66">
        <f t="shared" si="1"/>
        <v>33.51</v>
      </c>
    </row>
    <row r="3179">
      <c r="A3179" s="67"/>
      <c r="B3179" s="67"/>
      <c r="C3179" s="67"/>
      <c r="D3179" s="67"/>
      <c r="E3179" s="67"/>
      <c r="F3179" s="68"/>
      <c r="G3179" s="68"/>
      <c r="H3179" s="68"/>
      <c r="I3179" s="68"/>
      <c r="J3179" s="68"/>
      <c r="K3179" s="69">
        <v>1500.0</v>
      </c>
      <c r="L3179" s="69">
        <v>30.0</v>
      </c>
      <c r="M3179" s="68">
        <f t="shared" si="1"/>
        <v>62.83</v>
      </c>
    </row>
    <row r="3180">
      <c r="A3180" s="70"/>
      <c r="B3180" s="70"/>
      <c r="C3180" s="70"/>
      <c r="D3180" s="70"/>
      <c r="E3180" s="70"/>
      <c r="F3180" s="66"/>
      <c r="G3180" s="66"/>
      <c r="H3180" s="66"/>
      <c r="I3180" s="66"/>
      <c r="J3180" s="66"/>
      <c r="K3180" s="63">
        <v>2000.0</v>
      </c>
      <c r="L3180" s="63">
        <v>37.2</v>
      </c>
      <c r="M3180" s="66">
        <f t="shared" si="1"/>
        <v>103.88</v>
      </c>
    </row>
    <row r="3181">
      <c r="A3181" s="67"/>
      <c r="B3181" s="67"/>
      <c r="C3181" s="67"/>
      <c r="D3181" s="67"/>
      <c r="E3181" s="67"/>
      <c r="F3181" s="68"/>
      <c r="G3181" s="68"/>
      <c r="H3181" s="68"/>
      <c r="I3181" s="68"/>
      <c r="J3181" s="68"/>
      <c r="K3181" s="69">
        <v>2500.0</v>
      </c>
      <c r="L3181" s="69">
        <v>49.2</v>
      </c>
      <c r="M3181" s="68">
        <f t="shared" si="1"/>
        <v>171.74</v>
      </c>
    </row>
    <row r="3182">
      <c r="A3182" s="70"/>
      <c r="B3182" s="70"/>
      <c r="C3182" s="70"/>
      <c r="D3182" s="70"/>
      <c r="E3182" s="70"/>
      <c r="F3182" s="66"/>
      <c r="G3182" s="66"/>
      <c r="H3182" s="66"/>
      <c r="I3182" s="66"/>
      <c r="J3182" s="66"/>
      <c r="K3182" s="63">
        <v>3000.0</v>
      </c>
      <c r="L3182" s="63">
        <v>60.6</v>
      </c>
      <c r="M3182" s="66">
        <f t="shared" si="1"/>
        <v>253.84</v>
      </c>
    </row>
    <row r="3183">
      <c r="A3183" s="67"/>
      <c r="B3183" s="67"/>
      <c r="C3183" s="67"/>
      <c r="D3183" s="67"/>
      <c r="E3183" s="67"/>
      <c r="F3183" s="68"/>
      <c r="G3183" s="68"/>
      <c r="H3183" s="68"/>
      <c r="I3183" s="68"/>
      <c r="J3183" s="68"/>
      <c r="K3183" s="69">
        <v>3500.0</v>
      </c>
      <c r="L3183" s="69">
        <v>63.8</v>
      </c>
      <c r="M3183" s="68">
        <f t="shared" si="1"/>
        <v>311.78</v>
      </c>
    </row>
    <row r="3184">
      <c r="A3184" s="70"/>
      <c r="B3184" s="70"/>
      <c r="C3184" s="70"/>
      <c r="D3184" s="70"/>
      <c r="E3184" s="70"/>
      <c r="F3184" s="66"/>
      <c r="G3184" s="66"/>
      <c r="H3184" s="66"/>
      <c r="I3184" s="66"/>
      <c r="J3184" s="66"/>
      <c r="K3184" s="63">
        <v>4000.0</v>
      </c>
      <c r="L3184" s="63">
        <v>66.4</v>
      </c>
      <c r="M3184" s="66">
        <f t="shared" si="1"/>
        <v>370.85</v>
      </c>
    </row>
    <row r="3185">
      <c r="A3185" s="67"/>
      <c r="B3185" s="67"/>
      <c r="C3185" s="67"/>
      <c r="D3185" s="67"/>
      <c r="E3185" s="67"/>
      <c r="F3185" s="68"/>
      <c r="G3185" s="68"/>
      <c r="H3185" s="68"/>
      <c r="I3185" s="68"/>
      <c r="J3185" s="68"/>
      <c r="K3185" s="69">
        <v>4500.0</v>
      </c>
      <c r="L3185" s="69">
        <v>68.2</v>
      </c>
      <c r="M3185" s="68">
        <f t="shared" si="1"/>
        <v>428.51</v>
      </c>
    </row>
    <row r="3186">
      <c r="A3186" s="70"/>
      <c r="B3186" s="70"/>
      <c r="C3186" s="70"/>
      <c r="D3186" s="70"/>
      <c r="E3186" s="70"/>
      <c r="F3186" s="66"/>
      <c r="G3186" s="66"/>
      <c r="H3186" s="66"/>
      <c r="I3186" s="66"/>
      <c r="J3186" s="66"/>
      <c r="K3186" s="63">
        <v>5000.0</v>
      </c>
      <c r="L3186" s="63">
        <v>70.0</v>
      </c>
      <c r="M3186" s="66">
        <f t="shared" si="1"/>
        <v>488.69</v>
      </c>
    </row>
    <row r="3187">
      <c r="A3187" s="67"/>
      <c r="B3187" s="67"/>
      <c r="C3187" s="67"/>
      <c r="D3187" s="67"/>
      <c r="E3187" s="67"/>
      <c r="F3187" s="68"/>
      <c r="G3187" s="68"/>
      <c r="H3187" s="68"/>
      <c r="I3187" s="68"/>
      <c r="J3187" s="68"/>
      <c r="K3187" s="69">
        <v>5500.0</v>
      </c>
      <c r="L3187" s="69">
        <v>70.6</v>
      </c>
      <c r="M3187" s="68">
        <f t="shared" si="1"/>
        <v>542.17</v>
      </c>
    </row>
    <row r="3188">
      <c r="A3188" s="70"/>
      <c r="B3188" s="70"/>
      <c r="C3188" s="70"/>
      <c r="D3188" s="70"/>
      <c r="E3188" s="70"/>
      <c r="F3188" s="66"/>
      <c r="G3188" s="66"/>
      <c r="H3188" s="66"/>
      <c r="I3188" s="66"/>
      <c r="J3188" s="66"/>
      <c r="K3188" s="63">
        <v>6000.0</v>
      </c>
      <c r="L3188" s="63">
        <v>69.8</v>
      </c>
      <c r="M3188" s="66">
        <f t="shared" si="1"/>
        <v>584.75</v>
      </c>
    </row>
    <row r="3189">
      <c r="A3189" s="67"/>
      <c r="B3189" s="67"/>
      <c r="C3189" s="67"/>
      <c r="D3189" s="67"/>
      <c r="E3189" s="67"/>
      <c r="F3189" s="68"/>
      <c r="G3189" s="68"/>
      <c r="H3189" s="68"/>
      <c r="I3189" s="68"/>
      <c r="J3189" s="68"/>
      <c r="K3189" s="69">
        <v>6500.0</v>
      </c>
      <c r="L3189" s="69">
        <v>67.8</v>
      </c>
      <c r="M3189" s="68">
        <f t="shared" si="1"/>
        <v>615.33</v>
      </c>
    </row>
    <row r="3190">
      <c r="A3190" s="70"/>
      <c r="B3190" s="70"/>
      <c r="C3190" s="70"/>
      <c r="D3190" s="70"/>
      <c r="E3190" s="70"/>
      <c r="F3190" s="66"/>
      <c r="G3190" s="66"/>
      <c r="H3190" s="66"/>
      <c r="I3190" s="66"/>
      <c r="J3190" s="66"/>
      <c r="K3190" s="63">
        <v>7000.0</v>
      </c>
      <c r="L3190" s="63">
        <v>62.6</v>
      </c>
      <c r="M3190" s="66">
        <f t="shared" si="1"/>
        <v>611.84</v>
      </c>
    </row>
    <row r="3191">
      <c r="A3191" s="67"/>
      <c r="B3191" s="67"/>
      <c r="C3191" s="67"/>
      <c r="D3191" s="67"/>
      <c r="E3191" s="67"/>
      <c r="F3191" s="68"/>
      <c r="G3191" s="68"/>
      <c r="H3191" s="68"/>
      <c r="I3191" s="68"/>
      <c r="J3191" s="68"/>
      <c r="K3191" s="69">
        <v>7200.0</v>
      </c>
      <c r="L3191" s="69">
        <v>58.6</v>
      </c>
      <c r="M3191" s="68">
        <f t="shared" si="1"/>
        <v>589.11</v>
      </c>
    </row>
    <row r="3192">
      <c r="A3192" s="70"/>
      <c r="B3192" s="70"/>
      <c r="C3192" s="70"/>
      <c r="D3192" s="70"/>
      <c r="E3192" s="70"/>
      <c r="F3192" s="66"/>
      <c r="G3192" s="66"/>
      <c r="H3192" s="66"/>
      <c r="I3192" s="66"/>
      <c r="J3192" s="66"/>
      <c r="K3192" s="63">
        <v>7800.0</v>
      </c>
      <c r="L3192" s="63">
        <v>47.0</v>
      </c>
      <c r="M3192" s="66">
        <f t="shared" si="1"/>
        <v>511.87</v>
      </c>
    </row>
    <row r="3193">
      <c r="A3193" s="67"/>
      <c r="B3193" s="67"/>
      <c r="C3193" s="67"/>
      <c r="D3193" s="67"/>
      <c r="E3193" s="67"/>
      <c r="F3193" s="68"/>
      <c r="G3193" s="68"/>
      <c r="H3193" s="68"/>
      <c r="I3193" s="68"/>
      <c r="J3193" s="68"/>
      <c r="K3193" s="69">
        <v>8500.0</v>
      </c>
      <c r="L3193" s="69">
        <v>31.6</v>
      </c>
      <c r="M3193" s="68">
        <f t="shared" si="1"/>
        <v>375.03</v>
      </c>
    </row>
    <row r="3194">
      <c r="A3194" s="75"/>
      <c r="B3194" s="75"/>
      <c r="C3194" s="75"/>
      <c r="D3194" s="75"/>
      <c r="E3194" s="75"/>
      <c r="K3194" s="75"/>
      <c r="L3194" s="75"/>
      <c r="M3194" s="76"/>
    </row>
    <row r="3195">
      <c r="A3195" s="2"/>
      <c r="B3195" s="2"/>
      <c r="C3195" s="2"/>
      <c r="D3195" s="2"/>
      <c r="E3195" s="2"/>
      <c r="K3195" s="77"/>
      <c r="L3195" s="77"/>
      <c r="M3195" s="76"/>
    </row>
    <row r="3196">
      <c r="A3196" s="2"/>
      <c r="B3196" s="2"/>
      <c r="C3196" s="2"/>
      <c r="D3196" s="2"/>
      <c r="E3196" s="2"/>
      <c r="K3196" s="77"/>
      <c r="L3196" s="77"/>
      <c r="M3196" s="76"/>
    </row>
    <row r="3197">
      <c r="A3197" s="2"/>
      <c r="B3197" s="2"/>
      <c r="C3197" s="2"/>
      <c r="D3197" s="2"/>
      <c r="E3197" s="2"/>
      <c r="K3197" s="77"/>
      <c r="L3197" s="77"/>
      <c r="M3197" s="76"/>
    </row>
    <row r="3198">
      <c r="A3198" s="2"/>
      <c r="B3198" s="2"/>
      <c r="C3198" s="2"/>
      <c r="D3198" s="2"/>
      <c r="E3198" s="2"/>
      <c r="K3198" s="77"/>
      <c r="L3198" s="77"/>
      <c r="M3198" s="76"/>
    </row>
    <row r="3199">
      <c r="A3199" s="2"/>
      <c r="B3199" s="2"/>
      <c r="C3199" s="2"/>
      <c r="D3199" s="2"/>
      <c r="E3199" s="2"/>
      <c r="K3199" s="77"/>
      <c r="L3199" s="77"/>
      <c r="M3199" s="76"/>
    </row>
    <row r="3200">
      <c r="A3200" s="2"/>
      <c r="B3200" s="2"/>
      <c r="C3200" s="2"/>
      <c r="D3200" s="2"/>
      <c r="E3200" s="2"/>
      <c r="K3200" s="77"/>
      <c r="L3200" s="77"/>
      <c r="M3200" s="76"/>
    </row>
    <row r="3201">
      <c r="A3201" s="2"/>
      <c r="B3201" s="2"/>
      <c r="C3201" s="2"/>
      <c r="D3201" s="2"/>
      <c r="E3201" s="2"/>
      <c r="K3201" s="77"/>
      <c r="L3201" s="77"/>
      <c r="M3201" s="76"/>
    </row>
    <row r="3202">
      <c r="A3202" s="2"/>
      <c r="B3202" s="2"/>
      <c r="C3202" s="2"/>
      <c r="D3202" s="2"/>
      <c r="E3202" s="2"/>
      <c r="K3202" s="77"/>
      <c r="L3202" s="77"/>
      <c r="M3202" s="76"/>
    </row>
    <row r="3203">
      <c r="A3203" s="2"/>
      <c r="B3203" s="2"/>
      <c r="C3203" s="2"/>
      <c r="D3203" s="2"/>
      <c r="E3203" s="2"/>
      <c r="K3203" s="77"/>
      <c r="L3203" s="77"/>
      <c r="M3203" s="76"/>
    </row>
    <row r="3204">
      <c r="A3204" s="2"/>
      <c r="B3204" s="2"/>
      <c r="C3204" s="2"/>
      <c r="D3204" s="2"/>
      <c r="E3204" s="2"/>
      <c r="K3204" s="77"/>
      <c r="L3204" s="77"/>
      <c r="M3204" s="76"/>
    </row>
    <row r="3205">
      <c r="A3205" s="2"/>
      <c r="B3205" s="2"/>
      <c r="C3205" s="2"/>
      <c r="D3205" s="2"/>
      <c r="E3205" s="2"/>
      <c r="K3205" s="77"/>
      <c r="L3205" s="77"/>
      <c r="M3205" s="76"/>
    </row>
    <row r="3206">
      <c r="A3206" s="2"/>
      <c r="B3206" s="2"/>
      <c r="C3206" s="2"/>
      <c r="D3206" s="2"/>
      <c r="E3206" s="2"/>
      <c r="K3206" s="77"/>
      <c r="L3206" s="77"/>
      <c r="M3206" s="76"/>
    </row>
    <row r="3207">
      <c r="A3207" s="2"/>
      <c r="B3207" s="2"/>
      <c r="C3207" s="2"/>
      <c r="D3207" s="2"/>
      <c r="E3207" s="2"/>
      <c r="K3207" s="77"/>
      <c r="L3207" s="77"/>
      <c r="M3207" s="76"/>
    </row>
    <row r="3208">
      <c r="A3208" s="2"/>
      <c r="B3208" s="2"/>
      <c r="C3208" s="2"/>
      <c r="D3208" s="2"/>
      <c r="E3208" s="2"/>
      <c r="K3208" s="77"/>
      <c r="L3208" s="77"/>
      <c r="M3208" s="76"/>
    </row>
    <row r="3209">
      <c r="A3209" s="2"/>
      <c r="B3209" s="2"/>
      <c r="C3209" s="2"/>
      <c r="D3209" s="2"/>
      <c r="E3209" s="2"/>
      <c r="K3209" s="77"/>
      <c r="L3209" s="77"/>
      <c r="M3209" s="76"/>
    </row>
    <row r="3210">
      <c r="A3210" s="2"/>
      <c r="B3210" s="2"/>
      <c r="C3210" s="2"/>
      <c r="D3210" s="2"/>
      <c r="E3210" s="2"/>
      <c r="K3210" s="77"/>
      <c r="L3210" s="77"/>
      <c r="M3210" s="76"/>
    </row>
    <row r="3211">
      <c r="A3211" s="2"/>
      <c r="B3211" s="2"/>
      <c r="C3211" s="2"/>
      <c r="D3211" s="2"/>
      <c r="E3211" s="2"/>
      <c r="K3211" s="77"/>
      <c r="L3211" s="77"/>
      <c r="M3211" s="76"/>
    </row>
    <row r="3212">
      <c r="A3212" s="2"/>
      <c r="B3212" s="2"/>
      <c r="C3212" s="2"/>
      <c r="D3212" s="2"/>
      <c r="E3212" s="2"/>
      <c r="K3212" s="77"/>
      <c r="L3212" s="77"/>
      <c r="M3212" s="76"/>
    </row>
    <row r="3213">
      <c r="A3213" s="2"/>
      <c r="B3213" s="2"/>
      <c r="C3213" s="2"/>
      <c r="D3213" s="2"/>
      <c r="E3213" s="2"/>
      <c r="K3213" s="77"/>
      <c r="L3213" s="77"/>
      <c r="M3213" s="76"/>
    </row>
    <row r="3214">
      <c r="A3214" s="2"/>
      <c r="B3214" s="2"/>
      <c r="C3214" s="2"/>
      <c r="D3214" s="2"/>
      <c r="E3214" s="2"/>
      <c r="K3214" s="77"/>
      <c r="L3214" s="77"/>
      <c r="M3214" s="76"/>
    </row>
    <row r="3215">
      <c r="A3215" s="2"/>
      <c r="B3215" s="2"/>
      <c r="C3215" s="2"/>
      <c r="D3215" s="2"/>
      <c r="E3215" s="2"/>
      <c r="K3215" s="77"/>
      <c r="L3215" s="77"/>
      <c r="M3215" s="76"/>
    </row>
    <row r="3216">
      <c r="A3216" s="2"/>
      <c r="B3216" s="2"/>
      <c r="C3216" s="2"/>
      <c r="D3216" s="2"/>
      <c r="E3216" s="2"/>
      <c r="K3216" s="77"/>
      <c r="L3216" s="77"/>
      <c r="M3216" s="76"/>
    </row>
    <row r="3217">
      <c r="A3217" s="2"/>
      <c r="B3217" s="2"/>
      <c r="C3217" s="2"/>
      <c r="D3217" s="2"/>
      <c r="E3217" s="2"/>
      <c r="K3217" s="77"/>
      <c r="L3217" s="77"/>
      <c r="M3217" s="76"/>
    </row>
    <row r="3218">
      <c r="A3218" s="77"/>
      <c r="B3218" s="77"/>
      <c r="C3218" s="77"/>
      <c r="D3218" s="77"/>
      <c r="E3218" s="77"/>
      <c r="K3218" s="77"/>
      <c r="L3218" s="77"/>
      <c r="M3218" s="76"/>
    </row>
    <row r="3219">
      <c r="A3219" s="2"/>
      <c r="B3219" s="2"/>
      <c r="C3219" s="2"/>
      <c r="D3219" s="2"/>
      <c r="E3219" s="2"/>
      <c r="K3219" s="77"/>
      <c r="L3219" s="77"/>
      <c r="M3219" s="76"/>
    </row>
    <row r="3220">
      <c r="A3220" s="2"/>
      <c r="B3220" s="2"/>
      <c r="C3220" s="2"/>
      <c r="D3220" s="2"/>
      <c r="E3220" s="2"/>
      <c r="K3220" s="77"/>
      <c r="L3220" s="77"/>
      <c r="M3220" s="76"/>
    </row>
    <row r="3221">
      <c r="A3221" s="2"/>
      <c r="B3221" s="2"/>
      <c r="C3221" s="2"/>
      <c r="D3221" s="2"/>
      <c r="E3221" s="2"/>
      <c r="K3221" s="77"/>
      <c r="L3221" s="77"/>
      <c r="M3221" s="76"/>
    </row>
    <row r="3222">
      <c r="A3222" s="2"/>
      <c r="B3222" s="2"/>
      <c r="C3222" s="2"/>
      <c r="D3222" s="2"/>
      <c r="E3222" s="2"/>
      <c r="K3222" s="77"/>
      <c r="L3222" s="77"/>
      <c r="M3222" s="76"/>
    </row>
    <row r="3223">
      <c r="A3223" s="2"/>
      <c r="B3223" s="2"/>
      <c r="C3223" s="2"/>
      <c r="D3223" s="2"/>
      <c r="E3223" s="2"/>
      <c r="K3223" s="77"/>
      <c r="L3223" s="77"/>
      <c r="M3223" s="76"/>
    </row>
    <row r="3224">
      <c r="A3224" s="2"/>
      <c r="B3224" s="2"/>
      <c r="C3224" s="2"/>
      <c r="D3224" s="2"/>
      <c r="E3224" s="2"/>
      <c r="K3224" s="77"/>
      <c r="L3224" s="77"/>
      <c r="M3224" s="76"/>
    </row>
    <row r="3225">
      <c r="A3225" s="2"/>
      <c r="B3225" s="2"/>
      <c r="C3225" s="2"/>
      <c r="D3225" s="2"/>
      <c r="E3225" s="2"/>
      <c r="K3225" s="77"/>
      <c r="L3225" s="77"/>
      <c r="M3225" s="76"/>
    </row>
    <row r="3226">
      <c r="A3226" s="2"/>
      <c r="B3226" s="2"/>
      <c r="C3226" s="2"/>
      <c r="D3226" s="2"/>
      <c r="E3226" s="2"/>
      <c r="K3226" s="77"/>
      <c r="L3226" s="77"/>
      <c r="M3226" s="76"/>
    </row>
    <row r="3227">
      <c r="A3227" s="2"/>
      <c r="B3227" s="2"/>
      <c r="C3227" s="2"/>
      <c r="D3227" s="2"/>
      <c r="E3227" s="2"/>
      <c r="K3227" s="77"/>
      <c r="L3227" s="77"/>
      <c r="M3227" s="76"/>
    </row>
    <row r="3228">
      <c r="A3228" s="2"/>
      <c r="B3228" s="2"/>
      <c r="C3228" s="2"/>
      <c r="D3228" s="2"/>
      <c r="E3228" s="2"/>
      <c r="K3228" s="77"/>
      <c r="L3228" s="77"/>
      <c r="M3228" s="76"/>
    </row>
    <row r="3229">
      <c r="A3229" s="2"/>
      <c r="B3229" s="2"/>
      <c r="C3229" s="2"/>
      <c r="D3229" s="2"/>
      <c r="E3229" s="2"/>
      <c r="K3229" s="77"/>
      <c r="L3229" s="77"/>
      <c r="M3229" s="76"/>
    </row>
    <row r="3230">
      <c r="A3230" s="2"/>
      <c r="B3230" s="2"/>
      <c r="C3230" s="2"/>
      <c r="D3230" s="2"/>
      <c r="E3230" s="2"/>
      <c r="K3230" s="77"/>
      <c r="L3230" s="77"/>
      <c r="M3230" s="76"/>
    </row>
    <row r="3231">
      <c r="A3231" s="2"/>
      <c r="B3231" s="2"/>
      <c r="C3231" s="2"/>
      <c r="D3231" s="2"/>
      <c r="E3231" s="2"/>
      <c r="K3231" s="77"/>
      <c r="L3231" s="77"/>
      <c r="M3231" s="76"/>
    </row>
    <row r="3232">
      <c r="A3232" s="2"/>
      <c r="B3232" s="2"/>
      <c r="C3232" s="2"/>
      <c r="D3232" s="2"/>
      <c r="E3232" s="2"/>
      <c r="K3232" s="77"/>
      <c r="L3232" s="77"/>
      <c r="M3232" s="76"/>
    </row>
    <row r="3233">
      <c r="A3233" s="2"/>
      <c r="B3233" s="2"/>
      <c r="C3233" s="2"/>
      <c r="D3233" s="2"/>
      <c r="E3233" s="2"/>
      <c r="K3233" s="77"/>
      <c r="L3233" s="77"/>
      <c r="M3233" s="76"/>
    </row>
    <row r="3234">
      <c r="A3234" s="2"/>
      <c r="B3234" s="2"/>
      <c r="C3234" s="2"/>
      <c r="D3234" s="2"/>
      <c r="E3234" s="2"/>
      <c r="K3234" s="77"/>
      <c r="L3234" s="77"/>
      <c r="M3234" s="76"/>
    </row>
    <row r="3235">
      <c r="A3235" s="2"/>
      <c r="B3235" s="2"/>
      <c r="C3235" s="2"/>
      <c r="D3235" s="2"/>
      <c r="E3235" s="2"/>
      <c r="K3235" s="77"/>
      <c r="L3235" s="77"/>
      <c r="M3235" s="76"/>
    </row>
    <row r="3236">
      <c r="A3236" s="2"/>
      <c r="B3236" s="2"/>
      <c r="C3236" s="2"/>
      <c r="D3236" s="2"/>
      <c r="E3236" s="2"/>
      <c r="K3236" s="77"/>
      <c r="L3236" s="77"/>
      <c r="M3236" s="76"/>
    </row>
    <row r="3237">
      <c r="A3237" s="2"/>
      <c r="B3237" s="2"/>
      <c r="C3237" s="2"/>
      <c r="D3237" s="2"/>
      <c r="E3237" s="2"/>
      <c r="K3237" s="77"/>
      <c r="L3237" s="77"/>
      <c r="M3237" s="76"/>
    </row>
    <row r="3238">
      <c r="A3238" s="2"/>
      <c r="B3238" s="2"/>
      <c r="C3238" s="2"/>
      <c r="D3238" s="2"/>
      <c r="E3238" s="2"/>
      <c r="K3238" s="77"/>
      <c r="L3238" s="77"/>
      <c r="M3238" s="76"/>
    </row>
    <row r="3239">
      <c r="A3239" s="2"/>
      <c r="B3239" s="2"/>
      <c r="C3239" s="2"/>
      <c r="D3239" s="2"/>
      <c r="E3239" s="2"/>
      <c r="K3239" s="77"/>
      <c r="L3239" s="77"/>
      <c r="M3239" s="76"/>
    </row>
    <row r="3240">
      <c r="A3240" s="2"/>
      <c r="B3240" s="2"/>
      <c r="C3240" s="2"/>
      <c r="D3240" s="2"/>
      <c r="E3240" s="2"/>
      <c r="K3240" s="77"/>
      <c r="L3240" s="77"/>
      <c r="M3240" s="76"/>
    </row>
    <row r="3241">
      <c r="A3241" s="2"/>
      <c r="B3241" s="2"/>
      <c r="C3241" s="2"/>
      <c r="D3241" s="2"/>
      <c r="E3241" s="2"/>
      <c r="K3241" s="77"/>
      <c r="L3241" s="77"/>
      <c r="M3241" s="76"/>
    </row>
    <row r="3242">
      <c r="A3242" s="77"/>
      <c r="B3242" s="77"/>
      <c r="C3242" s="77"/>
      <c r="D3242" s="77"/>
      <c r="E3242" s="77"/>
      <c r="K3242" s="77"/>
      <c r="L3242" s="77"/>
      <c r="M3242" s="76"/>
    </row>
    <row r="3243">
      <c r="A3243" s="2"/>
      <c r="B3243" s="2"/>
      <c r="C3243" s="2"/>
      <c r="D3243" s="2"/>
      <c r="E3243" s="2"/>
      <c r="K3243" s="77"/>
      <c r="L3243" s="77"/>
      <c r="M3243" s="76"/>
    </row>
    <row r="3244">
      <c r="A3244" s="2"/>
      <c r="B3244" s="2"/>
      <c r="C3244" s="2"/>
      <c r="D3244" s="2"/>
      <c r="E3244" s="2"/>
      <c r="K3244" s="77"/>
      <c r="L3244" s="77"/>
      <c r="M3244" s="76"/>
    </row>
    <row r="3245">
      <c r="A3245" s="2"/>
      <c r="B3245" s="2"/>
      <c r="C3245" s="2"/>
      <c r="D3245" s="2"/>
      <c r="E3245" s="2"/>
      <c r="K3245" s="77"/>
      <c r="L3245" s="77"/>
      <c r="M3245" s="76"/>
    </row>
    <row r="3246">
      <c r="A3246" s="2"/>
      <c r="B3246" s="2"/>
      <c r="C3246" s="2"/>
      <c r="D3246" s="2"/>
      <c r="E3246" s="2"/>
      <c r="K3246" s="77"/>
      <c r="L3246" s="77"/>
      <c r="M3246" s="76"/>
    </row>
    <row r="3247">
      <c r="A3247" s="2"/>
      <c r="B3247" s="2"/>
      <c r="C3247" s="2"/>
      <c r="D3247" s="2"/>
      <c r="E3247" s="2"/>
      <c r="K3247" s="77"/>
      <c r="L3247" s="77"/>
      <c r="M3247" s="76"/>
    </row>
    <row r="3248">
      <c r="A3248" s="2"/>
      <c r="B3248" s="2"/>
      <c r="C3248" s="2"/>
      <c r="D3248" s="2"/>
      <c r="E3248" s="2"/>
      <c r="K3248" s="77"/>
      <c r="L3248" s="77"/>
      <c r="M3248" s="76"/>
    </row>
    <row r="3249">
      <c r="A3249" s="2"/>
      <c r="B3249" s="2"/>
      <c r="C3249" s="2"/>
      <c r="D3249" s="2"/>
      <c r="E3249" s="2"/>
      <c r="K3249" s="77"/>
      <c r="L3249" s="77"/>
      <c r="M3249" s="76"/>
    </row>
    <row r="3250">
      <c r="A3250" s="2"/>
      <c r="B3250" s="2"/>
      <c r="C3250" s="2"/>
      <c r="D3250" s="2"/>
      <c r="E3250" s="2"/>
      <c r="K3250" s="77"/>
      <c r="L3250" s="77"/>
      <c r="M3250" s="76"/>
    </row>
    <row r="3251">
      <c r="A3251" s="2"/>
      <c r="B3251" s="2"/>
      <c r="C3251" s="2"/>
      <c r="D3251" s="2"/>
      <c r="E3251" s="2"/>
      <c r="K3251" s="77"/>
      <c r="L3251" s="77"/>
      <c r="M3251" s="76"/>
    </row>
    <row r="3252">
      <c r="A3252" s="2"/>
      <c r="B3252" s="2"/>
      <c r="C3252" s="2"/>
      <c r="D3252" s="2"/>
      <c r="E3252" s="2"/>
      <c r="K3252" s="77"/>
      <c r="L3252" s="77"/>
      <c r="M3252" s="76"/>
    </row>
    <row r="3253">
      <c r="A3253" s="2"/>
      <c r="B3253" s="2"/>
      <c r="C3253" s="2"/>
      <c r="D3253" s="2"/>
      <c r="E3253" s="2"/>
      <c r="K3253" s="77"/>
      <c r="L3253" s="77"/>
      <c r="M3253" s="76"/>
    </row>
    <row r="3254">
      <c r="A3254" s="2"/>
      <c r="B3254" s="2"/>
      <c r="C3254" s="2"/>
      <c r="D3254" s="2"/>
      <c r="E3254" s="2"/>
      <c r="K3254" s="77"/>
      <c r="L3254" s="77"/>
      <c r="M3254" s="76"/>
    </row>
    <row r="3255">
      <c r="A3255" s="2"/>
      <c r="B3255" s="2"/>
      <c r="C3255" s="2"/>
      <c r="D3255" s="2"/>
      <c r="E3255" s="2"/>
      <c r="K3255" s="77"/>
      <c r="L3255" s="77"/>
      <c r="M3255" s="76"/>
    </row>
    <row r="3256">
      <c r="A3256" s="2"/>
      <c r="B3256" s="2"/>
      <c r="C3256" s="2"/>
      <c r="D3256" s="2"/>
      <c r="E3256" s="2"/>
      <c r="K3256" s="77"/>
      <c r="L3256" s="77"/>
      <c r="M3256" s="76"/>
    </row>
    <row r="3257">
      <c r="A3257" s="2"/>
      <c r="B3257" s="2"/>
      <c r="C3257" s="2"/>
      <c r="D3257" s="2"/>
      <c r="E3257" s="2"/>
      <c r="K3257" s="77"/>
      <c r="L3257" s="77"/>
      <c r="M3257" s="76"/>
    </row>
    <row r="3258">
      <c r="A3258" s="2"/>
      <c r="B3258" s="2"/>
      <c r="C3258" s="2"/>
      <c r="D3258" s="2"/>
      <c r="E3258" s="2"/>
      <c r="K3258" s="77"/>
      <c r="L3258" s="77"/>
      <c r="M3258" s="76"/>
    </row>
    <row r="3259">
      <c r="A3259" s="2"/>
      <c r="B3259" s="2"/>
      <c r="C3259" s="2"/>
      <c r="D3259" s="2"/>
      <c r="E3259" s="2"/>
      <c r="K3259" s="77"/>
      <c r="L3259" s="77"/>
      <c r="M3259" s="76"/>
    </row>
    <row r="3260">
      <c r="A3260" s="2"/>
      <c r="B3260" s="2"/>
      <c r="C3260" s="2"/>
      <c r="D3260" s="2"/>
      <c r="E3260" s="2"/>
      <c r="K3260" s="77"/>
      <c r="L3260" s="77"/>
      <c r="M3260" s="76"/>
    </row>
    <row r="3261">
      <c r="A3261" s="2"/>
      <c r="B3261" s="2"/>
      <c r="C3261" s="2"/>
      <c r="D3261" s="2"/>
      <c r="E3261" s="2"/>
      <c r="K3261" s="77"/>
      <c r="L3261" s="77"/>
      <c r="M3261" s="76"/>
    </row>
    <row r="3262">
      <c r="A3262" s="2"/>
      <c r="B3262" s="2"/>
      <c r="C3262" s="2"/>
      <c r="D3262" s="2"/>
      <c r="E3262" s="2"/>
      <c r="K3262" s="77"/>
      <c r="L3262" s="77"/>
      <c r="M3262" s="76"/>
    </row>
    <row r="3263">
      <c r="A3263" s="2"/>
      <c r="B3263" s="2"/>
      <c r="C3263" s="2"/>
      <c r="D3263" s="2"/>
      <c r="E3263" s="2"/>
      <c r="K3263" s="77"/>
      <c r="L3263" s="77"/>
      <c r="M3263" s="76"/>
    </row>
    <row r="3264">
      <c r="A3264" s="2"/>
      <c r="B3264" s="2"/>
      <c r="C3264" s="2"/>
      <c r="D3264" s="2"/>
      <c r="E3264" s="2"/>
      <c r="K3264" s="77"/>
      <c r="L3264" s="77"/>
      <c r="M3264" s="76"/>
    </row>
    <row r="3265">
      <c r="A3265" s="2"/>
      <c r="B3265" s="2"/>
      <c r="C3265" s="2"/>
      <c r="D3265" s="2"/>
      <c r="E3265" s="2"/>
      <c r="K3265" s="77"/>
      <c r="L3265" s="77"/>
      <c r="M3265" s="76"/>
    </row>
    <row r="3266">
      <c r="A3266" s="77"/>
      <c r="B3266" s="77"/>
      <c r="C3266" s="77"/>
      <c r="D3266" s="77"/>
      <c r="E3266" s="77"/>
      <c r="K3266" s="77"/>
      <c r="L3266" s="77"/>
      <c r="M3266" s="76"/>
    </row>
    <row r="3267">
      <c r="A3267" s="2"/>
      <c r="B3267" s="2"/>
      <c r="C3267" s="2"/>
      <c r="D3267" s="2"/>
      <c r="E3267" s="2"/>
      <c r="K3267" s="77"/>
      <c r="L3267" s="77"/>
      <c r="M3267" s="76"/>
    </row>
    <row r="3268">
      <c r="A3268" s="2"/>
      <c r="B3268" s="2"/>
      <c r="C3268" s="2"/>
      <c r="D3268" s="2"/>
      <c r="E3268" s="2"/>
      <c r="K3268" s="77"/>
      <c r="L3268" s="77"/>
      <c r="M3268" s="76"/>
    </row>
    <row r="3269">
      <c r="A3269" s="2"/>
      <c r="B3269" s="2"/>
      <c r="C3269" s="2"/>
      <c r="D3269" s="2"/>
      <c r="E3269" s="2"/>
      <c r="K3269" s="77"/>
      <c r="L3269" s="77"/>
      <c r="M3269" s="76"/>
    </row>
    <row r="3270">
      <c r="A3270" s="2"/>
      <c r="B3270" s="2"/>
      <c r="C3270" s="2"/>
      <c r="D3270" s="2"/>
      <c r="E3270" s="2"/>
      <c r="K3270" s="77"/>
      <c r="L3270" s="77"/>
      <c r="M3270" s="76"/>
    </row>
    <row r="3271">
      <c r="A3271" s="2"/>
      <c r="B3271" s="2"/>
      <c r="C3271" s="2"/>
      <c r="D3271" s="2"/>
      <c r="E3271" s="2"/>
      <c r="K3271" s="77"/>
      <c r="L3271" s="77"/>
      <c r="M3271" s="76"/>
    </row>
    <row r="3272">
      <c r="A3272" s="2"/>
      <c r="B3272" s="2"/>
      <c r="C3272" s="2"/>
      <c r="D3272" s="2"/>
      <c r="E3272" s="2"/>
      <c r="K3272" s="77"/>
      <c r="L3272" s="77"/>
      <c r="M3272" s="76"/>
    </row>
    <row r="3273">
      <c r="A3273" s="2"/>
      <c r="B3273" s="2"/>
      <c r="C3273" s="2"/>
      <c r="D3273" s="2"/>
      <c r="E3273" s="2"/>
      <c r="K3273" s="77"/>
      <c r="L3273" s="77"/>
      <c r="M3273" s="76"/>
    </row>
    <row r="3274">
      <c r="A3274" s="2"/>
      <c r="B3274" s="2"/>
      <c r="C3274" s="2"/>
      <c r="D3274" s="2"/>
      <c r="E3274" s="2"/>
      <c r="K3274" s="77"/>
      <c r="L3274" s="77"/>
      <c r="M3274" s="76"/>
    </row>
    <row r="3275">
      <c r="A3275" s="2"/>
      <c r="B3275" s="2"/>
      <c r="C3275" s="2"/>
      <c r="D3275" s="2"/>
      <c r="E3275" s="2"/>
      <c r="K3275" s="77"/>
      <c r="L3275" s="77"/>
      <c r="M3275" s="76"/>
    </row>
    <row r="3276">
      <c r="A3276" s="2"/>
      <c r="B3276" s="2"/>
      <c r="C3276" s="2"/>
      <c r="D3276" s="2"/>
      <c r="E3276" s="2"/>
      <c r="K3276" s="77"/>
      <c r="L3276" s="77"/>
      <c r="M3276" s="76"/>
    </row>
    <row r="3277">
      <c r="A3277" s="2"/>
      <c r="B3277" s="2"/>
      <c r="C3277" s="2"/>
      <c r="D3277" s="2"/>
      <c r="E3277" s="2"/>
      <c r="K3277" s="77"/>
      <c r="L3277" s="77"/>
      <c r="M3277" s="76"/>
    </row>
    <row r="3278">
      <c r="A3278" s="2"/>
      <c r="B3278" s="2"/>
      <c r="C3278" s="2"/>
      <c r="D3278" s="2"/>
      <c r="E3278" s="2"/>
      <c r="K3278" s="77"/>
      <c r="L3278" s="77"/>
      <c r="M3278" s="76"/>
    </row>
    <row r="3279">
      <c r="A3279" s="2"/>
      <c r="B3279" s="2"/>
      <c r="C3279" s="2"/>
      <c r="D3279" s="2"/>
      <c r="E3279" s="2"/>
      <c r="K3279" s="77"/>
      <c r="L3279" s="77"/>
      <c r="M3279" s="76"/>
    </row>
    <row r="3280">
      <c r="A3280" s="2"/>
      <c r="B3280" s="2"/>
      <c r="C3280" s="2"/>
      <c r="D3280" s="2"/>
      <c r="E3280" s="2"/>
      <c r="K3280" s="77"/>
      <c r="L3280" s="77"/>
      <c r="M3280" s="76"/>
    </row>
    <row r="3281">
      <c r="A3281" s="2"/>
      <c r="B3281" s="2"/>
      <c r="C3281" s="2"/>
      <c r="D3281" s="2"/>
      <c r="E3281" s="2"/>
      <c r="K3281" s="77"/>
      <c r="L3281" s="77"/>
      <c r="M3281" s="76"/>
    </row>
    <row r="3282">
      <c r="A3282" s="2"/>
      <c r="B3282" s="2"/>
      <c r="C3282" s="2"/>
      <c r="D3282" s="2"/>
      <c r="E3282" s="2"/>
      <c r="K3282" s="77"/>
      <c r="L3282" s="77"/>
      <c r="M3282" s="76"/>
    </row>
    <row r="3283">
      <c r="A3283" s="2"/>
      <c r="B3283" s="2"/>
      <c r="C3283" s="2"/>
      <c r="D3283" s="2"/>
      <c r="E3283" s="2"/>
      <c r="K3283" s="77"/>
      <c r="L3283" s="77"/>
      <c r="M3283" s="76"/>
    </row>
    <row r="3284">
      <c r="A3284" s="2"/>
      <c r="B3284" s="2"/>
      <c r="C3284" s="2"/>
      <c r="D3284" s="2"/>
      <c r="E3284" s="2"/>
      <c r="K3284" s="77"/>
      <c r="L3284" s="77"/>
      <c r="M3284" s="76"/>
    </row>
    <row r="3285">
      <c r="A3285" s="2"/>
      <c r="B3285" s="2"/>
      <c r="C3285" s="2"/>
      <c r="D3285" s="2"/>
      <c r="E3285" s="2"/>
      <c r="K3285" s="77"/>
      <c r="L3285" s="77"/>
      <c r="M3285" s="76"/>
    </row>
    <row r="3286">
      <c r="A3286" s="2"/>
      <c r="B3286" s="2"/>
      <c r="C3286" s="2"/>
      <c r="D3286" s="2"/>
      <c r="E3286" s="2"/>
      <c r="K3286" s="77"/>
      <c r="L3286" s="77"/>
      <c r="M3286" s="76"/>
    </row>
    <row r="3287">
      <c r="A3287" s="2"/>
      <c r="B3287" s="2"/>
      <c r="C3287" s="2"/>
      <c r="D3287" s="2"/>
      <c r="E3287" s="2"/>
      <c r="K3287" s="77"/>
      <c r="L3287" s="77"/>
      <c r="M3287" s="76"/>
    </row>
    <row r="3288">
      <c r="A3288" s="2"/>
      <c r="B3288" s="2"/>
      <c r="C3288" s="2"/>
      <c r="D3288" s="2"/>
      <c r="E3288" s="2"/>
      <c r="K3288" s="77"/>
      <c r="L3288" s="77"/>
      <c r="M3288" s="76"/>
    </row>
    <row r="3289">
      <c r="A3289" s="2"/>
      <c r="B3289" s="2"/>
      <c r="C3289" s="2"/>
      <c r="D3289" s="2"/>
      <c r="E3289" s="2"/>
      <c r="K3289" s="77"/>
      <c r="L3289" s="77"/>
      <c r="M3289" s="76"/>
    </row>
    <row r="3290">
      <c r="A3290" s="77"/>
      <c r="B3290" s="77"/>
      <c r="C3290" s="77"/>
      <c r="D3290" s="77"/>
      <c r="E3290" s="77"/>
      <c r="K3290" s="77"/>
      <c r="L3290" s="77"/>
      <c r="M3290" s="76"/>
    </row>
    <row r="3291">
      <c r="A3291" s="2"/>
      <c r="B3291" s="2"/>
      <c r="C3291" s="2"/>
      <c r="D3291" s="2"/>
      <c r="E3291" s="2"/>
      <c r="K3291" s="77"/>
      <c r="L3291" s="77"/>
      <c r="M3291" s="76"/>
    </row>
    <row r="3292">
      <c r="A3292" s="2"/>
      <c r="B3292" s="2"/>
      <c r="C3292" s="2"/>
      <c r="D3292" s="2"/>
      <c r="E3292" s="2"/>
      <c r="K3292" s="77"/>
      <c r="L3292" s="77"/>
      <c r="M3292" s="76"/>
    </row>
    <row r="3293">
      <c r="A3293" s="2"/>
      <c r="B3293" s="2"/>
      <c r="C3293" s="2"/>
      <c r="D3293" s="2"/>
      <c r="E3293" s="2"/>
      <c r="K3293" s="77"/>
      <c r="L3293" s="77"/>
      <c r="M3293" s="76"/>
    </row>
    <row r="3294">
      <c r="A3294" s="2"/>
      <c r="B3294" s="2"/>
      <c r="C3294" s="2"/>
      <c r="D3294" s="2"/>
      <c r="E3294" s="2"/>
      <c r="K3294" s="77"/>
      <c r="L3294" s="77"/>
      <c r="M3294" s="76"/>
    </row>
    <row r="3295">
      <c r="A3295" s="2"/>
      <c r="B3295" s="2"/>
      <c r="C3295" s="2"/>
      <c r="D3295" s="2"/>
      <c r="E3295" s="2"/>
      <c r="K3295" s="77"/>
      <c r="L3295" s="77"/>
      <c r="M3295" s="76"/>
    </row>
    <row r="3296">
      <c r="A3296" s="2"/>
      <c r="B3296" s="2"/>
      <c r="C3296" s="2"/>
      <c r="D3296" s="2"/>
      <c r="E3296" s="2"/>
      <c r="K3296" s="77"/>
      <c r="L3296" s="77"/>
      <c r="M3296" s="76"/>
    </row>
    <row r="3297">
      <c r="A3297" s="2"/>
      <c r="B3297" s="2"/>
      <c r="C3297" s="2"/>
      <c r="D3297" s="2"/>
      <c r="E3297" s="2"/>
      <c r="K3297" s="77"/>
      <c r="L3297" s="77"/>
      <c r="M3297" s="76"/>
    </row>
    <row r="3298">
      <c r="A3298" s="2"/>
      <c r="B3298" s="2"/>
      <c r="C3298" s="2"/>
      <c r="D3298" s="2"/>
      <c r="E3298" s="2"/>
      <c r="K3298" s="77"/>
      <c r="L3298" s="77"/>
      <c r="M3298" s="76"/>
    </row>
    <row r="3299">
      <c r="A3299" s="2"/>
      <c r="B3299" s="2"/>
      <c r="C3299" s="2"/>
      <c r="D3299" s="2"/>
      <c r="E3299" s="2"/>
      <c r="K3299" s="77"/>
      <c r="L3299" s="77"/>
      <c r="M3299" s="76"/>
    </row>
    <row r="3300">
      <c r="A3300" s="2"/>
      <c r="B3300" s="2"/>
      <c r="C3300" s="2"/>
      <c r="D3300" s="2"/>
      <c r="E3300" s="2"/>
      <c r="K3300" s="77"/>
      <c r="L3300" s="77"/>
      <c r="M3300" s="76"/>
    </row>
    <row r="3301">
      <c r="A3301" s="2"/>
      <c r="B3301" s="2"/>
      <c r="C3301" s="2"/>
      <c r="D3301" s="2"/>
      <c r="E3301" s="2"/>
      <c r="K3301" s="77"/>
      <c r="L3301" s="77"/>
      <c r="M3301" s="76"/>
    </row>
    <row r="3302">
      <c r="A3302" s="2"/>
      <c r="B3302" s="2"/>
      <c r="C3302" s="2"/>
      <c r="D3302" s="2"/>
      <c r="E3302" s="2"/>
      <c r="K3302" s="77"/>
      <c r="L3302" s="77"/>
      <c r="M3302" s="76"/>
    </row>
    <row r="3303">
      <c r="A3303" s="2"/>
      <c r="B3303" s="2"/>
      <c r="C3303" s="2"/>
      <c r="D3303" s="2"/>
      <c r="E3303" s="2"/>
      <c r="K3303" s="77"/>
      <c r="L3303" s="77"/>
      <c r="M3303" s="76"/>
    </row>
    <row r="3304">
      <c r="A3304" s="2"/>
      <c r="B3304" s="2"/>
      <c r="C3304" s="2"/>
      <c r="D3304" s="2"/>
      <c r="E3304" s="2"/>
      <c r="K3304" s="77"/>
      <c r="L3304" s="77"/>
      <c r="M3304" s="76"/>
    </row>
    <row r="3305">
      <c r="A3305" s="2"/>
      <c r="B3305" s="2"/>
      <c r="C3305" s="2"/>
      <c r="D3305" s="2"/>
      <c r="E3305" s="2"/>
      <c r="K3305" s="77"/>
      <c r="L3305" s="77"/>
      <c r="M3305" s="76"/>
    </row>
    <row r="3306">
      <c r="A3306" s="2"/>
      <c r="B3306" s="2"/>
      <c r="C3306" s="2"/>
      <c r="D3306" s="2"/>
      <c r="E3306" s="2"/>
      <c r="K3306" s="77"/>
      <c r="L3306" s="77"/>
      <c r="M3306" s="76"/>
    </row>
    <row r="3307">
      <c r="A3307" s="2"/>
      <c r="B3307" s="2"/>
      <c r="C3307" s="2"/>
      <c r="D3307" s="2"/>
      <c r="E3307" s="2"/>
      <c r="K3307" s="77"/>
      <c r="L3307" s="77"/>
      <c r="M3307" s="76"/>
    </row>
    <row r="3308">
      <c r="A3308" s="2"/>
      <c r="B3308" s="2"/>
      <c r="C3308" s="2"/>
      <c r="D3308" s="2"/>
      <c r="E3308" s="2"/>
      <c r="K3308" s="77"/>
      <c r="L3308" s="77"/>
      <c r="M3308" s="76"/>
    </row>
    <row r="3309">
      <c r="A3309" s="2"/>
      <c r="B3309" s="2"/>
      <c r="C3309" s="2"/>
      <c r="D3309" s="2"/>
      <c r="E3309" s="2"/>
      <c r="K3309" s="77"/>
      <c r="L3309" s="77"/>
      <c r="M3309" s="76"/>
    </row>
    <row r="3310">
      <c r="A3310" s="2"/>
      <c r="B3310" s="2"/>
      <c r="C3310" s="2"/>
      <c r="D3310" s="2"/>
      <c r="E3310" s="2"/>
      <c r="K3310" s="77"/>
      <c r="L3310" s="77"/>
      <c r="M3310" s="76"/>
    </row>
    <row r="3311">
      <c r="A3311" s="2"/>
      <c r="B3311" s="2"/>
      <c r="C3311" s="2"/>
      <c r="D3311" s="2"/>
      <c r="E3311" s="2"/>
      <c r="K3311" s="77"/>
      <c r="L3311" s="77"/>
      <c r="M3311" s="76"/>
    </row>
    <row r="3312">
      <c r="A3312" s="2"/>
      <c r="B3312" s="2"/>
      <c r="C3312" s="2"/>
      <c r="D3312" s="2"/>
      <c r="E3312" s="2"/>
      <c r="K3312" s="77"/>
      <c r="L3312" s="77"/>
      <c r="M3312" s="76"/>
    </row>
    <row r="3313">
      <c r="A3313" s="2"/>
      <c r="B3313" s="2"/>
      <c r="C3313" s="2"/>
      <c r="D3313" s="2"/>
      <c r="E3313" s="2"/>
      <c r="K3313" s="77"/>
      <c r="L3313" s="77"/>
      <c r="M3313" s="76"/>
    </row>
    <row r="3314">
      <c r="A3314" s="77"/>
      <c r="B3314" s="77"/>
      <c r="C3314" s="77"/>
      <c r="D3314" s="77"/>
      <c r="E3314" s="77"/>
      <c r="K3314" s="77"/>
      <c r="L3314" s="77"/>
      <c r="M3314" s="76"/>
    </row>
    <row r="3315">
      <c r="A3315" s="2"/>
      <c r="B3315" s="2"/>
      <c r="C3315" s="2"/>
      <c r="D3315" s="2"/>
      <c r="E3315" s="2"/>
      <c r="K3315" s="77"/>
      <c r="L3315" s="77"/>
      <c r="M3315" s="76"/>
    </row>
    <row r="3316">
      <c r="A3316" s="2"/>
      <c r="B3316" s="2"/>
      <c r="C3316" s="2"/>
      <c r="D3316" s="2"/>
      <c r="E3316" s="2"/>
      <c r="K3316" s="77"/>
      <c r="L3316" s="77"/>
      <c r="M3316" s="76"/>
    </row>
    <row r="3317">
      <c r="A3317" s="2"/>
      <c r="B3317" s="2"/>
      <c r="C3317" s="2"/>
      <c r="D3317" s="2"/>
      <c r="E3317" s="2"/>
      <c r="K3317" s="77"/>
      <c r="L3317" s="77"/>
      <c r="M3317" s="76"/>
    </row>
    <row r="3318">
      <c r="A3318" s="2"/>
      <c r="B3318" s="2"/>
      <c r="C3318" s="2"/>
      <c r="D3318" s="2"/>
      <c r="E3318" s="2"/>
      <c r="K3318" s="77"/>
      <c r="L3318" s="77"/>
      <c r="M3318" s="76"/>
    </row>
    <row r="3319">
      <c r="A3319" s="2"/>
      <c r="B3319" s="2"/>
      <c r="C3319" s="2"/>
      <c r="D3319" s="2"/>
      <c r="E3319" s="2"/>
      <c r="K3319" s="77"/>
      <c r="L3319" s="77"/>
      <c r="M3319" s="76"/>
    </row>
    <row r="3320">
      <c r="A3320" s="2"/>
      <c r="B3320" s="2"/>
      <c r="C3320" s="2"/>
      <c r="D3320" s="2"/>
      <c r="E3320" s="2"/>
      <c r="K3320" s="77"/>
      <c r="L3320" s="77"/>
      <c r="M3320" s="76"/>
    </row>
    <row r="3321">
      <c r="A3321" s="2"/>
      <c r="B3321" s="2"/>
      <c r="C3321" s="2"/>
      <c r="D3321" s="2"/>
      <c r="E3321" s="2"/>
      <c r="K3321" s="77"/>
      <c r="L3321" s="77"/>
      <c r="M3321" s="76"/>
    </row>
    <row r="3322">
      <c r="A3322" s="2"/>
      <c r="B3322" s="2"/>
      <c r="C3322" s="2"/>
      <c r="D3322" s="2"/>
      <c r="E3322" s="2"/>
      <c r="K3322" s="77"/>
      <c r="L3322" s="77"/>
      <c r="M3322" s="76"/>
    </row>
    <row r="3323">
      <c r="A3323" s="2"/>
      <c r="B3323" s="2"/>
      <c r="C3323" s="2"/>
      <c r="D3323" s="2"/>
      <c r="E3323" s="2"/>
      <c r="K3323" s="77"/>
      <c r="L3323" s="77"/>
      <c r="M3323" s="76"/>
    </row>
    <row r="3324">
      <c r="A3324" s="2"/>
      <c r="B3324" s="2"/>
      <c r="C3324" s="2"/>
      <c r="D3324" s="2"/>
      <c r="E3324" s="2"/>
      <c r="K3324" s="77"/>
      <c r="L3324" s="77"/>
      <c r="M3324" s="76"/>
    </row>
    <row r="3325">
      <c r="A3325" s="2"/>
      <c r="B3325" s="2"/>
      <c r="C3325" s="2"/>
      <c r="D3325" s="2"/>
      <c r="E3325" s="2"/>
      <c r="K3325" s="77"/>
      <c r="L3325" s="77"/>
      <c r="M3325" s="76"/>
    </row>
    <row r="3326">
      <c r="A3326" s="2"/>
      <c r="B3326" s="2"/>
      <c r="C3326" s="2"/>
      <c r="D3326" s="2"/>
      <c r="E3326" s="2"/>
      <c r="K3326" s="77"/>
      <c r="L3326" s="77"/>
      <c r="M3326" s="76"/>
    </row>
    <row r="3327">
      <c r="A3327" s="2"/>
      <c r="B3327" s="2"/>
      <c r="C3327" s="2"/>
      <c r="D3327" s="2"/>
      <c r="E3327" s="2"/>
      <c r="K3327" s="77"/>
      <c r="L3327" s="77"/>
      <c r="M3327" s="76"/>
    </row>
    <row r="3328">
      <c r="A3328" s="2"/>
      <c r="B3328" s="2"/>
      <c r="C3328" s="2"/>
      <c r="D3328" s="2"/>
      <c r="E3328" s="2"/>
      <c r="K3328" s="77"/>
      <c r="L3328" s="77"/>
      <c r="M3328" s="76"/>
    </row>
    <row r="3329">
      <c r="A3329" s="2"/>
      <c r="B3329" s="2"/>
      <c r="C3329" s="2"/>
      <c r="D3329" s="2"/>
      <c r="E3329" s="2"/>
      <c r="K3329" s="77"/>
      <c r="L3329" s="77"/>
      <c r="M3329" s="76"/>
    </row>
    <row r="3330">
      <c r="A3330" s="2"/>
      <c r="B3330" s="2"/>
      <c r="C3330" s="2"/>
      <c r="D3330" s="2"/>
      <c r="E3330" s="2"/>
      <c r="K3330" s="77"/>
      <c r="L3330" s="77"/>
      <c r="M3330" s="76"/>
    </row>
    <row r="3331">
      <c r="A3331" s="2"/>
      <c r="B3331" s="2"/>
      <c r="C3331" s="2"/>
      <c r="D3331" s="2"/>
      <c r="E3331" s="2"/>
      <c r="K3331" s="77"/>
      <c r="L3331" s="77"/>
      <c r="M3331" s="76"/>
    </row>
    <row r="3332">
      <c r="A3332" s="2"/>
      <c r="B3332" s="2"/>
      <c r="C3332" s="2"/>
      <c r="D3332" s="2"/>
      <c r="E3332" s="2"/>
      <c r="K3332" s="77"/>
      <c r="L3332" s="77"/>
      <c r="M3332" s="76"/>
    </row>
    <row r="3333">
      <c r="A3333" s="2"/>
      <c r="B3333" s="2"/>
      <c r="C3333" s="2"/>
      <c r="D3333" s="2"/>
      <c r="E3333" s="2"/>
      <c r="K3333" s="77"/>
      <c r="L3333" s="77"/>
      <c r="M3333" s="76"/>
    </row>
    <row r="3334">
      <c r="A3334" s="2"/>
      <c r="B3334" s="2"/>
      <c r="C3334" s="2"/>
      <c r="D3334" s="2"/>
      <c r="E3334" s="2"/>
      <c r="K3334" s="77"/>
      <c r="L3334" s="77"/>
      <c r="M3334" s="76"/>
    </row>
    <row r="3335">
      <c r="A3335" s="2"/>
      <c r="B3335" s="2"/>
      <c r="C3335" s="2"/>
      <c r="D3335" s="2"/>
      <c r="E3335" s="2"/>
      <c r="K3335" s="77"/>
      <c r="L3335" s="77"/>
      <c r="M3335" s="76"/>
    </row>
    <row r="3336">
      <c r="A3336" s="2"/>
      <c r="B3336" s="2"/>
      <c r="C3336" s="2"/>
      <c r="D3336" s="2"/>
      <c r="E3336" s="2"/>
      <c r="K3336" s="77"/>
      <c r="L3336" s="77"/>
      <c r="M3336" s="76"/>
    </row>
    <row r="3337">
      <c r="A3337" s="2"/>
      <c r="B3337" s="2"/>
      <c r="C3337" s="2"/>
      <c r="D3337" s="2"/>
      <c r="E3337" s="2"/>
      <c r="K3337" s="77"/>
      <c r="L3337" s="77"/>
      <c r="M3337" s="76"/>
    </row>
    <row r="3338">
      <c r="A3338" s="77"/>
      <c r="B3338" s="77"/>
      <c r="C3338" s="77"/>
      <c r="D3338" s="77"/>
      <c r="E3338" s="77"/>
      <c r="K3338" s="77"/>
      <c r="L3338" s="77"/>
      <c r="M3338" s="76"/>
    </row>
    <row r="3339">
      <c r="A3339" s="2"/>
      <c r="B3339" s="2"/>
      <c r="C3339" s="2"/>
      <c r="D3339" s="2"/>
      <c r="E3339" s="2"/>
      <c r="K3339" s="77"/>
      <c r="L3339" s="77"/>
      <c r="M3339" s="76"/>
    </row>
    <row r="3340">
      <c r="A3340" s="2"/>
      <c r="B3340" s="2"/>
      <c r="C3340" s="2"/>
      <c r="D3340" s="2"/>
      <c r="E3340" s="2"/>
      <c r="K3340" s="77"/>
      <c r="L3340" s="77"/>
      <c r="M3340" s="76"/>
    </row>
    <row r="3341">
      <c r="A3341" s="2"/>
      <c r="B3341" s="2"/>
      <c r="C3341" s="2"/>
      <c r="D3341" s="2"/>
      <c r="E3341" s="2"/>
      <c r="K3341" s="77"/>
      <c r="L3341" s="77"/>
      <c r="M3341" s="76"/>
    </row>
    <row r="3342">
      <c r="A3342" s="2"/>
      <c r="B3342" s="2"/>
      <c r="C3342" s="2"/>
      <c r="D3342" s="2"/>
      <c r="E3342" s="2"/>
      <c r="K3342" s="77"/>
      <c r="L3342" s="77"/>
      <c r="M3342" s="76"/>
    </row>
    <row r="3343">
      <c r="A3343" s="2"/>
      <c r="B3343" s="2"/>
      <c r="C3343" s="2"/>
      <c r="D3343" s="2"/>
      <c r="E3343" s="2"/>
      <c r="K3343" s="77"/>
      <c r="L3343" s="77"/>
      <c r="M3343" s="76"/>
    </row>
    <row r="3344">
      <c r="A3344" s="2"/>
      <c r="B3344" s="2"/>
      <c r="C3344" s="2"/>
      <c r="D3344" s="2"/>
      <c r="E3344" s="2"/>
      <c r="K3344" s="77"/>
      <c r="L3344" s="77"/>
      <c r="M3344" s="76"/>
    </row>
    <row r="3345">
      <c r="A3345" s="2"/>
      <c r="B3345" s="2"/>
      <c r="C3345" s="2"/>
      <c r="D3345" s="2"/>
      <c r="E3345" s="2"/>
      <c r="K3345" s="77"/>
      <c r="L3345" s="77"/>
      <c r="M3345" s="76"/>
    </row>
    <row r="3346">
      <c r="A3346" s="2"/>
      <c r="B3346" s="2"/>
      <c r="C3346" s="2"/>
      <c r="D3346" s="2"/>
      <c r="E3346" s="2"/>
      <c r="K3346" s="77"/>
      <c r="L3346" s="77"/>
      <c r="M3346" s="76"/>
    </row>
    <row r="3347">
      <c r="A3347" s="2"/>
      <c r="B3347" s="2"/>
      <c r="C3347" s="2"/>
      <c r="D3347" s="2"/>
      <c r="E3347" s="2"/>
      <c r="K3347" s="77"/>
      <c r="L3347" s="77"/>
      <c r="M3347" s="76"/>
    </row>
    <row r="3348">
      <c r="A3348" s="2"/>
      <c r="B3348" s="2"/>
      <c r="C3348" s="2"/>
      <c r="D3348" s="2"/>
      <c r="E3348" s="2"/>
      <c r="K3348" s="77"/>
      <c r="L3348" s="77"/>
      <c r="M3348" s="76"/>
    </row>
    <row r="3349">
      <c r="A3349" s="2"/>
      <c r="B3349" s="2"/>
      <c r="C3349" s="2"/>
      <c r="D3349" s="2"/>
      <c r="E3349" s="2"/>
      <c r="K3349" s="77"/>
      <c r="L3349" s="77"/>
      <c r="M3349" s="76"/>
    </row>
    <row r="3350">
      <c r="A3350" s="2"/>
      <c r="B3350" s="2"/>
      <c r="C3350" s="2"/>
      <c r="D3350" s="2"/>
      <c r="E3350" s="2"/>
      <c r="K3350" s="77"/>
      <c r="L3350" s="77"/>
      <c r="M3350" s="76"/>
    </row>
    <row r="3351">
      <c r="A3351" s="2"/>
      <c r="B3351" s="2"/>
      <c r="C3351" s="2"/>
      <c r="D3351" s="2"/>
      <c r="E3351" s="2"/>
      <c r="K3351" s="77"/>
      <c r="L3351" s="77"/>
      <c r="M3351" s="76"/>
    </row>
    <row r="3352">
      <c r="A3352" s="2"/>
      <c r="B3352" s="2"/>
      <c r="C3352" s="2"/>
      <c r="D3352" s="2"/>
      <c r="E3352" s="2"/>
      <c r="K3352" s="77"/>
      <c r="L3352" s="77"/>
      <c r="M3352" s="76"/>
    </row>
    <row r="3353">
      <c r="A3353" s="2"/>
      <c r="B3353" s="2"/>
      <c r="C3353" s="2"/>
      <c r="D3353" s="2"/>
      <c r="E3353" s="2"/>
      <c r="K3353" s="77"/>
      <c r="L3353" s="77"/>
      <c r="M3353" s="76"/>
    </row>
    <row r="3354">
      <c r="A3354" s="2"/>
      <c r="B3354" s="2"/>
      <c r="C3354" s="2"/>
      <c r="D3354" s="2"/>
      <c r="E3354" s="2"/>
      <c r="K3354" s="77"/>
      <c r="L3354" s="77"/>
      <c r="M3354" s="76"/>
    </row>
    <row r="3355">
      <c r="A3355" s="2"/>
      <c r="B3355" s="2"/>
      <c r="C3355" s="2"/>
      <c r="D3355" s="2"/>
      <c r="E3355" s="2"/>
      <c r="K3355" s="77"/>
      <c r="L3355" s="77"/>
      <c r="M3355" s="76"/>
    </row>
    <row r="3356">
      <c r="A3356" s="2"/>
      <c r="B3356" s="2"/>
      <c r="C3356" s="2"/>
      <c r="D3356" s="2"/>
      <c r="E3356" s="2"/>
      <c r="K3356" s="77"/>
      <c r="L3356" s="77"/>
      <c r="M3356" s="76"/>
    </row>
    <row r="3357">
      <c r="A3357" s="2"/>
      <c r="B3357" s="2"/>
      <c r="C3357" s="2"/>
      <c r="D3357" s="2"/>
      <c r="E3357" s="2"/>
      <c r="K3357" s="77"/>
      <c r="L3357" s="77"/>
      <c r="M3357" s="76"/>
    </row>
    <row r="3358">
      <c r="A3358" s="2"/>
      <c r="B3358" s="2"/>
      <c r="C3358" s="2"/>
      <c r="D3358" s="2"/>
      <c r="E3358" s="2"/>
      <c r="K3358" s="77"/>
      <c r="L3358" s="77"/>
      <c r="M3358" s="76"/>
    </row>
    <row r="3359">
      <c r="A3359" s="2"/>
      <c r="B3359" s="2"/>
      <c r="C3359" s="2"/>
      <c r="D3359" s="2"/>
      <c r="E3359" s="2"/>
      <c r="K3359" s="77"/>
      <c r="L3359" s="77"/>
      <c r="M3359" s="76"/>
    </row>
    <row r="3360">
      <c r="A3360" s="2"/>
      <c r="B3360" s="2"/>
      <c r="C3360" s="2"/>
      <c r="D3360" s="2"/>
      <c r="E3360" s="2"/>
      <c r="K3360" s="77"/>
      <c r="L3360" s="77"/>
      <c r="M3360" s="76"/>
    </row>
    <row r="3361">
      <c r="A3361" s="2"/>
      <c r="B3361" s="2"/>
      <c r="C3361" s="2"/>
      <c r="D3361" s="2"/>
      <c r="E3361" s="2"/>
      <c r="K3361" s="77"/>
      <c r="L3361" s="77"/>
      <c r="M3361" s="76"/>
    </row>
    <row r="3362">
      <c r="A3362" s="77"/>
      <c r="B3362" s="77"/>
      <c r="C3362" s="77"/>
      <c r="D3362" s="77"/>
      <c r="E3362" s="77"/>
      <c r="K3362" s="77"/>
      <c r="L3362" s="77"/>
      <c r="M3362" s="76"/>
    </row>
    <row r="3363">
      <c r="A3363" s="2"/>
      <c r="B3363" s="2"/>
      <c r="C3363" s="2"/>
      <c r="D3363" s="2"/>
      <c r="E3363" s="2"/>
      <c r="K3363" s="77"/>
      <c r="L3363" s="77"/>
      <c r="M3363" s="76"/>
    </row>
    <row r="3364">
      <c r="A3364" s="2"/>
      <c r="B3364" s="2"/>
      <c r="C3364" s="2"/>
      <c r="D3364" s="2"/>
      <c r="E3364" s="2"/>
      <c r="K3364" s="77"/>
      <c r="L3364" s="77"/>
      <c r="M3364" s="76"/>
    </row>
    <row r="3365">
      <c r="A3365" s="2"/>
      <c r="B3365" s="2"/>
      <c r="C3365" s="2"/>
      <c r="D3365" s="2"/>
      <c r="E3365" s="2"/>
      <c r="K3365" s="77"/>
      <c r="L3365" s="77"/>
      <c r="M3365" s="76"/>
    </row>
    <row r="3366">
      <c r="A3366" s="2"/>
      <c r="B3366" s="2"/>
      <c r="C3366" s="2"/>
      <c r="D3366" s="2"/>
      <c r="E3366" s="2"/>
      <c r="K3366" s="77"/>
      <c r="L3366" s="77"/>
      <c r="M3366" s="76"/>
    </row>
    <row r="3367">
      <c r="A3367" s="2"/>
      <c r="B3367" s="2"/>
      <c r="C3367" s="2"/>
      <c r="D3367" s="2"/>
      <c r="E3367" s="2"/>
      <c r="K3367" s="77"/>
      <c r="L3367" s="77"/>
      <c r="M3367" s="76"/>
    </row>
    <row r="3368">
      <c r="A3368" s="2"/>
      <c r="B3368" s="2"/>
      <c r="C3368" s="2"/>
      <c r="D3368" s="2"/>
      <c r="E3368" s="2"/>
      <c r="K3368" s="77"/>
      <c r="L3368" s="77"/>
      <c r="M3368" s="76"/>
    </row>
    <row r="3369">
      <c r="A3369" s="2"/>
      <c r="B3369" s="2"/>
      <c r="C3369" s="2"/>
      <c r="D3369" s="2"/>
      <c r="E3369" s="2"/>
      <c r="K3369" s="77"/>
      <c r="L3369" s="77"/>
      <c r="M3369" s="76"/>
    </row>
    <row r="3370">
      <c r="A3370" s="2"/>
      <c r="B3370" s="2"/>
      <c r="C3370" s="2"/>
      <c r="D3370" s="2"/>
      <c r="E3370" s="2"/>
      <c r="K3370" s="77"/>
      <c r="L3370" s="77"/>
      <c r="M3370" s="76"/>
    </row>
    <row r="3371">
      <c r="A3371" s="2"/>
      <c r="B3371" s="2"/>
      <c r="C3371" s="2"/>
      <c r="D3371" s="2"/>
      <c r="E3371" s="2"/>
      <c r="K3371" s="77"/>
      <c r="L3371" s="77"/>
      <c r="M3371" s="76"/>
    </row>
    <row r="3372">
      <c r="A3372" s="2"/>
      <c r="B3372" s="2"/>
      <c r="C3372" s="2"/>
      <c r="D3372" s="2"/>
      <c r="E3372" s="2"/>
      <c r="K3372" s="77"/>
      <c r="L3372" s="77"/>
      <c r="M3372" s="76"/>
    </row>
    <row r="3373">
      <c r="A3373" s="2"/>
      <c r="B3373" s="2"/>
      <c r="C3373" s="2"/>
      <c r="D3373" s="2"/>
      <c r="E3373" s="2"/>
      <c r="K3373" s="77"/>
      <c r="L3373" s="77"/>
      <c r="M3373" s="76"/>
    </row>
    <row r="3374">
      <c r="A3374" s="2"/>
      <c r="B3374" s="2"/>
      <c r="C3374" s="2"/>
      <c r="D3374" s="2"/>
      <c r="E3374" s="2"/>
      <c r="K3374" s="77"/>
      <c r="L3374" s="77"/>
      <c r="M3374" s="76"/>
    </row>
    <row r="3375">
      <c r="A3375" s="2"/>
      <c r="B3375" s="2"/>
      <c r="C3375" s="2"/>
      <c r="D3375" s="2"/>
      <c r="E3375" s="2"/>
      <c r="K3375" s="77"/>
      <c r="L3375" s="77"/>
      <c r="M3375" s="76"/>
    </row>
    <row r="3376">
      <c r="A3376" s="2"/>
      <c r="B3376" s="2"/>
      <c r="C3376" s="2"/>
      <c r="D3376" s="2"/>
      <c r="E3376" s="2"/>
      <c r="K3376" s="77"/>
      <c r="L3376" s="77"/>
      <c r="M3376" s="76"/>
    </row>
    <row r="3377">
      <c r="A3377" s="2"/>
      <c r="B3377" s="2"/>
      <c r="C3377" s="2"/>
      <c r="D3377" s="2"/>
      <c r="E3377" s="2"/>
      <c r="K3377" s="77"/>
      <c r="L3377" s="77"/>
      <c r="M3377" s="76"/>
    </row>
    <row r="3378">
      <c r="A3378" s="2"/>
      <c r="B3378" s="2"/>
      <c r="C3378" s="2"/>
      <c r="D3378" s="2"/>
      <c r="E3378" s="2"/>
      <c r="K3378" s="77"/>
      <c r="L3378" s="77"/>
      <c r="M3378" s="76"/>
    </row>
    <row r="3379">
      <c r="A3379" s="2"/>
      <c r="B3379" s="2"/>
      <c r="C3379" s="2"/>
      <c r="D3379" s="2"/>
      <c r="E3379" s="2"/>
      <c r="K3379" s="77"/>
      <c r="L3379" s="77"/>
      <c r="M3379" s="76"/>
    </row>
    <row r="3380">
      <c r="A3380" s="2"/>
      <c r="B3380" s="2"/>
      <c r="C3380" s="2"/>
      <c r="D3380" s="2"/>
      <c r="E3380" s="2"/>
      <c r="K3380" s="77"/>
      <c r="L3380" s="77"/>
      <c r="M3380" s="76"/>
    </row>
    <row r="3381">
      <c r="A3381" s="2"/>
      <c r="B3381" s="2"/>
      <c r="C3381" s="2"/>
      <c r="D3381" s="2"/>
      <c r="E3381" s="2"/>
      <c r="K3381" s="77"/>
      <c r="L3381" s="77"/>
      <c r="M3381" s="76"/>
    </row>
    <row r="3382">
      <c r="A3382" s="2"/>
      <c r="B3382" s="2"/>
      <c r="C3382" s="2"/>
      <c r="D3382" s="2"/>
      <c r="E3382" s="2"/>
      <c r="K3382" s="77"/>
      <c r="L3382" s="77"/>
      <c r="M3382" s="76"/>
    </row>
    <row r="3383">
      <c r="A3383" s="2"/>
      <c r="B3383" s="2"/>
      <c r="C3383" s="2"/>
      <c r="D3383" s="2"/>
      <c r="E3383" s="2"/>
      <c r="K3383" s="77"/>
      <c r="L3383" s="77"/>
      <c r="M3383" s="76"/>
    </row>
    <row r="3384">
      <c r="A3384" s="2"/>
      <c r="B3384" s="2"/>
      <c r="C3384" s="2"/>
      <c r="D3384" s="2"/>
      <c r="E3384" s="2"/>
      <c r="K3384" s="77"/>
      <c r="L3384" s="77"/>
      <c r="M3384" s="76"/>
    </row>
    <row r="3385">
      <c r="A3385" s="2"/>
      <c r="B3385" s="2"/>
      <c r="C3385" s="2"/>
      <c r="D3385" s="2"/>
      <c r="E3385" s="2"/>
      <c r="K3385" s="77"/>
      <c r="L3385" s="77"/>
      <c r="M3385" s="76"/>
    </row>
    <row r="3386">
      <c r="A3386" s="77"/>
      <c r="B3386" s="77"/>
      <c r="C3386" s="77"/>
      <c r="D3386" s="77"/>
      <c r="E3386" s="77"/>
      <c r="K3386" s="77"/>
      <c r="L3386" s="77"/>
      <c r="M3386" s="76"/>
    </row>
    <row r="3387">
      <c r="A3387" s="2"/>
      <c r="B3387" s="2"/>
      <c r="C3387" s="2"/>
      <c r="D3387" s="2"/>
      <c r="E3387" s="2"/>
      <c r="K3387" s="77"/>
      <c r="L3387" s="77"/>
      <c r="M3387" s="76"/>
    </row>
    <row r="3388">
      <c r="A3388" s="2"/>
      <c r="B3388" s="2"/>
      <c r="C3388" s="2"/>
      <c r="D3388" s="2"/>
      <c r="E3388" s="2"/>
      <c r="K3388" s="77"/>
      <c r="L3388" s="77"/>
      <c r="M3388" s="76"/>
    </row>
    <row r="3389">
      <c r="A3389" s="2"/>
      <c r="B3389" s="2"/>
      <c r="C3389" s="2"/>
      <c r="D3389" s="2"/>
      <c r="E3389" s="2"/>
      <c r="K3389" s="77"/>
      <c r="L3389" s="77"/>
      <c r="M3389" s="76"/>
    </row>
    <row r="3390">
      <c r="A3390" s="2"/>
      <c r="B3390" s="2"/>
      <c r="C3390" s="2"/>
      <c r="D3390" s="2"/>
      <c r="E3390" s="2"/>
      <c r="K3390" s="77"/>
      <c r="L3390" s="77"/>
      <c r="M3390" s="76"/>
    </row>
    <row r="3391">
      <c r="A3391" s="2"/>
      <c r="B3391" s="2"/>
      <c r="C3391" s="2"/>
      <c r="D3391" s="2"/>
      <c r="E3391" s="2"/>
      <c r="K3391" s="77"/>
      <c r="L3391" s="77"/>
      <c r="M3391" s="76"/>
    </row>
    <row r="3392">
      <c r="A3392" s="2"/>
      <c r="B3392" s="2"/>
      <c r="C3392" s="2"/>
      <c r="D3392" s="2"/>
      <c r="E3392" s="2"/>
      <c r="K3392" s="77"/>
      <c r="L3392" s="77"/>
      <c r="M3392" s="76"/>
    </row>
    <row r="3393">
      <c r="A3393" s="2"/>
      <c r="B3393" s="2"/>
      <c r="C3393" s="2"/>
      <c r="D3393" s="2"/>
      <c r="E3393" s="2"/>
      <c r="K3393" s="77"/>
      <c r="L3393" s="77"/>
      <c r="M3393" s="76"/>
    </row>
    <row r="3394">
      <c r="A3394" s="2"/>
      <c r="B3394" s="2"/>
      <c r="C3394" s="2"/>
      <c r="D3394" s="2"/>
      <c r="E3394" s="2"/>
      <c r="K3394" s="77"/>
      <c r="L3394" s="77"/>
      <c r="M3394" s="76"/>
    </row>
    <row r="3395">
      <c r="A3395" s="2"/>
      <c r="B3395" s="2"/>
      <c r="C3395" s="2"/>
      <c r="D3395" s="2"/>
      <c r="E3395" s="2"/>
      <c r="K3395" s="77"/>
      <c r="L3395" s="77"/>
      <c r="M3395" s="76"/>
    </row>
    <row r="3396">
      <c r="A3396" s="2"/>
      <c r="B3396" s="2"/>
      <c r="C3396" s="2"/>
      <c r="D3396" s="2"/>
      <c r="E3396" s="2"/>
      <c r="K3396" s="77"/>
      <c r="L3396" s="77"/>
      <c r="M3396" s="76"/>
    </row>
    <row r="3397">
      <c r="A3397" s="2"/>
      <c r="B3397" s="2"/>
      <c r="C3397" s="2"/>
      <c r="D3397" s="2"/>
      <c r="E3397" s="2"/>
      <c r="K3397" s="77"/>
      <c r="L3397" s="77"/>
      <c r="M3397" s="76"/>
    </row>
    <row r="3398">
      <c r="A3398" s="2"/>
      <c r="B3398" s="2"/>
      <c r="C3398" s="2"/>
      <c r="D3398" s="2"/>
      <c r="E3398" s="2"/>
      <c r="K3398" s="77"/>
      <c r="L3398" s="77"/>
      <c r="M3398" s="76"/>
    </row>
    <row r="3399">
      <c r="A3399" s="2"/>
      <c r="B3399" s="2"/>
      <c r="C3399" s="2"/>
      <c r="D3399" s="2"/>
      <c r="E3399" s="2"/>
      <c r="K3399" s="77"/>
      <c r="L3399" s="77"/>
      <c r="M3399" s="76"/>
    </row>
    <row r="3400">
      <c r="A3400" s="2"/>
      <c r="B3400" s="2"/>
      <c r="C3400" s="2"/>
      <c r="D3400" s="2"/>
      <c r="E3400" s="2"/>
      <c r="K3400" s="77"/>
      <c r="L3400" s="77"/>
      <c r="M3400" s="76"/>
    </row>
    <row r="3401">
      <c r="A3401" s="2"/>
      <c r="B3401" s="2"/>
      <c r="C3401" s="2"/>
      <c r="D3401" s="2"/>
      <c r="E3401" s="2"/>
      <c r="K3401" s="77"/>
      <c r="L3401" s="77"/>
      <c r="M3401" s="76"/>
    </row>
    <row r="3402">
      <c r="A3402" s="2"/>
      <c r="B3402" s="2"/>
      <c r="C3402" s="2"/>
      <c r="D3402" s="2"/>
      <c r="E3402" s="2"/>
      <c r="K3402" s="77"/>
      <c r="L3402" s="77"/>
      <c r="M3402" s="76"/>
    </row>
    <row r="3403">
      <c r="A3403" s="2"/>
      <c r="B3403" s="2"/>
      <c r="C3403" s="2"/>
      <c r="D3403" s="2"/>
      <c r="E3403" s="2"/>
      <c r="K3403" s="77"/>
      <c r="L3403" s="77"/>
      <c r="M3403" s="76"/>
    </row>
    <row r="3404">
      <c r="A3404" s="2"/>
      <c r="B3404" s="2"/>
      <c r="C3404" s="2"/>
      <c r="D3404" s="2"/>
      <c r="E3404" s="2"/>
      <c r="K3404" s="77"/>
      <c r="L3404" s="77"/>
      <c r="M3404" s="76"/>
    </row>
    <row r="3405">
      <c r="A3405" s="2"/>
      <c r="B3405" s="2"/>
      <c r="C3405" s="2"/>
      <c r="D3405" s="2"/>
      <c r="E3405" s="2"/>
      <c r="K3405" s="77"/>
      <c r="L3405" s="77"/>
      <c r="M3405" s="76"/>
    </row>
    <row r="3406">
      <c r="A3406" s="2"/>
      <c r="B3406" s="2"/>
      <c r="C3406" s="2"/>
      <c r="D3406" s="2"/>
      <c r="E3406" s="2"/>
      <c r="K3406" s="77"/>
      <c r="L3406" s="77"/>
      <c r="M3406" s="76"/>
    </row>
    <row r="3407">
      <c r="A3407" s="2"/>
      <c r="B3407" s="2"/>
      <c r="C3407" s="2"/>
      <c r="D3407" s="2"/>
      <c r="E3407" s="2"/>
      <c r="K3407" s="77"/>
      <c r="L3407" s="77"/>
      <c r="M3407" s="76"/>
    </row>
    <row r="3408">
      <c r="A3408" s="2"/>
      <c r="B3408" s="2"/>
      <c r="C3408" s="2"/>
      <c r="D3408" s="2"/>
      <c r="E3408" s="2"/>
      <c r="K3408" s="77"/>
      <c r="L3408" s="77"/>
      <c r="M3408" s="76"/>
    </row>
    <row r="3409">
      <c r="A3409" s="2"/>
      <c r="B3409" s="2"/>
      <c r="C3409" s="2"/>
      <c r="D3409" s="2"/>
      <c r="E3409" s="2"/>
      <c r="K3409" s="77"/>
      <c r="L3409" s="77"/>
      <c r="M3409" s="76"/>
    </row>
    <row r="3410">
      <c r="A3410" s="77"/>
      <c r="B3410" s="77"/>
      <c r="C3410" s="77"/>
      <c r="D3410" s="77"/>
      <c r="E3410" s="77"/>
      <c r="K3410" s="77"/>
      <c r="L3410" s="77"/>
      <c r="M3410" s="76"/>
    </row>
    <row r="3411">
      <c r="A3411" s="2"/>
      <c r="B3411" s="2"/>
      <c r="C3411" s="2"/>
      <c r="D3411" s="2"/>
      <c r="E3411" s="2"/>
      <c r="K3411" s="77"/>
      <c r="L3411" s="77"/>
      <c r="M3411" s="76"/>
    </row>
    <row r="3412">
      <c r="A3412" s="2"/>
      <c r="B3412" s="2"/>
      <c r="C3412" s="2"/>
      <c r="D3412" s="2"/>
      <c r="E3412" s="2"/>
      <c r="K3412" s="77"/>
      <c r="L3412" s="77"/>
      <c r="M3412" s="76"/>
    </row>
    <row r="3413">
      <c r="A3413" s="2"/>
      <c r="B3413" s="2"/>
      <c r="C3413" s="2"/>
      <c r="D3413" s="2"/>
      <c r="E3413" s="2"/>
      <c r="K3413" s="77"/>
      <c r="L3413" s="77"/>
      <c r="M3413" s="76"/>
    </row>
    <row r="3414">
      <c r="A3414" s="2"/>
      <c r="B3414" s="2"/>
      <c r="C3414" s="2"/>
      <c r="D3414" s="2"/>
      <c r="E3414" s="2"/>
      <c r="K3414" s="77"/>
      <c r="L3414" s="77"/>
      <c r="M3414" s="76"/>
    </row>
    <row r="3415">
      <c r="A3415" s="2"/>
      <c r="B3415" s="2"/>
      <c r="C3415" s="2"/>
      <c r="D3415" s="2"/>
      <c r="E3415" s="2"/>
      <c r="K3415" s="77"/>
      <c r="L3415" s="77"/>
      <c r="M3415" s="76"/>
    </row>
    <row r="3416">
      <c r="A3416" s="2"/>
      <c r="B3416" s="2"/>
      <c r="C3416" s="2"/>
      <c r="D3416" s="2"/>
      <c r="E3416" s="2"/>
      <c r="K3416" s="77"/>
      <c r="L3416" s="77"/>
      <c r="M3416" s="76"/>
    </row>
    <row r="3417">
      <c r="A3417" s="2"/>
      <c r="B3417" s="2"/>
      <c r="C3417" s="2"/>
      <c r="D3417" s="2"/>
      <c r="E3417" s="2"/>
      <c r="K3417" s="77"/>
      <c r="L3417" s="77"/>
      <c r="M3417" s="76"/>
    </row>
    <row r="3418">
      <c r="A3418" s="2"/>
      <c r="B3418" s="2"/>
      <c r="C3418" s="2"/>
      <c r="D3418" s="2"/>
      <c r="E3418" s="2"/>
      <c r="K3418" s="77"/>
      <c r="L3418" s="77"/>
      <c r="M3418" s="76"/>
    </row>
    <row r="3419">
      <c r="A3419" s="2"/>
      <c r="B3419" s="2"/>
      <c r="C3419" s="2"/>
      <c r="D3419" s="2"/>
      <c r="E3419" s="2"/>
      <c r="K3419" s="77"/>
      <c r="L3419" s="77"/>
      <c r="M3419" s="76"/>
    </row>
    <row r="3420">
      <c r="A3420" s="2"/>
      <c r="B3420" s="2"/>
      <c r="C3420" s="2"/>
      <c r="D3420" s="2"/>
      <c r="E3420" s="2"/>
      <c r="K3420" s="77"/>
      <c r="L3420" s="77"/>
      <c r="M3420" s="76"/>
    </row>
    <row r="3421">
      <c r="A3421" s="2"/>
      <c r="B3421" s="2"/>
      <c r="C3421" s="2"/>
      <c r="D3421" s="2"/>
      <c r="E3421" s="2"/>
      <c r="K3421" s="77"/>
      <c r="L3421" s="77"/>
      <c r="M3421" s="76"/>
    </row>
    <row r="3422">
      <c r="A3422" s="2"/>
      <c r="B3422" s="2"/>
      <c r="C3422" s="2"/>
      <c r="D3422" s="2"/>
      <c r="E3422" s="2"/>
      <c r="K3422" s="77"/>
      <c r="L3422" s="77"/>
      <c r="M3422" s="76"/>
    </row>
    <row r="3423">
      <c r="A3423" s="2"/>
      <c r="B3423" s="2"/>
      <c r="C3423" s="2"/>
      <c r="D3423" s="2"/>
      <c r="E3423" s="2"/>
      <c r="K3423" s="77"/>
      <c r="L3423" s="77"/>
      <c r="M3423" s="76"/>
    </row>
    <row r="3424">
      <c r="A3424" s="2"/>
      <c r="B3424" s="2"/>
      <c r="C3424" s="2"/>
      <c r="D3424" s="2"/>
      <c r="E3424" s="2"/>
      <c r="K3424" s="77"/>
      <c r="L3424" s="77"/>
      <c r="M3424" s="76"/>
    </row>
    <row r="3425">
      <c r="A3425" s="2"/>
      <c r="B3425" s="2"/>
      <c r="C3425" s="2"/>
      <c r="D3425" s="2"/>
      <c r="E3425" s="2"/>
      <c r="K3425" s="77"/>
      <c r="L3425" s="77"/>
      <c r="M3425" s="76"/>
    </row>
    <row r="3426">
      <c r="A3426" s="2"/>
      <c r="B3426" s="2"/>
      <c r="C3426" s="2"/>
      <c r="D3426" s="2"/>
      <c r="E3426" s="2"/>
      <c r="K3426" s="77"/>
      <c r="L3426" s="77"/>
      <c r="M3426" s="76"/>
    </row>
    <row r="3427">
      <c r="A3427" s="2"/>
      <c r="B3427" s="2"/>
      <c r="C3427" s="2"/>
      <c r="D3427" s="2"/>
      <c r="E3427" s="2"/>
      <c r="K3427" s="77"/>
      <c r="L3427" s="77"/>
      <c r="M3427" s="76"/>
    </row>
    <row r="3428">
      <c r="A3428" s="2"/>
      <c r="B3428" s="2"/>
      <c r="C3428" s="2"/>
      <c r="D3428" s="2"/>
      <c r="E3428" s="2"/>
      <c r="K3428" s="77"/>
      <c r="L3428" s="77"/>
      <c r="M3428" s="76"/>
    </row>
    <row r="3429">
      <c r="A3429" s="2"/>
      <c r="B3429" s="2"/>
      <c r="C3429" s="2"/>
      <c r="D3429" s="2"/>
      <c r="E3429" s="2"/>
      <c r="K3429" s="77"/>
      <c r="L3429" s="77"/>
      <c r="M3429" s="76"/>
    </row>
    <row r="3430">
      <c r="A3430" s="2"/>
      <c r="B3430" s="2"/>
      <c r="C3430" s="2"/>
      <c r="D3430" s="2"/>
      <c r="E3430" s="2"/>
      <c r="K3430" s="77"/>
      <c r="L3430" s="77"/>
      <c r="M3430" s="76"/>
    </row>
    <row r="3431">
      <c r="A3431" s="2"/>
      <c r="B3431" s="2"/>
      <c r="C3431" s="2"/>
      <c r="D3431" s="2"/>
      <c r="E3431" s="2"/>
      <c r="K3431" s="77"/>
      <c r="L3431" s="77"/>
      <c r="M3431" s="76"/>
    </row>
    <row r="3432">
      <c r="A3432" s="2"/>
      <c r="B3432" s="2"/>
      <c r="C3432" s="2"/>
      <c r="D3432" s="2"/>
      <c r="E3432" s="2"/>
      <c r="K3432" s="77"/>
      <c r="L3432" s="77"/>
      <c r="M3432" s="76"/>
    </row>
    <row r="3433">
      <c r="A3433" s="2"/>
      <c r="B3433" s="2"/>
      <c r="C3433" s="2"/>
      <c r="D3433" s="2"/>
      <c r="E3433" s="2"/>
      <c r="K3433" s="77"/>
      <c r="L3433" s="77"/>
      <c r="M3433" s="76"/>
    </row>
    <row r="3434">
      <c r="A3434" s="77"/>
      <c r="B3434" s="77"/>
      <c r="C3434" s="77"/>
      <c r="D3434" s="77"/>
      <c r="E3434" s="77"/>
      <c r="K3434" s="77"/>
      <c r="L3434" s="77"/>
      <c r="M3434" s="76"/>
    </row>
    <row r="3435">
      <c r="A3435" s="2"/>
      <c r="B3435" s="2"/>
      <c r="C3435" s="2"/>
      <c r="D3435" s="2"/>
      <c r="E3435" s="2"/>
      <c r="K3435" s="77"/>
      <c r="L3435" s="77"/>
      <c r="M3435" s="76"/>
    </row>
    <row r="3436">
      <c r="A3436" s="2"/>
      <c r="B3436" s="2"/>
      <c r="C3436" s="2"/>
      <c r="D3436" s="2"/>
      <c r="E3436" s="2"/>
      <c r="K3436" s="77"/>
      <c r="L3436" s="77"/>
      <c r="M3436" s="76"/>
    </row>
    <row r="3437">
      <c r="A3437" s="2"/>
      <c r="B3437" s="2"/>
      <c r="C3437" s="2"/>
      <c r="D3437" s="2"/>
      <c r="E3437" s="2"/>
      <c r="K3437" s="77"/>
      <c r="L3437" s="77"/>
      <c r="M3437" s="76"/>
    </row>
    <row r="3438">
      <c r="A3438" s="2"/>
      <c r="B3438" s="2"/>
      <c r="C3438" s="2"/>
      <c r="D3438" s="2"/>
      <c r="E3438" s="2"/>
      <c r="K3438" s="77"/>
      <c r="L3438" s="77"/>
      <c r="M3438" s="76"/>
    </row>
    <row r="3439">
      <c r="A3439" s="2"/>
      <c r="B3439" s="2"/>
      <c r="C3439" s="2"/>
      <c r="D3439" s="2"/>
      <c r="E3439" s="2"/>
      <c r="K3439" s="77"/>
      <c r="L3439" s="77"/>
      <c r="M3439" s="76"/>
    </row>
    <row r="3440">
      <c r="A3440" s="2"/>
      <c r="B3440" s="2"/>
      <c r="C3440" s="2"/>
      <c r="D3440" s="2"/>
      <c r="E3440" s="2"/>
      <c r="K3440" s="77"/>
      <c r="L3440" s="77"/>
      <c r="M3440" s="76"/>
    </row>
    <row r="3441">
      <c r="A3441" s="2"/>
      <c r="B3441" s="2"/>
      <c r="C3441" s="2"/>
      <c r="D3441" s="2"/>
      <c r="E3441" s="2"/>
      <c r="K3441" s="77"/>
      <c r="L3441" s="77"/>
      <c r="M3441" s="76"/>
    </row>
    <row r="3442">
      <c r="A3442" s="2"/>
      <c r="B3442" s="2"/>
      <c r="C3442" s="2"/>
      <c r="D3442" s="2"/>
      <c r="E3442" s="2"/>
      <c r="K3442" s="77"/>
      <c r="L3442" s="77"/>
      <c r="M3442" s="76"/>
    </row>
    <row r="3443">
      <c r="A3443" s="2"/>
      <c r="B3443" s="2"/>
      <c r="C3443" s="2"/>
      <c r="D3443" s="2"/>
      <c r="E3443" s="2"/>
      <c r="K3443" s="77"/>
      <c r="L3443" s="77"/>
      <c r="M3443" s="76"/>
    </row>
    <row r="3444">
      <c r="A3444" s="2"/>
      <c r="B3444" s="2"/>
      <c r="C3444" s="2"/>
      <c r="D3444" s="2"/>
      <c r="E3444" s="2"/>
      <c r="K3444" s="77"/>
      <c r="L3444" s="77"/>
      <c r="M3444" s="76"/>
    </row>
    <row r="3445">
      <c r="A3445" s="2"/>
      <c r="B3445" s="2"/>
      <c r="C3445" s="2"/>
      <c r="D3445" s="2"/>
      <c r="E3445" s="2"/>
      <c r="K3445" s="77"/>
      <c r="L3445" s="77"/>
      <c r="M3445" s="76"/>
    </row>
    <row r="3446">
      <c r="A3446" s="2"/>
      <c r="B3446" s="2"/>
      <c r="C3446" s="2"/>
      <c r="D3446" s="2"/>
      <c r="E3446" s="2"/>
      <c r="K3446" s="77"/>
      <c r="L3446" s="77"/>
      <c r="M3446" s="76"/>
    </row>
    <row r="3447">
      <c r="A3447" s="2"/>
      <c r="B3447" s="2"/>
      <c r="C3447" s="2"/>
      <c r="D3447" s="2"/>
      <c r="E3447" s="2"/>
      <c r="K3447" s="77"/>
      <c r="L3447" s="77"/>
      <c r="M3447" s="76"/>
    </row>
    <row r="3448">
      <c r="A3448" s="2"/>
      <c r="B3448" s="2"/>
      <c r="C3448" s="2"/>
      <c r="D3448" s="2"/>
      <c r="E3448" s="2"/>
      <c r="K3448" s="77"/>
      <c r="L3448" s="77"/>
      <c r="M3448" s="76"/>
    </row>
    <row r="3449">
      <c r="A3449" s="2"/>
      <c r="B3449" s="2"/>
      <c r="C3449" s="2"/>
      <c r="D3449" s="2"/>
      <c r="E3449" s="2"/>
      <c r="K3449" s="77"/>
      <c r="L3449" s="77"/>
      <c r="M3449" s="76"/>
    </row>
    <row r="3450">
      <c r="A3450" s="2"/>
      <c r="B3450" s="2"/>
      <c r="C3450" s="2"/>
      <c r="D3450" s="2"/>
      <c r="E3450" s="2"/>
      <c r="K3450" s="77"/>
      <c r="L3450" s="77"/>
      <c r="M3450" s="76"/>
    </row>
    <row r="3451">
      <c r="A3451" s="2"/>
      <c r="B3451" s="2"/>
      <c r="C3451" s="2"/>
      <c r="D3451" s="2"/>
      <c r="E3451" s="2"/>
      <c r="K3451" s="77"/>
      <c r="L3451" s="77"/>
      <c r="M3451" s="76"/>
    </row>
    <row r="3452">
      <c r="A3452" s="2"/>
      <c r="B3452" s="2"/>
      <c r="C3452" s="2"/>
      <c r="D3452" s="2"/>
      <c r="E3452" s="2"/>
      <c r="K3452" s="77"/>
      <c r="L3452" s="77"/>
      <c r="M3452" s="76"/>
    </row>
    <row r="3453">
      <c r="A3453" s="2"/>
      <c r="B3453" s="2"/>
      <c r="C3453" s="2"/>
      <c r="D3453" s="2"/>
      <c r="E3453" s="2"/>
      <c r="K3453" s="77"/>
      <c r="L3453" s="77"/>
      <c r="M3453" s="76"/>
    </row>
    <row r="3454">
      <c r="A3454" s="2"/>
      <c r="B3454" s="2"/>
      <c r="C3454" s="2"/>
      <c r="D3454" s="2"/>
      <c r="E3454" s="2"/>
      <c r="K3454" s="77"/>
      <c r="L3454" s="77"/>
      <c r="M3454" s="76"/>
    </row>
    <row r="3455">
      <c r="A3455" s="2"/>
      <c r="B3455" s="2"/>
      <c r="C3455" s="2"/>
      <c r="D3455" s="2"/>
      <c r="E3455" s="2"/>
      <c r="K3455" s="77"/>
      <c r="L3455" s="77"/>
      <c r="M3455" s="76"/>
    </row>
    <row r="3456">
      <c r="A3456" s="2"/>
      <c r="B3456" s="2"/>
      <c r="C3456" s="2"/>
      <c r="D3456" s="2"/>
      <c r="E3456" s="2"/>
      <c r="K3456" s="77"/>
      <c r="L3456" s="77"/>
      <c r="M3456" s="76"/>
    </row>
    <row r="3457">
      <c r="A3457" s="2"/>
      <c r="B3457" s="2"/>
      <c r="C3457" s="2"/>
      <c r="D3457" s="2"/>
      <c r="E3457" s="2"/>
      <c r="K3457" s="77"/>
      <c r="L3457" s="77"/>
      <c r="M3457" s="76"/>
    </row>
    <row r="3458">
      <c r="A3458" s="77"/>
      <c r="B3458" s="77"/>
      <c r="C3458" s="77"/>
      <c r="D3458" s="77"/>
      <c r="E3458" s="77"/>
      <c r="K3458" s="77"/>
      <c r="L3458" s="77"/>
      <c r="M3458" s="76"/>
    </row>
    <row r="3459">
      <c r="A3459" s="2"/>
      <c r="B3459" s="2"/>
      <c r="C3459" s="2"/>
      <c r="D3459" s="2"/>
      <c r="E3459" s="2"/>
      <c r="K3459" s="77"/>
      <c r="L3459" s="77"/>
      <c r="M3459" s="76"/>
    </row>
    <row r="3460">
      <c r="A3460" s="2"/>
      <c r="B3460" s="2"/>
      <c r="C3460" s="2"/>
      <c r="D3460" s="2"/>
      <c r="E3460" s="2"/>
      <c r="K3460" s="77"/>
      <c r="L3460" s="77"/>
      <c r="M3460" s="76"/>
    </row>
    <row r="3461">
      <c r="A3461" s="2"/>
      <c r="B3461" s="2"/>
      <c r="C3461" s="2"/>
      <c r="D3461" s="2"/>
      <c r="E3461" s="2"/>
      <c r="K3461" s="77"/>
      <c r="L3461" s="77"/>
      <c r="M3461" s="76"/>
    </row>
    <row r="3462">
      <c r="A3462" s="2"/>
      <c r="B3462" s="2"/>
      <c r="C3462" s="2"/>
      <c r="D3462" s="2"/>
      <c r="E3462" s="2"/>
      <c r="K3462" s="77"/>
      <c r="L3462" s="77"/>
      <c r="M3462" s="76"/>
    </row>
    <row r="3463">
      <c r="A3463" s="2"/>
      <c r="B3463" s="2"/>
      <c r="C3463" s="2"/>
      <c r="D3463" s="2"/>
      <c r="E3463" s="2"/>
      <c r="K3463" s="77"/>
      <c r="L3463" s="77"/>
      <c r="M3463" s="76"/>
    </row>
    <row r="3464">
      <c r="A3464" s="2"/>
      <c r="B3464" s="2"/>
      <c r="C3464" s="2"/>
      <c r="D3464" s="2"/>
      <c r="E3464" s="2"/>
      <c r="K3464" s="77"/>
      <c r="L3464" s="77"/>
      <c r="M3464" s="76"/>
    </row>
    <row r="3465">
      <c r="A3465" s="2"/>
      <c r="B3465" s="2"/>
      <c r="C3465" s="2"/>
      <c r="D3465" s="2"/>
      <c r="E3465" s="2"/>
      <c r="K3465" s="77"/>
      <c r="L3465" s="77"/>
      <c r="M3465" s="76"/>
    </row>
    <row r="3466">
      <c r="A3466" s="2"/>
      <c r="B3466" s="2"/>
      <c r="C3466" s="2"/>
      <c r="D3466" s="2"/>
      <c r="E3466" s="2"/>
      <c r="K3466" s="77"/>
      <c r="L3466" s="77"/>
      <c r="M3466" s="76"/>
    </row>
    <row r="3467">
      <c r="A3467" s="2"/>
      <c r="B3467" s="2"/>
      <c r="C3467" s="2"/>
      <c r="D3467" s="2"/>
      <c r="E3467" s="2"/>
      <c r="K3467" s="77"/>
      <c r="L3467" s="77"/>
      <c r="M3467" s="76"/>
    </row>
    <row r="3468">
      <c r="A3468" s="2"/>
      <c r="B3468" s="2"/>
      <c r="C3468" s="2"/>
      <c r="D3468" s="2"/>
      <c r="E3468" s="2"/>
      <c r="K3468" s="77"/>
      <c r="L3468" s="77"/>
      <c r="M3468" s="76"/>
    </row>
    <row r="3469">
      <c r="A3469" s="2"/>
      <c r="B3469" s="2"/>
      <c r="C3469" s="2"/>
      <c r="D3469" s="2"/>
      <c r="E3469" s="2"/>
      <c r="K3469" s="77"/>
      <c r="L3469" s="77"/>
      <c r="M3469" s="76"/>
    </row>
    <row r="3470">
      <c r="A3470" s="2"/>
      <c r="B3470" s="2"/>
      <c r="C3470" s="2"/>
      <c r="D3470" s="2"/>
      <c r="E3470" s="2"/>
      <c r="K3470" s="77"/>
      <c r="L3470" s="77"/>
      <c r="M3470" s="76"/>
    </row>
    <row r="3471">
      <c r="A3471" s="2"/>
      <c r="B3471" s="2"/>
      <c r="C3471" s="2"/>
      <c r="D3471" s="2"/>
      <c r="E3471" s="2"/>
      <c r="K3471" s="77"/>
      <c r="L3471" s="77"/>
      <c r="M3471" s="76"/>
    </row>
    <row r="3472">
      <c r="A3472" s="2"/>
      <c r="B3472" s="2"/>
      <c r="C3472" s="2"/>
      <c r="D3472" s="2"/>
      <c r="E3472" s="2"/>
      <c r="K3472" s="77"/>
      <c r="L3472" s="77"/>
      <c r="M3472" s="76"/>
    </row>
    <row r="3473">
      <c r="A3473" s="2"/>
      <c r="B3473" s="2"/>
      <c r="C3473" s="2"/>
      <c r="D3473" s="2"/>
      <c r="E3473" s="2"/>
      <c r="K3473" s="77"/>
      <c r="L3473" s="77"/>
      <c r="M3473" s="76"/>
    </row>
    <row r="3474">
      <c r="A3474" s="2"/>
      <c r="B3474" s="2"/>
      <c r="C3474" s="2"/>
      <c r="D3474" s="2"/>
      <c r="E3474" s="2"/>
      <c r="K3474" s="77"/>
      <c r="L3474" s="77"/>
      <c r="M3474" s="76"/>
    </row>
    <row r="3475">
      <c r="A3475" s="2"/>
      <c r="B3475" s="2"/>
      <c r="C3475" s="2"/>
      <c r="D3475" s="2"/>
      <c r="E3475" s="2"/>
      <c r="K3475" s="77"/>
      <c r="L3475" s="77"/>
      <c r="M3475" s="76"/>
    </row>
    <row r="3476">
      <c r="A3476" s="2"/>
      <c r="B3476" s="2"/>
      <c r="C3476" s="2"/>
      <c r="D3476" s="2"/>
      <c r="E3476" s="2"/>
      <c r="K3476" s="77"/>
      <c r="L3476" s="77"/>
      <c r="M3476" s="76"/>
    </row>
    <row r="3477">
      <c r="A3477" s="2"/>
      <c r="B3477" s="2"/>
      <c r="C3477" s="2"/>
      <c r="D3477" s="2"/>
      <c r="E3477" s="2"/>
      <c r="K3477" s="77"/>
      <c r="L3477" s="77"/>
      <c r="M3477" s="76"/>
    </row>
    <row r="3478">
      <c r="A3478" s="2"/>
      <c r="B3478" s="2"/>
      <c r="C3478" s="2"/>
      <c r="D3478" s="2"/>
      <c r="E3478" s="2"/>
      <c r="K3478" s="77"/>
      <c r="L3478" s="77"/>
      <c r="M3478" s="76"/>
    </row>
    <row r="3479">
      <c r="A3479" s="2"/>
      <c r="B3479" s="2"/>
      <c r="C3479" s="2"/>
      <c r="D3479" s="2"/>
      <c r="E3479" s="2"/>
      <c r="K3479" s="77"/>
      <c r="L3479" s="77"/>
      <c r="M3479" s="76"/>
    </row>
    <row r="3480">
      <c r="A3480" s="2"/>
      <c r="B3480" s="2"/>
      <c r="C3480" s="2"/>
      <c r="D3480" s="2"/>
      <c r="E3480" s="2"/>
      <c r="K3480" s="77"/>
      <c r="L3480" s="77"/>
      <c r="M3480" s="76"/>
    </row>
    <row r="3481">
      <c r="A3481" s="2"/>
      <c r="B3481" s="2"/>
      <c r="C3481" s="2"/>
      <c r="D3481" s="2"/>
      <c r="E3481" s="2"/>
      <c r="K3481" s="77"/>
      <c r="L3481" s="77"/>
      <c r="M3481" s="76"/>
    </row>
    <row r="3482">
      <c r="A3482" s="77"/>
      <c r="B3482" s="77"/>
      <c r="C3482" s="77"/>
      <c r="D3482" s="77"/>
      <c r="E3482" s="77"/>
      <c r="K3482" s="77"/>
      <c r="L3482" s="77"/>
      <c r="M3482" s="76"/>
    </row>
    <row r="3483">
      <c r="A3483" s="2"/>
      <c r="B3483" s="2"/>
      <c r="C3483" s="2"/>
      <c r="D3483" s="2"/>
      <c r="E3483" s="2"/>
      <c r="K3483" s="77"/>
      <c r="L3483" s="77"/>
      <c r="M3483" s="76"/>
    </row>
    <row r="3484">
      <c r="A3484" s="2"/>
      <c r="B3484" s="2"/>
      <c r="C3484" s="2"/>
      <c r="D3484" s="2"/>
      <c r="E3484" s="2"/>
      <c r="K3484" s="77"/>
      <c r="L3484" s="77"/>
      <c r="M3484" s="76"/>
    </row>
    <row r="3485">
      <c r="A3485" s="2"/>
      <c r="B3485" s="2"/>
      <c r="C3485" s="2"/>
      <c r="D3485" s="2"/>
      <c r="E3485" s="2"/>
      <c r="K3485" s="77"/>
      <c r="L3485" s="77"/>
      <c r="M3485" s="76"/>
    </row>
    <row r="3486">
      <c r="A3486" s="2"/>
      <c r="B3486" s="2"/>
      <c r="C3486" s="2"/>
      <c r="D3486" s="2"/>
      <c r="E3486" s="2"/>
      <c r="K3486" s="77"/>
      <c r="L3486" s="77"/>
      <c r="M3486" s="76"/>
    </row>
    <row r="3487">
      <c r="A3487" s="2"/>
      <c r="B3487" s="2"/>
      <c r="C3487" s="2"/>
      <c r="D3487" s="2"/>
      <c r="E3487" s="2"/>
      <c r="K3487" s="77"/>
      <c r="L3487" s="77"/>
      <c r="M3487" s="76"/>
    </row>
    <row r="3488">
      <c r="A3488" s="2"/>
      <c r="B3488" s="2"/>
      <c r="C3488" s="2"/>
      <c r="D3488" s="2"/>
      <c r="E3488" s="2"/>
      <c r="K3488" s="77"/>
      <c r="L3488" s="77"/>
      <c r="M3488" s="76"/>
    </row>
    <row r="3489">
      <c r="A3489" s="2"/>
      <c r="B3489" s="2"/>
      <c r="C3489" s="2"/>
      <c r="D3489" s="2"/>
      <c r="E3489" s="2"/>
      <c r="K3489" s="77"/>
      <c r="L3489" s="77"/>
      <c r="M3489" s="76"/>
    </row>
    <row r="3490">
      <c r="A3490" s="2"/>
      <c r="B3490" s="2"/>
      <c r="C3490" s="2"/>
      <c r="D3490" s="2"/>
      <c r="E3490" s="2"/>
      <c r="K3490" s="77"/>
      <c r="L3490" s="77"/>
      <c r="M3490" s="76"/>
    </row>
    <row r="3491">
      <c r="A3491" s="2"/>
      <c r="B3491" s="2"/>
      <c r="C3491" s="2"/>
      <c r="D3491" s="2"/>
      <c r="E3491" s="2"/>
      <c r="K3491" s="77"/>
      <c r="L3491" s="77"/>
      <c r="M3491" s="76"/>
    </row>
    <row r="3492">
      <c r="A3492" s="2"/>
      <c r="B3492" s="2"/>
      <c r="C3492" s="2"/>
      <c r="D3492" s="2"/>
      <c r="E3492" s="2"/>
      <c r="K3492" s="77"/>
      <c r="L3492" s="77"/>
      <c r="M3492" s="76"/>
    </row>
    <row r="3493">
      <c r="A3493" s="2"/>
      <c r="B3493" s="2"/>
      <c r="C3493" s="2"/>
      <c r="D3493" s="2"/>
      <c r="E3493" s="2"/>
      <c r="K3493" s="77"/>
      <c r="L3493" s="77"/>
      <c r="M3493" s="76"/>
    </row>
    <row r="3494">
      <c r="A3494" s="2"/>
      <c r="B3494" s="2"/>
      <c r="C3494" s="2"/>
      <c r="D3494" s="2"/>
      <c r="E3494" s="2"/>
      <c r="K3494" s="77"/>
      <c r="L3494" s="77"/>
      <c r="M3494" s="76"/>
    </row>
    <row r="3495">
      <c r="A3495" s="2"/>
      <c r="B3495" s="2"/>
      <c r="C3495" s="2"/>
      <c r="D3495" s="2"/>
      <c r="E3495" s="2"/>
      <c r="K3495" s="77"/>
      <c r="L3495" s="77"/>
      <c r="M3495" s="76"/>
    </row>
    <row r="3496">
      <c r="A3496" s="2"/>
      <c r="B3496" s="2"/>
      <c r="C3496" s="2"/>
      <c r="D3496" s="2"/>
      <c r="E3496" s="2"/>
      <c r="K3496" s="77"/>
      <c r="L3496" s="77"/>
      <c r="M3496" s="76"/>
    </row>
    <row r="3497">
      <c r="A3497" s="2"/>
      <c r="B3497" s="2"/>
      <c r="C3497" s="2"/>
      <c r="D3497" s="2"/>
      <c r="E3497" s="2"/>
      <c r="K3497" s="77"/>
      <c r="L3497" s="77"/>
      <c r="M3497" s="76"/>
    </row>
    <row r="3498">
      <c r="A3498" s="2"/>
      <c r="B3498" s="2"/>
      <c r="C3498" s="2"/>
      <c r="D3498" s="2"/>
      <c r="E3498" s="2"/>
      <c r="K3498" s="77"/>
      <c r="L3498" s="77"/>
      <c r="M3498" s="76"/>
    </row>
    <row r="3499">
      <c r="A3499" s="2"/>
      <c r="B3499" s="2"/>
      <c r="C3499" s="2"/>
      <c r="D3499" s="2"/>
      <c r="E3499" s="2"/>
      <c r="K3499" s="77"/>
      <c r="L3499" s="77"/>
      <c r="M3499" s="76"/>
    </row>
    <row r="3500">
      <c r="A3500" s="2"/>
      <c r="B3500" s="2"/>
      <c r="C3500" s="2"/>
      <c r="D3500" s="2"/>
      <c r="E3500" s="2"/>
      <c r="K3500" s="77"/>
      <c r="L3500" s="77"/>
      <c r="M3500" s="76"/>
    </row>
    <row r="3501">
      <c r="A3501" s="2"/>
      <c r="B3501" s="2"/>
      <c r="C3501" s="2"/>
      <c r="D3501" s="2"/>
      <c r="E3501" s="2"/>
      <c r="K3501" s="77"/>
      <c r="L3501" s="77"/>
      <c r="M3501" s="76"/>
    </row>
    <row r="3502">
      <c r="A3502" s="2"/>
      <c r="B3502" s="2"/>
      <c r="C3502" s="2"/>
      <c r="D3502" s="2"/>
      <c r="E3502" s="2"/>
      <c r="K3502" s="77"/>
      <c r="L3502" s="77"/>
      <c r="M3502" s="76"/>
    </row>
    <row r="3503">
      <c r="A3503" s="2"/>
      <c r="B3503" s="2"/>
      <c r="C3503" s="2"/>
      <c r="D3503" s="2"/>
      <c r="E3503" s="2"/>
      <c r="K3503" s="77"/>
      <c r="L3503" s="77"/>
      <c r="M3503" s="76"/>
    </row>
    <row r="3504">
      <c r="A3504" s="2"/>
      <c r="B3504" s="2"/>
      <c r="C3504" s="2"/>
      <c r="D3504" s="2"/>
      <c r="E3504" s="2"/>
      <c r="K3504" s="77"/>
      <c r="L3504" s="77"/>
      <c r="M3504" s="76"/>
    </row>
    <row r="3505">
      <c r="A3505" s="2"/>
      <c r="B3505" s="2"/>
      <c r="C3505" s="2"/>
      <c r="D3505" s="2"/>
      <c r="E3505" s="2"/>
      <c r="K3505" s="77"/>
      <c r="L3505" s="77"/>
      <c r="M3505" s="76"/>
    </row>
    <row r="3506">
      <c r="A3506" s="77"/>
      <c r="B3506" s="77"/>
      <c r="C3506" s="77"/>
      <c r="D3506" s="77"/>
      <c r="E3506" s="77"/>
      <c r="K3506" s="77"/>
      <c r="L3506" s="77"/>
      <c r="M3506" s="76"/>
    </row>
    <row r="3507">
      <c r="A3507" s="2"/>
      <c r="B3507" s="2"/>
      <c r="C3507" s="2"/>
      <c r="D3507" s="2"/>
      <c r="E3507" s="2"/>
      <c r="K3507" s="77"/>
      <c r="L3507" s="77"/>
      <c r="M3507" s="76"/>
    </row>
    <row r="3508">
      <c r="A3508" s="2"/>
      <c r="B3508" s="2"/>
      <c r="C3508" s="2"/>
      <c r="D3508" s="2"/>
      <c r="E3508" s="2"/>
      <c r="K3508" s="77"/>
      <c r="L3508" s="77"/>
      <c r="M3508" s="76"/>
    </row>
    <row r="3509">
      <c r="A3509" s="2"/>
      <c r="B3509" s="2"/>
      <c r="C3509" s="2"/>
      <c r="D3509" s="2"/>
      <c r="E3509" s="2"/>
      <c r="K3509" s="77"/>
      <c r="L3509" s="77"/>
      <c r="M3509" s="76"/>
    </row>
    <row r="3510">
      <c r="A3510" s="2"/>
      <c r="B3510" s="2"/>
      <c r="C3510" s="2"/>
      <c r="D3510" s="2"/>
      <c r="E3510" s="2"/>
      <c r="K3510" s="77"/>
      <c r="L3510" s="77"/>
      <c r="M3510" s="76"/>
    </row>
    <row r="3511">
      <c r="A3511" s="2"/>
      <c r="B3511" s="2"/>
      <c r="C3511" s="2"/>
      <c r="D3511" s="2"/>
      <c r="E3511" s="2"/>
      <c r="K3511" s="77"/>
      <c r="L3511" s="77"/>
      <c r="M3511" s="76"/>
    </row>
    <row r="3512">
      <c r="A3512" s="2"/>
      <c r="B3512" s="2"/>
      <c r="C3512" s="2"/>
      <c r="D3512" s="2"/>
      <c r="E3512" s="2"/>
      <c r="K3512" s="77"/>
      <c r="L3512" s="77"/>
      <c r="M3512" s="76"/>
    </row>
    <row r="3513">
      <c r="A3513" s="2"/>
      <c r="B3513" s="2"/>
      <c r="C3513" s="2"/>
      <c r="D3513" s="2"/>
      <c r="E3513" s="2"/>
      <c r="K3513" s="77"/>
      <c r="L3513" s="77"/>
      <c r="M3513" s="76"/>
    </row>
    <row r="3514">
      <c r="A3514" s="2"/>
      <c r="B3514" s="2"/>
      <c r="C3514" s="2"/>
      <c r="D3514" s="2"/>
      <c r="E3514" s="2"/>
      <c r="K3514" s="77"/>
      <c r="L3514" s="77"/>
      <c r="M3514" s="76"/>
    </row>
    <row r="3515">
      <c r="A3515" s="2"/>
      <c r="B3515" s="2"/>
      <c r="C3515" s="2"/>
      <c r="D3515" s="2"/>
      <c r="E3515" s="2"/>
      <c r="K3515" s="77"/>
      <c r="L3515" s="77"/>
      <c r="M3515" s="76"/>
    </row>
    <row r="3516">
      <c r="A3516" s="2"/>
      <c r="B3516" s="2"/>
      <c r="C3516" s="2"/>
      <c r="D3516" s="2"/>
      <c r="E3516" s="2"/>
      <c r="K3516" s="77"/>
      <c r="L3516" s="77"/>
      <c r="M3516" s="76"/>
    </row>
    <row r="3517">
      <c r="A3517" s="2"/>
      <c r="B3517" s="2"/>
      <c r="C3517" s="2"/>
      <c r="D3517" s="2"/>
      <c r="E3517" s="2"/>
      <c r="K3517" s="77"/>
      <c r="L3517" s="77"/>
      <c r="M3517" s="76"/>
    </row>
    <row r="3518">
      <c r="A3518" s="2"/>
      <c r="B3518" s="2"/>
      <c r="C3518" s="2"/>
      <c r="D3518" s="2"/>
      <c r="E3518" s="2"/>
      <c r="K3518" s="77"/>
      <c r="L3518" s="77"/>
      <c r="M3518" s="76"/>
    </row>
    <row r="3519">
      <c r="A3519" s="2"/>
      <c r="B3519" s="2"/>
      <c r="C3519" s="2"/>
      <c r="D3519" s="2"/>
      <c r="E3519" s="2"/>
      <c r="K3519" s="77"/>
      <c r="L3519" s="77"/>
      <c r="M3519" s="76"/>
    </row>
    <row r="3520">
      <c r="A3520" s="2"/>
      <c r="B3520" s="2"/>
      <c r="C3520" s="2"/>
      <c r="D3520" s="2"/>
      <c r="E3520" s="2"/>
      <c r="K3520" s="77"/>
      <c r="L3520" s="77"/>
      <c r="M3520" s="76"/>
    </row>
    <row r="3521">
      <c r="A3521" s="2"/>
      <c r="B3521" s="2"/>
      <c r="C3521" s="2"/>
      <c r="D3521" s="2"/>
      <c r="E3521" s="2"/>
      <c r="K3521" s="77"/>
      <c r="L3521" s="77"/>
      <c r="M3521" s="76"/>
    </row>
    <row r="3522">
      <c r="A3522" s="2"/>
      <c r="B3522" s="2"/>
      <c r="C3522" s="2"/>
      <c r="D3522" s="2"/>
      <c r="E3522" s="2"/>
      <c r="K3522" s="77"/>
      <c r="L3522" s="77"/>
      <c r="M3522" s="76"/>
    </row>
    <row r="3523">
      <c r="A3523" s="2"/>
      <c r="B3523" s="2"/>
      <c r="C3523" s="2"/>
      <c r="D3523" s="2"/>
      <c r="E3523" s="2"/>
      <c r="K3523" s="77"/>
      <c r="L3523" s="77"/>
      <c r="M3523" s="76"/>
    </row>
    <row r="3524">
      <c r="A3524" s="2"/>
      <c r="B3524" s="2"/>
      <c r="C3524" s="2"/>
      <c r="D3524" s="2"/>
      <c r="E3524" s="2"/>
      <c r="K3524" s="77"/>
      <c r="L3524" s="77"/>
      <c r="M3524" s="76"/>
    </row>
    <row r="3525">
      <c r="A3525" s="2"/>
      <c r="B3525" s="2"/>
      <c r="C3525" s="2"/>
      <c r="D3525" s="2"/>
      <c r="E3525" s="2"/>
      <c r="K3525" s="77"/>
      <c r="L3525" s="77"/>
      <c r="M3525" s="76"/>
    </row>
    <row r="3526">
      <c r="A3526" s="2"/>
      <c r="B3526" s="2"/>
      <c r="C3526" s="2"/>
      <c r="D3526" s="2"/>
      <c r="E3526" s="2"/>
      <c r="K3526" s="77"/>
      <c r="L3526" s="77"/>
      <c r="M3526" s="76"/>
    </row>
    <row r="3527">
      <c r="A3527" s="2"/>
      <c r="B3527" s="2"/>
      <c r="C3527" s="2"/>
      <c r="D3527" s="2"/>
      <c r="E3527" s="2"/>
      <c r="K3527" s="77"/>
      <c r="L3527" s="77"/>
      <c r="M3527" s="76"/>
    </row>
    <row r="3528">
      <c r="A3528" s="2"/>
      <c r="B3528" s="2"/>
      <c r="C3528" s="2"/>
      <c r="D3528" s="2"/>
      <c r="E3528" s="2"/>
      <c r="K3528" s="77"/>
      <c r="L3528" s="77"/>
      <c r="M3528" s="76"/>
    </row>
    <row r="3529">
      <c r="A3529" s="2"/>
      <c r="B3529" s="2"/>
      <c r="C3529" s="2"/>
      <c r="D3529" s="2"/>
      <c r="E3529" s="2"/>
      <c r="K3529" s="77"/>
      <c r="L3529" s="77"/>
      <c r="M3529" s="76"/>
    </row>
    <row r="3530">
      <c r="A3530" s="77"/>
      <c r="B3530" s="77"/>
      <c r="C3530" s="77"/>
      <c r="D3530" s="77"/>
      <c r="E3530" s="77"/>
      <c r="K3530" s="77"/>
      <c r="L3530" s="77"/>
      <c r="M3530" s="76"/>
    </row>
    <row r="3531">
      <c r="A3531" s="2"/>
      <c r="B3531" s="2"/>
      <c r="C3531" s="2"/>
      <c r="D3531" s="2"/>
      <c r="E3531" s="2"/>
      <c r="K3531" s="77"/>
      <c r="L3531" s="77"/>
      <c r="M3531" s="76"/>
    </row>
    <row r="3532">
      <c r="A3532" s="2"/>
      <c r="B3532" s="2"/>
      <c r="C3532" s="2"/>
      <c r="D3532" s="2"/>
      <c r="E3532" s="2"/>
      <c r="K3532" s="77"/>
      <c r="L3532" s="77"/>
      <c r="M3532" s="76"/>
    </row>
    <row r="3533">
      <c r="A3533" s="2"/>
      <c r="B3533" s="2"/>
      <c r="C3533" s="2"/>
      <c r="D3533" s="2"/>
      <c r="E3533" s="2"/>
      <c r="K3533" s="77"/>
      <c r="L3533" s="77"/>
      <c r="M3533" s="76"/>
    </row>
    <row r="3534">
      <c r="A3534" s="2"/>
      <c r="B3534" s="2"/>
      <c r="C3534" s="2"/>
      <c r="D3534" s="2"/>
      <c r="E3534" s="2"/>
      <c r="K3534" s="77"/>
      <c r="L3534" s="77"/>
      <c r="M3534" s="76"/>
    </row>
    <row r="3535">
      <c r="A3535" s="2"/>
      <c r="B3535" s="2"/>
      <c r="C3535" s="2"/>
      <c r="D3535" s="2"/>
      <c r="E3535" s="2"/>
      <c r="K3535" s="77"/>
      <c r="L3535" s="77"/>
      <c r="M3535" s="76"/>
    </row>
    <row r="3536">
      <c r="A3536" s="2"/>
      <c r="B3536" s="2"/>
      <c r="C3536" s="2"/>
      <c r="D3536" s="2"/>
      <c r="E3536" s="2"/>
      <c r="K3536" s="77"/>
      <c r="L3536" s="77"/>
      <c r="M3536" s="76"/>
    </row>
    <row r="3537">
      <c r="A3537" s="2"/>
      <c r="B3537" s="2"/>
      <c r="C3537" s="2"/>
      <c r="D3537" s="2"/>
      <c r="E3537" s="2"/>
      <c r="K3537" s="77"/>
      <c r="L3537" s="77"/>
      <c r="M3537" s="76"/>
    </row>
    <row r="3538">
      <c r="A3538" s="2"/>
      <c r="B3538" s="2"/>
      <c r="C3538" s="2"/>
      <c r="D3538" s="2"/>
      <c r="E3538" s="2"/>
      <c r="K3538" s="77"/>
      <c r="L3538" s="77"/>
      <c r="M3538" s="76"/>
    </row>
    <row r="3539">
      <c r="A3539" s="2"/>
      <c r="B3539" s="2"/>
      <c r="C3539" s="2"/>
      <c r="D3539" s="2"/>
      <c r="E3539" s="2"/>
      <c r="K3539" s="77"/>
      <c r="L3539" s="77"/>
      <c r="M3539" s="76"/>
    </row>
    <row r="3540">
      <c r="A3540" s="2"/>
      <c r="B3540" s="2"/>
      <c r="C3540" s="2"/>
      <c r="D3540" s="2"/>
      <c r="E3540" s="2"/>
      <c r="K3540" s="77"/>
      <c r="L3540" s="77"/>
      <c r="M3540" s="76"/>
    </row>
    <row r="3541">
      <c r="A3541" s="2"/>
      <c r="B3541" s="2"/>
      <c r="C3541" s="2"/>
      <c r="D3541" s="2"/>
      <c r="E3541" s="2"/>
      <c r="K3541" s="77"/>
      <c r="L3541" s="77"/>
      <c r="M3541" s="76"/>
    </row>
    <row r="3542">
      <c r="A3542" s="2"/>
      <c r="B3542" s="2"/>
      <c r="C3542" s="2"/>
      <c r="D3542" s="2"/>
      <c r="E3542" s="2"/>
      <c r="K3542" s="77"/>
      <c r="L3542" s="77"/>
      <c r="M3542" s="76"/>
    </row>
    <row r="3543">
      <c r="A3543" s="2"/>
      <c r="B3543" s="2"/>
      <c r="C3543" s="2"/>
      <c r="D3543" s="2"/>
      <c r="E3543" s="2"/>
      <c r="K3543" s="77"/>
      <c r="L3543" s="77"/>
      <c r="M3543" s="76"/>
    </row>
    <row r="3544">
      <c r="A3544" s="2"/>
      <c r="B3544" s="2"/>
      <c r="C3544" s="2"/>
      <c r="D3544" s="2"/>
      <c r="E3544" s="2"/>
      <c r="K3544" s="77"/>
      <c r="L3544" s="77"/>
      <c r="M3544" s="76"/>
    </row>
    <row r="3545">
      <c r="A3545" s="2"/>
      <c r="B3545" s="2"/>
      <c r="C3545" s="2"/>
      <c r="D3545" s="2"/>
      <c r="E3545" s="2"/>
      <c r="K3545" s="77"/>
      <c r="L3545" s="77"/>
      <c r="M3545" s="76"/>
    </row>
    <row r="3546">
      <c r="A3546" s="2"/>
      <c r="B3546" s="2"/>
      <c r="C3546" s="2"/>
      <c r="D3546" s="2"/>
      <c r="E3546" s="2"/>
      <c r="K3546" s="77"/>
      <c r="L3546" s="77"/>
      <c r="M3546" s="76"/>
    </row>
    <row r="3547">
      <c r="A3547" s="2"/>
      <c r="B3547" s="2"/>
      <c r="C3547" s="2"/>
      <c r="D3547" s="2"/>
      <c r="E3547" s="2"/>
      <c r="K3547" s="77"/>
      <c r="L3547" s="77"/>
      <c r="M3547" s="76"/>
    </row>
    <row r="3548">
      <c r="A3548" s="2"/>
      <c r="B3548" s="2"/>
      <c r="C3548" s="2"/>
      <c r="D3548" s="2"/>
      <c r="E3548" s="2"/>
      <c r="K3548" s="77"/>
      <c r="L3548" s="77"/>
      <c r="M3548" s="76"/>
    </row>
    <row r="3549">
      <c r="A3549" s="2"/>
      <c r="B3549" s="2"/>
      <c r="C3549" s="2"/>
      <c r="D3549" s="2"/>
      <c r="E3549" s="2"/>
      <c r="K3549" s="77"/>
      <c r="L3549" s="77"/>
      <c r="M3549" s="76"/>
    </row>
    <row r="3550">
      <c r="A3550" s="2"/>
      <c r="B3550" s="2"/>
      <c r="C3550" s="2"/>
      <c r="D3550" s="2"/>
      <c r="E3550" s="2"/>
      <c r="K3550" s="77"/>
      <c r="L3550" s="77"/>
      <c r="M3550" s="76"/>
    </row>
    <row r="3551">
      <c r="A3551" s="2"/>
      <c r="B3551" s="2"/>
      <c r="C3551" s="2"/>
      <c r="D3551" s="2"/>
      <c r="E3551" s="2"/>
      <c r="K3551" s="77"/>
      <c r="L3551" s="77"/>
      <c r="M3551" s="76"/>
    </row>
    <row r="3552">
      <c r="A3552" s="2"/>
      <c r="B3552" s="2"/>
      <c r="C3552" s="2"/>
      <c r="D3552" s="2"/>
      <c r="E3552" s="2"/>
      <c r="K3552" s="77"/>
      <c r="L3552" s="77"/>
      <c r="M3552" s="76"/>
    </row>
    <row r="3553">
      <c r="A3553" s="2"/>
      <c r="B3553" s="2"/>
      <c r="C3553" s="2"/>
      <c r="D3553" s="2"/>
      <c r="E3553" s="2"/>
      <c r="K3553" s="77"/>
      <c r="L3553" s="77"/>
      <c r="M3553" s="76"/>
    </row>
    <row r="3554">
      <c r="A3554" s="77"/>
      <c r="B3554" s="77"/>
      <c r="C3554" s="77"/>
      <c r="D3554" s="77"/>
      <c r="E3554" s="77"/>
      <c r="K3554" s="77"/>
      <c r="L3554" s="77"/>
      <c r="M3554" s="76"/>
    </row>
    <row r="3555">
      <c r="A3555" s="2"/>
      <c r="B3555" s="2"/>
      <c r="C3555" s="2"/>
      <c r="D3555" s="2"/>
      <c r="E3555" s="2"/>
      <c r="K3555" s="77"/>
      <c r="L3555" s="77"/>
      <c r="M3555" s="76"/>
    </row>
    <row r="3556">
      <c r="A3556" s="2"/>
      <c r="B3556" s="2"/>
      <c r="C3556" s="2"/>
      <c r="D3556" s="2"/>
      <c r="E3556" s="2"/>
      <c r="K3556" s="77"/>
      <c r="L3556" s="77"/>
      <c r="M3556" s="76"/>
    </row>
    <row r="3557">
      <c r="A3557" s="2"/>
      <c r="B3557" s="2"/>
      <c r="C3557" s="2"/>
      <c r="D3557" s="2"/>
      <c r="E3557" s="2"/>
      <c r="K3557" s="77"/>
      <c r="L3557" s="77"/>
      <c r="M3557" s="76"/>
    </row>
    <row r="3558">
      <c r="A3558" s="2"/>
      <c r="B3558" s="2"/>
      <c r="C3558" s="2"/>
      <c r="D3558" s="2"/>
      <c r="E3558" s="2"/>
      <c r="K3558" s="77"/>
      <c r="L3558" s="77"/>
      <c r="M3558" s="76"/>
    </row>
    <row r="3559">
      <c r="A3559" s="2"/>
      <c r="B3559" s="2"/>
      <c r="C3559" s="2"/>
      <c r="D3559" s="2"/>
      <c r="E3559" s="2"/>
      <c r="K3559" s="77"/>
      <c r="L3559" s="77"/>
      <c r="M3559" s="76"/>
    </row>
    <row r="3560">
      <c r="A3560" s="2"/>
      <c r="B3560" s="2"/>
      <c r="C3560" s="2"/>
      <c r="D3560" s="2"/>
      <c r="E3560" s="2"/>
      <c r="K3560" s="77"/>
      <c r="L3560" s="77"/>
      <c r="M3560" s="76"/>
    </row>
    <row r="3561">
      <c r="A3561" s="2"/>
      <c r="B3561" s="2"/>
      <c r="C3561" s="2"/>
      <c r="D3561" s="2"/>
      <c r="E3561" s="2"/>
      <c r="K3561" s="77"/>
      <c r="L3561" s="77"/>
      <c r="M3561" s="76"/>
    </row>
    <row r="3562">
      <c r="A3562" s="2"/>
      <c r="B3562" s="2"/>
      <c r="C3562" s="2"/>
      <c r="D3562" s="2"/>
      <c r="E3562" s="2"/>
      <c r="K3562" s="77"/>
      <c r="L3562" s="77"/>
      <c r="M3562" s="76"/>
    </row>
    <row r="3563">
      <c r="A3563" s="2"/>
      <c r="B3563" s="2"/>
      <c r="C3563" s="2"/>
      <c r="D3563" s="2"/>
      <c r="E3563" s="2"/>
      <c r="K3563" s="77"/>
      <c r="L3563" s="77"/>
      <c r="M3563" s="76"/>
    </row>
    <row r="3564">
      <c r="A3564" s="2"/>
      <c r="B3564" s="2"/>
      <c r="C3564" s="2"/>
      <c r="D3564" s="2"/>
      <c r="E3564" s="2"/>
      <c r="K3564" s="77"/>
      <c r="L3564" s="77"/>
      <c r="M3564" s="76"/>
    </row>
    <row r="3565">
      <c r="A3565" s="2"/>
      <c r="B3565" s="2"/>
      <c r="C3565" s="2"/>
      <c r="D3565" s="2"/>
      <c r="E3565" s="2"/>
      <c r="K3565" s="77"/>
      <c r="L3565" s="77"/>
      <c r="M3565" s="76"/>
    </row>
    <row r="3566">
      <c r="A3566" s="2"/>
      <c r="B3566" s="2"/>
      <c r="C3566" s="2"/>
      <c r="D3566" s="2"/>
      <c r="E3566" s="2"/>
      <c r="K3566" s="77"/>
      <c r="L3566" s="77"/>
      <c r="M3566" s="76"/>
    </row>
    <row r="3567">
      <c r="A3567" s="2"/>
      <c r="B3567" s="2"/>
      <c r="C3567" s="2"/>
      <c r="D3567" s="2"/>
      <c r="E3567" s="2"/>
      <c r="K3567" s="77"/>
      <c r="L3567" s="77"/>
      <c r="M3567" s="76"/>
    </row>
    <row r="3568">
      <c r="A3568" s="2"/>
      <c r="B3568" s="2"/>
      <c r="C3568" s="2"/>
      <c r="D3568" s="2"/>
      <c r="E3568" s="2"/>
      <c r="K3568" s="77"/>
      <c r="L3568" s="77"/>
      <c r="M3568" s="76"/>
    </row>
    <row r="3569">
      <c r="A3569" s="2"/>
      <c r="B3569" s="2"/>
      <c r="C3569" s="2"/>
      <c r="D3569" s="2"/>
      <c r="E3569" s="2"/>
      <c r="K3569" s="77"/>
      <c r="L3569" s="77"/>
      <c r="M3569" s="76"/>
    </row>
    <row r="3570">
      <c r="A3570" s="2"/>
      <c r="B3570" s="2"/>
      <c r="C3570" s="2"/>
      <c r="D3570" s="2"/>
      <c r="E3570" s="2"/>
      <c r="K3570" s="77"/>
      <c r="L3570" s="77"/>
      <c r="M3570" s="76"/>
    </row>
    <row r="3571">
      <c r="A3571" s="2"/>
      <c r="B3571" s="2"/>
      <c r="C3571" s="2"/>
      <c r="D3571" s="2"/>
      <c r="E3571" s="2"/>
      <c r="K3571" s="77"/>
      <c r="L3571" s="77"/>
      <c r="M3571" s="76"/>
    </row>
    <row r="3572">
      <c r="A3572" s="2"/>
      <c r="B3572" s="2"/>
      <c r="C3572" s="2"/>
      <c r="D3572" s="2"/>
      <c r="E3572" s="2"/>
      <c r="K3572" s="77"/>
      <c r="L3572" s="77"/>
      <c r="M3572" s="76"/>
    </row>
    <row r="3573">
      <c r="A3573" s="2"/>
      <c r="B3573" s="2"/>
      <c r="C3573" s="2"/>
      <c r="D3573" s="2"/>
      <c r="E3573" s="2"/>
      <c r="K3573" s="77"/>
      <c r="L3573" s="77"/>
      <c r="M3573" s="76"/>
    </row>
    <row r="3574">
      <c r="A3574" s="2"/>
      <c r="B3574" s="2"/>
      <c r="C3574" s="2"/>
      <c r="D3574" s="2"/>
      <c r="E3574" s="2"/>
      <c r="K3574" s="77"/>
      <c r="L3574" s="77"/>
      <c r="M3574" s="76"/>
    </row>
    <row r="3575">
      <c r="A3575" s="2"/>
      <c r="B3575" s="2"/>
      <c r="C3575" s="2"/>
      <c r="D3575" s="2"/>
      <c r="E3575" s="2"/>
      <c r="K3575" s="77"/>
      <c r="L3575" s="77"/>
      <c r="M3575" s="76"/>
    </row>
    <row r="3576">
      <c r="A3576" s="2"/>
      <c r="B3576" s="2"/>
      <c r="C3576" s="2"/>
      <c r="D3576" s="2"/>
      <c r="E3576" s="2"/>
      <c r="K3576" s="77"/>
      <c r="L3576" s="77"/>
      <c r="M3576" s="76"/>
    </row>
    <row r="3577">
      <c r="A3577" s="2"/>
      <c r="B3577" s="2"/>
      <c r="C3577" s="2"/>
      <c r="D3577" s="2"/>
      <c r="E3577" s="2"/>
      <c r="K3577" s="77"/>
      <c r="L3577" s="77"/>
      <c r="M3577" s="76"/>
    </row>
    <row r="3578">
      <c r="A3578" s="77"/>
      <c r="B3578" s="77"/>
      <c r="C3578" s="77"/>
      <c r="D3578" s="77"/>
      <c r="E3578" s="77"/>
      <c r="K3578" s="77"/>
      <c r="L3578" s="77"/>
      <c r="M3578" s="76"/>
    </row>
    <row r="3579">
      <c r="A3579" s="2"/>
      <c r="B3579" s="2"/>
      <c r="C3579" s="2"/>
      <c r="D3579" s="2"/>
      <c r="E3579" s="2"/>
      <c r="K3579" s="77"/>
      <c r="L3579" s="77"/>
      <c r="M3579" s="76"/>
    </row>
    <row r="3580">
      <c r="A3580" s="2"/>
      <c r="B3580" s="2"/>
      <c r="C3580" s="2"/>
      <c r="D3580" s="2"/>
      <c r="E3580" s="2"/>
      <c r="K3580" s="77"/>
      <c r="L3580" s="77"/>
      <c r="M3580" s="76"/>
    </row>
    <row r="3581">
      <c r="A3581" s="2"/>
      <c r="B3581" s="2"/>
      <c r="C3581" s="2"/>
      <c r="D3581" s="2"/>
      <c r="E3581" s="2"/>
      <c r="K3581" s="77"/>
      <c r="L3581" s="77"/>
      <c r="M3581" s="76"/>
    </row>
    <row r="3582">
      <c r="A3582" s="2"/>
      <c r="B3582" s="2"/>
      <c r="C3582" s="2"/>
      <c r="D3582" s="2"/>
      <c r="E3582" s="2"/>
      <c r="K3582" s="77"/>
      <c r="L3582" s="77"/>
      <c r="M3582" s="76"/>
    </row>
    <row r="3583">
      <c r="A3583" s="2"/>
      <c r="B3583" s="2"/>
      <c r="C3583" s="2"/>
      <c r="D3583" s="2"/>
      <c r="E3583" s="2"/>
      <c r="K3583" s="77"/>
      <c r="L3583" s="77"/>
      <c r="M3583" s="76"/>
    </row>
    <row r="3584">
      <c r="A3584" s="2"/>
      <c r="B3584" s="2"/>
      <c r="C3584" s="2"/>
      <c r="D3584" s="2"/>
      <c r="E3584" s="2"/>
      <c r="K3584" s="77"/>
      <c r="L3584" s="77"/>
      <c r="M3584" s="76"/>
    </row>
    <row r="3585">
      <c r="A3585" s="2"/>
      <c r="B3585" s="2"/>
      <c r="C3585" s="2"/>
      <c r="D3585" s="2"/>
      <c r="E3585" s="2"/>
      <c r="K3585" s="77"/>
      <c r="L3585" s="77"/>
      <c r="M3585" s="76"/>
    </row>
    <row r="3586">
      <c r="A3586" s="2"/>
      <c r="B3586" s="2"/>
      <c r="C3586" s="2"/>
      <c r="D3586" s="2"/>
      <c r="E3586" s="2"/>
      <c r="K3586" s="77"/>
      <c r="L3586" s="77"/>
      <c r="M3586" s="76"/>
    </row>
    <row r="3587">
      <c r="A3587" s="2"/>
      <c r="B3587" s="2"/>
      <c r="C3587" s="2"/>
      <c r="D3587" s="2"/>
      <c r="E3587" s="2"/>
      <c r="K3587" s="77"/>
      <c r="L3587" s="77"/>
      <c r="M3587" s="76"/>
    </row>
    <row r="3588">
      <c r="A3588" s="2"/>
      <c r="B3588" s="2"/>
      <c r="C3588" s="2"/>
      <c r="D3588" s="2"/>
      <c r="E3588" s="2"/>
      <c r="K3588" s="77"/>
      <c r="L3588" s="77"/>
      <c r="M3588" s="76"/>
    </row>
    <row r="3589">
      <c r="A3589" s="2"/>
      <c r="B3589" s="2"/>
      <c r="C3589" s="2"/>
      <c r="D3589" s="2"/>
      <c r="E3589" s="2"/>
      <c r="K3589" s="77"/>
      <c r="L3589" s="77"/>
      <c r="M3589" s="76"/>
    </row>
    <row r="3590">
      <c r="A3590" s="2"/>
      <c r="B3590" s="2"/>
      <c r="C3590" s="2"/>
      <c r="D3590" s="2"/>
      <c r="E3590" s="2"/>
      <c r="K3590" s="77"/>
      <c r="L3590" s="77"/>
      <c r="M3590" s="76"/>
    </row>
    <row r="3591">
      <c r="A3591" s="2"/>
      <c r="B3591" s="2"/>
      <c r="C3591" s="2"/>
      <c r="D3591" s="2"/>
      <c r="E3591" s="2"/>
      <c r="K3591" s="77"/>
      <c r="L3591" s="77"/>
      <c r="M3591" s="76"/>
    </row>
    <row r="3592">
      <c r="A3592" s="2"/>
      <c r="B3592" s="2"/>
      <c r="C3592" s="2"/>
      <c r="D3592" s="2"/>
      <c r="E3592" s="2"/>
      <c r="K3592" s="77"/>
      <c r="L3592" s="77"/>
      <c r="M3592" s="76"/>
    </row>
    <row r="3593">
      <c r="A3593" s="2"/>
      <c r="B3593" s="2"/>
      <c r="C3593" s="2"/>
      <c r="D3593" s="2"/>
      <c r="E3593" s="2"/>
      <c r="K3593" s="77"/>
      <c r="L3593" s="77"/>
      <c r="M3593" s="76"/>
    </row>
    <row r="3594">
      <c r="A3594" s="2"/>
      <c r="B3594" s="2"/>
      <c r="C3594" s="2"/>
      <c r="D3594" s="2"/>
      <c r="E3594" s="2"/>
      <c r="K3594" s="77"/>
      <c r="L3594" s="77"/>
      <c r="M3594" s="76"/>
    </row>
    <row r="3595">
      <c r="A3595" s="2"/>
      <c r="B3595" s="2"/>
      <c r="C3595" s="2"/>
      <c r="D3595" s="2"/>
      <c r="E3595" s="2"/>
      <c r="K3595" s="77"/>
      <c r="L3595" s="77"/>
      <c r="M3595" s="76"/>
    </row>
    <row r="3596">
      <c r="A3596" s="2"/>
      <c r="B3596" s="2"/>
      <c r="C3596" s="2"/>
      <c r="D3596" s="2"/>
      <c r="E3596" s="2"/>
      <c r="K3596" s="77"/>
      <c r="L3596" s="77"/>
      <c r="M3596" s="76"/>
    </row>
    <row r="3597">
      <c r="A3597" s="2"/>
      <c r="B3597" s="2"/>
      <c r="C3597" s="2"/>
      <c r="D3597" s="2"/>
      <c r="E3597" s="2"/>
      <c r="K3597" s="77"/>
      <c r="L3597" s="77"/>
      <c r="M3597" s="76"/>
    </row>
    <row r="3598">
      <c r="A3598" s="2"/>
      <c r="B3598" s="2"/>
      <c r="C3598" s="2"/>
      <c r="D3598" s="2"/>
      <c r="E3598" s="2"/>
      <c r="K3598" s="77"/>
      <c r="L3598" s="77"/>
      <c r="M3598" s="76"/>
    </row>
    <row r="3599">
      <c r="A3599" s="2"/>
      <c r="B3599" s="2"/>
      <c r="C3599" s="2"/>
      <c r="D3599" s="2"/>
      <c r="E3599" s="2"/>
      <c r="K3599" s="77"/>
      <c r="L3599" s="77"/>
      <c r="M3599" s="76"/>
    </row>
    <row r="3600">
      <c r="A3600" s="2"/>
      <c r="B3600" s="2"/>
      <c r="C3600" s="2"/>
      <c r="D3600" s="2"/>
      <c r="E3600" s="2"/>
      <c r="K3600" s="77"/>
      <c r="L3600" s="77"/>
      <c r="M3600" s="76"/>
    </row>
    <row r="3601">
      <c r="A3601" s="2"/>
      <c r="B3601" s="2"/>
      <c r="C3601" s="2"/>
      <c r="D3601" s="2"/>
      <c r="E3601" s="2"/>
      <c r="K3601" s="77"/>
      <c r="L3601" s="77"/>
      <c r="M3601" s="76"/>
    </row>
    <row r="3602">
      <c r="A3602" s="77"/>
      <c r="B3602" s="77"/>
      <c r="C3602" s="77"/>
      <c r="D3602" s="77"/>
      <c r="E3602" s="77"/>
      <c r="K3602" s="77"/>
      <c r="L3602" s="77"/>
      <c r="M3602" s="76"/>
    </row>
    <row r="3603">
      <c r="A3603" s="2"/>
      <c r="B3603" s="2"/>
      <c r="C3603" s="2"/>
      <c r="D3603" s="2"/>
      <c r="E3603" s="2"/>
      <c r="K3603" s="77"/>
      <c r="L3603" s="77"/>
      <c r="M3603" s="76"/>
    </row>
    <row r="3604">
      <c r="A3604" s="2"/>
      <c r="B3604" s="2"/>
      <c r="C3604" s="2"/>
      <c r="D3604" s="2"/>
      <c r="E3604" s="2"/>
      <c r="K3604" s="77"/>
      <c r="L3604" s="77"/>
      <c r="M3604" s="76"/>
    </row>
    <row r="3605">
      <c r="A3605" s="2"/>
      <c r="B3605" s="2"/>
      <c r="C3605" s="2"/>
      <c r="D3605" s="2"/>
      <c r="E3605" s="2"/>
      <c r="K3605" s="77"/>
      <c r="L3605" s="77"/>
      <c r="M3605" s="76"/>
    </row>
    <row r="3606">
      <c r="A3606" s="2"/>
      <c r="B3606" s="2"/>
      <c r="C3606" s="2"/>
      <c r="D3606" s="2"/>
      <c r="E3606" s="2"/>
      <c r="K3606" s="77"/>
      <c r="L3606" s="77"/>
      <c r="M3606" s="76"/>
    </row>
    <row r="3607">
      <c r="A3607" s="2"/>
      <c r="B3607" s="2"/>
      <c r="C3607" s="2"/>
      <c r="D3607" s="2"/>
      <c r="E3607" s="2"/>
      <c r="K3607" s="77"/>
      <c r="L3607" s="77"/>
      <c r="M3607" s="76"/>
    </row>
    <row r="3608">
      <c r="A3608" s="2"/>
      <c r="B3608" s="2"/>
      <c r="C3608" s="2"/>
      <c r="D3608" s="2"/>
      <c r="E3608" s="2"/>
      <c r="K3608" s="77"/>
      <c r="L3608" s="77"/>
      <c r="M3608" s="76"/>
    </row>
    <row r="3609">
      <c r="A3609" s="2"/>
      <c r="B3609" s="2"/>
      <c r="C3609" s="2"/>
      <c r="D3609" s="2"/>
      <c r="E3609" s="2"/>
      <c r="K3609" s="77"/>
      <c r="L3609" s="77"/>
      <c r="M3609" s="76"/>
    </row>
    <row r="3610">
      <c r="A3610" s="2"/>
      <c r="B3610" s="2"/>
      <c r="C3610" s="2"/>
      <c r="D3610" s="2"/>
      <c r="E3610" s="2"/>
      <c r="K3610" s="77"/>
      <c r="L3610" s="77"/>
      <c r="M3610" s="76"/>
    </row>
    <row r="3611">
      <c r="A3611" s="2"/>
      <c r="B3611" s="2"/>
      <c r="C3611" s="2"/>
      <c r="D3611" s="2"/>
      <c r="E3611" s="2"/>
      <c r="K3611" s="77"/>
      <c r="L3611" s="77"/>
      <c r="M3611" s="76"/>
    </row>
    <row r="3612">
      <c r="A3612" s="2"/>
      <c r="B3612" s="2"/>
      <c r="C3612" s="2"/>
      <c r="D3612" s="2"/>
      <c r="E3612" s="2"/>
      <c r="K3612" s="77"/>
      <c r="L3612" s="77"/>
      <c r="M3612" s="76"/>
    </row>
    <row r="3613">
      <c r="A3613" s="2"/>
      <c r="B3613" s="2"/>
      <c r="C3613" s="2"/>
      <c r="D3613" s="2"/>
      <c r="E3613" s="2"/>
      <c r="K3613" s="77"/>
      <c r="L3613" s="77"/>
      <c r="M3613" s="76"/>
    </row>
    <row r="3614">
      <c r="A3614" s="2"/>
      <c r="B3614" s="2"/>
      <c r="C3614" s="2"/>
      <c r="D3614" s="2"/>
      <c r="E3614" s="2"/>
      <c r="K3614" s="77"/>
      <c r="L3614" s="77"/>
      <c r="M3614" s="76"/>
    </row>
    <row r="3615">
      <c r="A3615" s="2"/>
      <c r="B3615" s="2"/>
      <c r="C3615" s="2"/>
      <c r="D3615" s="2"/>
      <c r="E3615" s="2"/>
      <c r="K3615" s="77"/>
      <c r="L3615" s="77"/>
      <c r="M3615" s="76"/>
    </row>
    <row r="3616">
      <c r="A3616" s="2"/>
      <c r="B3616" s="2"/>
      <c r="C3616" s="2"/>
      <c r="D3616" s="2"/>
      <c r="E3616" s="2"/>
      <c r="K3616" s="77"/>
      <c r="L3616" s="77"/>
      <c r="M3616" s="76"/>
    </row>
    <row r="3617">
      <c r="A3617" s="2"/>
      <c r="B3617" s="2"/>
      <c r="C3617" s="2"/>
      <c r="D3617" s="2"/>
      <c r="E3617" s="2"/>
      <c r="K3617" s="77"/>
      <c r="L3617" s="77"/>
      <c r="M3617" s="76"/>
    </row>
    <row r="3618">
      <c r="A3618" s="2"/>
      <c r="B3618" s="2"/>
      <c r="C3618" s="2"/>
      <c r="D3618" s="2"/>
      <c r="E3618" s="2"/>
      <c r="K3618" s="77"/>
      <c r="L3618" s="77"/>
      <c r="M3618" s="76"/>
    </row>
    <row r="3619">
      <c r="A3619" s="2"/>
      <c r="B3619" s="2"/>
      <c r="C3619" s="2"/>
      <c r="D3619" s="2"/>
      <c r="E3619" s="2"/>
      <c r="K3619" s="77"/>
      <c r="L3619" s="77"/>
      <c r="M3619" s="76"/>
    </row>
    <row r="3620">
      <c r="A3620" s="2"/>
      <c r="B3620" s="2"/>
      <c r="C3620" s="2"/>
      <c r="D3620" s="2"/>
      <c r="E3620" s="2"/>
      <c r="K3620" s="77"/>
      <c r="L3620" s="77"/>
      <c r="M3620" s="76"/>
    </row>
    <row r="3621">
      <c r="A3621" s="2"/>
      <c r="B3621" s="2"/>
      <c r="C3621" s="2"/>
      <c r="D3621" s="2"/>
      <c r="E3621" s="2"/>
      <c r="K3621" s="77"/>
      <c r="L3621" s="77"/>
      <c r="M3621" s="76"/>
    </row>
    <row r="3622">
      <c r="A3622" s="2"/>
      <c r="B3622" s="2"/>
      <c r="C3622" s="2"/>
      <c r="D3622" s="2"/>
      <c r="E3622" s="2"/>
      <c r="K3622" s="77"/>
      <c r="L3622" s="77"/>
      <c r="M3622" s="76"/>
    </row>
    <row r="3623">
      <c r="A3623" s="2"/>
      <c r="B3623" s="2"/>
      <c r="C3623" s="2"/>
      <c r="D3623" s="2"/>
      <c r="E3623" s="2"/>
      <c r="K3623" s="77"/>
      <c r="L3623" s="77"/>
      <c r="M3623" s="76"/>
    </row>
    <row r="3624">
      <c r="A3624" s="2"/>
      <c r="B3624" s="2"/>
      <c r="C3624" s="2"/>
      <c r="D3624" s="2"/>
      <c r="E3624" s="2"/>
      <c r="K3624" s="77"/>
      <c r="L3624" s="77"/>
      <c r="M3624" s="76"/>
    </row>
    <row r="3625">
      <c r="A3625" s="2"/>
      <c r="B3625" s="2"/>
      <c r="C3625" s="2"/>
      <c r="D3625" s="2"/>
      <c r="E3625" s="2"/>
      <c r="K3625" s="77"/>
      <c r="L3625" s="77"/>
      <c r="M3625" s="76"/>
    </row>
    <row r="3626">
      <c r="A3626" s="77"/>
      <c r="B3626" s="77"/>
      <c r="C3626" s="77"/>
      <c r="D3626" s="77"/>
      <c r="E3626" s="77"/>
      <c r="K3626" s="77"/>
      <c r="L3626" s="77"/>
      <c r="M3626" s="76"/>
    </row>
    <row r="3627">
      <c r="A3627" s="2"/>
      <c r="B3627" s="2"/>
      <c r="C3627" s="2"/>
      <c r="D3627" s="2"/>
      <c r="E3627" s="2"/>
      <c r="K3627" s="77"/>
      <c r="L3627" s="77"/>
      <c r="M3627" s="76"/>
    </row>
    <row r="3628">
      <c r="A3628" s="2"/>
      <c r="B3628" s="2"/>
      <c r="C3628" s="2"/>
      <c r="D3628" s="2"/>
      <c r="E3628" s="2"/>
      <c r="K3628" s="77"/>
      <c r="L3628" s="77"/>
      <c r="M3628" s="76"/>
    </row>
    <row r="3629">
      <c r="A3629" s="2"/>
      <c r="B3629" s="2"/>
      <c r="C3629" s="2"/>
      <c r="D3629" s="2"/>
      <c r="E3629" s="2"/>
      <c r="K3629" s="77"/>
      <c r="L3629" s="77"/>
      <c r="M3629" s="76"/>
    </row>
    <row r="3630">
      <c r="A3630" s="2"/>
      <c r="B3630" s="2"/>
      <c r="C3630" s="2"/>
      <c r="D3630" s="2"/>
      <c r="E3630" s="2"/>
      <c r="K3630" s="77"/>
      <c r="L3630" s="77"/>
      <c r="M3630" s="76"/>
    </row>
    <row r="3631">
      <c r="A3631" s="2"/>
      <c r="B3631" s="2"/>
      <c r="C3631" s="2"/>
      <c r="D3631" s="2"/>
      <c r="E3631" s="2"/>
      <c r="K3631" s="77"/>
      <c r="L3631" s="77"/>
      <c r="M3631" s="76"/>
    </row>
    <row r="3632">
      <c r="A3632" s="2"/>
      <c r="B3632" s="2"/>
      <c r="C3632" s="2"/>
      <c r="D3632" s="2"/>
      <c r="E3632" s="2"/>
      <c r="K3632" s="77"/>
      <c r="L3632" s="77"/>
      <c r="M3632" s="76"/>
    </row>
    <row r="3633">
      <c r="A3633" s="2"/>
      <c r="B3633" s="2"/>
      <c r="C3633" s="2"/>
      <c r="D3633" s="2"/>
      <c r="E3633" s="2"/>
      <c r="K3633" s="77"/>
      <c r="L3633" s="77"/>
      <c r="M3633" s="76"/>
    </row>
    <row r="3634">
      <c r="A3634" s="2"/>
      <c r="B3634" s="2"/>
      <c r="C3634" s="2"/>
      <c r="D3634" s="2"/>
      <c r="E3634" s="2"/>
      <c r="K3634" s="77"/>
      <c r="L3634" s="77"/>
      <c r="M3634" s="76"/>
    </row>
    <row r="3635">
      <c r="A3635" s="2"/>
      <c r="B3635" s="2"/>
      <c r="C3635" s="2"/>
      <c r="D3635" s="2"/>
      <c r="E3635" s="2"/>
      <c r="K3635" s="77"/>
      <c r="L3635" s="77"/>
      <c r="M3635" s="76"/>
    </row>
    <row r="3636">
      <c r="A3636" s="2"/>
      <c r="B3636" s="2"/>
      <c r="C3636" s="2"/>
      <c r="D3636" s="2"/>
      <c r="E3636" s="2"/>
      <c r="K3636" s="77"/>
      <c r="L3636" s="77"/>
      <c r="M3636" s="76"/>
    </row>
    <row r="3637">
      <c r="A3637" s="2"/>
      <c r="B3637" s="2"/>
      <c r="C3637" s="2"/>
      <c r="D3637" s="2"/>
      <c r="E3637" s="2"/>
      <c r="K3637" s="77"/>
      <c r="L3637" s="77"/>
      <c r="M3637" s="76"/>
    </row>
    <row r="3638">
      <c r="A3638" s="2"/>
      <c r="B3638" s="2"/>
      <c r="C3638" s="2"/>
      <c r="D3638" s="2"/>
      <c r="E3638" s="2"/>
      <c r="K3638" s="77"/>
      <c r="L3638" s="77"/>
      <c r="M3638" s="76"/>
    </row>
    <row r="3639">
      <c r="A3639" s="2"/>
      <c r="B3639" s="2"/>
      <c r="C3639" s="2"/>
      <c r="D3639" s="2"/>
      <c r="E3639" s="2"/>
      <c r="K3639" s="77"/>
      <c r="L3639" s="77"/>
      <c r="M3639" s="76"/>
    </row>
    <row r="3640">
      <c r="A3640" s="2"/>
      <c r="B3640" s="2"/>
      <c r="C3640" s="2"/>
      <c r="D3640" s="2"/>
      <c r="E3640" s="2"/>
      <c r="K3640" s="77"/>
      <c r="L3640" s="77"/>
      <c r="M3640" s="76"/>
    </row>
    <row r="3641">
      <c r="A3641" s="2"/>
      <c r="B3641" s="2"/>
      <c r="C3641" s="2"/>
      <c r="D3641" s="2"/>
      <c r="E3641" s="2"/>
      <c r="K3641" s="77"/>
      <c r="L3641" s="77"/>
      <c r="M3641" s="76"/>
    </row>
    <row r="3642">
      <c r="A3642" s="2"/>
      <c r="B3642" s="2"/>
      <c r="C3642" s="2"/>
      <c r="D3642" s="2"/>
      <c r="E3642" s="2"/>
      <c r="K3642" s="77"/>
      <c r="L3642" s="77"/>
      <c r="M3642" s="76"/>
    </row>
    <row r="3643">
      <c r="A3643" s="2"/>
      <c r="B3643" s="2"/>
      <c r="C3643" s="2"/>
      <c r="D3643" s="2"/>
      <c r="E3643" s="2"/>
      <c r="K3643" s="77"/>
      <c r="L3643" s="77"/>
      <c r="M3643" s="76"/>
    </row>
    <row r="3644">
      <c r="A3644" s="2"/>
      <c r="B3644" s="2"/>
      <c r="C3644" s="2"/>
      <c r="D3644" s="2"/>
      <c r="E3644" s="2"/>
      <c r="K3644" s="77"/>
      <c r="L3644" s="77"/>
      <c r="M3644" s="76"/>
    </row>
    <row r="3645">
      <c r="A3645" s="2"/>
      <c r="B3645" s="2"/>
      <c r="C3645" s="2"/>
      <c r="D3645" s="2"/>
      <c r="E3645" s="2"/>
      <c r="K3645" s="77"/>
      <c r="L3645" s="77"/>
      <c r="M3645" s="76"/>
    </row>
    <row r="3646">
      <c r="A3646" s="2"/>
      <c r="B3646" s="2"/>
      <c r="C3646" s="2"/>
      <c r="D3646" s="2"/>
      <c r="E3646" s="2"/>
      <c r="K3646" s="77"/>
      <c r="L3646" s="77"/>
      <c r="M3646" s="76"/>
    </row>
    <row r="3647">
      <c r="A3647" s="2"/>
      <c r="B3647" s="2"/>
      <c r="C3647" s="2"/>
      <c r="D3647" s="2"/>
      <c r="E3647" s="2"/>
      <c r="K3647" s="77"/>
      <c r="L3647" s="77"/>
      <c r="M3647" s="76"/>
    </row>
    <row r="3648">
      <c r="A3648" s="2"/>
      <c r="B3648" s="2"/>
      <c r="C3648" s="2"/>
      <c r="D3648" s="2"/>
      <c r="E3648" s="2"/>
      <c r="K3648" s="77"/>
      <c r="L3648" s="77"/>
      <c r="M3648" s="76"/>
    </row>
    <row r="3649">
      <c r="A3649" s="2"/>
      <c r="B3649" s="2"/>
      <c r="C3649" s="2"/>
      <c r="D3649" s="2"/>
      <c r="E3649" s="2"/>
      <c r="K3649" s="77"/>
      <c r="L3649" s="77"/>
      <c r="M3649" s="76"/>
    </row>
    <row r="3650">
      <c r="A3650" s="77"/>
      <c r="B3650" s="77"/>
      <c r="C3650" s="77"/>
      <c r="D3650" s="77"/>
      <c r="E3650" s="77"/>
      <c r="K3650" s="77"/>
      <c r="L3650" s="77"/>
      <c r="M3650" s="76"/>
    </row>
    <row r="3651">
      <c r="A3651" s="2"/>
      <c r="B3651" s="2"/>
      <c r="C3651" s="2"/>
      <c r="D3651" s="2"/>
      <c r="E3651" s="2"/>
      <c r="K3651" s="77"/>
      <c r="L3651" s="77"/>
      <c r="M3651" s="76"/>
    </row>
    <row r="3652">
      <c r="A3652" s="2"/>
      <c r="B3652" s="2"/>
      <c r="C3652" s="2"/>
      <c r="D3652" s="2"/>
      <c r="E3652" s="2"/>
      <c r="K3652" s="77"/>
      <c r="L3652" s="77"/>
      <c r="M3652" s="76"/>
    </row>
    <row r="3653">
      <c r="A3653" s="2"/>
      <c r="B3653" s="2"/>
      <c r="C3653" s="2"/>
      <c r="D3653" s="2"/>
      <c r="E3653" s="2"/>
      <c r="K3653" s="77"/>
      <c r="L3653" s="77"/>
      <c r="M3653" s="76"/>
    </row>
    <row r="3654">
      <c r="A3654" s="2"/>
      <c r="B3654" s="2"/>
      <c r="C3654" s="2"/>
      <c r="D3654" s="2"/>
      <c r="E3654" s="2"/>
      <c r="K3654" s="77"/>
      <c r="L3654" s="77"/>
      <c r="M3654" s="76"/>
    </row>
    <row r="3655">
      <c r="A3655" s="2"/>
      <c r="B3655" s="2"/>
      <c r="C3655" s="2"/>
      <c r="D3655" s="2"/>
      <c r="E3655" s="2"/>
      <c r="K3655" s="77"/>
      <c r="L3655" s="77"/>
      <c r="M3655" s="76"/>
    </row>
    <row r="3656">
      <c r="A3656" s="2"/>
      <c r="B3656" s="2"/>
      <c r="C3656" s="2"/>
      <c r="D3656" s="2"/>
      <c r="E3656" s="2"/>
      <c r="K3656" s="77"/>
      <c r="L3656" s="77"/>
      <c r="M3656" s="76"/>
    </row>
    <row r="3657">
      <c r="A3657" s="2"/>
      <c r="B3657" s="2"/>
      <c r="C3657" s="2"/>
      <c r="D3657" s="2"/>
      <c r="E3657" s="2"/>
      <c r="K3657" s="77"/>
      <c r="L3657" s="77"/>
      <c r="M3657" s="76"/>
    </row>
    <row r="3658">
      <c r="A3658" s="2"/>
      <c r="B3658" s="2"/>
      <c r="C3658" s="2"/>
      <c r="D3658" s="2"/>
      <c r="E3658" s="2"/>
      <c r="K3658" s="77"/>
      <c r="L3658" s="77"/>
      <c r="M3658" s="76"/>
    </row>
    <row r="3659">
      <c r="A3659" s="2"/>
      <c r="B3659" s="2"/>
      <c r="C3659" s="2"/>
      <c r="D3659" s="2"/>
      <c r="E3659" s="2"/>
      <c r="K3659" s="77"/>
      <c r="L3659" s="77"/>
      <c r="M3659" s="76"/>
    </row>
    <row r="3660">
      <c r="A3660" s="2"/>
      <c r="B3660" s="2"/>
      <c r="C3660" s="2"/>
      <c r="D3660" s="2"/>
      <c r="E3660" s="2"/>
      <c r="K3660" s="77"/>
      <c r="L3660" s="77"/>
      <c r="M3660" s="76"/>
    </row>
    <row r="3661">
      <c r="A3661" s="2"/>
      <c r="B3661" s="2"/>
      <c r="C3661" s="2"/>
      <c r="D3661" s="2"/>
      <c r="E3661" s="2"/>
      <c r="K3661" s="77"/>
      <c r="L3661" s="77"/>
      <c r="M3661" s="76"/>
    </row>
    <row r="3662">
      <c r="A3662" s="2"/>
      <c r="B3662" s="2"/>
      <c r="C3662" s="2"/>
      <c r="D3662" s="2"/>
      <c r="E3662" s="2"/>
      <c r="K3662" s="77"/>
      <c r="L3662" s="77"/>
      <c r="M3662" s="76"/>
    </row>
    <row r="3663">
      <c r="A3663" s="2"/>
      <c r="B3663" s="2"/>
      <c r="C3663" s="2"/>
      <c r="D3663" s="2"/>
      <c r="E3663" s="2"/>
      <c r="K3663" s="77"/>
      <c r="L3663" s="77"/>
      <c r="M3663" s="76"/>
    </row>
    <row r="3664">
      <c r="A3664" s="2"/>
      <c r="B3664" s="2"/>
      <c r="C3664" s="2"/>
      <c r="D3664" s="2"/>
      <c r="E3664" s="2"/>
      <c r="K3664" s="77"/>
      <c r="L3664" s="77"/>
      <c r="M3664" s="76"/>
    </row>
    <row r="3665">
      <c r="A3665" s="2"/>
      <c r="B3665" s="2"/>
      <c r="C3665" s="2"/>
      <c r="D3665" s="2"/>
      <c r="E3665" s="2"/>
      <c r="K3665" s="77"/>
      <c r="L3665" s="77"/>
      <c r="M3665" s="76"/>
    </row>
    <row r="3666">
      <c r="A3666" s="2"/>
      <c r="B3666" s="2"/>
      <c r="C3666" s="2"/>
      <c r="D3666" s="2"/>
      <c r="E3666" s="2"/>
      <c r="K3666" s="77"/>
      <c r="L3666" s="77"/>
      <c r="M3666" s="76"/>
    </row>
    <row r="3667">
      <c r="A3667" s="2"/>
      <c r="B3667" s="2"/>
      <c r="C3667" s="2"/>
      <c r="D3667" s="2"/>
      <c r="E3667" s="2"/>
      <c r="K3667" s="77"/>
      <c r="L3667" s="77"/>
      <c r="M3667" s="76"/>
    </row>
    <row r="3668">
      <c r="A3668" s="2"/>
      <c r="B3668" s="2"/>
      <c r="C3668" s="2"/>
      <c r="D3668" s="2"/>
      <c r="E3668" s="2"/>
      <c r="K3668" s="77"/>
      <c r="L3668" s="77"/>
      <c r="M3668" s="76"/>
    </row>
    <row r="3669">
      <c r="A3669" s="2"/>
      <c r="B3669" s="2"/>
      <c r="C3669" s="2"/>
      <c r="D3669" s="2"/>
      <c r="E3669" s="2"/>
      <c r="K3669" s="77"/>
      <c r="L3669" s="77"/>
      <c r="M3669" s="76"/>
    </row>
    <row r="3670">
      <c r="A3670" s="2"/>
      <c r="B3670" s="2"/>
      <c r="C3670" s="2"/>
      <c r="D3670" s="2"/>
      <c r="E3670" s="2"/>
      <c r="K3670" s="77"/>
      <c r="L3670" s="77"/>
      <c r="M3670" s="76"/>
    </row>
    <row r="3671">
      <c r="A3671" s="2"/>
      <c r="B3671" s="2"/>
      <c r="C3671" s="2"/>
      <c r="D3671" s="2"/>
      <c r="E3671" s="2"/>
      <c r="K3671" s="77"/>
      <c r="L3671" s="77"/>
      <c r="M3671" s="76"/>
    </row>
    <row r="3672">
      <c r="A3672" s="2"/>
      <c r="B3672" s="2"/>
      <c r="C3672" s="2"/>
      <c r="D3672" s="2"/>
      <c r="E3672" s="2"/>
      <c r="K3672" s="77"/>
      <c r="L3672" s="77"/>
      <c r="M3672" s="76"/>
    </row>
    <row r="3673">
      <c r="A3673" s="2"/>
      <c r="B3673" s="2"/>
      <c r="C3673" s="2"/>
      <c r="D3673" s="2"/>
      <c r="E3673" s="2"/>
      <c r="K3673" s="77"/>
      <c r="L3673" s="77"/>
      <c r="M3673" s="76"/>
    </row>
    <row r="3674">
      <c r="A3674" s="77"/>
      <c r="B3674" s="77"/>
      <c r="C3674" s="77"/>
      <c r="D3674" s="77"/>
      <c r="E3674" s="77"/>
      <c r="K3674" s="77"/>
      <c r="L3674" s="77"/>
      <c r="M3674" s="76"/>
    </row>
    <row r="3675">
      <c r="A3675" s="2"/>
      <c r="B3675" s="2"/>
      <c r="C3675" s="2"/>
      <c r="D3675" s="2"/>
      <c r="E3675" s="2"/>
      <c r="K3675" s="77"/>
      <c r="L3675" s="77"/>
      <c r="M3675" s="76"/>
    </row>
    <row r="3676">
      <c r="A3676" s="2"/>
      <c r="B3676" s="2"/>
      <c r="C3676" s="2"/>
      <c r="D3676" s="2"/>
      <c r="E3676" s="2"/>
      <c r="K3676" s="77"/>
      <c r="L3676" s="77"/>
      <c r="M3676" s="76"/>
    </row>
    <row r="3677">
      <c r="A3677" s="2"/>
      <c r="B3677" s="2"/>
      <c r="C3677" s="2"/>
      <c r="D3677" s="2"/>
      <c r="E3677" s="2"/>
      <c r="K3677" s="77"/>
      <c r="L3677" s="77"/>
      <c r="M3677" s="76"/>
    </row>
    <row r="3678">
      <c r="A3678" s="2"/>
      <c r="B3678" s="2"/>
      <c r="C3678" s="2"/>
      <c r="D3678" s="2"/>
      <c r="E3678" s="2"/>
      <c r="K3678" s="77"/>
      <c r="L3678" s="77"/>
      <c r="M3678" s="76"/>
    </row>
    <row r="3679">
      <c r="A3679" s="2"/>
      <c r="B3679" s="2"/>
      <c r="C3679" s="2"/>
      <c r="D3679" s="2"/>
      <c r="E3679" s="2"/>
      <c r="K3679" s="77"/>
      <c r="L3679" s="77"/>
      <c r="M3679" s="76"/>
    </row>
    <row r="3680">
      <c r="A3680" s="2"/>
      <c r="B3680" s="2"/>
      <c r="C3680" s="2"/>
      <c r="D3680" s="2"/>
      <c r="E3680" s="2"/>
      <c r="K3680" s="77"/>
      <c r="L3680" s="77"/>
      <c r="M3680" s="76"/>
    </row>
    <row r="3681">
      <c r="A3681" s="2"/>
      <c r="B3681" s="2"/>
      <c r="C3681" s="2"/>
      <c r="D3681" s="2"/>
      <c r="E3681" s="2"/>
      <c r="K3681" s="77"/>
      <c r="L3681" s="77"/>
      <c r="M3681" s="76"/>
    </row>
    <row r="3682">
      <c r="A3682" s="2"/>
      <c r="B3682" s="2"/>
      <c r="C3682" s="2"/>
      <c r="D3682" s="2"/>
      <c r="E3682" s="2"/>
      <c r="K3682" s="77"/>
      <c r="L3682" s="77"/>
      <c r="M3682" s="76"/>
    </row>
    <row r="3683">
      <c r="A3683" s="2"/>
      <c r="B3683" s="2"/>
      <c r="C3683" s="2"/>
      <c r="D3683" s="2"/>
      <c r="E3683" s="2"/>
      <c r="K3683" s="77"/>
      <c r="L3683" s="77"/>
      <c r="M3683" s="76"/>
    </row>
    <row r="3684">
      <c r="A3684" s="2"/>
      <c r="B3684" s="2"/>
      <c r="C3684" s="2"/>
      <c r="D3684" s="2"/>
      <c r="E3684" s="2"/>
      <c r="K3684" s="77"/>
      <c r="L3684" s="77"/>
      <c r="M3684" s="76"/>
    </row>
    <row r="3685">
      <c r="A3685" s="2"/>
      <c r="B3685" s="2"/>
      <c r="C3685" s="2"/>
      <c r="D3685" s="2"/>
      <c r="E3685" s="2"/>
      <c r="K3685" s="77"/>
      <c r="L3685" s="77"/>
      <c r="M3685" s="76"/>
    </row>
    <row r="3686">
      <c r="A3686" s="2"/>
      <c r="B3686" s="2"/>
      <c r="C3686" s="2"/>
      <c r="D3686" s="2"/>
      <c r="E3686" s="2"/>
      <c r="K3686" s="77"/>
      <c r="L3686" s="77"/>
      <c r="M3686" s="76"/>
    </row>
    <row r="3687">
      <c r="A3687" s="2"/>
      <c r="B3687" s="2"/>
      <c r="C3687" s="2"/>
      <c r="D3687" s="2"/>
      <c r="E3687" s="2"/>
      <c r="K3687" s="77"/>
      <c r="L3687" s="77"/>
      <c r="M3687" s="76"/>
    </row>
    <row r="3688">
      <c r="A3688" s="2"/>
      <c r="B3688" s="2"/>
      <c r="C3688" s="2"/>
      <c r="D3688" s="2"/>
      <c r="E3688" s="2"/>
      <c r="K3688" s="77"/>
      <c r="L3688" s="77"/>
      <c r="M3688" s="76"/>
    </row>
    <row r="3689">
      <c r="A3689" s="2"/>
      <c r="B3689" s="2"/>
      <c r="C3689" s="2"/>
      <c r="D3689" s="2"/>
      <c r="E3689" s="2"/>
      <c r="K3689" s="77"/>
      <c r="L3689" s="77"/>
      <c r="M3689" s="76"/>
    </row>
    <row r="3690">
      <c r="A3690" s="2"/>
      <c r="B3690" s="2"/>
      <c r="C3690" s="2"/>
      <c r="D3690" s="2"/>
      <c r="E3690" s="2"/>
      <c r="K3690" s="77"/>
      <c r="L3690" s="77"/>
      <c r="M3690" s="76"/>
    </row>
    <row r="3691">
      <c r="A3691" s="2"/>
      <c r="B3691" s="2"/>
      <c r="C3691" s="2"/>
      <c r="D3691" s="2"/>
      <c r="E3691" s="2"/>
      <c r="K3691" s="77"/>
      <c r="L3691" s="77"/>
      <c r="M3691" s="76"/>
    </row>
    <row r="3692">
      <c r="A3692" s="2"/>
      <c r="B3692" s="2"/>
      <c r="C3692" s="2"/>
      <c r="D3692" s="2"/>
      <c r="E3692" s="2"/>
      <c r="K3692" s="77"/>
      <c r="L3692" s="77"/>
      <c r="M3692" s="76"/>
    </row>
    <row r="3693">
      <c r="A3693" s="2"/>
      <c r="B3693" s="2"/>
      <c r="C3693" s="2"/>
      <c r="D3693" s="2"/>
      <c r="E3693" s="2"/>
      <c r="K3693" s="77"/>
      <c r="L3693" s="77"/>
      <c r="M3693" s="76"/>
    </row>
    <row r="3694">
      <c r="A3694" s="2"/>
      <c r="B3694" s="2"/>
      <c r="C3694" s="2"/>
      <c r="D3694" s="2"/>
      <c r="E3694" s="2"/>
      <c r="K3694" s="77"/>
      <c r="L3694" s="77"/>
      <c r="M3694" s="76"/>
    </row>
    <row r="3695">
      <c r="A3695" s="2"/>
      <c r="B3695" s="2"/>
      <c r="C3695" s="2"/>
      <c r="D3695" s="2"/>
      <c r="E3695" s="2"/>
      <c r="K3695" s="77"/>
      <c r="L3695" s="77"/>
      <c r="M3695" s="76"/>
    </row>
    <row r="3696">
      <c r="A3696" s="2"/>
      <c r="B3696" s="2"/>
      <c r="C3696" s="2"/>
      <c r="D3696" s="2"/>
      <c r="E3696" s="2"/>
      <c r="K3696" s="77"/>
      <c r="L3696" s="77"/>
      <c r="M3696" s="76"/>
    </row>
    <row r="3697">
      <c r="A3697" s="2"/>
      <c r="B3697" s="2"/>
      <c r="C3697" s="2"/>
      <c r="D3697" s="2"/>
      <c r="E3697" s="2"/>
      <c r="K3697" s="77"/>
      <c r="L3697" s="77"/>
      <c r="M3697" s="76"/>
    </row>
    <row r="3698">
      <c r="A3698" s="77"/>
      <c r="B3698" s="77"/>
      <c r="C3698" s="77"/>
      <c r="D3698" s="77"/>
      <c r="E3698" s="77"/>
      <c r="K3698" s="77"/>
      <c r="L3698" s="77"/>
      <c r="M3698" s="76"/>
    </row>
    <row r="3699">
      <c r="A3699" s="2"/>
      <c r="B3699" s="2"/>
      <c r="C3699" s="2"/>
      <c r="D3699" s="2"/>
      <c r="E3699" s="2"/>
      <c r="K3699" s="77"/>
      <c r="L3699" s="77"/>
      <c r="M3699" s="76"/>
    </row>
    <row r="3700">
      <c r="A3700" s="2"/>
      <c r="B3700" s="2"/>
      <c r="C3700" s="2"/>
      <c r="D3700" s="2"/>
      <c r="E3700" s="2"/>
      <c r="K3700" s="77"/>
      <c r="L3700" s="77"/>
      <c r="M3700" s="76"/>
    </row>
    <row r="3701">
      <c r="A3701" s="2"/>
      <c r="B3701" s="2"/>
      <c r="C3701" s="2"/>
      <c r="D3701" s="2"/>
      <c r="E3701" s="2"/>
      <c r="K3701" s="77"/>
      <c r="L3701" s="77"/>
      <c r="M3701" s="76"/>
    </row>
    <row r="3702">
      <c r="A3702" s="2"/>
      <c r="B3702" s="2"/>
      <c r="C3702" s="2"/>
      <c r="D3702" s="2"/>
      <c r="E3702" s="2"/>
      <c r="K3702" s="77"/>
      <c r="L3702" s="77"/>
      <c r="M3702" s="76"/>
    </row>
    <row r="3703">
      <c r="A3703" s="2"/>
      <c r="B3703" s="2"/>
      <c r="C3703" s="2"/>
      <c r="D3703" s="2"/>
      <c r="E3703" s="2"/>
      <c r="K3703" s="77"/>
      <c r="L3703" s="77"/>
      <c r="M3703" s="76"/>
    </row>
    <row r="3704">
      <c r="A3704" s="2"/>
      <c r="B3704" s="2"/>
      <c r="C3704" s="2"/>
      <c r="D3704" s="2"/>
      <c r="E3704" s="2"/>
      <c r="K3704" s="77"/>
      <c r="L3704" s="77"/>
      <c r="M3704" s="76"/>
    </row>
    <row r="3705">
      <c r="A3705" s="2"/>
      <c r="B3705" s="2"/>
      <c r="C3705" s="2"/>
      <c r="D3705" s="2"/>
      <c r="E3705" s="2"/>
      <c r="K3705" s="77"/>
      <c r="L3705" s="77"/>
      <c r="M3705" s="76"/>
    </row>
    <row r="3706">
      <c r="A3706" s="2"/>
      <c r="B3706" s="2"/>
      <c r="C3706" s="2"/>
      <c r="D3706" s="2"/>
      <c r="E3706" s="2"/>
      <c r="K3706" s="77"/>
      <c r="L3706" s="77"/>
      <c r="M3706" s="76"/>
    </row>
    <row r="3707">
      <c r="A3707" s="2"/>
      <c r="B3707" s="2"/>
      <c r="C3707" s="2"/>
      <c r="D3707" s="2"/>
      <c r="E3707" s="2"/>
      <c r="K3707" s="77"/>
      <c r="L3707" s="77"/>
      <c r="M3707" s="76"/>
    </row>
    <row r="3708">
      <c r="A3708" s="2"/>
      <c r="B3708" s="2"/>
      <c r="C3708" s="2"/>
      <c r="D3708" s="2"/>
      <c r="E3708" s="2"/>
      <c r="K3708" s="77"/>
      <c r="L3708" s="77"/>
      <c r="M3708" s="76"/>
    </row>
    <row r="3709">
      <c r="A3709" s="2"/>
      <c r="B3709" s="2"/>
      <c r="C3709" s="2"/>
      <c r="D3709" s="2"/>
      <c r="E3709" s="2"/>
      <c r="K3709" s="77"/>
      <c r="L3709" s="77"/>
      <c r="M3709" s="76"/>
    </row>
    <row r="3710">
      <c r="A3710" s="2"/>
      <c r="B3710" s="2"/>
      <c r="C3710" s="2"/>
      <c r="D3710" s="2"/>
      <c r="E3710" s="2"/>
      <c r="K3710" s="77"/>
      <c r="L3710" s="77"/>
      <c r="M3710" s="76"/>
    </row>
    <row r="3711">
      <c r="A3711" s="2"/>
      <c r="B3711" s="2"/>
      <c r="C3711" s="2"/>
      <c r="D3711" s="2"/>
      <c r="E3711" s="2"/>
      <c r="K3711" s="77"/>
      <c r="L3711" s="77"/>
      <c r="M3711" s="76"/>
    </row>
    <row r="3712">
      <c r="A3712" s="2"/>
      <c r="B3712" s="2"/>
      <c r="C3712" s="2"/>
      <c r="D3712" s="2"/>
      <c r="E3712" s="2"/>
      <c r="K3712" s="77"/>
      <c r="L3712" s="77"/>
      <c r="M3712" s="76"/>
    </row>
    <row r="3713">
      <c r="A3713" s="2"/>
      <c r="B3713" s="2"/>
      <c r="C3713" s="2"/>
      <c r="D3713" s="2"/>
      <c r="E3713" s="2"/>
      <c r="K3713" s="77"/>
      <c r="L3713" s="77"/>
      <c r="M3713" s="76"/>
    </row>
    <row r="3714">
      <c r="A3714" s="2"/>
      <c r="B3714" s="2"/>
      <c r="C3714" s="2"/>
      <c r="D3714" s="2"/>
      <c r="E3714" s="2"/>
      <c r="K3714" s="77"/>
      <c r="L3714" s="77"/>
      <c r="M3714" s="76"/>
    </row>
    <row r="3715">
      <c r="A3715" s="2"/>
      <c r="B3715" s="2"/>
      <c r="C3715" s="2"/>
      <c r="D3715" s="2"/>
      <c r="E3715" s="2"/>
      <c r="K3715" s="77"/>
      <c r="L3715" s="77"/>
      <c r="M3715" s="76"/>
    </row>
    <row r="3716">
      <c r="A3716" s="2"/>
      <c r="B3716" s="2"/>
      <c r="C3716" s="2"/>
      <c r="D3716" s="2"/>
      <c r="E3716" s="2"/>
      <c r="K3716" s="77"/>
      <c r="L3716" s="77"/>
      <c r="M3716" s="76"/>
    </row>
    <row r="3717">
      <c r="A3717" s="2"/>
      <c r="B3717" s="2"/>
      <c r="C3717" s="2"/>
      <c r="D3717" s="2"/>
      <c r="E3717" s="2"/>
      <c r="K3717" s="77"/>
      <c r="L3717" s="77"/>
      <c r="M3717" s="76"/>
    </row>
    <row r="3718">
      <c r="A3718" s="2"/>
      <c r="B3718" s="2"/>
      <c r="C3718" s="2"/>
      <c r="D3718" s="2"/>
      <c r="E3718" s="2"/>
      <c r="K3718" s="77"/>
      <c r="L3718" s="77"/>
      <c r="M3718" s="76"/>
    </row>
    <row r="3719">
      <c r="A3719" s="2"/>
      <c r="B3719" s="2"/>
      <c r="C3719" s="2"/>
      <c r="D3719" s="2"/>
      <c r="E3719" s="2"/>
      <c r="K3719" s="77"/>
      <c r="L3719" s="77"/>
      <c r="M3719" s="76"/>
    </row>
    <row r="3720">
      <c r="A3720" s="2"/>
      <c r="B3720" s="2"/>
      <c r="C3720" s="2"/>
      <c r="D3720" s="2"/>
      <c r="E3720" s="2"/>
      <c r="K3720" s="77"/>
      <c r="L3720" s="77"/>
      <c r="M3720" s="76"/>
    </row>
    <row r="3721">
      <c r="A3721" s="2"/>
      <c r="B3721" s="2"/>
      <c r="C3721" s="2"/>
      <c r="D3721" s="2"/>
      <c r="E3721" s="2"/>
      <c r="K3721" s="77"/>
      <c r="L3721" s="77"/>
      <c r="M3721" s="76"/>
    </row>
    <row r="3722">
      <c r="A3722" s="77"/>
      <c r="B3722" s="77"/>
      <c r="C3722" s="77"/>
      <c r="D3722" s="77"/>
      <c r="E3722" s="77"/>
      <c r="K3722" s="77"/>
      <c r="L3722" s="77"/>
      <c r="M3722" s="76"/>
    </row>
    <row r="3723">
      <c r="A3723" s="2"/>
      <c r="B3723" s="2"/>
      <c r="C3723" s="2"/>
      <c r="D3723" s="2"/>
      <c r="E3723" s="2"/>
      <c r="K3723" s="77"/>
      <c r="L3723" s="77"/>
      <c r="M3723" s="76"/>
    </row>
    <row r="3724">
      <c r="A3724" s="2"/>
      <c r="B3724" s="2"/>
      <c r="C3724" s="2"/>
      <c r="D3724" s="2"/>
      <c r="E3724" s="2"/>
      <c r="K3724" s="77"/>
      <c r="L3724" s="77"/>
      <c r="M3724" s="76"/>
    </row>
    <row r="3725">
      <c r="A3725" s="2"/>
      <c r="B3725" s="2"/>
      <c r="C3725" s="2"/>
      <c r="D3725" s="2"/>
      <c r="E3725" s="2"/>
      <c r="K3725" s="77"/>
      <c r="L3725" s="77"/>
      <c r="M3725" s="76"/>
    </row>
    <row r="3726">
      <c r="A3726" s="2"/>
      <c r="B3726" s="2"/>
      <c r="C3726" s="2"/>
      <c r="D3726" s="2"/>
      <c r="E3726" s="2"/>
      <c r="K3726" s="77"/>
      <c r="L3726" s="77"/>
      <c r="M3726" s="76"/>
    </row>
    <row r="3727">
      <c r="A3727" s="2"/>
      <c r="B3727" s="2"/>
      <c r="C3727" s="2"/>
      <c r="D3727" s="2"/>
      <c r="E3727" s="2"/>
      <c r="K3727" s="77"/>
      <c r="L3727" s="77"/>
      <c r="M3727" s="76"/>
    </row>
    <row r="3728">
      <c r="A3728" s="2"/>
      <c r="B3728" s="2"/>
      <c r="C3728" s="2"/>
      <c r="D3728" s="2"/>
      <c r="E3728" s="2"/>
      <c r="K3728" s="77"/>
      <c r="L3728" s="77"/>
      <c r="M3728" s="76"/>
    </row>
    <row r="3729">
      <c r="A3729" s="2"/>
      <c r="B3729" s="2"/>
      <c r="C3729" s="2"/>
      <c r="D3729" s="2"/>
      <c r="E3729" s="2"/>
      <c r="K3729" s="77"/>
      <c r="L3729" s="77"/>
      <c r="M3729" s="76"/>
    </row>
    <row r="3730">
      <c r="A3730" s="2"/>
      <c r="B3730" s="2"/>
      <c r="C3730" s="2"/>
      <c r="D3730" s="2"/>
      <c r="E3730" s="2"/>
      <c r="K3730" s="77"/>
      <c r="L3730" s="77"/>
      <c r="M3730" s="76"/>
    </row>
    <row r="3731">
      <c r="A3731" s="2"/>
      <c r="B3731" s="2"/>
      <c r="C3731" s="2"/>
      <c r="D3731" s="2"/>
      <c r="E3731" s="2"/>
      <c r="K3731" s="77"/>
      <c r="L3731" s="77"/>
      <c r="M3731" s="76"/>
    </row>
    <row r="3732">
      <c r="A3732" s="2"/>
      <c r="B3732" s="2"/>
      <c r="C3732" s="2"/>
      <c r="D3732" s="2"/>
      <c r="E3732" s="2"/>
      <c r="K3732" s="77"/>
      <c r="L3732" s="77"/>
      <c r="M3732" s="76"/>
    </row>
    <row r="3733">
      <c r="A3733" s="2"/>
      <c r="B3733" s="2"/>
      <c r="C3733" s="2"/>
      <c r="D3733" s="2"/>
      <c r="E3733" s="2"/>
      <c r="K3733" s="77"/>
      <c r="L3733" s="77"/>
      <c r="M3733" s="76"/>
    </row>
    <row r="3734">
      <c r="A3734" s="2"/>
      <c r="B3734" s="2"/>
      <c r="C3734" s="2"/>
      <c r="D3734" s="2"/>
      <c r="E3734" s="2"/>
      <c r="K3734" s="77"/>
      <c r="L3734" s="77"/>
      <c r="M3734" s="76"/>
    </row>
    <row r="3735">
      <c r="A3735" s="2"/>
      <c r="B3735" s="2"/>
      <c r="C3735" s="2"/>
      <c r="D3735" s="2"/>
      <c r="E3735" s="2"/>
      <c r="K3735" s="77"/>
      <c r="L3735" s="77"/>
      <c r="M3735" s="76"/>
    </row>
    <row r="3736">
      <c r="A3736" s="2"/>
      <c r="B3736" s="2"/>
      <c r="C3736" s="2"/>
      <c r="D3736" s="2"/>
      <c r="E3736" s="2"/>
      <c r="K3736" s="77"/>
      <c r="L3736" s="77"/>
      <c r="M3736" s="76"/>
    </row>
    <row r="3737">
      <c r="A3737" s="2"/>
      <c r="B3737" s="2"/>
      <c r="C3737" s="2"/>
      <c r="D3737" s="2"/>
      <c r="E3737" s="2"/>
      <c r="K3737" s="77"/>
      <c r="L3737" s="77"/>
      <c r="M3737" s="76"/>
    </row>
    <row r="3738">
      <c r="A3738" s="2"/>
      <c r="B3738" s="2"/>
      <c r="C3738" s="2"/>
      <c r="D3738" s="2"/>
      <c r="E3738" s="2"/>
      <c r="K3738" s="77"/>
      <c r="L3738" s="77"/>
      <c r="M3738" s="76"/>
    </row>
    <row r="3739">
      <c r="A3739" s="2"/>
      <c r="B3739" s="2"/>
      <c r="C3739" s="2"/>
      <c r="D3739" s="2"/>
      <c r="E3739" s="2"/>
      <c r="K3739" s="77"/>
      <c r="L3739" s="77"/>
      <c r="M3739" s="76"/>
    </row>
    <row r="3740">
      <c r="A3740" s="2"/>
      <c r="B3740" s="2"/>
      <c r="C3740" s="2"/>
      <c r="D3740" s="2"/>
      <c r="E3740" s="2"/>
      <c r="K3740" s="77"/>
      <c r="L3740" s="77"/>
      <c r="M3740" s="76"/>
    </row>
    <row r="3741">
      <c r="A3741" s="2"/>
      <c r="B3741" s="2"/>
      <c r="C3741" s="2"/>
      <c r="D3741" s="2"/>
      <c r="E3741" s="2"/>
      <c r="K3741" s="77"/>
      <c r="L3741" s="77"/>
      <c r="M3741" s="76"/>
    </row>
    <row r="3742">
      <c r="A3742" s="2"/>
      <c r="B3742" s="2"/>
      <c r="C3742" s="2"/>
      <c r="D3742" s="2"/>
      <c r="E3742" s="2"/>
      <c r="K3742" s="77"/>
      <c r="L3742" s="77"/>
      <c r="M3742" s="76"/>
    </row>
    <row r="3743">
      <c r="A3743" s="2"/>
      <c r="B3743" s="2"/>
      <c r="C3743" s="2"/>
      <c r="D3743" s="2"/>
      <c r="E3743" s="2"/>
      <c r="K3743" s="77"/>
      <c r="L3743" s="77"/>
      <c r="M3743" s="76"/>
    </row>
    <row r="3744">
      <c r="A3744" s="2"/>
      <c r="B3744" s="2"/>
      <c r="C3744" s="2"/>
      <c r="D3744" s="2"/>
      <c r="E3744" s="2"/>
      <c r="K3744" s="77"/>
      <c r="L3744" s="77"/>
      <c r="M3744" s="76"/>
    </row>
    <row r="3745">
      <c r="A3745" s="2"/>
      <c r="B3745" s="2"/>
      <c r="C3745" s="2"/>
      <c r="D3745" s="2"/>
      <c r="E3745" s="2"/>
      <c r="K3745" s="77"/>
      <c r="L3745" s="77"/>
      <c r="M3745" s="76"/>
    </row>
    <row r="3746">
      <c r="A3746" s="77"/>
      <c r="B3746" s="77"/>
      <c r="C3746" s="77"/>
      <c r="D3746" s="77"/>
      <c r="E3746" s="77"/>
      <c r="K3746" s="77"/>
      <c r="L3746" s="77"/>
      <c r="M3746" s="76"/>
    </row>
    <row r="3747">
      <c r="A3747" s="2"/>
      <c r="B3747" s="2"/>
      <c r="C3747" s="2"/>
      <c r="D3747" s="2"/>
      <c r="E3747" s="2"/>
      <c r="K3747" s="77"/>
      <c r="L3747" s="77"/>
      <c r="M3747" s="76"/>
    </row>
    <row r="3748">
      <c r="A3748" s="2"/>
      <c r="B3748" s="2"/>
      <c r="C3748" s="2"/>
      <c r="D3748" s="2"/>
      <c r="E3748" s="2"/>
      <c r="K3748" s="77"/>
      <c r="L3748" s="77"/>
      <c r="M3748" s="76"/>
    </row>
    <row r="3749">
      <c r="A3749" s="2"/>
      <c r="B3749" s="2"/>
      <c r="C3749" s="2"/>
      <c r="D3749" s="2"/>
      <c r="E3749" s="2"/>
      <c r="K3749" s="77"/>
      <c r="L3749" s="77"/>
      <c r="M3749" s="76"/>
    </row>
    <row r="3750">
      <c r="A3750" s="2"/>
      <c r="B3750" s="2"/>
      <c r="C3750" s="2"/>
      <c r="D3750" s="2"/>
      <c r="E3750" s="2"/>
      <c r="K3750" s="77"/>
      <c r="L3750" s="77"/>
      <c r="M3750" s="76"/>
    </row>
    <row r="3751">
      <c r="A3751" s="2"/>
      <c r="B3751" s="2"/>
      <c r="C3751" s="2"/>
      <c r="D3751" s="2"/>
      <c r="E3751" s="2"/>
      <c r="K3751" s="77"/>
      <c r="L3751" s="77"/>
      <c r="M3751" s="76"/>
    </row>
    <row r="3752">
      <c r="A3752" s="2"/>
      <c r="B3752" s="2"/>
      <c r="C3752" s="2"/>
      <c r="D3752" s="2"/>
      <c r="E3752" s="2"/>
      <c r="K3752" s="77"/>
      <c r="L3752" s="77"/>
      <c r="M3752" s="76"/>
    </row>
    <row r="3753">
      <c r="A3753" s="2"/>
      <c r="B3753" s="2"/>
      <c r="C3753" s="2"/>
      <c r="D3753" s="2"/>
      <c r="E3753" s="2"/>
      <c r="K3753" s="77"/>
      <c r="L3753" s="77"/>
      <c r="M3753" s="76"/>
    </row>
    <row r="3754">
      <c r="A3754" s="2"/>
      <c r="B3754" s="2"/>
      <c r="C3754" s="2"/>
      <c r="D3754" s="2"/>
      <c r="E3754" s="2"/>
      <c r="K3754" s="77"/>
      <c r="L3754" s="77"/>
      <c r="M3754" s="76"/>
    </row>
    <row r="3755">
      <c r="A3755" s="2"/>
      <c r="B3755" s="2"/>
      <c r="C3755" s="2"/>
      <c r="D3755" s="2"/>
      <c r="E3755" s="2"/>
      <c r="K3755" s="77"/>
      <c r="L3755" s="77"/>
      <c r="M3755" s="76"/>
    </row>
    <row r="3756">
      <c r="A3756" s="2"/>
      <c r="B3756" s="2"/>
      <c r="C3756" s="2"/>
      <c r="D3756" s="2"/>
      <c r="E3756" s="2"/>
      <c r="K3756" s="77"/>
      <c r="L3756" s="77"/>
      <c r="M3756" s="76"/>
    </row>
    <row r="3757">
      <c r="A3757" s="2"/>
      <c r="B3757" s="2"/>
      <c r="C3757" s="2"/>
      <c r="D3757" s="2"/>
      <c r="E3757" s="2"/>
      <c r="K3757" s="77"/>
      <c r="L3757" s="77"/>
      <c r="M3757" s="76"/>
    </row>
    <row r="3758">
      <c r="A3758" s="2"/>
      <c r="B3758" s="2"/>
      <c r="C3758" s="2"/>
      <c r="D3758" s="2"/>
      <c r="E3758" s="2"/>
      <c r="K3758" s="77"/>
      <c r="L3758" s="77"/>
      <c r="M3758" s="76"/>
    </row>
    <row r="3759">
      <c r="A3759" s="2"/>
      <c r="B3759" s="2"/>
      <c r="C3759" s="2"/>
      <c r="D3759" s="2"/>
      <c r="E3759" s="2"/>
      <c r="K3759" s="77"/>
      <c r="L3759" s="77"/>
      <c r="M3759" s="76"/>
    </row>
    <row r="3760">
      <c r="A3760" s="2"/>
      <c r="B3760" s="2"/>
      <c r="C3760" s="2"/>
      <c r="D3760" s="2"/>
      <c r="E3760" s="2"/>
      <c r="K3760" s="77"/>
      <c r="L3760" s="77"/>
      <c r="M3760" s="76"/>
    </row>
    <row r="3761">
      <c r="A3761" s="2"/>
      <c r="B3761" s="2"/>
      <c r="C3761" s="2"/>
      <c r="D3761" s="2"/>
      <c r="E3761" s="2"/>
      <c r="K3761" s="77"/>
      <c r="L3761" s="77"/>
      <c r="M3761" s="76"/>
    </row>
    <row r="3762">
      <c r="A3762" s="2"/>
      <c r="B3762" s="2"/>
      <c r="C3762" s="2"/>
      <c r="D3762" s="2"/>
      <c r="E3762" s="2"/>
      <c r="K3762" s="77"/>
      <c r="L3762" s="77"/>
      <c r="M3762" s="76"/>
    </row>
    <row r="3763">
      <c r="A3763" s="2"/>
      <c r="B3763" s="2"/>
      <c r="C3763" s="2"/>
      <c r="D3763" s="2"/>
      <c r="E3763" s="2"/>
      <c r="K3763" s="77"/>
      <c r="L3763" s="77"/>
      <c r="M3763" s="76"/>
    </row>
    <row r="3764">
      <c r="A3764" s="2"/>
      <c r="B3764" s="2"/>
      <c r="C3764" s="2"/>
      <c r="D3764" s="2"/>
      <c r="E3764" s="2"/>
      <c r="K3764" s="77"/>
      <c r="L3764" s="77"/>
      <c r="M3764" s="76"/>
    </row>
    <row r="3765">
      <c r="A3765" s="2"/>
      <c r="B3765" s="2"/>
      <c r="C3765" s="2"/>
      <c r="D3765" s="2"/>
      <c r="E3765" s="2"/>
      <c r="K3765" s="77"/>
      <c r="L3765" s="77"/>
      <c r="M3765" s="76"/>
    </row>
    <row r="3766">
      <c r="A3766" s="2"/>
      <c r="B3766" s="2"/>
      <c r="C3766" s="2"/>
      <c r="D3766" s="2"/>
      <c r="E3766" s="2"/>
      <c r="K3766" s="77"/>
      <c r="L3766" s="77"/>
      <c r="M3766" s="76"/>
    </row>
    <row r="3767">
      <c r="A3767" s="2"/>
      <c r="B3767" s="2"/>
      <c r="C3767" s="2"/>
      <c r="D3767" s="2"/>
      <c r="E3767" s="2"/>
      <c r="K3767" s="77"/>
      <c r="L3767" s="77"/>
      <c r="M3767" s="76"/>
    </row>
    <row r="3768">
      <c r="A3768" s="2"/>
      <c r="B3768" s="2"/>
      <c r="C3768" s="2"/>
      <c r="D3768" s="2"/>
      <c r="E3768" s="2"/>
      <c r="K3768" s="77"/>
      <c r="L3768" s="77"/>
      <c r="M3768" s="76"/>
    </row>
    <row r="3769">
      <c r="A3769" s="2"/>
      <c r="B3769" s="2"/>
      <c r="C3769" s="2"/>
      <c r="D3769" s="2"/>
      <c r="E3769" s="2"/>
      <c r="K3769" s="77"/>
      <c r="L3769" s="77"/>
      <c r="M3769" s="76"/>
    </row>
    <row r="3770">
      <c r="A3770" s="77"/>
      <c r="B3770" s="77"/>
      <c r="C3770" s="77"/>
      <c r="D3770" s="77"/>
      <c r="E3770" s="77"/>
      <c r="K3770" s="77"/>
      <c r="L3770" s="77"/>
      <c r="M3770" s="76"/>
    </row>
    <row r="3771">
      <c r="A3771" s="2"/>
      <c r="B3771" s="2"/>
      <c r="C3771" s="2"/>
      <c r="D3771" s="2"/>
      <c r="E3771" s="2"/>
      <c r="K3771" s="77"/>
      <c r="L3771" s="77"/>
      <c r="M3771" s="76"/>
    </row>
    <row r="3772">
      <c r="A3772" s="2"/>
      <c r="B3772" s="2"/>
      <c r="C3772" s="2"/>
      <c r="D3772" s="2"/>
      <c r="E3772" s="2"/>
      <c r="K3772" s="77"/>
      <c r="L3772" s="77"/>
      <c r="M3772" s="76"/>
    </row>
    <row r="3773">
      <c r="A3773" s="2"/>
      <c r="B3773" s="2"/>
      <c r="C3773" s="2"/>
      <c r="D3773" s="2"/>
      <c r="E3773" s="2"/>
      <c r="K3773" s="77"/>
      <c r="L3773" s="77"/>
      <c r="M3773" s="76"/>
    </row>
    <row r="3774">
      <c r="A3774" s="2"/>
      <c r="B3774" s="2"/>
      <c r="C3774" s="2"/>
      <c r="D3774" s="2"/>
      <c r="E3774" s="2"/>
      <c r="K3774" s="77"/>
      <c r="L3774" s="77"/>
      <c r="M3774" s="76"/>
    </row>
    <row r="3775">
      <c r="A3775" s="2"/>
      <c r="B3775" s="2"/>
      <c r="C3775" s="2"/>
      <c r="D3775" s="2"/>
      <c r="E3775" s="2"/>
      <c r="K3775" s="77"/>
      <c r="L3775" s="77"/>
      <c r="M3775" s="76"/>
    </row>
    <row r="3776">
      <c r="A3776" s="2"/>
      <c r="B3776" s="2"/>
      <c r="C3776" s="2"/>
      <c r="D3776" s="2"/>
      <c r="E3776" s="2"/>
      <c r="K3776" s="77"/>
      <c r="L3776" s="77"/>
      <c r="M3776" s="76"/>
    </row>
    <row r="3777">
      <c r="A3777" s="2"/>
      <c r="B3777" s="2"/>
      <c r="C3777" s="2"/>
      <c r="D3777" s="2"/>
      <c r="E3777" s="2"/>
      <c r="K3777" s="77"/>
      <c r="L3777" s="77"/>
      <c r="M3777" s="76"/>
    </row>
    <row r="3778">
      <c r="A3778" s="2"/>
      <c r="B3778" s="2"/>
      <c r="C3778" s="2"/>
      <c r="D3778" s="2"/>
      <c r="E3778" s="2"/>
      <c r="K3778" s="77"/>
      <c r="L3778" s="77"/>
      <c r="M3778" s="76"/>
    </row>
    <row r="3779">
      <c r="A3779" s="2"/>
      <c r="B3779" s="2"/>
      <c r="C3779" s="2"/>
      <c r="D3779" s="2"/>
      <c r="E3779" s="2"/>
      <c r="K3779" s="77"/>
      <c r="L3779" s="77"/>
      <c r="M3779" s="76"/>
    </row>
    <row r="3780">
      <c r="A3780" s="2"/>
      <c r="B3780" s="2"/>
      <c r="C3780" s="2"/>
      <c r="D3780" s="2"/>
      <c r="E3780" s="2"/>
      <c r="K3780" s="77"/>
      <c r="L3780" s="77"/>
      <c r="M3780" s="76"/>
    </row>
    <row r="3781">
      <c r="A3781" s="2"/>
      <c r="B3781" s="2"/>
      <c r="C3781" s="2"/>
      <c r="D3781" s="2"/>
      <c r="E3781" s="2"/>
      <c r="K3781" s="77"/>
      <c r="L3781" s="77"/>
      <c r="M3781" s="76"/>
    </row>
    <row r="3782">
      <c r="A3782" s="2"/>
      <c r="B3782" s="2"/>
      <c r="C3782" s="2"/>
      <c r="D3782" s="2"/>
      <c r="E3782" s="2"/>
      <c r="K3782" s="77"/>
      <c r="L3782" s="77"/>
      <c r="M3782" s="76"/>
    </row>
    <row r="3783">
      <c r="A3783" s="2"/>
      <c r="B3783" s="2"/>
      <c r="C3783" s="2"/>
      <c r="D3783" s="2"/>
      <c r="E3783" s="2"/>
      <c r="K3783" s="77"/>
      <c r="L3783" s="77"/>
      <c r="M3783" s="76"/>
    </row>
    <row r="3784">
      <c r="A3784" s="2"/>
      <c r="B3784" s="2"/>
      <c r="C3784" s="2"/>
      <c r="D3784" s="2"/>
      <c r="E3784" s="2"/>
      <c r="K3784" s="77"/>
      <c r="L3784" s="77"/>
      <c r="M3784" s="76"/>
    </row>
    <row r="3785">
      <c r="A3785" s="2"/>
      <c r="B3785" s="2"/>
      <c r="C3785" s="2"/>
      <c r="D3785" s="2"/>
      <c r="E3785" s="2"/>
      <c r="K3785" s="77"/>
      <c r="L3785" s="77"/>
      <c r="M3785" s="76"/>
    </row>
    <row r="3786">
      <c r="A3786" s="2"/>
      <c r="B3786" s="2"/>
      <c r="C3786" s="2"/>
      <c r="D3786" s="2"/>
      <c r="E3786" s="2"/>
      <c r="K3786" s="77"/>
      <c r="L3786" s="77"/>
      <c r="M3786" s="76"/>
    </row>
    <row r="3787">
      <c r="A3787" s="2"/>
      <c r="B3787" s="2"/>
      <c r="C3787" s="2"/>
      <c r="D3787" s="2"/>
      <c r="E3787" s="2"/>
      <c r="K3787" s="77"/>
      <c r="L3787" s="77"/>
      <c r="M3787" s="76"/>
    </row>
    <row r="3788">
      <c r="A3788" s="2"/>
      <c r="B3788" s="2"/>
      <c r="C3788" s="2"/>
      <c r="D3788" s="2"/>
      <c r="E3788" s="2"/>
      <c r="K3788" s="77"/>
      <c r="L3788" s="77"/>
      <c r="M3788" s="76"/>
    </row>
    <row r="3789">
      <c r="A3789" s="2"/>
      <c r="B3789" s="2"/>
      <c r="C3789" s="2"/>
      <c r="D3789" s="2"/>
      <c r="E3789" s="2"/>
      <c r="K3789" s="77"/>
      <c r="L3789" s="77"/>
      <c r="M3789" s="76"/>
    </row>
    <row r="3790">
      <c r="A3790" s="2"/>
      <c r="B3790" s="2"/>
      <c r="C3790" s="2"/>
      <c r="D3790" s="2"/>
      <c r="E3790" s="2"/>
      <c r="K3790" s="77"/>
      <c r="L3790" s="77"/>
      <c r="M3790" s="76"/>
    </row>
    <row r="3791">
      <c r="A3791" s="2"/>
      <c r="B3791" s="2"/>
      <c r="C3791" s="2"/>
      <c r="D3791" s="2"/>
      <c r="E3791" s="2"/>
      <c r="K3791" s="77"/>
      <c r="L3791" s="77"/>
      <c r="M3791" s="76"/>
    </row>
    <row r="3792">
      <c r="A3792" s="2"/>
      <c r="B3792" s="2"/>
      <c r="C3792" s="2"/>
      <c r="D3792" s="2"/>
      <c r="E3792" s="2"/>
      <c r="K3792" s="77"/>
      <c r="L3792" s="77"/>
      <c r="M3792" s="76"/>
    </row>
    <row r="3793">
      <c r="A3793" s="2"/>
      <c r="B3793" s="2"/>
      <c r="C3793" s="2"/>
      <c r="D3793" s="2"/>
      <c r="E3793" s="2"/>
      <c r="K3793" s="77"/>
      <c r="L3793" s="77"/>
      <c r="M3793" s="76"/>
    </row>
    <row r="3794">
      <c r="A3794" s="77"/>
      <c r="B3794" s="77"/>
      <c r="C3794" s="77"/>
      <c r="D3794" s="77"/>
      <c r="E3794" s="77"/>
      <c r="K3794" s="77"/>
      <c r="L3794" s="77"/>
      <c r="M3794" s="76"/>
    </row>
    <row r="3795">
      <c r="A3795" s="2"/>
      <c r="B3795" s="2"/>
      <c r="C3795" s="2"/>
      <c r="D3795" s="2"/>
      <c r="E3795" s="2"/>
      <c r="K3795" s="77"/>
      <c r="L3795" s="77"/>
      <c r="M3795" s="76"/>
    </row>
    <row r="3796">
      <c r="A3796" s="2"/>
      <c r="B3796" s="2"/>
      <c r="C3796" s="2"/>
      <c r="D3796" s="2"/>
      <c r="E3796" s="2"/>
      <c r="K3796" s="77"/>
      <c r="L3796" s="77"/>
      <c r="M3796" s="76"/>
    </row>
    <row r="3797">
      <c r="A3797" s="2"/>
      <c r="B3797" s="2"/>
      <c r="C3797" s="2"/>
      <c r="D3797" s="2"/>
      <c r="E3797" s="2"/>
      <c r="K3797" s="77"/>
      <c r="L3797" s="77"/>
      <c r="M3797" s="76"/>
    </row>
    <row r="3798">
      <c r="A3798" s="2"/>
      <c r="B3798" s="2"/>
      <c r="C3798" s="2"/>
      <c r="D3798" s="2"/>
      <c r="E3798" s="2"/>
      <c r="K3798" s="77"/>
      <c r="L3798" s="77"/>
      <c r="M3798" s="76"/>
    </row>
    <row r="3799">
      <c r="A3799" s="2"/>
      <c r="B3799" s="2"/>
      <c r="C3799" s="2"/>
      <c r="D3799" s="2"/>
      <c r="E3799" s="2"/>
      <c r="K3799" s="77"/>
      <c r="L3799" s="77"/>
      <c r="M3799" s="76"/>
    </row>
    <row r="3800">
      <c r="A3800" s="2"/>
      <c r="B3800" s="2"/>
      <c r="C3800" s="2"/>
      <c r="D3800" s="2"/>
      <c r="E3800" s="2"/>
      <c r="K3800" s="77"/>
      <c r="L3800" s="77"/>
      <c r="M3800" s="76"/>
    </row>
    <row r="3801">
      <c r="A3801" s="2"/>
      <c r="B3801" s="2"/>
      <c r="C3801" s="2"/>
      <c r="D3801" s="2"/>
      <c r="E3801" s="2"/>
      <c r="K3801" s="77"/>
      <c r="L3801" s="77"/>
      <c r="M3801" s="76"/>
    </row>
    <row r="3802">
      <c r="A3802" s="2"/>
      <c r="B3802" s="2"/>
      <c r="C3802" s="2"/>
      <c r="D3802" s="2"/>
      <c r="E3802" s="2"/>
      <c r="K3802" s="77"/>
      <c r="L3802" s="77"/>
      <c r="M3802" s="76"/>
    </row>
    <row r="3803">
      <c r="A3803" s="2"/>
      <c r="B3803" s="2"/>
      <c r="C3803" s="2"/>
      <c r="D3803" s="2"/>
      <c r="E3803" s="2"/>
      <c r="K3803" s="77"/>
      <c r="L3803" s="77"/>
      <c r="M3803" s="76"/>
    </row>
    <row r="3804">
      <c r="A3804" s="2"/>
      <c r="B3804" s="2"/>
      <c r="C3804" s="2"/>
      <c r="D3804" s="2"/>
      <c r="E3804" s="2"/>
      <c r="K3804" s="77"/>
      <c r="L3804" s="77"/>
      <c r="M3804" s="76"/>
    </row>
    <row r="3805">
      <c r="A3805" s="2"/>
      <c r="B3805" s="2"/>
      <c r="C3805" s="2"/>
      <c r="D3805" s="2"/>
      <c r="E3805" s="2"/>
      <c r="K3805" s="77"/>
      <c r="L3805" s="77"/>
      <c r="M3805" s="76"/>
    </row>
    <row r="3806">
      <c r="A3806" s="2"/>
      <c r="B3806" s="2"/>
      <c r="C3806" s="2"/>
      <c r="D3806" s="2"/>
      <c r="E3806" s="2"/>
      <c r="K3806" s="77"/>
      <c r="L3806" s="77"/>
      <c r="M3806" s="76"/>
    </row>
    <row r="3807">
      <c r="A3807" s="2"/>
      <c r="B3807" s="2"/>
      <c r="C3807" s="2"/>
      <c r="D3807" s="2"/>
      <c r="E3807" s="2"/>
      <c r="K3807" s="77"/>
      <c r="L3807" s="77"/>
      <c r="M3807" s="76"/>
    </row>
    <row r="3808">
      <c r="A3808" s="2"/>
      <c r="B3808" s="2"/>
      <c r="C3808" s="2"/>
      <c r="D3808" s="2"/>
      <c r="E3808" s="2"/>
      <c r="K3808" s="77"/>
      <c r="L3808" s="77"/>
      <c r="M3808" s="76"/>
    </row>
    <row r="3809">
      <c r="A3809" s="2"/>
      <c r="B3809" s="2"/>
      <c r="C3809" s="2"/>
      <c r="D3809" s="2"/>
      <c r="E3809" s="2"/>
      <c r="K3809" s="77"/>
      <c r="L3809" s="77"/>
      <c r="M3809" s="76"/>
    </row>
    <row r="3810">
      <c r="A3810" s="2"/>
      <c r="B3810" s="2"/>
      <c r="C3810" s="2"/>
      <c r="D3810" s="2"/>
      <c r="E3810" s="2"/>
      <c r="K3810" s="77"/>
      <c r="L3810" s="77"/>
      <c r="M3810" s="76"/>
    </row>
    <row r="3811">
      <c r="A3811" s="2"/>
      <c r="B3811" s="2"/>
      <c r="C3811" s="2"/>
      <c r="D3811" s="2"/>
      <c r="E3811" s="2"/>
      <c r="K3811" s="77"/>
      <c r="L3811" s="77"/>
      <c r="M3811" s="76"/>
    </row>
    <row r="3812">
      <c r="A3812" s="2"/>
      <c r="B3812" s="2"/>
      <c r="C3812" s="2"/>
      <c r="D3812" s="2"/>
      <c r="E3812" s="2"/>
      <c r="K3812" s="77"/>
      <c r="L3812" s="77"/>
      <c r="M3812" s="76"/>
    </row>
    <row r="3813">
      <c r="A3813" s="2"/>
      <c r="B3813" s="2"/>
      <c r="C3813" s="2"/>
      <c r="D3813" s="2"/>
      <c r="E3813" s="2"/>
      <c r="K3813" s="77"/>
      <c r="L3813" s="77"/>
      <c r="M3813" s="76"/>
    </row>
    <row r="3814">
      <c r="A3814" s="2"/>
      <c r="B3814" s="2"/>
      <c r="C3814" s="2"/>
      <c r="D3814" s="2"/>
      <c r="E3814" s="2"/>
      <c r="K3814" s="77"/>
      <c r="L3814" s="77"/>
      <c r="M3814" s="76"/>
    </row>
    <row r="3815">
      <c r="A3815" s="2"/>
      <c r="B3815" s="2"/>
      <c r="C3815" s="2"/>
      <c r="D3815" s="2"/>
      <c r="E3815" s="2"/>
      <c r="K3815" s="77"/>
      <c r="L3815" s="77"/>
      <c r="M3815" s="76"/>
    </row>
    <row r="3816">
      <c r="A3816" s="2"/>
      <c r="B3816" s="2"/>
      <c r="C3816" s="2"/>
      <c r="D3816" s="2"/>
      <c r="E3816" s="2"/>
      <c r="K3816" s="77"/>
      <c r="L3816" s="77"/>
      <c r="M3816" s="76"/>
    </row>
    <row r="3817">
      <c r="A3817" s="2"/>
      <c r="B3817" s="2"/>
      <c r="C3817" s="2"/>
      <c r="D3817" s="2"/>
      <c r="E3817" s="2"/>
      <c r="K3817" s="77"/>
      <c r="L3817" s="77"/>
      <c r="M3817" s="76"/>
    </row>
    <row r="3818">
      <c r="A3818" s="77"/>
      <c r="B3818" s="77"/>
      <c r="C3818" s="77"/>
      <c r="D3818" s="77"/>
      <c r="E3818" s="77"/>
      <c r="K3818" s="77"/>
      <c r="L3818" s="77"/>
      <c r="M3818" s="76"/>
    </row>
    <row r="3819">
      <c r="A3819" s="2"/>
      <c r="B3819" s="2"/>
      <c r="C3819" s="2"/>
      <c r="D3819" s="2"/>
      <c r="E3819" s="2"/>
      <c r="K3819" s="77"/>
      <c r="L3819" s="77"/>
      <c r="M3819" s="76"/>
    </row>
    <row r="3820">
      <c r="A3820" s="2"/>
      <c r="B3820" s="2"/>
      <c r="C3820" s="2"/>
      <c r="D3820" s="2"/>
      <c r="E3820" s="2"/>
      <c r="K3820" s="77"/>
      <c r="L3820" s="77"/>
      <c r="M3820" s="76"/>
    </row>
    <row r="3821">
      <c r="A3821" s="2"/>
      <c r="B3821" s="2"/>
      <c r="C3821" s="2"/>
      <c r="D3821" s="2"/>
      <c r="E3821" s="2"/>
      <c r="K3821" s="77"/>
      <c r="L3821" s="77"/>
      <c r="M3821" s="76"/>
    </row>
    <row r="3822">
      <c r="A3822" s="2"/>
      <c r="B3822" s="2"/>
      <c r="C3822" s="2"/>
      <c r="D3822" s="2"/>
      <c r="E3822" s="2"/>
      <c r="K3822" s="77"/>
      <c r="L3822" s="77"/>
      <c r="M3822" s="76"/>
    </row>
    <row r="3823">
      <c r="A3823" s="2"/>
      <c r="B3823" s="2"/>
      <c r="C3823" s="2"/>
      <c r="D3823" s="2"/>
      <c r="E3823" s="2"/>
      <c r="K3823" s="77"/>
      <c r="L3823" s="77"/>
      <c r="M3823" s="76"/>
    </row>
    <row r="3824">
      <c r="A3824" s="2"/>
      <c r="B3824" s="2"/>
      <c r="C3824" s="2"/>
      <c r="D3824" s="2"/>
      <c r="E3824" s="2"/>
      <c r="K3824" s="77"/>
      <c r="L3824" s="77"/>
      <c r="M3824" s="76"/>
    </row>
    <row r="3825">
      <c r="A3825" s="2"/>
      <c r="B3825" s="2"/>
      <c r="C3825" s="2"/>
      <c r="D3825" s="2"/>
      <c r="E3825" s="2"/>
      <c r="K3825" s="77"/>
      <c r="L3825" s="77"/>
      <c r="M3825" s="76"/>
    </row>
    <row r="3826">
      <c r="A3826" s="2"/>
      <c r="B3826" s="2"/>
      <c r="C3826" s="2"/>
      <c r="D3826" s="2"/>
      <c r="E3826" s="2"/>
      <c r="K3826" s="77"/>
      <c r="L3826" s="77"/>
      <c r="M3826" s="76"/>
    </row>
    <row r="3827">
      <c r="A3827" s="2"/>
      <c r="B3827" s="2"/>
      <c r="C3827" s="2"/>
      <c r="D3827" s="2"/>
      <c r="E3827" s="2"/>
      <c r="K3827" s="77"/>
      <c r="L3827" s="77"/>
      <c r="M3827" s="76"/>
    </row>
    <row r="3828">
      <c r="A3828" s="2"/>
      <c r="B3828" s="2"/>
      <c r="C3828" s="2"/>
      <c r="D3828" s="2"/>
      <c r="E3828" s="2"/>
      <c r="K3828" s="77"/>
      <c r="L3828" s="77"/>
      <c r="M3828" s="76"/>
    </row>
    <row r="3829">
      <c r="A3829" s="2"/>
      <c r="B3829" s="2"/>
      <c r="C3829" s="2"/>
      <c r="D3829" s="2"/>
      <c r="E3829" s="2"/>
      <c r="K3829" s="77"/>
      <c r="L3829" s="77"/>
      <c r="M3829" s="76"/>
    </row>
    <row r="3830">
      <c r="A3830" s="2"/>
      <c r="B3830" s="2"/>
      <c r="C3830" s="2"/>
      <c r="D3830" s="2"/>
      <c r="E3830" s="2"/>
      <c r="K3830" s="77"/>
      <c r="L3830" s="77"/>
      <c r="M3830" s="76"/>
    </row>
    <row r="3831">
      <c r="A3831" s="2"/>
      <c r="B3831" s="2"/>
      <c r="C3831" s="2"/>
      <c r="D3831" s="2"/>
      <c r="E3831" s="2"/>
      <c r="K3831" s="77"/>
      <c r="L3831" s="77"/>
      <c r="M3831" s="76"/>
    </row>
    <row r="3832">
      <c r="A3832" s="2"/>
      <c r="B3832" s="2"/>
      <c r="C3832" s="2"/>
      <c r="D3832" s="2"/>
      <c r="E3832" s="2"/>
      <c r="K3832" s="77"/>
      <c r="L3832" s="77"/>
      <c r="M3832" s="76"/>
    </row>
    <row r="3833">
      <c r="A3833" s="2"/>
      <c r="B3833" s="2"/>
      <c r="C3833" s="2"/>
      <c r="D3833" s="2"/>
      <c r="E3833" s="2"/>
      <c r="K3833" s="77"/>
      <c r="L3833" s="77"/>
      <c r="M3833" s="76"/>
    </row>
    <row r="3834">
      <c r="A3834" s="2"/>
      <c r="B3834" s="2"/>
      <c r="C3834" s="2"/>
      <c r="D3834" s="2"/>
      <c r="E3834" s="2"/>
      <c r="K3834" s="77"/>
      <c r="L3834" s="77"/>
      <c r="M3834" s="76"/>
    </row>
    <row r="3835">
      <c r="A3835" s="2"/>
      <c r="B3835" s="2"/>
      <c r="C3835" s="2"/>
      <c r="D3835" s="2"/>
      <c r="E3835" s="2"/>
      <c r="K3835" s="77"/>
      <c r="L3835" s="77"/>
      <c r="M3835" s="76"/>
    </row>
    <row r="3836">
      <c r="A3836" s="2"/>
      <c r="B3836" s="2"/>
      <c r="C3836" s="2"/>
      <c r="D3836" s="2"/>
      <c r="E3836" s="2"/>
      <c r="K3836" s="77"/>
      <c r="L3836" s="77"/>
      <c r="M3836" s="76"/>
    </row>
    <row r="3837">
      <c r="A3837" s="2"/>
      <c r="B3837" s="2"/>
      <c r="C3837" s="2"/>
      <c r="D3837" s="2"/>
      <c r="E3837" s="2"/>
      <c r="K3837" s="77"/>
      <c r="L3837" s="77"/>
      <c r="M3837" s="76"/>
    </row>
    <row r="3838">
      <c r="A3838" s="2"/>
      <c r="B3838" s="2"/>
      <c r="C3838" s="2"/>
      <c r="D3838" s="2"/>
      <c r="E3838" s="2"/>
      <c r="K3838" s="77"/>
      <c r="L3838" s="77"/>
      <c r="M3838" s="76"/>
    </row>
    <row r="3839">
      <c r="A3839" s="2"/>
      <c r="B3839" s="2"/>
      <c r="C3839" s="2"/>
      <c r="D3839" s="2"/>
      <c r="E3839" s="2"/>
      <c r="K3839" s="77"/>
      <c r="L3839" s="77"/>
      <c r="M3839" s="76"/>
    </row>
    <row r="3840">
      <c r="A3840" s="2"/>
      <c r="B3840" s="2"/>
      <c r="C3840" s="2"/>
      <c r="D3840" s="2"/>
      <c r="E3840" s="2"/>
      <c r="K3840" s="77"/>
      <c r="L3840" s="77"/>
      <c r="M3840" s="76"/>
    </row>
    <row r="3841">
      <c r="A3841" s="2"/>
      <c r="B3841" s="2"/>
      <c r="C3841" s="2"/>
      <c r="D3841" s="2"/>
      <c r="E3841" s="2"/>
      <c r="K3841" s="77"/>
      <c r="L3841" s="77"/>
      <c r="M3841" s="76"/>
    </row>
    <row r="3842">
      <c r="A3842" s="77"/>
      <c r="B3842" s="77"/>
      <c r="C3842" s="77"/>
      <c r="D3842" s="77"/>
      <c r="E3842" s="77"/>
      <c r="K3842" s="77"/>
      <c r="L3842" s="77"/>
      <c r="M3842" s="76"/>
    </row>
    <row r="3843">
      <c r="A3843" s="2"/>
      <c r="B3843" s="2"/>
      <c r="C3843" s="2"/>
      <c r="D3843" s="2"/>
      <c r="E3843" s="2"/>
      <c r="K3843" s="77"/>
      <c r="L3843" s="77"/>
      <c r="M3843" s="76"/>
    </row>
    <row r="3844">
      <c r="A3844" s="2"/>
      <c r="B3844" s="2"/>
      <c r="C3844" s="2"/>
      <c r="D3844" s="2"/>
      <c r="E3844" s="2"/>
      <c r="K3844" s="77"/>
      <c r="L3844" s="77"/>
      <c r="M3844" s="76"/>
    </row>
    <row r="3845">
      <c r="A3845" s="2"/>
      <c r="B3845" s="2"/>
      <c r="C3845" s="2"/>
      <c r="D3845" s="2"/>
      <c r="E3845" s="2"/>
      <c r="K3845" s="77"/>
      <c r="L3845" s="77"/>
      <c r="M3845" s="76"/>
    </row>
    <row r="3846">
      <c r="A3846" s="2"/>
      <c r="B3846" s="2"/>
      <c r="C3846" s="2"/>
      <c r="D3846" s="2"/>
      <c r="E3846" s="2"/>
      <c r="K3846" s="77"/>
      <c r="L3846" s="77"/>
      <c r="M3846" s="76"/>
    </row>
    <row r="3847">
      <c r="A3847" s="2"/>
      <c r="B3847" s="2"/>
      <c r="C3847" s="2"/>
      <c r="D3847" s="2"/>
      <c r="E3847" s="2"/>
      <c r="K3847" s="77"/>
      <c r="L3847" s="77"/>
      <c r="M3847" s="76"/>
    </row>
    <row r="3848">
      <c r="A3848" s="2"/>
      <c r="B3848" s="2"/>
      <c r="C3848" s="2"/>
      <c r="D3848" s="2"/>
      <c r="E3848" s="2"/>
      <c r="K3848" s="77"/>
      <c r="L3848" s="77"/>
      <c r="M3848" s="76"/>
    </row>
    <row r="3849">
      <c r="A3849" s="2"/>
      <c r="B3849" s="2"/>
      <c r="C3849" s="2"/>
      <c r="D3849" s="2"/>
      <c r="E3849" s="2"/>
      <c r="K3849" s="77"/>
      <c r="L3849" s="77"/>
      <c r="M3849" s="76"/>
    </row>
    <row r="3850">
      <c r="A3850" s="2"/>
      <c r="B3850" s="2"/>
      <c r="C3850" s="2"/>
      <c r="D3850" s="2"/>
      <c r="E3850" s="2"/>
      <c r="K3850" s="77"/>
      <c r="L3850" s="77"/>
      <c r="M3850" s="76"/>
    </row>
    <row r="3851">
      <c r="A3851" s="2"/>
      <c r="B3851" s="2"/>
      <c r="C3851" s="2"/>
      <c r="D3851" s="2"/>
      <c r="E3851" s="2"/>
      <c r="K3851" s="77"/>
      <c r="L3851" s="77"/>
      <c r="M3851" s="76"/>
    </row>
    <row r="3852">
      <c r="A3852" s="2"/>
      <c r="B3852" s="2"/>
      <c r="C3852" s="2"/>
      <c r="D3852" s="2"/>
      <c r="E3852" s="2"/>
      <c r="K3852" s="77"/>
      <c r="L3852" s="77"/>
      <c r="M3852" s="76"/>
    </row>
    <row r="3853">
      <c r="A3853" s="2"/>
      <c r="B3853" s="2"/>
      <c r="C3853" s="2"/>
      <c r="D3853" s="2"/>
      <c r="E3853" s="2"/>
      <c r="K3853" s="77"/>
      <c r="L3853" s="77"/>
      <c r="M3853" s="76"/>
    </row>
    <row r="3854">
      <c r="A3854" s="2"/>
      <c r="B3854" s="2"/>
      <c r="C3854" s="2"/>
      <c r="D3854" s="2"/>
      <c r="E3854" s="2"/>
      <c r="K3854" s="77"/>
      <c r="L3854" s="77"/>
      <c r="M3854" s="76"/>
    </row>
    <row r="3855">
      <c r="A3855" s="2"/>
      <c r="B3855" s="2"/>
      <c r="C3855" s="2"/>
      <c r="D3855" s="2"/>
      <c r="E3855" s="2"/>
      <c r="K3855" s="77"/>
      <c r="L3855" s="77"/>
      <c r="M3855" s="76"/>
    </row>
    <row r="3856">
      <c r="A3856" s="2"/>
      <c r="B3856" s="2"/>
      <c r="C3856" s="2"/>
      <c r="D3856" s="2"/>
      <c r="E3856" s="2"/>
      <c r="K3856" s="77"/>
      <c r="L3856" s="77"/>
      <c r="M3856" s="76"/>
    </row>
    <row r="3857">
      <c r="A3857" s="2"/>
      <c r="B3857" s="2"/>
      <c r="C3857" s="2"/>
      <c r="D3857" s="2"/>
      <c r="E3857" s="2"/>
      <c r="K3857" s="77"/>
      <c r="L3857" s="77"/>
      <c r="M3857" s="76"/>
    </row>
    <row r="3858">
      <c r="A3858" s="2"/>
      <c r="B3858" s="2"/>
      <c r="C3858" s="2"/>
      <c r="D3858" s="2"/>
      <c r="E3858" s="2"/>
      <c r="K3858" s="77"/>
      <c r="L3858" s="77"/>
      <c r="M3858" s="76"/>
    </row>
    <row r="3859">
      <c r="A3859" s="2"/>
      <c r="B3859" s="2"/>
      <c r="C3859" s="2"/>
      <c r="D3859" s="2"/>
      <c r="E3859" s="2"/>
      <c r="K3859" s="77"/>
      <c r="L3859" s="77"/>
      <c r="M3859" s="76"/>
    </row>
    <row r="3860">
      <c r="A3860" s="2"/>
      <c r="B3860" s="2"/>
      <c r="C3860" s="2"/>
      <c r="D3860" s="2"/>
      <c r="E3860" s="2"/>
      <c r="K3860" s="77"/>
      <c r="L3860" s="77"/>
      <c r="M3860" s="76"/>
    </row>
    <row r="3861">
      <c r="A3861" s="2"/>
      <c r="B3861" s="2"/>
      <c r="C3861" s="2"/>
      <c r="D3861" s="2"/>
      <c r="E3861" s="2"/>
      <c r="K3861" s="77"/>
      <c r="L3861" s="77"/>
      <c r="M3861" s="76"/>
    </row>
    <row r="3862">
      <c r="A3862" s="2"/>
      <c r="B3862" s="2"/>
      <c r="C3862" s="2"/>
      <c r="D3862" s="2"/>
      <c r="E3862" s="2"/>
      <c r="K3862" s="77"/>
      <c r="L3862" s="77"/>
      <c r="M3862" s="76"/>
    </row>
    <row r="3863">
      <c r="A3863" s="2"/>
      <c r="B3863" s="2"/>
      <c r="C3863" s="2"/>
      <c r="D3863" s="2"/>
      <c r="E3863" s="2"/>
      <c r="K3863" s="77"/>
      <c r="L3863" s="77"/>
      <c r="M3863" s="76"/>
    </row>
    <row r="3864">
      <c r="A3864" s="2"/>
      <c r="B3864" s="2"/>
      <c r="C3864" s="2"/>
      <c r="D3864" s="2"/>
      <c r="E3864" s="2"/>
      <c r="K3864" s="77"/>
      <c r="L3864" s="77"/>
      <c r="M3864" s="76"/>
    </row>
    <row r="3865">
      <c r="A3865" s="2"/>
      <c r="B3865" s="2"/>
      <c r="C3865" s="2"/>
      <c r="D3865" s="2"/>
      <c r="E3865" s="2"/>
      <c r="K3865" s="77"/>
      <c r="L3865" s="77"/>
      <c r="M3865" s="76"/>
    </row>
    <row r="3866">
      <c r="A3866" s="77"/>
      <c r="B3866" s="77"/>
      <c r="C3866" s="77"/>
      <c r="D3866" s="77"/>
      <c r="E3866" s="77"/>
      <c r="K3866" s="77"/>
      <c r="L3866" s="77"/>
      <c r="M3866" s="76"/>
    </row>
    <row r="3867">
      <c r="A3867" s="2"/>
      <c r="B3867" s="2"/>
      <c r="C3867" s="2"/>
      <c r="D3867" s="2"/>
      <c r="E3867" s="2"/>
      <c r="K3867" s="77"/>
      <c r="L3867" s="77"/>
      <c r="M3867" s="76"/>
    </row>
    <row r="3868">
      <c r="A3868" s="2"/>
      <c r="B3868" s="2"/>
      <c r="C3868" s="2"/>
      <c r="D3868" s="2"/>
      <c r="E3868" s="2"/>
      <c r="K3868" s="77"/>
      <c r="L3868" s="77"/>
      <c r="M3868" s="76"/>
    </row>
    <row r="3869">
      <c r="A3869" s="2"/>
      <c r="B3869" s="2"/>
      <c r="C3869" s="2"/>
      <c r="D3869" s="2"/>
      <c r="E3869" s="2"/>
      <c r="K3869" s="77"/>
      <c r="L3869" s="77"/>
      <c r="M3869" s="76"/>
    </row>
    <row r="3870">
      <c r="A3870" s="2"/>
      <c r="B3870" s="2"/>
      <c r="C3870" s="2"/>
      <c r="D3870" s="2"/>
      <c r="E3870" s="2"/>
      <c r="K3870" s="77"/>
      <c r="L3870" s="77"/>
      <c r="M3870" s="76"/>
    </row>
    <row r="3871">
      <c r="A3871" s="2"/>
      <c r="B3871" s="2"/>
      <c r="C3871" s="2"/>
      <c r="D3871" s="2"/>
      <c r="E3871" s="2"/>
      <c r="K3871" s="77"/>
      <c r="L3871" s="77"/>
      <c r="M3871" s="76"/>
    </row>
    <row r="3872">
      <c r="A3872" s="2"/>
      <c r="B3872" s="2"/>
      <c r="C3872" s="2"/>
      <c r="D3872" s="2"/>
      <c r="E3872" s="2"/>
      <c r="K3872" s="77"/>
      <c r="L3872" s="77"/>
      <c r="M3872" s="76"/>
    </row>
    <row r="3873">
      <c r="A3873" s="2"/>
      <c r="B3873" s="2"/>
      <c r="C3873" s="2"/>
      <c r="D3873" s="2"/>
      <c r="E3873" s="2"/>
      <c r="K3873" s="77"/>
      <c r="L3873" s="77"/>
      <c r="M3873" s="76"/>
    </row>
    <row r="3874">
      <c r="A3874" s="2"/>
      <c r="B3874" s="2"/>
      <c r="C3874" s="2"/>
      <c r="D3874" s="2"/>
      <c r="E3874" s="2"/>
      <c r="K3874" s="77"/>
      <c r="L3874" s="77"/>
      <c r="M3874" s="76"/>
    </row>
    <row r="3875">
      <c r="A3875" s="2"/>
      <c r="B3875" s="2"/>
      <c r="C3875" s="2"/>
      <c r="D3875" s="2"/>
      <c r="E3875" s="2"/>
      <c r="K3875" s="77"/>
      <c r="L3875" s="77"/>
      <c r="M3875" s="76"/>
    </row>
    <row r="3876">
      <c r="A3876" s="2"/>
      <c r="B3876" s="2"/>
      <c r="C3876" s="2"/>
      <c r="D3876" s="2"/>
      <c r="E3876" s="2"/>
      <c r="K3876" s="77"/>
      <c r="L3876" s="77"/>
      <c r="M3876" s="76"/>
    </row>
    <row r="3877">
      <c r="A3877" s="2"/>
      <c r="B3877" s="2"/>
      <c r="C3877" s="2"/>
      <c r="D3877" s="2"/>
      <c r="E3877" s="2"/>
      <c r="K3877" s="77"/>
      <c r="L3877" s="77"/>
      <c r="M3877" s="76"/>
    </row>
    <row r="3878">
      <c r="A3878" s="2"/>
      <c r="B3878" s="2"/>
      <c r="C3878" s="2"/>
      <c r="D3878" s="2"/>
      <c r="E3878" s="2"/>
      <c r="K3878" s="77"/>
      <c r="L3878" s="77"/>
      <c r="M3878" s="76"/>
    </row>
    <row r="3879">
      <c r="A3879" s="2"/>
      <c r="B3879" s="2"/>
      <c r="C3879" s="2"/>
      <c r="D3879" s="2"/>
      <c r="E3879" s="2"/>
      <c r="K3879" s="77"/>
      <c r="L3879" s="77"/>
      <c r="M3879" s="76"/>
    </row>
    <row r="3880">
      <c r="A3880" s="2"/>
      <c r="B3880" s="2"/>
      <c r="C3880" s="2"/>
      <c r="D3880" s="2"/>
      <c r="E3880" s="2"/>
      <c r="K3880" s="77"/>
      <c r="L3880" s="77"/>
      <c r="M3880" s="76"/>
    </row>
    <row r="3881">
      <c r="A3881" s="2"/>
      <c r="B3881" s="2"/>
      <c r="C3881" s="2"/>
      <c r="D3881" s="2"/>
      <c r="E3881" s="2"/>
      <c r="K3881" s="77"/>
      <c r="L3881" s="77"/>
      <c r="M3881" s="76"/>
    </row>
    <row r="3882">
      <c r="A3882" s="2"/>
      <c r="B3882" s="2"/>
      <c r="C3882" s="2"/>
      <c r="D3882" s="2"/>
      <c r="E3882" s="2"/>
      <c r="K3882" s="77"/>
      <c r="L3882" s="77"/>
      <c r="M3882" s="76"/>
    </row>
    <row r="3883">
      <c r="A3883" s="2"/>
      <c r="B3883" s="2"/>
      <c r="C3883" s="2"/>
      <c r="D3883" s="2"/>
      <c r="E3883" s="2"/>
      <c r="K3883" s="77"/>
      <c r="L3883" s="77"/>
      <c r="M3883" s="76"/>
    </row>
    <row r="3884">
      <c r="A3884" s="2"/>
      <c r="B3884" s="2"/>
      <c r="C3884" s="2"/>
      <c r="D3884" s="2"/>
      <c r="E3884" s="2"/>
      <c r="K3884" s="77"/>
      <c r="L3884" s="77"/>
      <c r="M3884" s="76"/>
    </row>
    <row r="3885">
      <c r="A3885" s="2"/>
      <c r="B3885" s="2"/>
      <c r="C3885" s="2"/>
      <c r="D3885" s="2"/>
      <c r="E3885" s="2"/>
      <c r="K3885" s="77"/>
      <c r="L3885" s="77"/>
      <c r="M3885" s="76"/>
    </row>
    <row r="3886">
      <c r="A3886" s="2"/>
      <c r="B3886" s="2"/>
      <c r="C3886" s="2"/>
      <c r="D3886" s="2"/>
      <c r="E3886" s="2"/>
      <c r="K3886" s="77"/>
      <c r="L3886" s="77"/>
      <c r="M3886" s="76"/>
    </row>
    <row r="3887">
      <c r="A3887" s="2"/>
      <c r="B3887" s="2"/>
      <c r="C3887" s="2"/>
      <c r="D3887" s="2"/>
      <c r="E3887" s="2"/>
      <c r="K3887" s="77"/>
      <c r="L3887" s="77"/>
      <c r="M3887" s="76"/>
    </row>
    <row r="3888">
      <c r="A3888" s="2"/>
      <c r="B3888" s="2"/>
      <c r="C3888" s="2"/>
      <c r="D3888" s="2"/>
      <c r="E3888" s="2"/>
      <c r="K3888" s="77"/>
      <c r="L3888" s="77"/>
      <c r="M3888" s="76"/>
    </row>
    <row r="3889">
      <c r="A3889" s="2"/>
      <c r="B3889" s="2"/>
      <c r="C3889" s="2"/>
      <c r="D3889" s="2"/>
      <c r="E3889" s="2"/>
      <c r="K3889" s="77"/>
      <c r="L3889" s="77"/>
      <c r="M3889" s="76"/>
    </row>
    <row r="3890">
      <c r="A3890" s="77"/>
      <c r="B3890" s="77"/>
      <c r="C3890" s="77"/>
      <c r="D3890" s="77"/>
      <c r="E3890" s="77"/>
      <c r="K3890" s="77"/>
      <c r="L3890" s="77"/>
      <c r="M3890" s="76"/>
    </row>
    <row r="3891">
      <c r="A3891" s="2"/>
      <c r="B3891" s="2"/>
      <c r="C3891" s="2"/>
      <c r="D3891" s="2"/>
      <c r="E3891" s="2"/>
      <c r="K3891" s="77"/>
      <c r="L3891" s="77"/>
      <c r="M3891" s="76"/>
    </row>
    <row r="3892">
      <c r="A3892" s="2"/>
      <c r="B3892" s="2"/>
      <c r="C3892" s="2"/>
      <c r="D3892" s="2"/>
      <c r="E3892" s="2"/>
      <c r="K3892" s="77"/>
      <c r="L3892" s="77"/>
      <c r="M3892" s="76"/>
    </row>
    <row r="3893">
      <c r="A3893" s="2"/>
      <c r="B3893" s="2"/>
      <c r="C3893" s="2"/>
      <c r="D3893" s="2"/>
      <c r="E3893" s="2"/>
      <c r="K3893" s="77"/>
      <c r="L3893" s="77"/>
      <c r="M3893" s="76"/>
    </row>
    <row r="3894">
      <c r="A3894" s="2"/>
      <c r="B3894" s="2"/>
      <c r="C3894" s="2"/>
      <c r="D3894" s="2"/>
      <c r="E3894" s="2"/>
      <c r="K3894" s="77"/>
      <c r="L3894" s="77"/>
      <c r="M3894" s="76"/>
    </row>
    <row r="3895">
      <c r="A3895" s="2"/>
      <c r="B3895" s="2"/>
      <c r="C3895" s="2"/>
      <c r="D3895" s="2"/>
      <c r="E3895" s="2"/>
      <c r="K3895" s="77"/>
      <c r="L3895" s="77"/>
      <c r="M3895" s="76"/>
    </row>
    <row r="3896">
      <c r="A3896" s="2"/>
      <c r="B3896" s="2"/>
      <c r="C3896" s="2"/>
      <c r="D3896" s="2"/>
      <c r="E3896" s="2"/>
      <c r="K3896" s="77"/>
      <c r="L3896" s="77"/>
      <c r="M3896" s="76"/>
    </row>
    <row r="3897">
      <c r="A3897" s="2"/>
      <c r="B3897" s="2"/>
      <c r="C3897" s="2"/>
      <c r="D3897" s="2"/>
      <c r="E3897" s="2"/>
      <c r="K3897" s="77"/>
      <c r="L3897" s="77"/>
      <c r="M3897" s="76"/>
    </row>
    <row r="3898">
      <c r="A3898" s="2"/>
      <c r="B3898" s="2"/>
      <c r="C3898" s="2"/>
      <c r="D3898" s="2"/>
      <c r="E3898" s="2"/>
      <c r="K3898" s="77"/>
      <c r="L3898" s="77"/>
      <c r="M3898" s="76"/>
    </row>
    <row r="3899">
      <c r="A3899" s="2"/>
      <c r="B3899" s="2"/>
      <c r="C3899" s="2"/>
      <c r="D3899" s="2"/>
      <c r="E3899" s="2"/>
      <c r="K3899" s="77"/>
      <c r="L3899" s="77"/>
      <c r="M3899" s="76"/>
    </row>
    <row r="3900">
      <c r="A3900" s="2"/>
      <c r="B3900" s="2"/>
      <c r="C3900" s="2"/>
      <c r="D3900" s="2"/>
      <c r="E3900" s="2"/>
      <c r="K3900" s="77"/>
      <c r="L3900" s="77"/>
      <c r="M3900" s="76"/>
    </row>
    <row r="3901">
      <c r="A3901" s="2"/>
      <c r="B3901" s="2"/>
      <c r="C3901" s="2"/>
      <c r="D3901" s="2"/>
      <c r="E3901" s="2"/>
      <c r="K3901" s="77"/>
      <c r="L3901" s="77"/>
      <c r="M3901" s="76"/>
    </row>
    <row r="3902">
      <c r="A3902" s="2"/>
      <c r="B3902" s="2"/>
      <c r="C3902" s="2"/>
      <c r="D3902" s="2"/>
      <c r="E3902" s="2"/>
      <c r="K3902" s="77"/>
      <c r="L3902" s="77"/>
      <c r="M3902" s="76"/>
    </row>
    <row r="3903">
      <c r="A3903" s="2"/>
      <c r="B3903" s="2"/>
      <c r="C3903" s="2"/>
      <c r="D3903" s="2"/>
      <c r="E3903" s="2"/>
      <c r="K3903" s="77"/>
      <c r="L3903" s="77"/>
      <c r="M3903" s="76"/>
    </row>
    <row r="3904">
      <c r="A3904" s="2"/>
      <c r="B3904" s="2"/>
      <c r="C3904" s="2"/>
      <c r="D3904" s="2"/>
      <c r="E3904" s="2"/>
      <c r="K3904" s="77"/>
      <c r="L3904" s="77"/>
      <c r="M3904" s="76"/>
    </row>
    <row r="3905">
      <c r="A3905" s="2"/>
      <c r="B3905" s="2"/>
      <c r="C3905" s="2"/>
      <c r="D3905" s="2"/>
      <c r="E3905" s="2"/>
      <c r="K3905" s="77"/>
      <c r="L3905" s="77"/>
      <c r="M3905" s="76"/>
    </row>
    <row r="3906">
      <c r="A3906" s="2"/>
      <c r="B3906" s="2"/>
      <c r="C3906" s="2"/>
      <c r="D3906" s="2"/>
      <c r="E3906" s="2"/>
      <c r="K3906" s="77"/>
      <c r="L3906" s="77"/>
      <c r="M3906" s="76"/>
    </row>
    <row r="3907">
      <c r="A3907" s="2"/>
      <c r="B3907" s="2"/>
      <c r="C3907" s="2"/>
      <c r="D3907" s="2"/>
      <c r="E3907" s="2"/>
      <c r="K3907" s="77"/>
      <c r="L3907" s="77"/>
      <c r="M3907" s="76"/>
    </row>
    <row r="3908">
      <c r="A3908" s="2"/>
      <c r="B3908" s="2"/>
      <c r="C3908" s="2"/>
      <c r="D3908" s="2"/>
      <c r="E3908" s="2"/>
      <c r="K3908" s="77"/>
      <c r="L3908" s="77"/>
      <c r="M3908" s="76"/>
    </row>
    <row r="3909">
      <c r="A3909" s="2"/>
      <c r="B3909" s="2"/>
      <c r="C3909" s="2"/>
      <c r="D3909" s="2"/>
      <c r="E3909" s="2"/>
      <c r="K3909" s="77"/>
      <c r="L3909" s="77"/>
      <c r="M3909" s="76"/>
    </row>
    <row r="3910">
      <c r="A3910" s="2"/>
      <c r="B3910" s="2"/>
      <c r="C3910" s="2"/>
      <c r="D3910" s="2"/>
      <c r="E3910" s="2"/>
      <c r="K3910" s="77"/>
      <c r="L3910" s="77"/>
      <c r="M3910" s="76"/>
    </row>
    <row r="3911">
      <c r="A3911" s="2"/>
      <c r="B3911" s="2"/>
      <c r="C3911" s="2"/>
      <c r="D3911" s="2"/>
      <c r="E3911" s="2"/>
      <c r="K3911" s="77"/>
      <c r="L3911" s="77"/>
      <c r="M3911" s="76"/>
    </row>
    <row r="3912">
      <c r="A3912" s="2"/>
      <c r="B3912" s="2"/>
      <c r="C3912" s="2"/>
      <c r="D3912" s="2"/>
      <c r="E3912" s="2"/>
      <c r="K3912" s="77"/>
      <c r="L3912" s="77"/>
      <c r="M3912" s="76"/>
    </row>
    <row r="3913">
      <c r="A3913" s="2"/>
      <c r="B3913" s="2"/>
      <c r="C3913" s="2"/>
      <c r="D3913" s="2"/>
      <c r="E3913" s="2"/>
      <c r="K3913" s="77"/>
      <c r="L3913" s="77"/>
      <c r="M3913" s="76"/>
    </row>
    <row r="3914">
      <c r="A3914" s="77"/>
      <c r="B3914" s="77"/>
      <c r="C3914" s="77"/>
      <c r="D3914" s="77"/>
      <c r="E3914" s="77"/>
      <c r="K3914" s="77"/>
      <c r="L3914" s="77"/>
      <c r="M3914" s="76"/>
    </row>
    <row r="3915">
      <c r="A3915" s="2"/>
      <c r="B3915" s="2"/>
      <c r="C3915" s="2"/>
      <c r="D3915" s="2"/>
      <c r="E3915" s="2"/>
      <c r="K3915" s="77"/>
      <c r="L3915" s="77"/>
      <c r="M3915" s="76"/>
    </row>
    <row r="3916">
      <c r="A3916" s="2"/>
      <c r="B3916" s="2"/>
      <c r="C3916" s="2"/>
      <c r="D3916" s="2"/>
      <c r="E3916" s="2"/>
      <c r="K3916" s="77"/>
      <c r="L3916" s="77"/>
      <c r="M3916" s="76"/>
    </row>
    <row r="3917">
      <c r="A3917" s="2"/>
      <c r="B3917" s="2"/>
      <c r="C3917" s="2"/>
      <c r="D3917" s="2"/>
      <c r="E3917" s="2"/>
      <c r="K3917" s="77"/>
      <c r="L3917" s="77"/>
      <c r="M3917" s="76"/>
    </row>
    <row r="3918">
      <c r="A3918" s="2"/>
      <c r="B3918" s="2"/>
      <c r="C3918" s="2"/>
      <c r="D3918" s="2"/>
      <c r="E3918" s="2"/>
      <c r="K3918" s="77"/>
      <c r="L3918" s="77"/>
      <c r="M3918" s="76"/>
    </row>
    <row r="3919">
      <c r="A3919" s="2"/>
      <c r="B3919" s="2"/>
      <c r="C3919" s="2"/>
      <c r="D3919" s="2"/>
      <c r="E3919" s="2"/>
      <c r="K3919" s="77"/>
      <c r="L3919" s="77"/>
      <c r="M3919" s="76"/>
    </row>
    <row r="3920">
      <c r="A3920" s="2"/>
      <c r="B3920" s="2"/>
      <c r="C3920" s="2"/>
      <c r="D3920" s="2"/>
      <c r="E3920" s="2"/>
      <c r="K3920" s="77"/>
      <c r="L3920" s="77"/>
      <c r="M3920" s="76"/>
    </row>
    <row r="3921">
      <c r="A3921" s="2"/>
      <c r="B3921" s="2"/>
      <c r="C3921" s="2"/>
      <c r="D3921" s="2"/>
      <c r="E3921" s="2"/>
      <c r="K3921" s="77"/>
      <c r="L3921" s="77"/>
      <c r="M3921" s="76"/>
    </row>
    <row r="3922">
      <c r="A3922" s="2"/>
      <c r="B3922" s="2"/>
      <c r="C3922" s="2"/>
      <c r="D3922" s="2"/>
      <c r="E3922" s="2"/>
      <c r="K3922" s="77"/>
      <c r="L3922" s="77"/>
      <c r="M3922" s="76"/>
    </row>
    <row r="3923">
      <c r="A3923" s="2"/>
      <c r="B3923" s="2"/>
      <c r="C3923" s="2"/>
      <c r="D3923" s="2"/>
      <c r="E3923" s="2"/>
      <c r="K3923" s="77"/>
      <c r="L3923" s="77"/>
      <c r="M3923" s="76"/>
    </row>
    <row r="3924">
      <c r="A3924" s="2"/>
      <c r="B3924" s="2"/>
      <c r="C3924" s="2"/>
      <c r="D3924" s="2"/>
      <c r="E3924" s="2"/>
      <c r="K3924" s="77"/>
      <c r="L3924" s="77"/>
      <c r="M3924" s="76"/>
    </row>
    <row r="3925">
      <c r="A3925" s="2"/>
      <c r="B3925" s="2"/>
      <c r="C3925" s="2"/>
      <c r="D3925" s="2"/>
      <c r="E3925" s="2"/>
      <c r="K3925" s="77"/>
      <c r="L3925" s="77"/>
      <c r="M3925" s="76"/>
    </row>
    <row r="3926">
      <c r="A3926" s="2"/>
      <c r="B3926" s="2"/>
      <c r="C3926" s="2"/>
      <c r="D3926" s="2"/>
      <c r="E3926" s="2"/>
      <c r="K3926" s="77"/>
      <c r="L3926" s="77"/>
      <c r="M3926" s="76"/>
    </row>
    <row r="3927">
      <c r="A3927" s="2"/>
      <c r="B3927" s="2"/>
      <c r="C3927" s="2"/>
      <c r="D3927" s="2"/>
      <c r="E3927" s="2"/>
      <c r="K3927" s="77"/>
      <c r="L3927" s="77"/>
      <c r="M3927" s="76"/>
    </row>
    <row r="3928">
      <c r="A3928" s="2"/>
      <c r="B3928" s="2"/>
      <c r="C3928" s="2"/>
      <c r="D3928" s="2"/>
      <c r="E3928" s="2"/>
      <c r="K3928" s="77"/>
      <c r="L3928" s="77"/>
      <c r="M3928" s="76"/>
    </row>
    <row r="3929">
      <c r="A3929" s="2"/>
      <c r="B3929" s="2"/>
      <c r="C3929" s="2"/>
      <c r="D3929" s="2"/>
      <c r="E3929" s="2"/>
      <c r="K3929" s="77"/>
      <c r="L3929" s="77"/>
      <c r="M3929" s="76"/>
    </row>
    <row r="3930">
      <c r="A3930" s="2"/>
      <c r="B3930" s="2"/>
      <c r="C3930" s="2"/>
      <c r="D3930" s="2"/>
      <c r="E3930" s="2"/>
      <c r="K3930" s="77"/>
      <c r="L3930" s="77"/>
      <c r="M3930" s="76"/>
    </row>
    <row r="3931">
      <c r="A3931" s="2"/>
      <c r="B3931" s="2"/>
      <c r="C3931" s="2"/>
      <c r="D3931" s="2"/>
      <c r="E3931" s="2"/>
      <c r="K3931" s="77"/>
      <c r="L3931" s="77"/>
      <c r="M3931" s="76"/>
    </row>
    <row r="3932">
      <c r="A3932" s="2"/>
      <c r="B3932" s="2"/>
      <c r="C3932" s="2"/>
      <c r="D3932" s="2"/>
      <c r="E3932" s="2"/>
      <c r="K3932" s="77"/>
      <c r="L3932" s="77"/>
      <c r="M3932" s="76"/>
    </row>
    <row r="3933">
      <c r="A3933" s="2"/>
      <c r="B3933" s="2"/>
      <c r="C3933" s="2"/>
      <c r="D3933" s="2"/>
      <c r="E3933" s="2"/>
      <c r="K3933" s="77"/>
      <c r="L3933" s="77"/>
      <c r="M3933" s="76"/>
    </row>
    <row r="3934">
      <c r="A3934" s="2"/>
      <c r="B3934" s="2"/>
      <c r="C3934" s="2"/>
      <c r="D3934" s="2"/>
      <c r="E3934" s="2"/>
      <c r="K3934" s="77"/>
      <c r="L3934" s="77"/>
      <c r="M3934" s="76"/>
    </row>
    <row r="3935">
      <c r="A3935" s="2"/>
      <c r="B3935" s="2"/>
      <c r="C3935" s="2"/>
      <c r="D3935" s="2"/>
      <c r="E3935" s="2"/>
      <c r="K3935" s="77"/>
      <c r="L3935" s="77"/>
      <c r="M3935" s="76"/>
    </row>
    <row r="3936">
      <c r="A3936" s="2"/>
      <c r="B3936" s="2"/>
      <c r="C3936" s="2"/>
      <c r="D3936" s="2"/>
      <c r="E3936" s="2"/>
      <c r="K3936" s="77"/>
      <c r="L3936" s="77"/>
      <c r="M3936" s="76"/>
    </row>
    <row r="3937">
      <c r="A3937" s="2"/>
      <c r="B3937" s="2"/>
      <c r="C3937" s="2"/>
      <c r="D3937" s="2"/>
      <c r="E3937" s="2"/>
      <c r="K3937" s="77"/>
      <c r="L3937" s="77"/>
      <c r="M3937" s="76"/>
    </row>
    <row r="3938">
      <c r="A3938" s="77"/>
      <c r="B3938" s="77"/>
      <c r="C3938" s="77"/>
      <c r="D3938" s="77"/>
      <c r="E3938" s="77"/>
      <c r="K3938" s="77"/>
      <c r="L3938" s="77"/>
      <c r="M3938" s="76"/>
    </row>
    <row r="3939">
      <c r="A3939" s="2"/>
      <c r="B3939" s="2"/>
      <c r="C3939" s="2"/>
      <c r="D3939" s="2"/>
      <c r="E3939" s="2"/>
      <c r="K3939" s="77"/>
      <c r="L3939" s="77"/>
      <c r="M3939" s="76"/>
    </row>
    <row r="3940">
      <c r="A3940" s="2"/>
      <c r="B3940" s="2"/>
      <c r="C3940" s="2"/>
      <c r="D3940" s="2"/>
      <c r="E3940" s="2"/>
      <c r="K3940" s="77"/>
      <c r="L3940" s="77"/>
      <c r="M3940" s="76"/>
    </row>
    <row r="3941">
      <c r="A3941" s="2"/>
      <c r="B3941" s="2"/>
      <c r="C3941" s="2"/>
      <c r="D3941" s="2"/>
      <c r="E3941" s="2"/>
      <c r="K3941" s="77"/>
      <c r="L3941" s="77"/>
      <c r="M3941" s="76"/>
    </row>
    <row r="3942">
      <c r="A3942" s="2"/>
      <c r="B3942" s="2"/>
      <c r="C3942" s="2"/>
      <c r="D3942" s="2"/>
      <c r="E3942" s="2"/>
      <c r="K3942" s="77"/>
      <c r="L3942" s="77"/>
      <c r="M3942" s="76"/>
    </row>
    <row r="3943">
      <c r="A3943" s="2"/>
      <c r="B3943" s="2"/>
      <c r="C3943" s="2"/>
      <c r="D3943" s="2"/>
      <c r="E3943" s="2"/>
      <c r="K3943" s="77"/>
      <c r="L3943" s="77"/>
      <c r="M3943" s="76"/>
    </row>
    <row r="3944">
      <c r="A3944" s="2"/>
      <c r="B3944" s="2"/>
      <c r="C3944" s="2"/>
      <c r="D3944" s="2"/>
      <c r="E3944" s="2"/>
      <c r="K3944" s="77"/>
      <c r="L3944" s="77"/>
      <c r="M3944" s="76"/>
    </row>
    <row r="3945">
      <c r="A3945" s="2"/>
      <c r="B3945" s="2"/>
      <c r="C3945" s="2"/>
      <c r="D3945" s="2"/>
      <c r="E3945" s="2"/>
      <c r="K3945" s="77"/>
      <c r="L3945" s="77"/>
      <c r="M3945" s="76"/>
    </row>
    <row r="3946">
      <c r="A3946" s="2"/>
      <c r="B3946" s="2"/>
      <c r="C3946" s="2"/>
      <c r="D3946" s="2"/>
      <c r="E3946" s="2"/>
      <c r="K3946" s="77"/>
      <c r="L3946" s="77"/>
      <c r="M3946" s="76"/>
    </row>
    <row r="3947">
      <c r="A3947" s="2"/>
      <c r="B3947" s="2"/>
      <c r="C3947" s="2"/>
      <c r="D3947" s="2"/>
      <c r="E3947" s="2"/>
      <c r="K3947" s="77"/>
      <c r="L3947" s="77"/>
      <c r="M3947" s="76"/>
    </row>
    <row r="3948">
      <c r="A3948" s="2"/>
      <c r="B3948" s="2"/>
      <c r="C3948" s="2"/>
      <c r="D3948" s="2"/>
      <c r="E3948" s="2"/>
      <c r="K3948" s="77"/>
      <c r="L3948" s="77"/>
      <c r="M3948" s="76"/>
    </row>
    <row r="3949">
      <c r="A3949" s="2"/>
      <c r="B3949" s="2"/>
      <c r="C3949" s="2"/>
      <c r="D3949" s="2"/>
      <c r="E3949" s="2"/>
      <c r="K3949" s="77"/>
      <c r="L3949" s="77"/>
      <c r="M3949" s="76"/>
    </row>
    <row r="3950">
      <c r="A3950" s="2"/>
      <c r="B3950" s="2"/>
      <c r="C3950" s="2"/>
      <c r="D3950" s="2"/>
      <c r="E3950" s="2"/>
      <c r="K3950" s="77"/>
      <c r="L3950" s="77"/>
      <c r="M3950" s="76"/>
    </row>
    <row r="3951">
      <c r="A3951" s="2"/>
      <c r="B3951" s="2"/>
      <c r="C3951" s="2"/>
      <c r="D3951" s="2"/>
      <c r="E3951" s="2"/>
      <c r="K3951" s="77"/>
      <c r="L3951" s="77"/>
      <c r="M3951" s="76"/>
    </row>
    <row r="3952">
      <c r="A3952" s="2"/>
      <c r="B3952" s="2"/>
      <c r="C3952" s="2"/>
      <c r="D3952" s="2"/>
      <c r="E3952" s="2"/>
      <c r="K3952" s="77"/>
      <c r="L3952" s="77"/>
      <c r="M3952" s="76"/>
    </row>
    <row r="3953">
      <c r="A3953" s="2"/>
      <c r="B3953" s="2"/>
      <c r="C3953" s="2"/>
      <c r="D3953" s="2"/>
      <c r="E3953" s="2"/>
      <c r="K3953" s="77"/>
      <c r="L3953" s="77"/>
      <c r="M3953" s="76"/>
    </row>
    <row r="3954">
      <c r="A3954" s="2"/>
      <c r="B3954" s="2"/>
      <c r="C3954" s="2"/>
      <c r="D3954" s="2"/>
      <c r="E3954" s="2"/>
      <c r="K3954" s="77"/>
      <c r="L3954" s="77"/>
      <c r="M3954" s="76"/>
    </row>
    <row r="3955">
      <c r="A3955" s="2"/>
      <c r="B3955" s="2"/>
      <c r="C3955" s="2"/>
      <c r="D3955" s="2"/>
      <c r="E3955" s="2"/>
      <c r="K3955" s="77"/>
      <c r="L3955" s="77"/>
      <c r="M3955" s="76"/>
    </row>
    <row r="3956">
      <c r="A3956" s="2"/>
      <c r="B3956" s="2"/>
      <c r="C3956" s="2"/>
      <c r="D3956" s="2"/>
      <c r="E3956" s="2"/>
      <c r="K3956" s="77"/>
      <c r="L3956" s="77"/>
      <c r="M3956" s="76"/>
    </row>
    <row r="3957">
      <c r="A3957" s="2"/>
      <c r="B3957" s="2"/>
      <c r="C3957" s="2"/>
      <c r="D3957" s="2"/>
      <c r="E3957" s="2"/>
      <c r="K3957" s="77"/>
      <c r="L3957" s="77"/>
      <c r="M3957" s="76"/>
    </row>
    <row r="3958">
      <c r="A3958" s="2"/>
      <c r="B3958" s="2"/>
      <c r="C3958" s="2"/>
      <c r="D3958" s="2"/>
      <c r="E3958" s="2"/>
      <c r="K3958" s="77"/>
      <c r="L3958" s="77"/>
      <c r="M3958" s="76"/>
    </row>
    <row r="3959">
      <c r="A3959" s="2"/>
      <c r="B3959" s="2"/>
      <c r="C3959" s="2"/>
      <c r="D3959" s="2"/>
      <c r="E3959" s="2"/>
      <c r="K3959" s="77"/>
      <c r="L3959" s="77"/>
      <c r="M3959" s="76"/>
    </row>
    <row r="3960">
      <c r="A3960" s="2"/>
      <c r="B3960" s="2"/>
      <c r="C3960" s="2"/>
      <c r="D3960" s="2"/>
      <c r="E3960" s="2"/>
      <c r="K3960" s="77"/>
      <c r="L3960" s="77"/>
      <c r="M3960" s="76"/>
    </row>
    <row r="3961">
      <c r="A3961" s="2"/>
      <c r="B3961" s="2"/>
      <c r="C3961" s="2"/>
      <c r="D3961" s="2"/>
      <c r="E3961" s="2"/>
      <c r="K3961" s="77"/>
      <c r="L3961" s="77"/>
      <c r="M3961" s="76"/>
    </row>
    <row r="3962">
      <c r="A3962" s="77"/>
      <c r="B3962" s="77"/>
      <c r="C3962" s="77"/>
      <c r="D3962" s="77"/>
      <c r="E3962" s="77"/>
      <c r="K3962" s="77"/>
      <c r="L3962" s="77"/>
      <c r="M3962" s="76"/>
    </row>
    <row r="3963">
      <c r="A3963" s="2"/>
      <c r="B3963" s="2"/>
      <c r="C3963" s="2"/>
      <c r="D3963" s="2"/>
      <c r="E3963" s="2"/>
      <c r="K3963" s="77"/>
      <c r="L3963" s="77"/>
      <c r="M3963" s="76"/>
    </row>
    <row r="3964">
      <c r="A3964" s="2"/>
      <c r="B3964" s="2"/>
      <c r="C3964" s="2"/>
      <c r="D3964" s="2"/>
      <c r="E3964" s="2"/>
      <c r="K3964" s="77"/>
      <c r="L3964" s="77"/>
      <c r="M3964" s="76"/>
    </row>
    <row r="3965">
      <c r="A3965" s="2"/>
      <c r="B3965" s="2"/>
      <c r="C3965" s="2"/>
      <c r="D3965" s="2"/>
      <c r="E3965" s="2"/>
      <c r="K3965" s="77"/>
      <c r="L3965" s="77"/>
      <c r="M3965" s="76"/>
    </row>
    <row r="3966">
      <c r="A3966" s="2"/>
      <c r="B3966" s="2"/>
      <c r="C3966" s="2"/>
      <c r="D3966" s="2"/>
      <c r="E3966" s="2"/>
      <c r="K3966" s="77"/>
      <c r="L3966" s="77"/>
      <c r="M3966" s="76"/>
    </row>
    <row r="3967">
      <c r="A3967" s="2"/>
      <c r="B3967" s="2"/>
      <c r="C3967" s="2"/>
      <c r="D3967" s="2"/>
      <c r="E3967" s="2"/>
      <c r="K3967" s="77"/>
      <c r="L3967" s="77"/>
      <c r="M3967" s="76"/>
    </row>
    <row r="3968">
      <c r="A3968" s="2"/>
      <c r="B3968" s="2"/>
      <c r="C3968" s="2"/>
      <c r="D3968" s="2"/>
      <c r="E3968" s="2"/>
      <c r="K3968" s="77"/>
      <c r="L3968" s="77"/>
      <c r="M3968" s="76"/>
    </row>
    <row r="3969">
      <c r="A3969" s="2"/>
      <c r="B3969" s="2"/>
      <c r="C3969" s="2"/>
      <c r="D3969" s="2"/>
      <c r="E3969" s="2"/>
      <c r="K3969" s="77"/>
      <c r="L3969" s="77"/>
      <c r="M3969" s="76"/>
    </row>
    <row r="3970">
      <c r="A3970" s="2"/>
      <c r="B3970" s="2"/>
      <c r="C3970" s="2"/>
      <c r="D3970" s="2"/>
      <c r="E3970" s="2"/>
      <c r="K3970" s="77"/>
      <c r="L3970" s="77"/>
      <c r="M3970" s="76"/>
    </row>
    <row r="3971">
      <c r="A3971" s="2"/>
      <c r="B3971" s="2"/>
      <c r="C3971" s="2"/>
      <c r="D3971" s="2"/>
      <c r="E3971" s="2"/>
      <c r="K3971" s="77"/>
      <c r="L3971" s="77"/>
      <c r="M3971" s="76"/>
    </row>
    <row r="3972">
      <c r="A3972" s="2"/>
      <c r="B3972" s="2"/>
      <c r="C3972" s="2"/>
      <c r="D3972" s="2"/>
      <c r="E3972" s="2"/>
      <c r="K3972" s="77"/>
      <c r="L3972" s="77"/>
      <c r="M3972" s="76"/>
    </row>
    <row r="3973">
      <c r="A3973" s="2"/>
      <c r="B3973" s="2"/>
      <c r="C3973" s="2"/>
      <c r="D3973" s="2"/>
      <c r="E3973" s="2"/>
      <c r="K3973" s="77"/>
      <c r="L3973" s="77"/>
      <c r="M3973" s="76"/>
    </row>
    <row r="3974">
      <c r="A3974" s="2"/>
      <c r="B3974" s="2"/>
      <c r="C3974" s="2"/>
      <c r="D3974" s="2"/>
      <c r="E3974" s="2"/>
      <c r="K3974" s="77"/>
      <c r="L3974" s="77"/>
      <c r="M3974" s="76"/>
    </row>
    <row r="3975">
      <c r="A3975" s="2"/>
      <c r="B3975" s="2"/>
      <c r="C3975" s="2"/>
      <c r="D3975" s="2"/>
      <c r="E3975" s="2"/>
      <c r="K3975" s="77"/>
      <c r="L3975" s="77"/>
      <c r="M3975" s="76"/>
    </row>
    <row r="3976">
      <c r="A3976" s="2"/>
      <c r="B3976" s="2"/>
      <c r="C3976" s="2"/>
      <c r="D3976" s="2"/>
      <c r="E3976" s="2"/>
      <c r="K3976" s="77"/>
      <c r="L3976" s="77"/>
      <c r="M3976" s="76"/>
    </row>
    <row r="3977">
      <c r="A3977" s="2"/>
      <c r="B3977" s="2"/>
      <c r="C3977" s="2"/>
      <c r="D3977" s="2"/>
      <c r="E3977" s="2"/>
      <c r="K3977" s="77"/>
      <c r="L3977" s="77"/>
      <c r="M3977" s="76"/>
    </row>
    <row r="3978">
      <c r="A3978" s="2"/>
      <c r="B3978" s="2"/>
      <c r="C3978" s="2"/>
      <c r="D3978" s="2"/>
      <c r="E3978" s="2"/>
      <c r="K3978" s="77"/>
      <c r="L3978" s="77"/>
      <c r="M3978" s="76"/>
    </row>
    <row r="3979">
      <c r="A3979" s="2"/>
      <c r="B3979" s="2"/>
      <c r="C3979" s="2"/>
      <c r="D3979" s="2"/>
      <c r="E3979" s="2"/>
      <c r="K3979" s="77"/>
      <c r="L3979" s="77"/>
      <c r="M3979" s="76"/>
    </row>
    <row r="3980">
      <c r="A3980" s="2"/>
      <c r="B3980" s="2"/>
      <c r="C3980" s="2"/>
      <c r="D3980" s="2"/>
      <c r="E3980" s="2"/>
      <c r="K3980" s="77"/>
      <c r="L3980" s="77"/>
      <c r="M3980" s="76"/>
    </row>
    <row r="3981">
      <c r="A3981" s="2"/>
      <c r="B3981" s="2"/>
      <c r="C3981" s="2"/>
      <c r="D3981" s="2"/>
      <c r="E3981" s="2"/>
      <c r="K3981" s="77"/>
      <c r="L3981" s="77"/>
      <c r="M3981" s="76"/>
    </row>
    <row r="3982">
      <c r="A3982" s="2"/>
      <c r="B3982" s="2"/>
      <c r="C3982" s="2"/>
      <c r="D3982" s="2"/>
      <c r="E3982" s="2"/>
      <c r="K3982" s="77"/>
      <c r="L3982" s="77"/>
      <c r="M3982" s="76"/>
    </row>
    <row r="3983">
      <c r="A3983" s="2"/>
      <c r="B3983" s="2"/>
      <c r="C3983" s="2"/>
      <c r="D3983" s="2"/>
      <c r="E3983" s="2"/>
      <c r="K3983" s="77"/>
      <c r="L3983" s="77"/>
      <c r="M3983" s="76"/>
    </row>
    <row r="3984">
      <c r="A3984" s="2"/>
      <c r="B3984" s="2"/>
      <c r="C3984" s="2"/>
      <c r="D3984" s="2"/>
      <c r="E3984" s="2"/>
      <c r="K3984" s="77"/>
      <c r="L3984" s="77"/>
      <c r="M3984" s="76"/>
    </row>
    <row r="3985">
      <c r="A3985" s="2"/>
      <c r="B3985" s="2"/>
      <c r="C3985" s="2"/>
      <c r="D3985" s="2"/>
      <c r="E3985" s="2"/>
      <c r="K3985" s="77"/>
      <c r="L3985" s="77"/>
      <c r="M3985" s="76"/>
    </row>
    <row r="3986">
      <c r="A3986" s="77"/>
      <c r="B3986" s="77"/>
      <c r="C3986" s="77"/>
      <c r="D3986" s="77"/>
      <c r="E3986" s="77"/>
      <c r="K3986" s="77"/>
      <c r="L3986" s="77"/>
      <c r="M3986" s="76"/>
    </row>
    <row r="3987">
      <c r="A3987" s="2"/>
      <c r="B3987" s="2"/>
      <c r="C3987" s="2"/>
      <c r="D3987" s="2"/>
      <c r="E3987" s="2"/>
      <c r="K3987" s="77"/>
      <c r="L3987" s="77"/>
      <c r="M3987" s="76"/>
    </row>
    <row r="3988">
      <c r="A3988" s="2"/>
      <c r="B3988" s="2"/>
      <c r="C3988" s="2"/>
      <c r="D3988" s="2"/>
      <c r="E3988" s="2"/>
      <c r="K3988" s="77"/>
      <c r="L3988" s="77"/>
      <c r="M3988" s="76"/>
    </row>
    <row r="3989">
      <c r="A3989" s="2"/>
      <c r="B3989" s="2"/>
      <c r="C3989" s="2"/>
      <c r="D3989" s="2"/>
      <c r="E3989" s="2"/>
      <c r="K3989" s="77"/>
      <c r="L3989" s="77"/>
      <c r="M3989" s="76"/>
    </row>
    <row r="3990">
      <c r="A3990" s="2"/>
      <c r="B3990" s="2"/>
      <c r="C3990" s="2"/>
      <c r="D3990" s="2"/>
      <c r="E3990" s="2"/>
      <c r="K3990" s="77"/>
      <c r="L3990" s="77"/>
      <c r="M3990" s="76"/>
    </row>
    <row r="3991">
      <c r="A3991" s="2"/>
      <c r="B3991" s="2"/>
      <c r="C3991" s="2"/>
      <c r="D3991" s="2"/>
      <c r="E3991" s="2"/>
      <c r="K3991" s="77"/>
      <c r="L3991" s="77"/>
      <c r="M3991" s="76"/>
    </row>
    <row r="3992">
      <c r="A3992" s="2"/>
      <c r="B3992" s="2"/>
      <c r="C3992" s="2"/>
      <c r="D3992" s="2"/>
      <c r="E3992" s="2"/>
      <c r="K3992" s="77"/>
      <c r="L3992" s="77"/>
      <c r="M3992" s="76"/>
    </row>
    <row r="3993">
      <c r="A3993" s="2"/>
      <c r="B3993" s="2"/>
      <c r="C3993" s="2"/>
      <c r="D3993" s="2"/>
      <c r="E3993" s="2"/>
      <c r="K3993" s="77"/>
      <c r="L3993" s="77"/>
      <c r="M3993" s="76"/>
    </row>
    <row r="3994">
      <c r="A3994" s="2"/>
      <c r="B3994" s="2"/>
      <c r="C3994" s="2"/>
      <c r="D3994" s="2"/>
      <c r="E3994" s="2"/>
      <c r="K3994" s="77"/>
      <c r="L3994" s="77"/>
      <c r="M3994" s="76"/>
    </row>
    <row r="3995">
      <c r="A3995" s="2"/>
      <c r="B3995" s="2"/>
      <c r="C3995" s="2"/>
      <c r="D3995" s="2"/>
      <c r="E3995" s="2"/>
      <c r="K3995" s="77"/>
      <c r="L3995" s="77"/>
      <c r="M3995" s="76"/>
    </row>
    <row r="3996">
      <c r="A3996" s="2"/>
      <c r="B3996" s="2"/>
      <c r="C3996" s="2"/>
      <c r="D3996" s="2"/>
      <c r="E3996" s="2"/>
      <c r="K3996" s="77"/>
      <c r="L3996" s="77"/>
      <c r="M3996" s="76"/>
    </row>
    <row r="3997">
      <c r="A3997" s="2"/>
      <c r="B3997" s="2"/>
      <c r="C3997" s="2"/>
      <c r="D3997" s="2"/>
      <c r="E3997" s="2"/>
      <c r="K3997" s="77"/>
      <c r="L3997" s="77"/>
      <c r="M3997" s="76"/>
    </row>
    <row r="3998">
      <c r="A3998" s="2"/>
      <c r="B3998" s="2"/>
      <c r="C3998" s="2"/>
      <c r="D3998" s="2"/>
      <c r="E3998" s="2"/>
      <c r="K3998" s="77"/>
      <c r="L3998" s="77"/>
      <c r="M3998" s="76"/>
    </row>
    <row r="3999">
      <c r="A3999" s="2"/>
      <c r="B3999" s="2"/>
      <c r="C3999" s="2"/>
      <c r="D3999" s="2"/>
      <c r="E3999" s="2"/>
      <c r="K3999" s="77"/>
      <c r="L3999" s="77"/>
      <c r="M3999" s="76"/>
    </row>
    <row r="4000">
      <c r="A4000" s="2"/>
      <c r="B4000" s="2"/>
      <c r="C4000" s="2"/>
      <c r="D4000" s="2"/>
      <c r="E4000" s="2"/>
      <c r="K4000" s="77"/>
      <c r="L4000" s="77"/>
      <c r="M4000" s="76"/>
    </row>
    <row r="4001">
      <c r="A4001" s="2"/>
      <c r="B4001" s="2"/>
      <c r="C4001" s="2"/>
      <c r="D4001" s="2"/>
      <c r="E4001" s="2"/>
      <c r="K4001" s="77"/>
      <c r="L4001" s="77"/>
      <c r="M4001" s="76"/>
    </row>
    <row r="4002">
      <c r="A4002" s="2"/>
      <c r="B4002" s="2"/>
      <c r="C4002" s="2"/>
      <c r="D4002" s="2"/>
      <c r="E4002" s="2"/>
      <c r="K4002" s="77"/>
      <c r="L4002" s="77"/>
      <c r="M4002" s="76"/>
    </row>
    <row r="4003">
      <c r="A4003" s="2"/>
      <c r="B4003" s="2"/>
      <c r="C4003" s="2"/>
      <c r="D4003" s="2"/>
      <c r="E4003" s="2"/>
      <c r="K4003" s="77"/>
      <c r="L4003" s="77"/>
      <c r="M4003" s="76"/>
    </row>
    <row r="4004">
      <c r="A4004" s="2"/>
      <c r="B4004" s="2"/>
      <c r="C4004" s="2"/>
      <c r="D4004" s="2"/>
      <c r="E4004" s="2"/>
      <c r="K4004" s="77"/>
      <c r="L4004" s="77"/>
      <c r="M4004" s="76"/>
    </row>
    <row r="4005">
      <c r="A4005" s="2"/>
      <c r="B4005" s="2"/>
      <c r="C4005" s="2"/>
      <c r="D4005" s="2"/>
      <c r="E4005" s="2"/>
      <c r="K4005" s="77"/>
      <c r="L4005" s="77"/>
      <c r="M4005" s="76"/>
    </row>
    <row r="4006">
      <c r="A4006" s="2"/>
      <c r="B4006" s="2"/>
      <c r="C4006" s="2"/>
      <c r="D4006" s="2"/>
      <c r="E4006" s="2"/>
      <c r="K4006" s="77"/>
      <c r="L4006" s="77"/>
      <c r="M4006" s="76"/>
    </row>
    <row r="4007">
      <c r="A4007" s="2"/>
      <c r="B4007" s="2"/>
      <c r="C4007" s="2"/>
      <c r="D4007" s="2"/>
      <c r="E4007" s="2"/>
      <c r="K4007" s="77"/>
      <c r="L4007" s="77"/>
      <c r="M4007" s="76"/>
    </row>
    <row r="4008">
      <c r="A4008" s="2"/>
      <c r="B4008" s="2"/>
      <c r="C4008" s="2"/>
      <c r="D4008" s="2"/>
      <c r="E4008" s="2"/>
      <c r="K4008" s="77"/>
      <c r="L4008" s="77"/>
      <c r="M4008" s="76"/>
    </row>
    <row r="4009">
      <c r="A4009" s="2"/>
      <c r="B4009" s="2"/>
      <c r="C4009" s="2"/>
      <c r="D4009" s="2"/>
      <c r="E4009" s="2"/>
      <c r="K4009" s="77"/>
      <c r="L4009" s="77"/>
      <c r="M4009" s="76"/>
    </row>
    <row r="4010">
      <c r="A4010" s="77"/>
      <c r="B4010" s="77"/>
      <c r="C4010" s="77"/>
      <c r="D4010" s="77"/>
      <c r="E4010" s="77"/>
      <c r="K4010" s="77"/>
      <c r="L4010" s="77"/>
      <c r="M4010" s="76"/>
    </row>
    <row r="4011">
      <c r="A4011" s="2"/>
      <c r="B4011" s="2"/>
      <c r="C4011" s="2"/>
      <c r="D4011" s="2"/>
      <c r="E4011" s="2"/>
      <c r="K4011" s="77"/>
      <c r="L4011" s="77"/>
      <c r="M4011" s="76"/>
    </row>
    <row r="4012">
      <c r="A4012" s="2"/>
      <c r="B4012" s="2"/>
      <c r="C4012" s="2"/>
      <c r="D4012" s="2"/>
      <c r="E4012" s="2"/>
      <c r="K4012" s="77"/>
      <c r="L4012" s="77"/>
      <c r="M4012" s="76"/>
    </row>
    <row r="4013">
      <c r="A4013" s="2"/>
      <c r="B4013" s="2"/>
      <c r="C4013" s="2"/>
      <c r="D4013" s="2"/>
      <c r="E4013" s="2"/>
      <c r="K4013" s="77"/>
      <c r="L4013" s="77"/>
      <c r="M4013" s="76"/>
    </row>
    <row r="4014">
      <c r="A4014" s="2"/>
      <c r="B4014" s="2"/>
      <c r="C4014" s="2"/>
      <c r="D4014" s="2"/>
      <c r="E4014" s="2"/>
      <c r="K4014" s="77"/>
      <c r="L4014" s="77"/>
      <c r="M4014" s="76"/>
    </row>
    <row r="4015">
      <c r="A4015" s="2"/>
      <c r="B4015" s="2"/>
      <c r="C4015" s="2"/>
      <c r="D4015" s="2"/>
      <c r="E4015" s="2"/>
      <c r="K4015" s="77"/>
      <c r="L4015" s="77"/>
      <c r="M4015" s="76"/>
    </row>
    <row r="4016">
      <c r="A4016" s="2"/>
      <c r="B4016" s="2"/>
      <c r="C4016" s="2"/>
      <c r="D4016" s="2"/>
      <c r="E4016" s="2"/>
      <c r="K4016" s="77"/>
      <c r="L4016" s="77"/>
      <c r="M4016" s="76"/>
    </row>
    <row r="4017">
      <c r="A4017" s="2"/>
      <c r="B4017" s="2"/>
      <c r="C4017" s="2"/>
      <c r="D4017" s="2"/>
      <c r="E4017" s="2"/>
      <c r="K4017" s="77"/>
      <c r="L4017" s="77"/>
      <c r="M4017" s="76"/>
    </row>
    <row r="4018">
      <c r="A4018" s="2"/>
      <c r="B4018" s="2"/>
      <c r="C4018" s="2"/>
      <c r="D4018" s="2"/>
      <c r="E4018" s="2"/>
      <c r="K4018" s="77"/>
      <c r="L4018" s="77"/>
      <c r="M4018" s="76"/>
    </row>
    <row r="4019">
      <c r="A4019" s="2"/>
      <c r="B4019" s="2"/>
      <c r="C4019" s="2"/>
      <c r="D4019" s="2"/>
      <c r="E4019" s="2"/>
      <c r="K4019" s="77"/>
      <c r="L4019" s="77"/>
      <c r="M4019" s="76"/>
    </row>
    <row r="4020">
      <c r="A4020" s="2"/>
      <c r="B4020" s="2"/>
      <c r="C4020" s="2"/>
      <c r="D4020" s="2"/>
      <c r="E4020" s="2"/>
      <c r="K4020" s="77"/>
      <c r="L4020" s="77"/>
      <c r="M4020" s="76"/>
    </row>
    <row r="4021">
      <c r="A4021" s="2"/>
      <c r="B4021" s="2"/>
      <c r="C4021" s="2"/>
      <c r="D4021" s="2"/>
      <c r="E4021" s="2"/>
      <c r="K4021" s="77"/>
      <c r="L4021" s="77"/>
      <c r="M4021" s="76"/>
    </row>
    <row r="4022">
      <c r="A4022" s="2"/>
      <c r="B4022" s="2"/>
      <c r="C4022" s="2"/>
      <c r="D4022" s="2"/>
      <c r="E4022" s="2"/>
      <c r="K4022" s="77"/>
      <c r="L4022" s="77"/>
      <c r="M4022" s="76"/>
    </row>
    <row r="4023">
      <c r="A4023" s="2"/>
      <c r="B4023" s="2"/>
      <c r="C4023" s="2"/>
      <c r="D4023" s="2"/>
      <c r="E4023" s="2"/>
      <c r="K4023" s="77"/>
      <c r="L4023" s="77"/>
      <c r="M4023" s="76"/>
    </row>
    <row r="4024">
      <c r="A4024" s="2"/>
      <c r="B4024" s="2"/>
      <c r="C4024" s="2"/>
      <c r="D4024" s="2"/>
      <c r="E4024" s="2"/>
      <c r="K4024" s="77"/>
      <c r="L4024" s="77"/>
      <c r="M4024" s="76"/>
    </row>
    <row r="4025">
      <c r="A4025" s="2"/>
      <c r="B4025" s="2"/>
      <c r="C4025" s="2"/>
      <c r="D4025" s="2"/>
      <c r="E4025" s="2"/>
      <c r="K4025" s="77"/>
      <c r="L4025" s="77"/>
      <c r="M4025" s="76"/>
    </row>
    <row r="4026">
      <c r="A4026" s="2"/>
      <c r="B4026" s="2"/>
      <c r="C4026" s="2"/>
      <c r="D4026" s="2"/>
      <c r="E4026" s="2"/>
      <c r="K4026" s="77"/>
      <c r="L4026" s="77"/>
      <c r="M4026" s="76"/>
    </row>
    <row r="4027">
      <c r="A4027" s="2"/>
      <c r="B4027" s="2"/>
      <c r="C4027" s="2"/>
      <c r="D4027" s="2"/>
      <c r="E4027" s="2"/>
      <c r="K4027" s="77"/>
      <c r="L4027" s="77"/>
      <c r="M4027" s="76"/>
    </row>
    <row r="4028">
      <c r="A4028" s="2"/>
      <c r="B4028" s="2"/>
      <c r="C4028" s="2"/>
      <c r="D4028" s="2"/>
      <c r="E4028" s="2"/>
      <c r="K4028" s="77"/>
      <c r="L4028" s="77"/>
      <c r="M4028" s="76"/>
    </row>
    <row r="4029">
      <c r="A4029" s="2"/>
      <c r="B4029" s="2"/>
      <c r="C4029" s="2"/>
      <c r="D4029" s="2"/>
      <c r="E4029" s="2"/>
      <c r="K4029" s="77"/>
      <c r="L4029" s="77"/>
      <c r="M4029" s="76"/>
    </row>
    <row r="4030">
      <c r="A4030" s="2"/>
      <c r="B4030" s="2"/>
      <c r="C4030" s="2"/>
      <c r="D4030" s="2"/>
      <c r="E4030" s="2"/>
      <c r="K4030" s="77"/>
      <c r="L4030" s="77"/>
      <c r="M4030" s="76"/>
    </row>
    <row r="4031">
      <c r="A4031" s="2"/>
      <c r="B4031" s="2"/>
      <c r="C4031" s="2"/>
      <c r="D4031" s="2"/>
      <c r="E4031" s="2"/>
      <c r="K4031" s="77"/>
      <c r="L4031" s="77"/>
      <c r="M4031" s="76"/>
    </row>
    <row r="4032">
      <c r="A4032" s="2"/>
      <c r="B4032" s="2"/>
      <c r="C4032" s="2"/>
      <c r="D4032" s="2"/>
      <c r="E4032" s="2"/>
      <c r="K4032" s="77"/>
      <c r="L4032" s="77"/>
      <c r="M4032" s="76"/>
    </row>
    <row r="4033">
      <c r="A4033" s="2"/>
      <c r="B4033" s="2"/>
      <c r="C4033" s="2"/>
      <c r="D4033" s="2"/>
      <c r="E4033" s="2"/>
      <c r="K4033" s="77"/>
      <c r="L4033" s="77"/>
      <c r="M4033" s="76"/>
    </row>
    <row r="4034">
      <c r="A4034" s="77"/>
      <c r="B4034" s="77"/>
      <c r="C4034" s="77"/>
      <c r="D4034" s="77"/>
      <c r="E4034" s="77"/>
      <c r="K4034" s="77"/>
      <c r="L4034" s="77"/>
      <c r="M4034" s="76"/>
    </row>
    <row r="4035">
      <c r="A4035" s="2"/>
      <c r="B4035" s="2"/>
      <c r="C4035" s="2"/>
      <c r="D4035" s="2"/>
      <c r="E4035" s="2"/>
      <c r="K4035" s="77"/>
      <c r="L4035" s="77"/>
      <c r="M4035" s="76"/>
    </row>
    <row r="4036">
      <c r="A4036" s="2"/>
      <c r="B4036" s="2"/>
      <c r="C4036" s="2"/>
      <c r="D4036" s="2"/>
      <c r="E4036" s="2"/>
      <c r="K4036" s="77"/>
      <c r="L4036" s="77"/>
      <c r="M4036" s="76"/>
    </row>
    <row r="4037">
      <c r="A4037" s="2"/>
      <c r="B4037" s="2"/>
      <c r="C4037" s="2"/>
      <c r="D4037" s="2"/>
      <c r="E4037" s="2"/>
      <c r="K4037" s="77"/>
      <c r="L4037" s="77"/>
      <c r="M4037" s="76"/>
    </row>
    <row r="4038">
      <c r="A4038" s="2"/>
      <c r="B4038" s="2"/>
      <c r="C4038" s="2"/>
      <c r="D4038" s="2"/>
      <c r="E4038" s="2"/>
      <c r="K4038" s="77"/>
      <c r="L4038" s="77"/>
      <c r="M4038" s="76"/>
    </row>
    <row r="4039">
      <c r="A4039" s="2"/>
      <c r="B4039" s="2"/>
      <c r="C4039" s="2"/>
      <c r="D4039" s="2"/>
      <c r="E4039" s="2"/>
      <c r="K4039" s="77"/>
      <c r="L4039" s="77"/>
      <c r="M4039" s="76"/>
    </row>
    <row r="4040">
      <c r="A4040" s="2"/>
      <c r="B4040" s="2"/>
      <c r="C4040" s="2"/>
      <c r="D4040" s="2"/>
      <c r="E4040" s="2"/>
      <c r="K4040" s="77"/>
      <c r="L4040" s="77"/>
      <c r="M4040" s="76"/>
    </row>
    <row r="4041">
      <c r="A4041" s="2"/>
      <c r="B4041" s="2"/>
      <c r="C4041" s="2"/>
      <c r="D4041" s="2"/>
      <c r="E4041" s="2"/>
      <c r="K4041" s="77"/>
      <c r="L4041" s="77"/>
      <c r="M4041" s="76"/>
    </row>
    <row r="4042">
      <c r="A4042" s="2"/>
      <c r="B4042" s="2"/>
      <c r="C4042" s="2"/>
      <c r="D4042" s="2"/>
      <c r="E4042" s="2"/>
      <c r="K4042" s="77"/>
      <c r="L4042" s="77"/>
      <c r="M4042" s="76"/>
    </row>
    <row r="4043">
      <c r="A4043" s="2"/>
      <c r="B4043" s="2"/>
      <c r="C4043" s="2"/>
      <c r="D4043" s="2"/>
      <c r="E4043" s="2"/>
      <c r="K4043" s="77"/>
      <c r="L4043" s="77"/>
      <c r="M4043" s="76"/>
    </row>
    <row r="4044">
      <c r="A4044" s="2"/>
      <c r="B4044" s="2"/>
      <c r="C4044" s="2"/>
      <c r="D4044" s="2"/>
      <c r="E4044" s="2"/>
      <c r="K4044" s="77"/>
      <c r="L4044" s="77"/>
      <c r="M4044" s="76"/>
    </row>
    <row r="4045">
      <c r="A4045" s="2"/>
      <c r="B4045" s="2"/>
      <c r="C4045" s="2"/>
      <c r="D4045" s="2"/>
      <c r="E4045" s="2"/>
      <c r="K4045" s="77"/>
      <c r="L4045" s="77"/>
      <c r="M4045" s="76"/>
    </row>
    <row r="4046">
      <c r="A4046" s="2"/>
      <c r="B4046" s="2"/>
      <c r="C4046" s="2"/>
      <c r="D4046" s="2"/>
      <c r="E4046" s="2"/>
      <c r="K4046" s="77"/>
      <c r="L4046" s="77"/>
      <c r="M4046" s="76"/>
    </row>
    <row r="4047">
      <c r="A4047" s="2"/>
      <c r="B4047" s="2"/>
      <c r="C4047" s="2"/>
      <c r="D4047" s="2"/>
      <c r="E4047" s="2"/>
      <c r="K4047" s="77"/>
      <c r="L4047" s="77"/>
      <c r="M4047" s="76"/>
    </row>
    <row r="4048">
      <c r="A4048" s="2"/>
      <c r="B4048" s="2"/>
      <c r="C4048" s="2"/>
      <c r="D4048" s="2"/>
      <c r="E4048" s="2"/>
      <c r="K4048" s="77"/>
      <c r="L4048" s="77"/>
      <c r="M4048" s="76"/>
    </row>
    <row r="4049">
      <c r="A4049" s="2"/>
      <c r="B4049" s="2"/>
      <c r="C4049" s="2"/>
      <c r="D4049" s="2"/>
      <c r="E4049" s="2"/>
      <c r="K4049" s="77"/>
      <c r="L4049" s="77"/>
      <c r="M4049" s="76"/>
    </row>
    <row r="4050">
      <c r="A4050" s="2"/>
      <c r="B4050" s="2"/>
      <c r="C4050" s="2"/>
      <c r="D4050" s="2"/>
      <c r="E4050" s="2"/>
      <c r="K4050" s="77"/>
      <c r="L4050" s="77"/>
      <c r="M4050" s="76"/>
    </row>
    <row r="4051">
      <c r="A4051" s="2"/>
      <c r="B4051" s="2"/>
      <c r="C4051" s="2"/>
      <c r="D4051" s="2"/>
      <c r="E4051" s="2"/>
      <c r="K4051" s="77"/>
      <c r="L4051" s="77"/>
      <c r="M4051" s="76"/>
    </row>
    <row r="4052">
      <c r="A4052" s="2"/>
      <c r="B4052" s="2"/>
      <c r="C4052" s="2"/>
      <c r="D4052" s="2"/>
      <c r="E4052" s="2"/>
      <c r="K4052" s="77"/>
      <c r="L4052" s="77"/>
      <c r="M4052" s="76"/>
    </row>
    <row r="4053">
      <c r="A4053" s="2"/>
      <c r="B4053" s="2"/>
      <c r="C4053" s="2"/>
      <c r="D4053" s="2"/>
      <c r="E4053" s="2"/>
      <c r="K4053" s="77"/>
      <c r="L4053" s="77"/>
      <c r="M4053" s="76"/>
    </row>
    <row r="4054">
      <c r="A4054" s="2"/>
      <c r="B4054" s="2"/>
      <c r="C4054" s="2"/>
      <c r="D4054" s="2"/>
      <c r="E4054" s="2"/>
      <c r="K4054" s="77"/>
      <c r="L4054" s="77"/>
      <c r="M4054" s="76"/>
    </row>
    <row r="4055">
      <c r="A4055" s="2"/>
      <c r="B4055" s="2"/>
      <c r="C4055" s="2"/>
      <c r="D4055" s="2"/>
      <c r="E4055" s="2"/>
      <c r="K4055" s="77"/>
      <c r="L4055" s="77"/>
      <c r="M4055" s="76"/>
    </row>
    <row r="4056">
      <c r="A4056" s="2"/>
      <c r="B4056" s="2"/>
      <c r="C4056" s="2"/>
      <c r="D4056" s="2"/>
      <c r="E4056" s="2"/>
      <c r="K4056" s="77"/>
      <c r="L4056" s="77"/>
      <c r="M4056" s="76"/>
    </row>
    <row r="4057">
      <c r="A4057" s="2"/>
      <c r="B4057" s="2"/>
      <c r="C4057" s="2"/>
      <c r="D4057" s="2"/>
      <c r="E4057" s="2"/>
      <c r="K4057" s="77"/>
      <c r="L4057" s="77"/>
      <c r="M4057" s="76"/>
    </row>
    <row r="4058">
      <c r="A4058" s="77"/>
      <c r="B4058" s="77"/>
      <c r="C4058" s="77"/>
      <c r="D4058" s="77"/>
      <c r="E4058" s="77"/>
      <c r="K4058" s="77"/>
      <c r="L4058" s="77"/>
      <c r="M4058" s="76"/>
    </row>
    <row r="4059">
      <c r="A4059" s="2"/>
      <c r="B4059" s="2"/>
      <c r="C4059" s="2"/>
      <c r="D4059" s="2"/>
      <c r="E4059" s="2"/>
      <c r="K4059" s="77"/>
      <c r="L4059" s="77"/>
      <c r="M4059" s="76"/>
    </row>
    <row r="4060">
      <c r="A4060" s="2"/>
      <c r="B4060" s="2"/>
      <c r="C4060" s="2"/>
      <c r="D4060" s="2"/>
      <c r="E4060" s="2"/>
      <c r="K4060" s="77"/>
      <c r="L4060" s="77"/>
      <c r="M4060" s="76"/>
    </row>
    <row r="4061">
      <c r="A4061" s="2"/>
      <c r="B4061" s="2"/>
      <c r="C4061" s="2"/>
      <c r="D4061" s="2"/>
      <c r="E4061" s="2"/>
      <c r="K4061" s="77"/>
      <c r="L4061" s="77"/>
      <c r="M4061" s="76"/>
    </row>
    <row r="4062">
      <c r="A4062" s="2"/>
      <c r="B4062" s="2"/>
      <c r="C4062" s="2"/>
      <c r="D4062" s="2"/>
      <c r="E4062" s="2"/>
      <c r="K4062" s="77"/>
      <c r="L4062" s="77"/>
      <c r="M4062" s="76"/>
    </row>
    <row r="4063">
      <c r="A4063" s="2"/>
      <c r="B4063" s="2"/>
      <c r="C4063" s="2"/>
      <c r="D4063" s="2"/>
      <c r="E4063" s="2"/>
      <c r="K4063" s="77"/>
      <c r="L4063" s="77"/>
      <c r="M4063" s="76"/>
    </row>
    <row r="4064">
      <c r="A4064" s="2"/>
      <c r="B4064" s="2"/>
      <c r="C4064" s="2"/>
      <c r="D4064" s="2"/>
      <c r="E4064" s="2"/>
      <c r="K4064" s="77"/>
      <c r="L4064" s="77"/>
      <c r="M4064" s="76"/>
    </row>
    <row r="4065">
      <c r="A4065" s="2"/>
      <c r="B4065" s="2"/>
      <c r="C4065" s="2"/>
      <c r="D4065" s="2"/>
      <c r="E4065" s="2"/>
      <c r="K4065" s="77"/>
      <c r="L4065" s="77"/>
      <c r="M4065" s="76"/>
    </row>
    <row r="4066">
      <c r="A4066" s="2"/>
      <c r="B4066" s="2"/>
      <c r="C4066" s="2"/>
      <c r="D4066" s="2"/>
      <c r="E4066" s="2"/>
      <c r="K4066" s="77"/>
      <c r="L4066" s="77"/>
      <c r="M4066" s="76"/>
    </row>
    <row r="4067">
      <c r="A4067" s="2"/>
      <c r="B4067" s="2"/>
      <c r="C4067" s="2"/>
      <c r="D4067" s="2"/>
      <c r="E4067" s="2"/>
      <c r="K4067" s="77"/>
      <c r="L4067" s="77"/>
      <c r="M4067" s="76"/>
    </row>
    <row r="4068">
      <c r="A4068" s="2"/>
      <c r="B4068" s="2"/>
      <c r="C4068" s="2"/>
      <c r="D4068" s="2"/>
      <c r="E4068" s="2"/>
      <c r="K4068" s="77"/>
      <c r="L4068" s="77"/>
      <c r="M4068" s="76"/>
    </row>
    <row r="4069">
      <c r="A4069" s="2"/>
      <c r="B4069" s="2"/>
      <c r="C4069" s="2"/>
      <c r="D4069" s="2"/>
      <c r="E4069" s="2"/>
      <c r="K4069" s="77"/>
      <c r="L4069" s="77"/>
      <c r="M4069" s="76"/>
    </row>
    <row r="4070">
      <c r="A4070" s="2"/>
      <c r="B4070" s="2"/>
      <c r="C4070" s="2"/>
      <c r="D4070" s="2"/>
      <c r="E4070" s="2"/>
      <c r="K4070" s="77"/>
      <c r="L4070" s="77"/>
      <c r="M4070" s="76"/>
    </row>
    <row r="4071">
      <c r="A4071" s="2"/>
      <c r="B4071" s="2"/>
      <c r="C4071" s="2"/>
      <c r="D4071" s="2"/>
      <c r="E4071" s="2"/>
      <c r="K4071" s="77"/>
      <c r="L4071" s="77"/>
      <c r="M4071" s="76"/>
    </row>
    <row r="4072">
      <c r="A4072" s="2"/>
      <c r="B4072" s="2"/>
      <c r="C4072" s="2"/>
      <c r="D4072" s="2"/>
      <c r="E4072" s="2"/>
      <c r="K4072" s="77"/>
      <c r="L4072" s="77"/>
      <c r="M4072" s="76"/>
    </row>
    <row r="4073">
      <c r="A4073" s="2"/>
      <c r="B4073" s="2"/>
      <c r="C4073" s="2"/>
      <c r="D4073" s="2"/>
      <c r="E4073" s="2"/>
      <c r="K4073" s="77"/>
      <c r="L4073" s="77"/>
      <c r="M4073" s="76"/>
    </row>
    <row r="4074">
      <c r="A4074" s="2"/>
      <c r="B4074" s="2"/>
      <c r="C4074" s="2"/>
      <c r="D4074" s="2"/>
      <c r="E4074" s="2"/>
      <c r="K4074" s="77"/>
      <c r="L4074" s="77"/>
      <c r="M4074" s="76"/>
    </row>
    <row r="4075">
      <c r="A4075" s="2"/>
      <c r="B4075" s="2"/>
      <c r="C4075" s="2"/>
      <c r="D4075" s="2"/>
      <c r="E4075" s="2"/>
      <c r="K4075" s="77"/>
      <c r="L4075" s="77"/>
      <c r="M4075" s="76"/>
    </row>
    <row r="4076">
      <c r="A4076" s="2"/>
      <c r="B4076" s="2"/>
      <c r="C4076" s="2"/>
      <c r="D4076" s="2"/>
      <c r="E4076" s="2"/>
      <c r="K4076" s="77"/>
      <c r="L4076" s="77"/>
      <c r="M4076" s="76"/>
    </row>
    <row r="4077">
      <c r="A4077" s="2"/>
      <c r="B4077" s="2"/>
      <c r="C4077" s="2"/>
      <c r="D4077" s="2"/>
      <c r="E4077" s="2"/>
      <c r="K4077" s="77"/>
      <c r="L4077" s="77"/>
      <c r="M4077" s="76"/>
    </row>
    <row r="4078">
      <c r="A4078" s="2"/>
      <c r="B4078" s="2"/>
      <c r="C4078" s="2"/>
      <c r="D4078" s="2"/>
      <c r="E4078" s="2"/>
      <c r="K4078" s="77"/>
      <c r="L4078" s="77"/>
      <c r="M4078" s="76"/>
    </row>
    <row r="4079">
      <c r="A4079" s="2"/>
      <c r="B4079" s="2"/>
      <c r="C4079" s="2"/>
      <c r="D4079" s="2"/>
      <c r="E4079" s="2"/>
      <c r="K4079" s="77"/>
      <c r="L4079" s="77"/>
      <c r="M4079" s="76"/>
    </row>
    <row r="4080">
      <c r="A4080" s="2"/>
      <c r="B4080" s="2"/>
      <c r="C4080" s="2"/>
      <c r="D4080" s="2"/>
      <c r="E4080" s="2"/>
      <c r="K4080" s="77"/>
      <c r="L4080" s="77"/>
      <c r="M4080" s="76"/>
    </row>
    <row r="4081">
      <c r="A4081" s="2"/>
      <c r="B4081" s="2"/>
      <c r="C4081" s="2"/>
      <c r="D4081" s="2"/>
      <c r="E4081" s="2"/>
      <c r="K4081" s="77"/>
      <c r="L4081" s="77"/>
      <c r="M4081" s="76"/>
    </row>
    <row r="4082">
      <c r="A4082" s="77"/>
      <c r="B4082" s="77"/>
      <c r="C4082" s="77"/>
      <c r="D4082" s="77"/>
      <c r="E4082" s="77"/>
      <c r="K4082" s="77"/>
      <c r="L4082" s="77"/>
      <c r="M4082" s="76"/>
    </row>
    <row r="4083">
      <c r="A4083" s="2"/>
      <c r="B4083" s="2"/>
      <c r="C4083" s="2"/>
      <c r="D4083" s="2"/>
      <c r="E4083" s="2"/>
      <c r="K4083" s="77"/>
      <c r="L4083" s="77"/>
      <c r="M4083" s="76"/>
    </row>
    <row r="4084">
      <c r="A4084" s="2"/>
      <c r="B4084" s="2"/>
      <c r="C4084" s="2"/>
      <c r="D4084" s="2"/>
      <c r="E4084" s="2"/>
      <c r="K4084" s="77"/>
      <c r="L4084" s="77"/>
      <c r="M4084" s="76"/>
    </row>
    <row r="4085">
      <c r="A4085" s="2"/>
      <c r="B4085" s="2"/>
      <c r="C4085" s="2"/>
      <c r="D4085" s="2"/>
      <c r="E4085" s="2"/>
      <c r="K4085" s="77"/>
      <c r="L4085" s="77"/>
      <c r="M4085" s="76"/>
    </row>
    <row r="4086">
      <c r="A4086" s="2"/>
      <c r="B4086" s="2"/>
      <c r="C4086" s="2"/>
      <c r="D4086" s="2"/>
      <c r="E4086" s="2"/>
      <c r="K4086" s="77"/>
      <c r="L4086" s="77"/>
      <c r="M4086" s="76"/>
    </row>
    <row r="4087">
      <c r="A4087" s="2"/>
      <c r="B4087" s="2"/>
      <c r="C4087" s="2"/>
      <c r="D4087" s="2"/>
      <c r="E4087" s="2"/>
      <c r="K4087" s="77"/>
      <c r="L4087" s="77"/>
      <c r="M4087" s="76"/>
    </row>
    <row r="4088">
      <c r="A4088" s="2"/>
      <c r="B4088" s="2"/>
      <c r="C4088" s="2"/>
      <c r="D4088" s="2"/>
      <c r="E4088" s="2"/>
      <c r="K4088" s="77"/>
      <c r="L4088" s="77"/>
      <c r="M4088" s="76"/>
    </row>
    <row r="4089">
      <c r="A4089" s="2"/>
      <c r="B4089" s="2"/>
      <c r="C4089" s="2"/>
      <c r="D4089" s="2"/>
      <c r="E4089" s="2"/>
      <c r="K4089" s="77"/>
      <c r="L4089" s="77"/>
      <c r="M4089" s="76"/>
    </row>
    <row r="4090">
      <c r="A4090" s="2"/>
      <c r="B4090" s="2"/>
      <c r="C4090" s="2"/>
      <c r="D4090" s="2"/>
      <c r="E4090" s="2"/>
      <c r="K4090" s="77"/>
      <c r="L4090" s="77"/>
      <c r="M4090" s="76"/>
    </row>
    <row r="4091">
      <c r="A4091" s="2"/>
      <c r="B4091" s="2"/>
      <c r="C4091" s="2"/>
      <c r="D4091" s="2"/>
      <c r="E4091" s="2"/>
      <c r="K4091" s="77"/>
      <c r="L4091" s="77"/>
      <c r="M4091" s="76"/>
    </row>
    <row r="4092">
      <c r="A4092" s="2"/>
      <c r="B4092" s="2"/>
      <c r="C4092" s="2"/>
      <c r="D4092" s="2"/>
      <c r="E4092" s="2"/>
      <c r="K4092" s="77"/>
      <c r="L4092" s="77"/>
      <c r="M4092" s="76"/>
    </row>
    <row r="4093">
      <c r="A4093" s="2"/>
      <c r="B4093" s="2"/>
      <c r="C4093" s="2"/>
      <c r="D4093" s="2"/>
      <c r="E4093" s="2"/>
      <c r="K4093" s="77"/>
      <c r="L4093" s="77"/>
      <c r="M4093" s="76"/>
    </row>
    <row r="4094">
      <c r="A4094" s="2"/>
      <c r="B4094" s="2"/>
      <c r="C4094" s="2"/>
      <c r="D4094" s="2"/>
      <c r="E4094" s="2"/>
      <c r="K4094" s="77"/>
      <c r="L4094" s="77"/>
      <c r="M4094" s="76"/>
    </row>
    <row r="4095">
      <c r="A4095" s="2"/>
      <c r="B4095" s="2"/>
      <c r="C4095" s="2"/>
      <c r="D4095" s="2"/>
      <c r="E4095" s="2"/>
      <c r="K4095" s="77"/>
      <c r="L4095" s="77"/>
      <c r="M4095" s="76"/>
    </row>
    <row r="4096">
      <c r="A4096" s="2"/>
      <c r="B4096" s="2"/>
      <c r="C4096" s="2"/>
      <c r="D4096" s="2"/>
      <c r="E4096" s="2"/>
      <c r="K4096" s="77"/>
      <c r="L4096" s="77"/>
      <c r="M4096" s="76"/>
    </row>
    <row r="4097">
      <c r="A4097" s="2"/>
      <c r="B4097" s="2"/>
      <c r="C4097" s="2"/>
      <c r="D4097" s="2"/>
      <c r="E4097" s="2"/>
      <c r="K4097" s="77"/>
      <c r="L4097" s="77"/>
      <c r="M4097" s="76"/>
    </row>
    <row r="4098">
      <c r="A4098" s="2"/>
      <c r="B4098" s="2"/>
      <c r="C4098" s="2"/>
      <c r="D4098" s="2"/>
      <c r="E4098" s="2"/>
      <c r="K4098" s="77"/>
      <c r="L4098" s="77"/>
      <c r="M4098" s="76"/>
    </row>
    <row r="4099">
      <c r="A4099" s="2"/>
      <c r="B4099" s="2"/>
      <c r="C4099" s="2"/>
      <c r="D4099" s="2"/>
      <c r="E4099" s="2"/>
      <c r="K4099" s="77"/>
      <c r="L4099" s="77"/>
      <c r="M4099" s="76"/>
    </row>
    <row r="4100">
      <c r="A4100" s="2"/>
      <c r="B4100" s="2"/>
      <c r="C4100" s="2"/>
      <c r="D4100" s="2"/>
      <c r="E4100" s="2"/>
      <c r="K4100" s="77"/>
      <c r="L4100" s="77"/>
      <c r="M4100" s="76"/>
    </row>
    <row r="4101">
      <c r="A4101" s="2"/>
      <c r="B4101" s="2"/>
      <c r="C4101" s="2"/>
      <c r="D4101" s="2"/>
      <c r="E4101" s="2"/>
      <c r="K4101" s="77"/>
      <c r="L4101" s="77"/>
      <c r="M4101" s="76"/>
    </row>
    <row r="4102">
      <c r="A4102" s="2"/>
      <c r="B4102" s="2"/>
      <c r="C4102" s="2"/>
      <c r="D4102" s="2"/>
      <c r="E4102" s="2"/>
      <c r="K4102" s="77"/>
      <c r="L4102" s="77"/>
      <c r="M4102" s="76"/>
    </row>
    <row r="4103">
      <c r="A4103" s="2"/>
      <c r="B4103" s="2"/>
      <c r="C4103" s="2"/>
      <c r="D4103" s="2"/>
      <c r="E4103" s="2"/>
      <c r="K4103" s="77"/>
      <c r="L4103" s="77"/>
      <c r="M4103" s="76"/>
    </row>
    <row r="4104">
      <c r="A4104" s="2"/>
      <c r="B4104" s="2"/>
      <c r="C4104" s="2"/>
      <c r="D4104" s="2"/>
      <c r="E4104" s="2"/>
      <c r="K4104" s="77"/>
      <c r="L4104" s="77"/>
      <c r="M4104" s="76"/>
    </row>
    <row r="4105">
      <c r="A4105" s="2"/>
      <c r="B4105" s="2"/>
      <c r="C4105" s="2"/>
      <c r="D4105" s="2"/>
      <c r="E4105" s="2"/>
      <c r="K4105" s="77"/>
      <c r="L4105" s="77"/>
      <c r="M4105" s="76"/>
    </row>
    <row r="4106">
      <c r="A4106" s="77"/>
      <c r="B4106" s="77"/>
      <c r="C4106" s="77"/>
      <c r="D4106" s="77"/>
      <c r="E4106" s="77"/>
      <c r="K4106" s="77"/>
      <c r="L4106" s="77"/>
      <c r="M4106" s="76"/>
    </row>
    <row r="4107">
      <c r="A4107" s="2"/>
      <c r="B4107" s="2"/>
      <c r="C4107" s="2"/>
      <c r="D4107" s="2"/>
      <c r="E4107" s="2"/>
      <c r="K4107" s="77"/>
      <c r="L4107" s="77"/>
      <c r="M4107" s="76"/>
    </row>
    <row r="4108">
      <c r="A4108" s="2"/>
      <c r="B4108" s="2"/>
      <c r="C4108" s="2"/>
      <c r="D4108" s="2"/>
      <c r="E4108" s="2"/>
      <c r="K4108" s="77"/>
      <c r="L4108" s="77"/>
      <c r="M4108" s="76"/>
    </row>
    <row r="4109">
      <c r="A4109" s="2"/>
      <c r="B4109" s="2"/>
      <c r="C4109" s="2"/>
      <c r="D4109" s="2"/>
      <c r="E4109" s="2"/>
      <c r="K4109" s="77"/>
      <c r="L4109" s="77"/>
      <c r="M4109" s="76"/>
    </row>
    <row r="4110">
      <c r="A4110" s="2"/>
      <c r="B4110" s="2"/>
      <c r="C4110" s="2"/>
      <c r="D4110" s="2"/>
      <c r="E4110" s="2"/>
      <c r="K4110" s="77"/>
      <c r="L4110" s="77"/>
      <c r="M4110" s="76"/>
    </row>
    <row r="4111">
      <c r="A4111" s="2"/>
      <c r="B4111" s="2"/>
      <c r="C4111" s="2"/>
      <c r="D4111" s="2"/>
      <c r="E4111" s="2"/>
      <c r="K4111" s="77"/>
      <c r="L4111" s="77"/>
      <c r="M4111" s="76"/>
    </row>
    <row r="4112">
      <c r="A4112" s="2"/>
      <c r="B4112" s="2"/>
      <c r="C4112" s="2"/>
      <c r="D4112" s="2"/>
      <c r="E4112" s="2"/>
      <c r="K4112" s="77"/>
      <c r="L4112" s="77"/>
      <c r="M4112" s="76"/>
    </row>
    <row r="4113">
      <c r="A4113" s="2"/>
      <c r="B4113" s="2"/>
      <c r="C4113" s="2"/>
      <c r="D4113" s="2"/>
      <c r="E4113" s="2"/>
      <c r="K4113" s="77"/>
      <c r="L4113" s="77"/>
      <c r="M4113" s="76"/>
    </row>
    <row r="4114">
      <c r="A4114" s="2"/>
      <c r="B4114" s="2"/>
      <c r="C4114" s="2"/>
      <c r="D4114" s="2"/>
      <c r="E4114" s="2"/>
      <c r="K4114" s="77"/>
      <c r="L4114" s="77"/>
      <c r="M4114" s="76"/>
    </row>
    <row r="4115">
      <c r="A4115" s="2"/>
      <c r="B4115" s="2"/>
      <c r="C4115" s="2"/>
      <c r="D4115" s="2"/>
      <c r="E4115" s="2"/>
      <c r="K4115" s="77"/>
      <c r="L4115" s="77"/>
      <c r="M4115" s="76"/>
    </row>
    <row r="4116">
      <c r="A4116" s="2"/>
      <c r="B4116" s="2"/>
      <c r="C4116" s="2"/>
      <c r="D4116" s="2"/>
      <c r="E4116" s="2"/>
      <c r="K4116" s="77"/>
      <c r="L4116" s="77"/>
      <c r="M4116" s="76"/>
    </row>
    <row r="4117">
      <c r="A4117" s="2"/>
      <c r="B4117" s="2"/>
      <c r="C4117" s="2"/>
      <c r="D4117" s="2"/>
      <c r="E4117" s="2"/>
      <c r="K4117" s="77"/>
      <c r="L4117" s="77"/>
      <c r="M4117" s="76"/>
    </row>
    <row r="4118">
      <c r="A4118" s="2"/>
      <c r="B4118" s="2"/>
      <c r="C4118" s="2"/>
      <c r="D4118" s="2"/>
      <c r="E4118" s="2"/>
      <c r="K4118" s="77"/>
      <c r="L4118" s="77"/>
      <c r="M4118" s="76"/>
    </row>
    <row r="4119">
      <c r="A4119" s="2"/>
      <c r="B4119" s="2"/>
      <c r="C4119" s="2"/>
      <c r="D4119" s="2"/>
      <c r="E4119" s="2"/>
      <c r="K4119" s="77"/>
      <c r="L4119" s="77"/>
      <c r="M4119" s="76"/>
    </row>
    <row r="4120">
      <c r="A4120" s="2"/>
      <c r="B4120" s="2"/>
      <c r="C4120" s="2"/>
      <c r="D4120" s="2"/>
      <c r="E4120" s="2"/>
      <c r="K4120" s="77"/>
      <c r="L4120" s="77"/>
      <c r="M4120" s="76"/>
    </row>
    <row r="4121">
      <c r="A4121" s="2"/>
      <c r="B4121" s="2"/>
      <c r="C4121" s="2"/>
      <c r="D4121" s="2"/>
      <c r="E4121" s="2"/>
      <c r="K4121" s="77"/>
      <c r="L4121" s="77"/>
      <c r="M4121" s="76"/>
    </row>
    <row r="4122">
      <c r="A4122" s="2"/>
      <c r="B4122" s="2"/>
      <c r="C4122" s="2"/>
      <c r="D4122" s="2"/>
      <c r="E4122" s="2"/>
      <c r="K4122" s="77"/>
      <c r="L4122" s="77"/>
      <c r="M4122" s="76"/>
    </row>
    <row r="4123">
      <c r="A4123" s="2"/>
      <c r="B4123" s="2"/>
      <c r="C4123" s="2"/>
      <c r="D4123" s="2"/>
      <c r="E4123" s="2"/>
      <c r="K4123" s="77"/>
      <c r="L4123" s="77"/>
      <c r="M4123" s="76"/>
    </row>
    <row r="4124">
      <c r="A4124" s="2"/>
      <c r="B4124" s="2"/>
      <c r="C4124" s="2"/>
      <c r="D4124" s="2"/>
      <c r="E4124" s="2"/>
      <c r="K4124" s="77"/>
      <c r="L4124" s="77"/>
      <c r="M4124" s="76"/>
    </row>
    <row r="4125">
      <c r="A4125" s="2"/>
      <c r="B4125" s="2"/>
      <c r="C4125" s="2"/>
      <c r="D4125" s="2"/>
      <c r="E4125" s="2"/>
      <c r="K4125" s="77"/>
      <c r="L4125" s="77"/>
      <c r="M4125" s="76"/>
    </row>
    <row r="4126">
      <c r="A4126" s="2"/>
      <c r="B4126" s="2"/>
      <c r="C4126" s="2"/>
      <c r="D4126" s="2"/>
      <c r="E4126" s="2"/>
      <c r="K4126" s="77"/>
      <c r="L4126" s="77"/>
      <c r="M4126" s="76"/>
    </row>
    <row r="4127">
      <c r="A4127" s="2"/>
      <c r="B4127" s="2"/>
      <c r="C4127" s="2"/>
      <c r="D4127" s="2"/>
      <c r="E4127" s="2"/>
      <c r="K4127" s="77"/>
      <c r="L4127" s="77"/>
      <c r="M4127" s="76"/>
    </row>
    <row r="4128">
      <c r="A4128" s="2"/>
      <c r="B4128" s="2"/>
      <c r="C4128" s="2"/>
      <c r="D4128" s="2"/>
      <c r="E4128" s="2"/>
      <c r="K4128" s="77"/>
      <c r="L4128" s="77"/>
      <c r="M4128" s="76"/>
    </row>
    <row r="4129">
      <c r="A4129" s="2"/>
      <c r="B4129" s="2"/>
      <c r="C4129" s="2"/>
      <c r="D4129" s="2"/>
      <c r="E4129" s="2"/>
      <c r="K4129" s="77"/>
      <c r="L4129" s="77"/>
      <c r="M4129" s="76"/>
    </row>
    <row r="4130">
      <c r="A4130" s="77"/>
      <c r="B4130" s="77"/>
      <c r="C4130" s="77"/>
      <c r="D4130" s="77"/>
      <c r="E4130" s="77"/>
      <c r="K4130" s="77"/>
      <c r="L4130" s="77"/>
      <c r="M4130" s="76"/>
    </row>
    <row r="4131">
      <c r="A4131" s="2"/>
      <c r="B4131" s="2"/>
      <c r="C4131" s="2"/>
      <c r="D4131" s="2"/>
      <c r="E4131" s="2"/>
      <c r="K4131" s="77"/>
      <c r="L4131" s="77"/>
      <c r="M4131" s="76"/>
    </row>
    <row r="4132">
      <c r="A4132" s="2"/>
      <c r="B4132" s="2"/>
      <c r="C4132" s="2"/>
      <c r="D4132" s="2"/>
      <c r="E4132" s="2"/>
      <c r="K4132" s="77"/>
      <c r="L4132" s="77"/>
      <c r="M4132" s="76"/>
    </row>
    <row r="4133">
      <c r="A4133" s="2"/>
      <c r="B4133" s="2"/>
      <c r="C4133" s="2"/>
      <c r="D4133" s="2"/>
      <c r="E4133" s="2"/>
      <c r="K4133" s="77"/>
      <c r="L4133" s="77"/>
      <c r="M4133" s="76"/>
    </row>
    <row r="4134">
      <c r="A4134" s="2"/>
      <c r="B4134" s="2"/>
      <c r="C4134" s="2"/>
      <c r="D4134" s="2"/>
      <c r="E4134" s="2"/>
      <c r="K4134" s="77"/>
      <c r="L4134" s="77"/>
      <c r="M4134" s="76"/>
    </row>
    <row r="4135">
      <c r="A4135" s="2"/>
      <c r="B4135" s="2"/>
      <c r="C4135" s="2"/>
      <c r="D4135" s="2"/>
      <c r="E4135" s="2"/>
      <c r="K4135" s="77"/>
      <c r="L4135" s="77"/>
      <c r="M4135" s="76"/>
    </row>
    <row r="4136">
      <c r="A4136" s="2"/>
      <c r="B4136" s="2"/>
      <c r="C4136" s="2"/>
      <c r="D4136" s="2"/>
      <c r="E4136" s="2"/>
      <c r="K4136" s="77"/>
      <c r="L4136" s="77"/>
      <c r="M4136" s="76"/>
    </row>
    <row r="4137">
      <c r="A4137" s="2"/>
      <c r="B4137" s="2"/>
      <c r="C4137" s="2"/>
      <c r="D4137" s="2"/>
      <c r="E4137" s="2"/>
      <c r="K4137" s="77"/>
      <c r="L4137" s="77"/>
      <c r="M4137" s="76"/>
    </row>
    <row r="4138">
      <c r="A4138" s="2"/>
      <c r="B4138" s="2"/>
      <c r="C4138" s="2"/>
      <c r="D4138" s="2"/>
      <c r="E4138" s="2"/>
      <c r="K4138" s="77"/>
      <c r="L4138" s="77"/>
      <c r="M4138" s="76"/>
    </row>
    <row r="4139">
      <c r="A4139" s="2"/>
      <c r="B4139" s="2"/>
      <c r="C4139" s="2"/>
      <c r="D4139" s="2"/>
      <c r="E4139" s="2"/>
      <c r="K4139" s="77"/>
      <c r="L4139" s="77"/>
      <c r="M4139" s="76"/>
    </row>
    <row r="4140">
      <c r="A4140" s="2"/>
      <c r="B4140" s="2"/>
      <c r="C4140" s="2"/>
      <c r="D4140" s="2"/>
      <c r="E4140" s="2"/>
      <c r="K4140" s="77"/>
      <c r="L4140" s="77"/>
      <c r="M4140" s="76"/>
    </row>
    <row r="4141">
      <c r="A4141" s="2"/>
      <c r="B4141" s="2"/>
      <c r="C4141" s="2"/>
      <c r="D4141" s="2"/>
      <c r="E4141" s="2"/>
      <c r="K4141" s="77"/>
      <c r="L4141" s="77"/>
      <c r="M4141" s="76"/>
    </row>
    <row r="4142">
      <c r="A4142" s="2"/>
      <c r="B4142" s="2"/>
      <c r="C4142" s="2"/>
      <c r="D4142" s="2"/>
      <c r="E4142" s="2"/>
      <c r="K4142" s="77"/>
      <c r="L4142" s="77"/>
      <c r="M4142" s="76"/>
    </row>
    <row r="4143">
      <c r="A4143" s="2"/>
      <c r="B4143" s="2"/>
      <c r="C4143" s="2"/>
      <c r="D4143" s="2"/>
      <c r="E4143" s="2"/>
      <c r="K4143" s="77"/>
      <c r="L4143" s="77"/>
      <c r="M4143" s="76"/>
    </row>
    <row r="4144">
      <c r="A4144" s="2"/>
      <c r="B4144" s="2"/>
      <c r="C4144" s="2"/>
      <c r="D4144" s="2"/>
      <c r="E4144" s="2"/>
      <c r="K4144" s="77"/>
      <c r="L4144" s="77"/>
      <c r="M4144" s="76"/>
    </row>
    <row r="4145">
      <c r="A4145" s="2"/>
      <c r="B4145" s="2"/>
      <c r="C4145" s="2"/>
      <c r="D4145" s="2"/>
      <c r="E4145" s="2"/>
      <c r="K4145" s="77"/>
      <c r="L4145" s="77"/>
      <c r="M4145" s="76"/>
    </row>
    <row r="4146">
      <c r="A4146" s="2"/>
      <c r="B4146" s="2"/>
      <c r="C4146" s="2"/>
      <c r="D4146" s="2"/>
      <c r="E4146" s="2"/>
      <c r="K4146" s="77"/>
      <c r="L4146" s="77"/>
      <c r="M4146" s="76"/>
    </row>
    <row r="4147">
      <c r="A4147" s="2"/>
      <c r="B4147" s="2"/>
      <c r="C4147" s="2"/>
      <c r="D4147" s="2"/>
      <c r="E4147" s="2"/>
      <c r="K4147" s="77"/>
      <c r="L4147" s="77"/>
      <c r="M4147" s="76"/>
    </row>
    <row r="4148">
      <c r="A4148" s="2"/>
      <c r="B4148" s="2"/>
      <c r="C4148" s="2"/>
      <c r="D4148" s="2"/>
      <c r="E4148" s="2"/>
      <c r="K4148" s="77"/>
      <c r="L4148" s="77"/>
      <c r="M4148" s="76"/>
    </row>
    <row r="4149">
      <c r="A4149" s="2"/>
      <c r="B4149" s="2"/>
      <c r="C4149" s="2"/>
      <c r="D4149" s="2"/>
      <c r="E4149" s="2"/>
      <c r="K4149" s="77"/>
      <c r="L4149" s="77"/>
      <c r="M4149" s="76"/>
    </row>
    <row r="4150">
      <c r="A4150" s="2"/>
      <c r="B4150" s="2"/>
      <c r="C4150" s="2"/>
      <c r="D4150" s="2"/>
      <c r="E4150" s="2"/>
      <c r="K4150" s="77"/>
      <c r="L4150" s="77"/>
      <c r="M4150" s="76"/>
    </row>
    <row r="4151">
      <c r="A4151" s="2"/>
      <c r="B4151" s="2"/>
      <c r="C4151" s="2"/>
      <c r="D4151" s="2"/>
      <c r="E4151" s="2"/>
      <c r="K4151" s="77"/>
      <c r="L4151" s="77"/>
      <c r="M4151" s="76"/>
    </row>
    <row r="4152">
      <c r="A4152" s="2"/>
      <c r="B4152" s="2"/>
      <c r="C4152" s="2"/>
      <c r="D4152" s="2"/>
      <c r="E4152" s="2"/>
      <c r="K4152" s="77"/>
      <c r="L4152" s="77"/>
      <c r="M4152" s="76"/>
    </row>
    <row r="4153">
      <c r="A4153" s="2"/>
      <c r="B4153" s="2"/>
      <c r="C4153" s="2"/>
      <c r="D4153" s="2"/>
      <c r="E4153" s="2"/>
      <c r="K4153" s="77"/>
      <c r="L4153" s="77"/>
      <c r="M4153" s="76"/>
    </row>
    <row r="4154">
      <c r="A4154" s="77"/>
      <c r="B4154" s="77"/>
      <c r="C4154" s="77"/>
      <c r="D4154" s="77"/>
      <c r="E4154" s="77"/>
      <c r="K4154" s="77"/>
      <c r="L4154" s="77"/>
      <c r="M4154" s="76"/>
    </row>
    <row r="4155">
      <c r="A4155" s="2"/>
      <c r="B4155" s="2"/>
      <c r="C4155" s="2"/>
      <c r="D4155" s="2"/>
      <c r="E4155" s="2"/>
      <c r="K4155" s="77"/>
      <c r="L4155" s="77"/>
      <c r="M4155" s="76"/>
    </row>
    <row r="4156">
      <c r="A4156" s="2"/>
      <c r="B4156" s="2"/>
      <c r="C4156" s="2"/>
      <c r="D4156" s="2"/>
      <c r="E4156" s="2"/>
      <c r="K4156" s="77"/>
      <c r="L4156" s="77"/>
      <c r="M4156" s="76"/>
    </row>
    <row r="4157">
      <c r="A4157" s="2"/>
      <c r="B4157" s="2"/>
      <c r="C4157" s="2"/>
      <c r="D4157" s="2"/>
      <c r="E4157" s="2"/>
      <c r="K4157" s="77"/>
      <c r="L4157" s="77"/>
      <c r="M4157" s="76"/>
    </row>
    <row r="4158">
      <c r="A4158" s="2"/>
      <c r="B4158" s="2"/>
      <c r="C4158" s="2"/>
      <c r="D4158" s="2"/>
      <c r="E4158" s="2"/>
      <c r="K4158" s="77"/>
      <c r="L4158" s="77"/>
      <c r="M4158" s="76"/>
    </row>
    <row r="4159">
      <c r="A4159" s="2"/>
      <c r="B4159" s="2"/>
      <c r="C4159" s="2"/>
      <c r="D4159" s="2"/>
      <c r="E4159" s="2"/>
      <c r="K4159" s="77"/>
      <c r="L4159" s="77"/>
      <c r="M4159" s="76"/>
    </row>
    <row r="4160">
      <c r="A4160" s="2"/>
      <c r="B4160" s="2"/>
      <c r="C4160" s="2"/>
      <c r="D4160" s="2"/>
      <c r="E4160" s="2"/>
      <c r="K4160" s="77"/>
      <c r="L4160" s="77"/>
      <c r="M4160" s="76"/>
    </row>
    <row r="4161">
      <c r="A4161" s="2"/>
      <c r="B4161" s="2"/>
      <c r="C4161" s="2"/>
      <c r="D4161" s="2"/>
      <c r="E4161" s="2"/>
      <c r="K4161" s="77"/>
      <c r="L4161" s="77"/>
      <c r="M4161" s="76"/>
    </row>
    <row r="4162">
      <c r="A4162" s="2"/>
      <c r="B4162" s="2"/>
      <c r="C4162" s="2"/>
      <c r="D4162" s="2"/>
      <c r="E4162" s="2"/>
      <c r="K4162" s="77"/>
      <c r="L4162" s="77"/>
      <c r="M4162" s="76"/>
    </row>
    <row r="4163">
      <c r="A4163" s="2"/>
      <c r="B4163" s="2"/>
      <c r="C4163" s="2"/>
      <c r="D4163" s="2"/>
      <c r="E4163" s="2"/>
      <c r="K4163" s="77"/>
      <c r="L4163" s="77"/>
      <c r="M4163" s="76"/>
    </row>
    <row r="4164">
      <c r="A4164" s="2"/>
      <c r="B4164" s="2"/>
      <c r="C4164" s="2"/>
      <c r="D4164" s="2"/>
      <c r="E4164" s="2"/>
      <c r="K4164" s="77"/>
      <c r="L4164" s="77"/>
      <c r="M4164" s="76"/>
    </row>
    <row r="4165">
      <c r="A4165" s="2"/>
      <c r="B4165" s="2"/>
      <c r="C4165" s="2"/>
      <c r="D4165" s="2"/>
      <c r="E4165" s="2"/>
      <c r="K4165" s="77"/>
      <c r="L4165" s="77"/>
      <c r="M4165" s="76"/>
    </row>
    <row r="4166">
      <c r="A4166" s="2"/>
      <c r="B4166" s="2"/>
      <c r="C4166" s="2"/>
      <c r="D4166" s="2"/>
      <c r="E4166" s="2"/>
      <c r="K4166" s="77"/>
      <c r="L4166" s="77"/>
      <c r="M4166" s="76"/>
    </row>
    <row r="4167">
      <c r="A4167" s="2"/>
      <c r="B4167" s="2"/>
      <c r="C4167" s="2"/>
      <c r="D4167" s="2"/>
      <c r="E4167" s="2"/>
      <c r="K4167" s="77"/>
      <c r="L4167" s="77"/>
      <c r="M4167" s="76"/>
    </row>
    <row r="4168">
      <c r="A4168" s="2"/>
      <c r="B4168" s="2"/>
      <c r="C4168" s="2"/>
      <c r="D4168" s="2"/>
      <c r="E4168" s="2"/>
      <c r="K4168" s="77"/>
      <c r="L4168" s="77"/>
      <c r="M4168" s="76"/>
    </row>
    <row r="4169">
      <c r="A4169" s="2"/>
      <c r="B4169" s="2"/>
      <c r="C4169" s="2"/>
      <c r="D4169" s="2"/>
      <c r="E4169" s="2"/>
      <c r="K4169" s="77"/>
      <c r="L4169" s="77"/>
      <c r="M4169" s="76"/>
    </row>
    <row r="4170">
      <c r="A4170" s="2"/>
      <c r="B4170" s="2"/>
      <c r="C4170" s="2"/>
      <c r="D4170" s="2"/>
      <c r="E4170" s="2"/>
      <c r="K4170" s="77"/>
      <c r="L4170" s="77"/>
      <c r="M4170" s="76"/>
    </row>
    <row r="4171">
      <c r="A4171" s="2"/>
      <c r="B4171" s="2"/>
      <c r="C4171" s="2"/>
      <c r="D4171" s="2"/>
      <c r="E4171" s="2"/>
      <c r="K4171" s="77"/>
      <c r="L4171" s="77"/>
      <c r="M4171" s="76"/>
    </row>
    <row r="4172">
      <c r="A4172" s="2"/>
      <c r="B4172" s="2"/>
      <c r="C4172" s="2"/>
      <c r="D4172" s="2"/>
      <c r="E4172" s="2"/>
      <c r="K4172" s="77"/>
      <c r="L4172" s="77"/>
      <c r="M4172" s="76"/>
    </row>
    <row r="4173">
      <c r="A4173" s="2"/>
      <c r="B4173" s="2"/>
      <c r="C4173" s="2"/>
      <c r="D4173" s="2"/>
      <c r="E4173" s="2"/>
      <c r="K4173" s="77"/>
      <c r="L4173" s="77"/>
      <c r="M4173" s="76"/>
    </row>
    <row r="4174">
      <c r="A4174" s="2"/>
      <c r="B4174" s="2"/>
      <c r="C4174" s="2"/>
      <c r="D4174" s="2"/>
      <c r="E4174" s="2"/>
      <c r="K4174" s="77"/>
      <c r="L4174" s="77"/>
      <c r="M4174" s="76"/>
    </row>
    <row r="4175">
      <c r="A4175" s="2"/>
      <c r="B4175" s="2"/>
      <c r="C4175" s="2"/>
      <c r="D4175" s="2"/>
      <c r="E4175" s="2"/>
      <c r="K4175" s="77"/>
      <c r="L4175" s="77"/>
      <c r="M4175" s="76"/>
    </row>
    <row r="4176">
      <c r="A4176" s="2"/>
      <c r="B4176" s="2"/>
      <c r="C4176" s="2"/>
      <c r="D4176" s="2"/>
      <c r="E4176" s="2"/>
      <c r="K4176" s="77"/>
      <c r="L4176" s="77"/>
      <c r="M4176" s="76"/>
    </row>
    <row r="4177">
      <c r="A4177" s="2"/>
      <c r="B4177" s="2"/>
      <c r="C4177" s="2"/>
      <c r="D4177" s="2"/>
      <c r="E4177" s="2"/>
      <c r="K4177" s="77"/>
      <c r="L4177" s="77"/>
      <c r="M4177" s="76"/>
    </row>
    <row r="4178">
      <c r="A4178" s="77"/>
      <c r="B4178" s="77"/>
      <c r="C4178" s="77"/>
      <c r="D4178" s="77"/>
      <c r="E4178" s="77"/>
      <c r="K4178" s="77"/>
      <c r="L4178" s="77"/>
      <c r="M4178" s="76"/>
    </row>
    <row r="4179">
      <c r="A4179" s="2"/>
      <c r="B4179" s="2"/>
      <c r="C4179" s="2"/>
      <c r="D4179" s="2"/>
      <c r="E4179" s="2"/>
      <c r="K4179" s="77"/>
      <c r="L4179" s="77"/>
      <c r="M4179" s="76"/>
    </row>
    <row r="4180">
      <c r="A4180" s="2"/>
      <c r="B4180" s="2"/>
      <c r="C4180" s="2"/>
      <c r="D4180" s="2"/>
      <c r="E4180" s="2"/>
      <c r="K4180" s="77"/>
      <c r="L4180" s="77"/>
      <c r="M4180" s="76"/>
    </row>
    <row r="4181">
      <c r="A4181" s="2"/>
      <c r="B4181" s="2"/>
      <c r="C4181" s="2"/>
      <c r="D4181" s="2"/>
      <c r="E4181" s="2"/>
      <c r="K4181" s="77"/>
      <c r="L4181" s="77"/>
      <c r="M4181" s="76"/>
    </row>
    <row r="4182">
      <c r="A4182" s="2"/>
      <c r="B4182" s="2"/>
      <c r="C4182" s="2"/>
      <c r="D4182" s="2"/>
      <c r="E4182" s="2"/>
      <c r="K4182" s="77"/>
      <c r="L4182" s="77"/>
      <c r="M4182" s="76"/>
    </row>
    <row r="4183">
      <c r="A4183" s="2"/>
      <c r="B4183" s="2"/>
      <c r="C4183" s="2"/>
      <c r="D4183" s="2"/>
      <c r="E4183" s="2"/>
      <c r="K4183" s="77"/>
      <c r="L4183" s="77"/>
      <c r="M4183" s="76"/>
    </row>
    <row r="4184">
      <c r="A4184" s="2"/>
      <c r="B4184" s="2"/>
      <c r="C4184" s="2"/>
      <c r="D4184" s="2"/>
      <c r="E4184" s="2"/>
      <c r="K4184" s="77"/>
      <c r="L4184" s="77"/>
      <c r="M4184" s="76"/>
    </row>
    <row r="4185">
      <c r="A4185" s="2"/>
      <c r="B4185" s="2"/>
      <c r="C4185" s="2"/>
      <c r="D4185" s="2"/>
      <c r="E4185" s="2"/>
      <c r="K4185" s="77"/>
      <c r="L4185" s="77"/>
      <c r="M4185" s="76"/>
    </row>
    <row r="4186">
      <c r="A4186" s="2"/>
      <c r="B4186" s="2"/>
      <c r="C4186" s="2"/>
      <c r="D4186" s="2"/>
      <c r="E4186" s="2"/>
      <c r="K4186" s="77"/>
      <c r="L4186" s="77"/>
      <c r="M4186" s="76"/>
    </row>
    <row r="4187">
      <c r="A4187" s="2"/>
      <c r="B4187" s="2"/>
      <c r="C4187" s="2"/>
      <c r="D4187" s="2"/>
      <c r="E4187" s="2"/>
      <c r="K4187" s="77"/>
      <c r="L4187" s="77"/>
      <c r="M4187" s="76"/>
    </row>
    <row r="4188">
      <c r="A4188" s="2"/>
      <c r="B4188" s="2"/>
      <c r="C4188" s="2"/>
      <c r="D4188" s="2"/>
      <c r="E4188" s="2"/>
      <c r="K4188" s="77"/>
      <c r="L4188" s="77"/>
      <c r="M4188" s="76"/>
    </row>
    <row r="4189">
      <c r="A4189" s="2"/>
      <c r="B4189" s="2"/>
      <c r="C4189" s="2"/>
      <c r="D4189" s="2"/>
      <c r="E4189" s="2"/>
      <c r="K4189" s="77"/>
      <c r="L4189" s="77"/>
      <c r="M4189" s="76"/>
    </row>
    <row r="4190">
      <c r="A4190" s="2"/>
      <c r="B4190" s="2"/>
      <c r="C4190" s="2"/>
      <c r="D4190" s="2"/>
      <c r="E4190" s="2"/>
      <c r="K4190" s="77"/>
      <c r="L4190" s="77"/>
      <c r="M4190" s="76"/>
    </row>
    <row r="4191">
      <c r="A4191" s="2"/>
      <c r="B4191" s="2"/>
      <c r="C4191" s="2"/>
      <c r="D4191" s="2"/>
      <c r="E4191" s="2"/>
      <c r="K4191" s="77"/>
      <c r="L4191" s="77"/>
      <c r="M4191" s="76"/>
    </row>
    <row r="4192">
      <c r="A4192" s="2"/>
      <c r="B4192" s="2"/>
      <c r="C4192" s="2"/>
      <c r="D4192" s="2"/>
      <c r="E4192" s="2"/>
      <c r="K4192" s="77"/>
      <c r="L4192" s="77"/>
      <c r="M4192" s="76"/>
    </row>
    <row r="4193">
      <c r="A4193" s="2"/>
      <c r="B4193" s="2"/>
      <c r="C4193" s="2"/>
      <c r="D4193" s="2"/>
      <c r="E4193" s="2"/>
      <c r="K4193" s="77"/>
      <c r="L4193" s="77"/>
      <c r="M4193" s="76"/>
    </row>
    <row r="4194">
      <c r="A4194" s="2"/>
      <c r="B4194" s="2"/>
      <c r="C4194" s="2"/>
      <c r="D4194" s="2"/>
      <c r="E4194" s="2"/>
      <c r="K4194" s="77"/>
      <c r="L4194" s="77"/>
      <c r="M4194" s="76"/>
    </row>
    <row r="4195">
      <c r="A4195" s="2"/>
      <c r="B4195" s="2"/>
      <c r="C4195" s="2"/>
      <c r="D4195" s="2"/>
      <c r="E4195" s="2"/>
      <c r="K4195" s="77"/>
      <c r="L4195" s="77"/>
      <c r="M4195" s="76"/>
    </row>
    <row r="4196">
      <c r="A4196" s="2"/>
      <c r="B4196" s="2"/>
      <c r="C4196" s="2"/>
      <c r="D4196" s="2"/>
      <c r="E4196" s="2"/>
      <c r="K4196" s="77"/>
      <c r="L4196" s="77"/>
      <c r="M4196" s="76"/>
    </row>
    <row r="4197">
      <c r="A4197" s="2"/>
      <c r="B4197" s="2"/>
      <c r="C4197" s="2"/>
      <c r="D4197" s="2"/>
      <c r="E4197" s="2"/>
      <c r="K4197" s="77"/>
      <c r="L4197" s="77"/>
      <c r="M4197" s="76"/>
    </row>
    <row r="4198">
      <c r="A4198" s="2"/>
      <c r="B4198" s="2"/>
      <c r="C4198" s="2"/>
      <c r="D4198" s="2"/>
      <c r="E4198" s="2"/>
      <c r="K4198" s="77"/>
      <c r="L4198" s="77"/>
      <c r="M4198" s="76"/>
    </row>
    <row r="4199">
      <c r="A4199" s="2"/>
      <c r="B4199" s="2"/>
      <c r="C4199" s="2"/>
      <c r="D4199" s="2"/>
      <c r="E4199" s="2"/>
      <c r="K4199" s="77"/>
      <c r="L4199" s="77"/>
      <c r="M4199" s="76"/>
    </row>
    <row r="4200">
      <c r="A4200" s="2"/>
      <c r="B4200" s="2"/>
      <c r="C4200" s="2"/>
      <c r="D4200" s="2"/>
      <c r="E4200" s="2"/>
      <c r="K4200" s="77"/>
      <c r="L4200" s="77"/>
      <c r="M4200" s="76"/>
    </row>
    <row r="4201">
      <c r="A4201" s="2"/>
      <c r="B4201" s="2"/>
      <c r="C4201" s="2"/>
      <c r="D4201" s="2"/>
      <c r="E4201" s="2"/>
      <c r="K4201" s="77"/>
      <c r="L4201" s="77"/>
      <c r="M4201" s="76"/>
    </row>
    <row r="4202">
      <c r="A4202" s="77"/>
      <c r="B4202" s="77"/>
      <c r="C4202" s="77"/>
      <c r="D4202" s="77"/>
      <c r="E4202" s="77"/>
      <c r="K4202" s="77"/>
      <c r="L4202" s="77"/>
      <c r="M4202" s="76"/>
    </row>
    <row r="4203">
      <c r="A4203" s="2"/>
      <c r="B4203" s="2"/>
      <c r="C4203" s="2"/>
      <c r="D4203" s="2"/>
      <c r="E4203" s="2"/>
      <c r="K4203" s="77"/>
      <c r="L4203" s="77"/>
      <c r="M4203" s="76"/>
    </row>
    <row r="4204">
      <c r="A4204" s="2"/>
      <c r="B4204" s="2"/>
      <c r="C4204" s="2"/>
      <c r="D4204" s="2"/>
      <c r="E4204" s="2"/>
      <c r="K4204" s="77"/>
      <c r="L4204" s="77"/>
      <c r="M4204" s="76"/>
    </row>
    <row r="4205">
      <c r="A4205" s="2"/>
      <c r="B4205" s="2"/>
      <c r="C4205" s="2"/>
      <c r="D4205" s="2"/>
      <c r="E4205" s="2"/>
      <c r="K4205" s="77"/>
      <c r="L4205" s="77"/>
      <c r="M4205" s="76"/>
    </row>
    <row r="4206">
      <c r="A4206" s="2"/>
      <c r="B4206" s="2"/>
      <c r="C4206" s="2"/>
      <c r="D4206" s="2"/>
      <c r="E4206" s="2"/>
      <c r="K4206" s="77"/>
      <c r="L4206" s="77"/>
      <c r="M4206" s="76"/>
    </row>
    <row r="4207">
      <c r="A4207" s="2"/>
      <c r="B4207" s="2"/>
      <c r="C4207" s="2"/>
      <c r="D4207" s="2"/>
      <c r="E4207" s="2"/>
      <c r="K4207" s="77"/>
      <c r="L4207" s="77"/>
      <c r="M4207" s="76"/>
    </row>
    <row r="4208">
      <c r="A4208" s="2"/>
      <c r="B4208" s="2"/>
      <c r="C4208" s="2"/>
      <c r="D4208" s="2"/>
      <c r="E4208" s="2"/>
      <c r="K4208" s="77"/>
      <c r="L4208" s="77"/>
      <c r="M4208" s="76"/>
    </row>
    <row r="4209">
      <c r="A4209" s="2"/>
      <c r="B4209" s="2"/>
      <c r="C4209" s="2"/>
      <c r="D4209" s="2"/>
      <c r="E4209" s="2"/>
      <c r="K4209" s="77"/>
      <c r="L4209" s="77"/>
      <c r="M4209" s="76"/>
    </row>
    <row r="4210">
      <c r="A4210" s="2"/>
      <c r="B4210" s="2"/>
      <c r="C4210" s="2"/>
      <c r="D4210" s="2"/>
      <c r="E4210" s="2"/>
      <c r="K4210" s="77"/>
      <c r="L4210" s="77"/>
      <c r="M4210" s="76"/>
    </row>
    <row r="4211">
      <c r="A4211" s="2"/>
      <c r="B4211" s="2"/>
      <c r="C4211" s="2"/>
      <c r="D4211" s="2"/>
      <c r="E4211" s="2"/>
      <c r="K4211" s="77"/>
      <c r="L4211" s="77"/>
      <c r="M4211" s="76"/>
    </row>
    <row r="4212">
      <c r="A4212" s="2"/>
      <c r="B4212" s="2"/>
      <c r="C4212" s="2"/>
      <c r="D4212" s="2"/>
      <c r="E4212" s="2"/>
      <c r="K4212" s="77"/>
      <c r="L4212" s="77"/>
      <c r="M4212" s="76"/>
    </row>
    <row r="4213">
      <c r="A4213" s="2"/>
      <c r="B4213" s="2"/>
      <c r="C4213" s="2"/>
      <c r="D4213" s="2"/>
      <c r="E4213" s="2"/>
      <c r="K4213" s="77"/>
      <c r="L4213" s="77"/>
      <c r="M4213" s="76"/>
    </row>
    <row r="4214">
      <c r="A4214" s="2"/>
      <c r="B4214" s="2"/>
      <c r="C4214" s="2"/>
      <c r="D4214" s="2"/>
      <c r="E4214" s="2"/>
      <c r="K4214" s="77"/>
      <c r="L4214" s="77"/>
      <c r="M4214" s="76"/>
    </row>
    <row r="4215">
      <c r="A4215" s="2"/>
      <c r="B4215" s="2"/>
      <c r="C4215" s="2"/>
      <c r="D4215" s="2"/>
      <c r="E4215" s="2"/>
      <c r="K4215" s="77"/>
      <c r="L4215" s="77"/>
      <c r="M4215" s="76"/>
    </row>
    <row r="4216">
      <c r="A4216" s="2"/>
      <c r="B4216" s="2"/>
      <c r="C4216" s="2"/>
      <c r="D4216" s="2"/>
      <c r="E4216" s="2"/>
      <c r="K4216" s="77"/>
      <c r="L4216" s="77"/>
      <c r="M4216" s="76"/>
    </row>
    <row r="4217">
      <c r="A4217" s="2"/>
      <c r="B4217" s="2"/>
      <c r="C4217" s="2"/>
      <c r="D4217" s="2"/>
      <c r="E4217" s="2"/>
      <c r="K4217" s="77"/>
      <c r="L4217" s="77"/>
      <c r="M4217" s="76"/>
    </row>
    <row r="4218">
      <c r="A4218" s="2"/>
      <c r="B4218" s="2"/>
      <c r="C4218" s="2"/>
      <c r="D4218" s="2"/>
      <c r="E4218" s="2"/>
      <c r="K4218" s="77"/>
      <c r="L4218" s="77"/>
      <c r="M4218" s="76"/>
    </row>
    <row r="4219">
      <c r="A4219" s="2"/>
      <c r="B4219" s="2"/>
      <c r="C4219" s="2"/>
      <c r="D4219" s="2"/>
      <c r="E4219" s="2"/>
      <c r="K4219" s="77"/>
      <c r="L4219" s="77"/>
      <c r="M4219" s="76"/>
    </row>
    <row r="4220">
      <c r="A4220" s="2"/>
      <c r="B4220" s="2"/>
      <c r="C4220" s="2"/>
      <c r="D4220" s="2"/>
      <c r="E4220" s="2"/>
      <c r="K4220" s="77"/>
      <c r="L4220" s="77"/>
      <c r="M4220" s="76"/>
    </row>
    <row r="4221">
      <c r="A4221" s="2"/>
      <c r="B4221" s="2"/>
      <c r="C4221" s="2"/>
      <c r="D4221" s="2"/>
      <c r="E4221" s="2"/>
      <c r="K4221" s="77"/>
      <c r="L4221" s="77"/>
      <c r="M4221" s="76"/>
    </row>
    <row r="4222">
      <c r="A4222" s="2"/>
      <c r="B4222" s="2"/>
      <c r="C4222" s="2"/>
      <c r="D4222" s="2"/>
      <c r="E4222" s="2"/>
      <c r="K4222" s="77"/>
      <c r="L4222" s="77"/>
      <c r="M4222" s="76"/>
    </row>
    <row r="4223">
      <c r="A4223" s="2"/>
      <c r="B4223" s="2"/>
      <c r="C4223" s="2"/>
      <c r="D4223" s="2"/>
      <c r="E4223" s="2"/>
      <c r="K4223" s="77"/>
      <c r="L4223" s="77"/>
      <c r="M4223" s="76"/>
    </row>
    <row r="4224">
      <c r="A4224" s="2"/>
      <c r="B4224" s="2"/>
      <c r="C4224" s="2"/>
      <c r="D4224" s="2"/>
      <c r="E4224" s="2"/>
      <c r="K4224" s="77"/>
      <c r="L4224" s="77"/>
      <c r="M4224" s="76"/>
    </row>
    <row r="4225">
      <c r="A4225" s="2"/>
      <c r="B4225" s="2"/>
      <c r="C4225" s="2"/>
      <c r="D4225" s="2"/>
      <c r="E4225" s="2"/>
      <c r="K4225" s="77"/>
      <c r="L4225" s="77"/>
      <c r="M4225" s="76"/>
    </row>
    <row r="4226">
      <c r="A4226" s="77"/>
      <c r="B4226" s="77"/>
      <c r="C4226" s="77"/>
      <c r="D4226" s="77"/>
      <c r="E4226" s="77"/>
      <c r="K4226" s="77"/>
      <c r="L4226" s="77"/>
      <c r="M4226" s="76"/>
    </row>
    <row r="4227">
      <c r="A4227" s="2"/>
      <c r="B4227" s="2"/>
      <c r="C4227" s="2"/>
      <c r="D4227" s="2"/>
      <c r="E4227" s="2"/>
      <c r="K4227" s="77"/>
      <c r="L4227" s="77"/>
      <c r="M4227" s="76"/>
    </row>
    <row r="4228">
      <c r="A4228" s="2"/>
      <c r="B4228" s="2"/>
      <c r="C4228" s="2"/>
      <c r="D4228" s="2"/>
      <c r="E4228" s="2"/>
      <c r="K4228" s="77"/>
      <c r="L4228" s="77"/>
      <c r="M4228" s="76"/>
    </row>
    <row r="4229">
      <c r="A4229" s="2"/>
      <c r="B4229" s="2"/>
      <c r="C4229" s="2"/>
      <c r="D4229" s="2"/>
      <c r="E4229" s="2"/>
      <c r="K4229" s="77"/>
      <c r="L4229" s="77"/>
      <c r="M4229" s="76"/>
    </row>
    <row r="4230">
      <c r="A4230" s="2"/>
      <c r="B4230" s="2"/>
      <c r="C4230" s="2"/>
      <c r="D4230" s="2"/>
      <c r="E4230" s="2"/>
      <c r="K4230" s="77"/>
      <c r="L4230" s="77"/>
      <c r="M4230" s="76"/>
    </row>
    <row r="4231">
      <c r="A4231" s="2"/>
      <c r="B4231" s="2"/>
      <c r="C4231" s="2"/>
      <c r="D4231" s="2"/>
      <c r="E4231" s="2"/>
      <c r="K4231" s="77"/>
      <c r="L4231" s="77"/>
      <c r="M4231" s="76"/>
    </row>
    <row r="4232">
      <c r="A4232" s="2"/>
      <c r="B4232" s="2"/>
      <c r="C4232" s="2"/>
      <c r="D4232" s="2"/>
      <c r="E4232" s="2"/>
      <c r="K4232" s="77"/>
      <c r="L4232" s="77"/>
      <c r="M4232" s="76"/>
    </row>
    <row r="4233">
      <c r="A4233" s="2"/>
      <c r="B4233" s="2"/>
      <c r="C4233" s="2"/>
      <c r="D4233" s="2"/>
      <c r="E4233" s="2"/>
      <c r="K4233" s="77"/>
      <c r="L4233" s="77"/>
      <c r="M4233" s="76"/>
    </row>
    <row r="4234">
      <c r="A4234" s="2"/>
      <c r="B4234" s="2"/>
      <c r="C4234" s="2"/>
      <c r="D4234" s="2"/>
      <c r="E4234" s="2"/>
      <c r="K4234" s="77"/>
      <c r="L4234" s="77"/>
      <c r="M4234" s="76"/>
    </row>
    <row r="4235">
      <c r="A4235" s="2"/>
      <c r="B4235" s="2"/>
      <c r="C4235" s="2"/>
      <c r="D4235" s="2"/>
      <c r="E4235" s="2"/>
      <c r="K4235" s="77"/>
      <c r="L4235" s="77"/>
      <c r="M4235" s="76"/>
    </row>
    <row r="4236">
      <c r="A4236" s="2"/>
      <c r="B4236" s="2"/>
      <c r="C4236" s="2"/>
      <c r="D4236" s="2"/>
      <c r="E4236" s="2"/>
      <c r="K4236" s="77"/>
      <c r="L4236" s="77"/>
      <c r="M4236" s="76"/>
    </row>
    <row r="4237">
      <c r="A4237" s="2"/>
      <c r="B4237" s="2"/>
      <c r="C4237" s="2"/>
      <c r="D4237" s="2"/>
      <c r="E4237" s="2"/>
      <c r="K4237" s="77"/>
      <c r="L4237" s="77"/>
      <c r="M4237" s="76"/>
    </row>
    <row r="4238">
      <c r="A4238" s="2"/>
      <c r="B4238" s="2"/>
      <c r="C4238" s="2"/>
      <c r="D4238" s="2"/>
      <c r="E4238" s="2"/>
      <c r="K4238" s="77"/>
      <c r="L4238" s="77"/>
      <c r="M4238" s="76"/>
    </row>
    <row r="4239">
      <c r="A4239" s="2"/>
      <c r="B4239" s="2"/>
      <c r="C4239" s="2"/>
      <c r="D4239" s="2"/>
      <c r="E4239" s="2"/>
      <c r="K4239" s="77"/>
      <c r="L4239" s="77"/>
      <c r="M4239" s="76"/>
    </row>
    <row r="4240">
      <c r="A4240" s="2"/>
      <c r="B4240" s="2"/>
      <c r="C4240" s="2"/>
      <c r="D4240" s="2"/>
      <c r="E4240" s="2"/>
      <c r="K4240" s="77"/>
      <c r="L4240" s="77"/>
      <c r="M4240" s="76"/>
    </row>
    <row r="4241">
      <c r="A4241" s="2"/>
      <c r="B4241" s="2"/>
      <c r="C4241" s="2"/>
      <c r="D4241" s="2"/>
      <c r="E4241" s="2"/>
      <c r="K4241" s="77"/>
      <c r="L4241" s="77"/>
      <c r="M4241" s="76"/>
    </row>
    <row r="4242">
      <c r="A4242" s="2"/>
      <c r="B4242" s="2"/>
      <c r="C4242" s="2"/>
      <c r="D4242" s="2"/>
      <c r="E4242" s="2"/>
      <c r="K4242" s="77"/>
      <c r="L4242" s="77"/>
      <c r="M4242" s="76"/>
    </row>
    <row r="4243">
      <c r="A4243" s="2"/>
      <c r="B4243" s="2"/>
      <c r="C4243" s="2"/>
      <c r="D4243" s="2"/>
      <c r="E4243" s="2"/>
      <c r="K4243" s="77"/>
      <c r="L4243" s="77"/>
      <c r="M4243" s="76"/>
    </row>
    <row r="4244">
      <c r="A4244" s="2"/>
      <c r="B4244" s="2"/>
      <c r="C4244" s="2"/>
      <c r="D4244" s="2"/>
      <c r="E4244" s="2"/>
      <c r="K4244" s="77"/>
      <c r="L4244" s="77"/>
      <c r="M4244" s="76"/>
    </row>
    <row r="4245">
      <c r="A4245" s="2"/>
      <c r="B4245" s="2"/>
      <c r="C4245" s="2"/>
      <c r="D4245" s="2"/>
      <c r="E4245" s="2"/>
      <c r="K4245" s="77"/>
      <c r="L4245" s="77"/>
      <c r="M4245" s="76"/>
    </row>
    <row r="4246">
      <c r="A4246" s="2"/>
      <c r="B4246" s="2"/>
      <c r="C4246" s="2"/>
      <c r="D4246" s="2"/>
      <c r="E4246" s="2"/>
      <c r="K4246" s="77"/>
      <c r="L4246" s="77"/>
      <c r="M4246" s="76"/>
    </row>
    <row r="4247">
      <c r="A4247" s="2"/>
      <c r="B4247" s="2"/>
      <c r="C4247" s="2"/>
      <c r="D4247" s="2"/>
      <c r="E4247" s="2"/>
      <c r="K4247" s="77"/>
      <c r="L4247" s="77"/>
      <c r="M4247" s="76"/>
    </row>
    <row r="4248">
      <c r="A4248" s="2"/>
      <c r="B4248" s="2"/>
      <c r="C4248" s="2"/>
      <c r="D4248" s="2"/>
      <c r="E4248" s="2"/>
      <c r="K4248" s="77"/>
      <c r="L4248" s="77"/>
      <c r="M4248" s="76"/>
    </row>
    <row r="4249">
      <c r="A4249" s="2"/>
      <c r="B4249" s="2"/>
      <c r="C4249" s="2"/>
      <c r="D4249" s="2"/>
      <c r="E4249" s="2"/>
      <c r="K4249" s="77"/>
      <c r="L4249" s="77"/>
      <c r="M4249" s="76"/>
    </row>
    <row r="4250">
      <c r="A4250" s="77"/>
      <c r="B4250" s="77"/>
      <c r="C4250" s="77"/>
      <c r="D4250" s="77"/>
      <c r="E4250" s="77"/>
      <c r="K4250" s="77"/>
      <c r="L4250" s="77"/>
      <c r="M4250" s="76"/>
    </row>
    <row r="4251">
      <c r="A4251" s="2"/>
      <c r="B4251" s="2"/>
      <c r="C4251" s="2"/>
      <c r="D4251" s="2"/>
      <c r="E4251" s="2"/>
      <c r="K4251" s="77"/>
      <c r="L4251" s="77"/>
      <c r="M4251" s="76"/>
    </row>
    <row r="4252">
      <c r="A4252" s="2"/>
      <c r="B4252" s="2"/>
      <c r="C4252" s="2"/>
      <c r="D4252" s="2"/>
      <c r="E4252" s="2"/>
      <c r="K4252" s="77"/>
      <c r="L4252" s="77"/>
      <c r="M4252" s="76"/>
    </row>
    <row r="4253">
      <c r="A4253" s="2"/>
      <c r="B4253" s="2"/>
      <c r="C4253" s="2"/>
      <c r="D4253" s="2"/>
      <c r="E4253" s="2"/>
      <c r="K4253" s="77"/>
      <c r="L4253" s="77"/>
      <c r="M4253" s="76"/>
    </row>
    <row r="4254">
      <c r="A4254" s="2"/>
      <c r="B4254" s="2"/>
      <c r="C4254" s="2"/>
      <c r="D4254" s="2"/>
      <c r="E4254" s="2"/>
      <c r="K4254" s="77"/>
      <c r="L4254" s="77"/>
      <c r="M4254" s="76"/>
    </row>
    <row r="4255">
      <c r="A4255" s="2"/>
      <c r="B4255" s="2"/>
      <c r="C4255" s="2"/>
      <c r="D4255" s="2"/>
      <c r="E4255" s="2"/>
      <c r="K4255" s="77"/>
      <c r="L4255" s="77"/>
      <c r="M4255" s="76"/>
    </row>
    <row r="4256">
      <c r="A4256" s="2"/>
      <c r="B4256" s="2"/>
      <c r="C4256" s="2"/>
      <c r="D4256" s="2"/>
      <c r="E4256" s="2"/>
      <c r="K4256" s="77"/>
      <c r="L4256" s="77"/>
      <c r="M4256" s="76"/>
    </row>
    <row r="4257">
      <c r="A4257" s="2"/>
      <c r="B4257" s="2"/>
      <c r="C4257" s="2"/>
      <c r="D4257" s="2"/>
      <c r="E4257" s="2"/>
      <c r="K4257" s="77"/>
      <c r="L4257" s="77"/>
      <c r="M4257" s="76"/>
    </row>
    <row r="4258">
      <c r="A4258" s="2"/>
      <c r="B4258" s="2"/>
      <c r="C4258" s="2"/>
      <c r="D4258" s="2"/>
      <c r="E4258" s="2"/>
      <c r="K4258" s="77"/>
      <c r="L4258" s="77"/>
      <c r="M4258" s="76"/>
    </row>
    <row r="4259">
      <c r="A4259" s="2"/>
      <c r="B4259" s="2"/>
      <c r="C4259" s="2"/>
      <c r="D4259" s="2"/>
      <c r="E4259" s="2"/>
      <c r="K4259" s="77"/>
      <c r="L4259" s="77"/>
      <c r="M4259" s="76"/>
    </row>
    <row r="4260">
      <c r="A4260" s="2"/>
      <c r="B4260" s="2"/>
      <c r="C4260" s="2"/>
      <c r="D4260" s="2"/>
      <c r="E4260" s="2"/>
      <c r="K4260" s="77"/>
      <c r="L4260" s="77"/>
      <c r="M4260" s="76"/>
    </row>
    <row r="4261">
      <c r="A4261" s="2"/>
      <c r="B4261" s="2"/>
      <c r="C4261" s="2"/>
      <c r="D4261" s="2"/>
      <c r="E4261" s="2"/>
      <c r="K4261" s="77"/>
      <c r="L4261" s="77"/>
      <c r="M4261" s="76"/>
    </row>
    <row r="4262">
      <c r="A4262" s="2"/>
      <c r="B4262" s="2"/>
      <c r="C4262" s="2"/>
      <c r="D4262" s="2"/>
      <c r="E4262" s="2"/>
      <c r="K4262" s="77"/>
      <c r="L4262" s="77"/>
      <c r="M4262" s="76"/>
    </row>
    <row r="4263">
      <c r="A4263" s="2"/>
      <c r="B4263" s="2"/>
      <c r="C4263" s="2"/>
      <c r="D4263" s="2"/>
      <c r="E4263" s="2"/>
      <c r="K4263" s="77"/>
      <c r="L4263" s="77"/>
      <c r="M4263" s="76"/>
    </row>
    <row r="4264">
      <c r="A4264" s="2"/>
      <c r="B4264" s="2"/>
      <c r="C4264" s="2"/>
      <c r="D4264" s="2"/>
      <c r="E4264" s="2"/>
      <c r="K4264" s="77"/>
      <c r="L4264" s="77"/>
      <c r="M4264" s="76"/>
    </row>
    <row r="4265">
      <c r="A4265" s="2"/>
      <c r="B4265" s="2"/>
      <c r="C4265" s="2"/>
      <c r="D4265" s="2"/>
      <c r="E4265" s="2"/>
      <c r="K4265" s="77"/>
      <c r="L4265" s="77"/>
      <c r="M4265" s="76"/>
    </row>
    <row r="4266">
      <c r="A4266" s="2"/>
      <c r="B4266" s="2"/>
      <c r="C4266" s="2"/>
      <c r="D4266" s="2"/>
      <c r="E4266" s="2"/>
      <c r="K4266" s="77"/>
      <c r="L4266" s="77"/>
      <c r="M4266" s="76"/>
    </row>
    <row r="4267">
      <c r="A4267" s="2"/>
      <c r="B4267" s="2"/>
      <c r="C4267" s="2"/>
      <c r="D4267" s="2"/>
      <c r="E4267" s="2"/>
      <c r="K4267" s="77"/>
      <c r="L4267" s="77"/>
      <c r="M4267" s="76"/>
    </row>
    <row r="4268">
      <c r="A4268" s="2"/>
      <c r="B4268" s="2"/>
      <c r="C4268" s="2"/>
      <c r="D4268" s="2"/>
      <c r="E4268" s="2"/>
      <c r="K4268" s="77"/>
      <c r="L4268" s="77"/>
      <c r="M4268" s="76"/>
    </row>
    <row r="4269">
      <c r="A4269" s="2"/>
      <c r="B4269" s="2"/>
      <c r="C4269" s="2"/>
      <c r="D4269" s="2"/>
      <c r="E4269" s="2"/>
      <c r="K4269" s="77"/>
      <c r="L4269" s="77"/>
      <c r="M4269" s="76"/>
    </row>
    <row r="4270">
      <c r="A4270" s="2"/>
      <c r="B4270" s="2"/>
      <c r="C4270" s="2"/>
      <c r="D4270" s="2"/>
      <c r="E4270" s="2"/>
      <c r="K4270" s="77"/>
      <c r="L4270" s="77"/>
      <c r="M4270" s="76"/>
    </row>
    <row r="4271">
      <c r="A4271" s="2"/>
      <c r="B4271" s="2"/>
      <c r="C4271" s="2"/>
      <c r="D4271" s="2"/>
      <c r="E4271" s="2"/>
      <c r="K4271" s="77"/>
      <c r="L4271" s="77"/>
      <c r="M4271" s="76"/>
    </row>
    <row r="4272">
      <c r="A4272" s="2"/>
      <c r="B4272" s="2"/>
      <c r="C4272" s="2"/>
      <c r="D4272" s="2"/>
      <c r="E4272" s="2"/>
      <c r="K4272" s="77"/>
      <c r="L4272" s="77"/>
      <c r="M4272" s="76"/>
    </row>
    <row r="4273">
      <c r="A4273" s="2"/>
      <c r="B4273" s="2"/>
      <c r="C4273" s="2"/>
      <c r="D4273" s="2"/>
      <c r="E4273" s="2"/>
      <c r="K4273" s="77"/>
      <c r="L4273" s="77"/>
      <c r="M4273" s="76"/>
    </row>
    <row r="4274">
      <c r="A4274" s="77"/>
      <c r="B4274" s="77"/>
      <c r="C4274" s="77"/>
      <c r="D4274" s="77"/>
      <c r="E4274" s="77"/>
      <c r="K4274" s="77"/>
      <c r="L4274" s="77"/>
      <c r="M4274" s="76"/>
    </row>
    <row r="4275">
      <c r="A4275" s="2"/>
      <c r="B4275" s="2"/>
      <c r="C4275" s="2"/>
      <c r="D4275" s="2"/>
      <c r="E4275" s="2"/>
      <c r="K4275" s="77"/>
      <c r="L4275" s="77"/>
      <c r="M4275" s="76"/>
    </row>
    <row r="4276">
      <c r="A4276" s="2"/>
      <c r="B4276" s="2"/>
      <c r="C4276" s="2"/>
      <c r="D4276" s="2"/>
      <c r="E4276" s="2"/>
      <c r="K4276" s="77"/>
      <c r="L4276" s="77"/>
      <c r="M4276" s="76"/>
    </row>
    <row r="4277">
      <c r="A4277" s="2"/>
      <c r="B4277" s="2"/>
      <c r="C4277" s="2"/>
      <c r="D4277" s="2"/>
      <c r="E4277" s="2"/>
      <c r="K4277" s="77"/>
      <c r="L4277" s="77"/>
      <c r="M4277" s="76"/>
    </row>
    <row r="4278">
      <c r="A4278" s="2"/>
      <c r="B4278" s="2"/>
      <c r="C4278" s="2"/>
      <c r="D4278" s="2"/>
      <c r="E4278" s="2"/>
      <c r="K4278" s="77"/>
      <c r="L4278" s="77"/>
      <c r="M4278" s="76"/>
    </row>
    <row r="4279">
      <c r="A4279" s="2"/>
      <c r="B4279" s="2"/>
      <c r="C4279" s="2"/>
      <c r="D4279" s="2"/>
      <c r="E4279" s="2"/>
      <c r="K4279" s="77"/>
      <c r="L4279" s="77"/>
      <c r="M4279" s="76"/>
    </row>
    <row r="4280">
      <c r="A4280" s="2"/>
      <c r="B4280" s="2"/>
      <c r="C4280" s="2"/>
      <c r="D4280" s="2"/>
      <c r="E4280" s="2"/>
      <c r="K4280" s="77"/>
      <c r="L4280" s="77"/>
      <c r="M4280" s="76"/>
    </row>
    <row r="4281">
      <c r="A4281" s="2"/>
      <c r="B4281" s="2"/>
      <c r="C4281" s="2"/>
      <c r="D4281" s="2"/>
      <c r="E4281" s="2"/>
      <c r="K4281" s="77"/>
      <c r="L4281" s="77"/>
      <c r="M4281" s="76"/>
    </row>
    <row r="4282">
      <c r="A4282" s="2"/>
      <c r="B4282" s="2"/>
      <c r="C4282" s="2"/>
      <c r="D4282" s="2"/>
      <c r="E4282" s="2"/>
      <c r="K4282" s="77"/>
      <c r="L4282" s="77"/>
      <c r="M4282" s="76"/>
    </row>
    <row r="4283">
      <c r="A4283" s="2"/>
      <c r="B4283" s="2"/>
      <c r="C4283" s="2"/>
      <c r="D4283" s="2"/>
      <c r="E4283" s="2"/>
      <c r="K4283" s="77"/>
      <c r="L4283" s="77"/>
      <c r="M4283" s="76"/>
    </row>
    <row r="4284">
      <c r="A4284" s="2"/>
      <c r="B4284" s="2"/>
      <c r="C4284" s="2"/>
      <c r="D4284" s="2"/>
      <c r="E4284" s="2"/>
      <c r="K4284" s="77"/>
      <c r="L4284" s="77"/>
      <c r="M4284" s="76"/>
    </row>
    <row r="4285">
      <c r="A4285" s="2"/>
      <c r="B4285" s="2"/>
      <c r="C4285" s="2"/>
      <c r="D4285" s="2"/>
      <c r="E4285" s="2"/>
      <c r="K4285" s="77"/>
      <c r="L4285" s="77"/>
      <c r="M4285" s="76"/>
    </row>
    <row r="4286">
      <c r="A4286" s="2"/>
      <c r="B4286" s="2"/>
      <c r="C4286" s="2"/>
      <c r="D4286" s="2"/>
      <c r="E4286" s="2"/>
      <c r="K4286" s="77"/>
      <c r="L4286" s="77"/>
      <c r="M4286" s="76"/>
    </row>
    <row r="4287">
      <c r="A4287" s="2"/>
      <c r="B4287" s="2"/>
      <c r="C4287" s="2"/>
      <c r="D4287" s="2"/>
      <c r="E4287" s="2"/>
      <c r="K4287" s="77"/>
      <c r="L4287" s="77"/>
      <c r="M4287" s="76"/>
    </row>
    <row r="4288">
      <c r="A4288" s="2"/>
      <c r="B4288" s="2"/>
      <c r="C4288" s="2"/>
      <c r="D4288" s="2"/>
      <c r="E4288" s="2"/>
      <c r="K4288" s="77"/>
      <c r="L4288" s="77"/>
      <c r="M4288" s="76"/>
    </row>
    <row r="4289">
      <c r="A4289" s="2"/>
      <c r="B4289" s="2"/>
      <c r="C4289" s="2"/>
      <c r="D4289" s="2"/>
      <c r="E4289" s="2"/>
      <c r="K4289" s="77"/>
      <c r="L4289" s="77"/>
      <c r="M4289" s="76"/>
    </row>
    <row r="4290">
      <c r="A4290" s="2"/>
      <c r="B4290" s="2"/>
      <c r="C4290" s="2"/>
      <c r="D4290" s="2"/>
      <c r="E4290" s="2"/>
      <c r="K4290" s="77"/>
      <c r="L4290" s="77"/>
      <c r="M4290" s="76"/>
    </row>
    <row r="4291">
      <c r="A4291" s="2"/>
      <c r="B4291" s="2"/>
      <c r="C4291" s="2"/>
      <c r="D4291" s="2"/>
      <c r="E4291" s="2"/>
      <c r="K4291" s="77"/>
      <c r="L4291" s="77"/>
      <c r="M4291" s="76"/>
    </row>
    <row r="4292">
      <c r="A4292" s="2"/>
      <c r="B4292" s="2"/>
      <c r="C4292" s="2"/>
      <c r="D4292" s="2"/>
      <c r="E4292" s="2"/>
      <c r="K4292" s="77"/>
      <c r="L4292" s="77"/>
      <c r="M4292" s="76"/>
    </row>
    <row r="4293">
      <c r="A4293" s="2"/>
      <c r="B4293" s="2"/>
      <c r="C4293" s="2"/>
      <c r="D4293" s="2"/>
      <c r="E4293" s="2"/>
      <c r="K4293" s="77"/>
      <c r="L4293" s="77"/>
      <c r="M4293" s="76"/>
    </row>
    <row r="4294">
      <c r="A4294" s="2"/>
      <c r="B4294" s="2"/>
      <c r="C4294" s="2"/>
      <c r="D4294" s="2"/>
      <c r="E4294" s="2"/>
      <c r="K4294" s="77"/>
      <c r="L4294" s="77"/>
      <c r="M4294" s="76"/>
    </row>
    <row r="4295">
      <c r="A4295" s="2"/>
      <c r="B4295" s="2"/>
      <c r="C4295" s="2"/>
      <c r="D4295" s="2"/>
      <c r="E4295" s="2"/>
      <c r="K4295" s="77"/>
      <c r="L4295" s="77"/>
      <c r="M4295" s="76"/>
    </row>
    <row r="4296">
      <c r="A4296" s="2"/>
      <c r="B4296" s="2"/>
      <c r="C4296" s="2"/>
      <c r="D4296" s="2"/>
      <c r="E4296" s="2"/>
      <c r="K4296" s="77"/>
      <c r="L4296" s="77"/>
      <c r="M4296" s="76"/>
    </row>
    <row r="4297">
      <c r="A4297" s="2"/>
      <c r="B4297" s="2"/>
      <c r="C4297" s="2"/>
      <c r="D4297" s="2"/>
      <c r="E4297" s="2"/>
      <c r="K4297" s="77"/>
      <c r="L4297" s="77"/>
      <c r="M4297" s="76"/>
    </row>
    <row r="4298">
      <c r="A4298" s="77"/>
      <c r="B4298" s="77"/>
      <c r="C4298" s="77"/>
      <c r="D4298" s="77"/>
      <c r="E4298" s="77"/>
      <c r="K4298" s="77"/>
      <c r="L4298" s="77"/>
      <c r="M4298" s="76"/>
    </row>
    <row r="4299">
      <c r="A4299" s="2"/>
      <c r="B4299" s="2"/>
      <c r="C4299" s="2"/>
      <c r="D4299" s="2"/>
      <c r="E4299" s="2"/>
      <c r="K4299" s="77"/>
      <c r="L4299" s="77"/>
      <c r="M4299" s="76"/>
    </row>
    <row r="4300">
      <c r="A4300" s="2"/>
      <c r="B4300" s="2"/>
      <c r="C4300" s="2"/>
      <c r="D4300" s="2"/>
      <c r="E4300" s="2"/>
      <c r="K4300" s="77"/>
      <c r="L4300" s="77"/>
      <c r="M4300" s="76"/>
    </row>
    <row r="4301">
      <c r="A4301" s="2"/>
      <c r="B4301" s="2"/>
      <c r="C4301" s="2"/>
      <c r="D4301" s="2"/>
      <c r="E4301" s="2"/>
      <c r="K4301" s="77"/>
      <c r="L4301" s="77"/>
      <c r="M4301" s="76"/>
    </row>
    <row r="4302">
      <c r="A4302" s="2"/>
      <c r="B4302" s="2"/>
      <c r="C4302" s="2"/>
      <c r="D4302" s="2"/>
      <c r="E4302" s="2"/>
      <c r="K4302" s="77"/>
      <c r="L4302" s="77"/>
      <c r="M4302" s="76"/>
    </row>
    <row r="4303">
      <c r="A4303" s="2"/>
      <c r="B4303" s="2"/>
      <c r="C4303" s="2"/>
      <c r="D4303" s="2"/>
      <c r="E4303" s="2"/>
      <c r="K4303" s="77"/>
      <c r="L4303" s="77"/>
      <c r="M4303" s="76"/>
    </row>
    <row r="4304">
      <c r="A4304" s="2"/>
      <c r="B4304" s="2"/>
      <c r="C4304" s="2"/>
      <c r="D4304" s="2"/>
      <c r="E4304" s="2"/>
      <c r="K4304" s="77"/>
      <c r="L4304" s="77"/>
      <c r="M4304" s="76"/>
    </row>
    <row r="4305">
      <c r="A4305" s="2"/>
      <c r="B4305" s="2"/>
      <c r="C4305" s="2"/>
      <c r="D4305" s="2"/>
      <c r="E4305" s="2"/>
      <c r="K4305" s="77"/>
      <c r="L4305" s="77"/>
      <c r="M4305" s="76"/>
    </row>
    <row r="4306">
      <c r="A4306" s="2"/>
      <c r="B4306" s="2"/>
      <c r="C4306" s="2"/>
      <c r="D4306" s="2"/>
      <c r="E4306" s="2"/>
      <c r="K4306" s="77"/>
      <c r="L4306" s="77"/>
      <c r="M4306" s="76"/>
    </row>
    <row r="4307">
      <c r="A4307" s="2"/>
      <c r="B4307" s="2"/>
      <c r="C4307" s="2"/>
      <c r="D4307" s="2"/>
      <c r="E4307" s="2"/>
      <c r="K4307" s="77"/>
      <c r="L4307" s="77"/>
      <c r="M4307" s="76"/>
    </row>
    <row r="4308">
      <c r="A4308" s="2"/>
      <c r="B4308" s="2"/>
      <c r="C4308" s="2"/>
      <c r="D4308" s="2"/>
      <c r="E4308" s="2"/>
      <c r="K4308" s="77"/>
      <c r="L4308" s="77"/>
      <c r="M4308" s="76"/>
    </row>
    <row r="4309">
      <c r="A4309" s="2"/>
      <c r="B4309" s="2"/>
      <c r="C4309" s="2"/>
      <c r="D4309" s="2"/>
      <c r="E4309" s="2"/>
      <c r="K4309" s="77"/>
      <c r="L4309" s="77"/>
      <c r="M4309" s="76"/>
    </row>
    <row r="4310">
      <c r="A4310" s="2"/>
      <c r="B4310" s="2"/>
      <c r="C4310" s="2"/>
      <c r="D4310" s="2"/>
      <c r="E4310" s="2"/>
      <c r="K4310" s="77"/>
      <c r="L4310" s="77"/>
      <c r="M4310" s="76"/>
    </row>
    <row r="4311">
      <c r="A4311" s="2"/>
      <c r="B4311" s="2"/>
      <c r="C4311" s="2"/>
      <c r="D4311" s="2"/>
      <c r="E4311" s="2"/>
      <c r="K4311" s="77"/>
      <c r="L4311" s="77"/>
      <c r="M4311" s="76"/>
    </row>
    <row r="4312">
      <c r="A4312" s="2"/>
      <c r="B4312" s="2"/>
      <c r="C4312" s="2"/>
      <c r="D4312" s="2"/>
      <c r="E4312" s="2"/>
      <c r="K4312" s="77"/>
      <c r="L4312" s="77"/>
      <c r="M4312" s="76"/>
    </row>
    <row r="4313">
      <c r="A4313" s="2"/>
      <c r="B4313" s="2"/>
      <c r="C4313" s="2"/>
      <c r="D4313" s="2"/>
      <c r="E4313" s="2"/>
      <c r="K4313" s="77"/>
      <c r="L4313" s="77"/>
      <c r="M4313" s="76"/>
    </row>
    <row r="4314">
      <c r="A4314" s="2"/>
      <c r="B4314" s="2"/>
      <c r="C4314" s="2"/>
      <c r="D4314" s="2"/>
      <c r="E4314" s="2"/>
      <c r="K4314" s="77"/>
      <c r="L4314" s="77"/>
      <c r="M4314" s="76"/>
    </row>
    <row r="4315">
      <c r="A4315" s="2"/>
      <c r="B4315" s="2"/>
      <c r="C4315" s="2"/>
      <c r="D4315" s="2"/>
      <c r="E4315" s="2"/>
      <c r="K4315" s="77"/>
      <c r="L4315" s="77"/>
      <c r="M4315" s="76"/>
    </row>
    <row r="4316">
      <c r="A4316" s="2"/>
      <c r="B4316" s="2"/>
      <c r="C4316" s="2"/>
      <c r="D4316" s="2"/>
      <c r="E4316" s="2"/>
      <c r="K4316" s="77"/>
      <c r="L4316" s="77"/>
      <c r="M4316" s="76"/>
    </row>
    <row r="4317">
      <c r="A4317" s="2"/>
      <c r="B4317" s="2"/>
      <c r="C4317" s="2"/>
      <c r="D4317" s="2"/>
      <c r="E4317" s="2"/>
      <c r="K4317" s="77"/>
      <c r="L4317" s="77"/>
      <c r="M4317" s="76"/>
    </row>
    <row r="4318">
      <c r="A4318" s="2"/>
      <c r="B4318" s="2"/>
      <c r="C4318" s="2"/>
      <c r="D4318" s="2"/>
      <c r="E4318" s="2"/>
      <c r="K4318" s="77"/>
      <c r="L4318" s="77"/>
      <c r="M4318" s="76"/>
    </row>
    <row r="4319">
      <c r="A4319" s="2"/>
      <c r="B4319" s="2"/>
      <c r="C4319" s="2"/>
      <c r="D4319" s="2"/>
      <c r="E4319" s="2"/>
      <c r="K4319" s="77"/>
      <c r="L4319" s="77"/>
      <c r="M4319" s="76"/>
    </row>
    <row r="4320">
      <c r="A4320" s="2"/>
      <c r="B4320" s="2"/>
      <c r="C4320" s="2"/>
      <c r="D4320" s="2"/>
      <c r="E4320" s="2"/>
      <c r="K4320" s="77"/>
      <c r="L4320" s="77"/>
      <c r="M4320" s="76"/>
    </row>
    <row r="4321">
      <c r="A4321" s="2"/>
      <c r="B4321" s="2"/>
      <c r="C4321" s="2"/>
      <c r="D4321" s="2"/>
      <c r="E4321" s="2"/>
      <c r="K4321" s="77"/>
      <c r="L4321" s="77"/>
      <c r="M4321" s="76"/>
    </row>
    <row r="4322">
      <c r="A4322" s="77"/>
      <c r="B4322" s="77"/>
      <c r="C4322" s="77"/>
      <c r="D4322" s="77"/>
      <c r="E4322" s="77"/>
      <c r="K4322" s="77"/>
      <c r="L4322" s="77"/>
      <c r="M4322" s="76"/>
    </row>
    <row r="4323">
      <c r="A4323" s="2"/>
      <c r="B4323" s="2"/>
      <c r="C4323" s="2"/>
      <c r="D4323" s="2"/>
      <c r="E4323" s="2"/>
      <c r="K4323" s="77"/>
      <c r="L4323" s="77"/>
      <c r="M4323" s="76"/>
    </row>
    <row r="4324">
      <c r="A4324" s="2"/>
      <c r="B4324" s="2"/>
      <c r="C4324" s="2"/>
      <c r="D4324" s="2"/>
      <c r="E4324" s="2"/>
      <c r="K4324" s="77"/>
      <c r="L4324" s="77"/>
      <c r="M4324" s="76"/>
    </row>
    <row r="4325">
      <c r="A4325" s="2"/>
      <c r="B4325" s="2"/>
      <c r="C4325" s="2"/>
      <c r="D4325" s="2"/>
      <c r="E4325" s="2"/>
      <c r="K4325" s="77"/>
      <c r="L4325" s="77"/>
      <c r="M4325" s="76"/>
    </row>
    <row r="4326">
      <c r="A4326" s="2"/>
      <c r="B4326" s="2"/>
      <c r="C4326" s="2"/>
      <c r="D4326" s="2"/>
      <c r="E4326" s="2"/>
      <c r="K4326" s="77"/>
      <c r="L4326" s="77"/>
      <c r="M4326" s="76"/>
    </row>
    <row r="4327">
      <c r="A4327" s="2"/>
      <c r="B4327" s="2"/>
      <c r="C4327" s="2"/>
      <c r="D4327" s="2"/>
      <c r="E4327" s="2"/>
      <c r="K4327" s="77"/>
      <c r="L4327" s="77"/>
      <c r="M4327" s="76"/>
    </row>
    <row r="4328">
      <c r="A4328" s="2"/>
      <c r="B4328" s="2"/>
      <c r="C4328" s="2"/>
      <c r="D4328" s="2"/>
      <c r="E4328" s="2"/>
      <c r="K4328" s="77"/>
      <c r="L4328" s="77"/>
      <c r="M4328" s="76"/>
    </row>
    <row r="4329">
      <c r="A4329" s="2"/>
      <c r="B4329" s="2"/>
      <c r="C4329" s="2"/>
      <c r="D4329" s="2"/>
      <c r="E4329" s="2"/>
      <c r="K4329" s="77"/>
      <c r="L4329" s="77"/>
      <c r="M4329" s="76"/>
    </row>
    <row r="4330">
      <c r="A4330" s="2"/>
      <c r="B4330" s="2"/>
      <c r="C4330" s="2"/>
      <c r="D4330" s="2"/>
      <c r="E4330" s="2"/>
      <c r="K4330" s="77"/>
      <c r="L4330" s="77"/>
      <c r="M4330" s="76"/>
    </row>
    <row r="4331">
      <c r="A4331" s="2"/>
      <c r="B4331" s="2"/>
      <c r="C4331" s="2"/>
      <c r="D4331" s="2"/>
      <c r="E4331" s="2"/>
      <c r="K4331" s="77"/>
      <c r="L4331" s="77"/>
      <c r="M4331" s="76"/>
    </row>
    <row r="4332">
      <c r="A4332" s="2"/>
      <c r="B4332" s="2"/>
      <c r="C4332" s="2"/>
      <c r="D4332" s="2"/>
      <c r="E4332" s="2"/>
      <c r="K4332" s="77"/>
      <c r="L4332" s="77"/>
      <c r="M4332" s="76"/>
    </row>
    <row r="4333">
      <c r="A4333" s="2"/>
      <c r="B4333" s="2"/>
      <c r="C4333" s="2"/>
      <c r="D4333" s="2"/>
      <c r="E4333" s="2"/>
      <c r="K4333" s="77"/>
      <c r="L4333" s="77"/>
      <c r="M4333" s="76"/>
    </row>
    <row r="4334">
      <c r="A4334" s="2"/>
      <c r="B4334" s="2"/>
      <c r="C4334" s="2"/>
      <c r="D4334" s="2"/>
      <c r="E4334" s="2"/>
      <c r="K4334" s="77"/>
      <c r="L4334" s="77"/>
      <c r="M4334" s="76"/>
    </row>
    <row r="4335">
      <c r="A4335" s="2"/>
      <c r="B4335" s="2"/>
      <c r="C4335" s="2"/>
      <c r="D4335" s="2"/>
      <c r="E4335" s="2"/>
      <c r="K4335" s="77"/>
      <c r="L4335" s="77"/>
      <c r="M4335" s="76"/>
    </row>
    <row r="4336">
      <c r="A4336" s="2"/>
      <c r="B4336" s="2"/>
      <c r="C4336" s="2"/>
      <c r="D4336" s="2"/>
      <c r="E4336" s="2"/>
      <c r="K4336" s="77"/>
      <c r="L4336" s="77"/>
      <c r="M4336" s="76"/>
    </row>
    <row r="4337">
      <c r="A4337" s="2"/>
      <c r="B4337" s="2"/>
      <c r="C4337" s="2"/>
      <c r="D4337" s="2"/>
      <c r="E4337" s="2"/>
      <c r="K4337" s="77"/>
      <c r="L4337" s="77"/>
      <c r="M4337" s="76"/>
    </row>
    <row r="4338">
      <c r="A4338" s="2"/>
      <c r="B4338" s="2"/>
      <c r="C4338" s="2"/>
      <c r="D4338" s="2"/>
      <c r="E4338" s="2"/>
      <c r="K4338" s="77"/>
      <c r="L4338" s="77"/>
      <c r="M4338" s="76"/>
    </row>
    <row r="4339">
      <c r="A4339" s="2"/>
      <c r="B4339" s="2"/>
      <c r="C4339" s="2"/>
      <c r="D4339" s="2"/>
      <c r="E4339" s="2"/>
      <c r="K4339" s="77"/>
      <c r="L4339" s="77"/>
      <c r="M4339" s="76"/>
    </row>
    <row r="4340">
      <c r="A4340" s="2"/>
      <c r="B4340" s="2"/>
      <c r="C4340" s="2"/>
      <c r="D4340" s="2"/>
      <c r="E4340" s="2"/>
      <c r="K4340" s="77"/>
      <c r="L4340" s="77"/>
      <c r="M4340" s="76"/>
    </row>
    <row r="4341">
      <c r="A4341" s="2"/>
      <c r="B4341" s="2"/>
      <c r="C4341" s="2"/>
      <c r="D4341" s="2"/>
      <c r="E4341" s="2"/>
      <c r="K4341" s="77"/>
      <c r="L4341" s="77"/>
      <c r="M4341" s="76"/>
    </row>
    <row r="4342">
      <c r="A4342" s="2"/>
      <c r="B4342" s="2"/>
      <c r="C4342" s="2"/>
      <c r="D4342" s="2"/>
      <c r="E4342" s="2"/>
      <c r="K4342" s="77"/>
      <c r="L4342" s="77"/>
      <c r="M4342" s="76"/>
    </row>
    <row r="4343">
      <c r="A4343" s="2"/>
      <c r="B4343" s="2"/>
      <c r="C4343" s="2"/>
      <c r="D4343" s="2"/>
      <c r="E4343" s="2"/>
      <c r="K4343" s="77"/>
      <c r="L4343" s="77"/>
      <c r="M4343" s="76"/>
    </row>
    <row r="4344">
      <c r="A4344" s="2"/>
      <c r="B4344" s="2"/>
      <c r="C4344" s="2"/>
      <c r="D4344" s="2"/>
      <c r="E4344" s="2"/>
      <c r="K4344" s="77"/>
      <c r="L4344" s="77"/>
      <c r="M4344" s="76"/>
    </row>
    <row r="4345">
      <c r="A4345" s="2"/>
      <c r="B4345" s="2"/>
      <c r="C4345" s="2"/>
      <c r="D4345" s="2"/>
      <c r="E4345" s="2"/>
      <c r="K4345" s="77"/>
      <c r="L4345" s="77"/>
      <c r="M4345" s="76"/>
    </row>
    <row r="4346">
      <c r="A4346" s="77"/>
      <c r="B4346" s="77"/>
      <c r="C4346" s="77"/>
      <c r="D4346" s="77"/>
      <c r="E4346" s="77"/>
      <c r="K4346" s="77"/>
      <c r="L4346" s="77"/>
      <c r="M4346" s="76"/>
    </row>
    <row r="4347">
      <c r="A4347" s="2"/>
      <c r="B4347" s="2"/>
      <c r="C4347" s="2"/>
      <c r="D4347" s="2"/>
      <c r="E4347" s="2"/>
      <c r="K4347" s="77"/>
      <c r="L4347" s="77"/>
      <c r="M4347" s="76"/>
    </row>
    <row r="4348">
      <c r="A4348" s="2"/>
      <c r="B4348" s="2"/>
      <c r="C4348" s="2"/>
      <c r="D4348" s="2"/>
      <c r="E4348" s="2"/>
      <c r="K4348" s="77"/>
      <c r="L4348" s="77"/>
      <c r="M4348" s="76"/>
    </row>
    <row r="4349">
      <c r="A4349" s="2"/>
      <c r="B4349" s="2"/>
      <c r="C4349" s="2"/>
      <c r="D4349" s="2"/>
      <c r="E4349" s="2"/>
      <c r="K4349" s="77"/>
      <c r="L4349" s="77"/>
      <c r="M4349" s="76"/>
    </row>
    <row r="4350">
      <c r="A4350" s="2"/>
      <c r="B4350" s="2"/>
      <c r="C4350" s="2"/>
      <c r="D4350" s="2"/>
      <c r="E4350" s="2"/>
      <c r="K4350" s="77"/>
      <c r="L4350" s="77"/>
      <c r="M4350" s="76"/>
    </row>
    <row r="4351">
      <c r="A4351" s="2"/>
      <c r="B4351" s="2"/>
      <c r="C4351" s="2"/>
      <c r="D4351" s="2"/>
      <c r="E4351" s="2"/>
      <c r="K4351" s="77"/>
      <c r="L4351" s="77"/>
      <c r="M4351" s="76"/>
    </row>
    <row r="4352">
      <c r="A4352" s="2"/>
      <c r="B4352" s="2"/>
      <c r="C4352" s="2"/>
      <c r="D4352" s="2"/>
      <c r="E4352" s="2"/>
      <c r="K4352" s="77"/>
      <c r="L4352" s="77"/>
      <c r="M4352" s="76"/>
    </row>
    <row r="4353">
      <c r="A4353" s="2"/>
      <c r="B4353" s="2"/>
      <c r="C4353" s="2"/>
      <c r="D4353" s="2"/>
      <c r="E4353" s="2"/>
      <c r="K4353" s="77"/>
      <c r="L4353" s="77"/>
      <c r="M4353" s="76"/>
    </row>
    <row r="4354">
      <c r="A4354" s="2"/>
      <c r="B4354" s="2"/>
      <c r="C4354" s="2"/>
      <c r="D4354" s="2"/>
      <c r="E4354" s="2"/>
      <c r="K4354" s="77"/>
      <c r="L4354" s="77"/>
      <c r="M4354" s="76"/>
    </row>
    <row r="4355">
      <c r="A4355" s="2"/>
      <c r="B4355" s="2"/>
      <c r="C4355" s="2"/>
      <c r="D4355" s="2"/>
      <c r="E4355" s="2"/>
      <c r="K4355" s="77"/>
      <c r="L4355" s="77"/>
      <c r="M4355" s="76"/>
    </row>
    <row r="4356">
      <c r="A4356" s="2"/>
      <c r="B4356" s="2"/>
      <c r="C4356" s="2"/>
      <c r="D4356" s="2"/>
      <c r="E4356" s="2"/>
      <c r="K4356" s="77"/>
      <c r="L4356" s="77"/>
      <c r="M4356" s="76"/>
    </row>
    <row r="4357">
      <c r="A4357" s="2"/>
      <c r="B4357" s="2"/>
      <c r="C4357" s="2"/>
      <c r="D4357" s="2"/>
      <c r="E4357" s="2"/>
      <c r="K4357" s="77"/>
      <c r="L4357" s="77"/>
      <c r="M4357" s="76"/>
    </row>
    <row r="4358">
      <c r="A4358" s="2"/>
      <c r="B4358" s="2"/>
      <c r="C4358" s="2"/>
      <c r="D4358" s="2"/>
      <c r="E4358" s="2"/>
      <c r="K4358" s="77"/>
      <c r="L4358" s="77"/>
      <c r="M4358" s="76"/>
    </row>
    <row r="4359">
      <c r="A4359" s="2"/>
      <c r="B4359" s="2"/>
      <c r="C4359" s="2"/>
      <c r="D4359" s="2"/>
      <c r="E4359" s="2"/>
      <c r="K4359" s="77"/>
      <c r="L4359" s="77"/>
      <c r="M4359" s="76"/>
    </row>
    <row r="4360">
      <c r="A4360" s="2"/>
      <c r="B4360" s="2"/>
      <c r="C4360" s="2"/>
      <c r="D4360" s="2"/>
      <c r="E4360" s="2"/>
      <c r="K4360" s="77"/>
      <c r="L4360" s="77"/>
      <c r="M4360" s="76"/>
    </row>
    <row r="4361">
      <c r="A4361" s="2"/>
      <c r="B4361" s="2"/>
      <c r="C4361" s="2"/>
      <c r="D4361" s="2"/>
      <c r="E4361" s="2"/>
      <c r="K4361" s="77"/>
      <c r="L4361" s="77"/>
      <c r="M4361" s="76"/>
    </row>
    <row r="4362">
      <c r="A4362" s="2"/>
      <c r="B4362" s="2"/>
      <c r="C4362" s="2"/>
      <c r="D4362" s="2"/>
      <c r="E4362" s="2"/>
      <c r="K4362" s="77"/>
      <c r="L4362" s="77"/>
      <c r="M4362" s="76"/>
    </row>
    <row r="4363">
      <c r="A4363" s="2"/>
      <c r="B4363" s="2"/>
      <c r="C4363" s="2"/>
      <c r="D4363" s="2"/>
      <c r="E4363" s="2"/>
      <c r="K4363" s="77"/>
      <c r="L4363" s="77"/>
      <c r="M4363" s="76"/>
    </row>
    <row r="4364">
      <c r="A4364" s="2"/>
      <c r="B4364" s="2"/>
      <c r="C4364" s="2"/>
      <c r="D4364" s="2"/>
      <c r="E4364" s="2"/>
      <c r="K4364" s="77"/>
      <c r="L4364" s="77"/>
      <c r="M4364" s="76"/>
    </row>
    <row r="4365">
      <c r="A4365" s="2"/>
      <c r="B4365" s="2"/>
      <c r="C4365" s="2"/>
      <c r="D4365" s="2"/>
      <c r="E4365" s="2"/>
      <c r="K4365" s="77"/>
      <c r="L4365" s="77"/>
      <c r="M4365" s="76"/>
    </row>
    <row r="4366">
      <c r="A4366" s="2"/>
      <c r="B4366" s="2"/>
      <c r="C4366" s="2"/>
      <c r="D4366" s="2"/>
      <c r="E4366" s="2"/>
      <c r="K4366" s="77"/>
      <c r="L4366" s="77"/>
      <c r="M4366" s="76"/>
    </row>
    <row r="4367">
      <c r="A4367" s="2"/>
      <c r="B4367" s="2"/>
      <c r="C4367" s="2"/>
      <c r="D4367" s="2"/>
      <c r="E4367" s="2"/>
      <c r="K4367" s="77"/>
      <c r="L4367" s="77"/>
      <c r="M4367" s="76"/>
    </row>
    <row r="4368">
      <c r="A4368" s="2"/>
      <c r="B4368" s="2"/>
      <c r="C4368" s="2"/>
      <c r="D4368" s="2"/>
      <c r="E4368" s="2"/>
      <c r="K4368" s="77"/>
      <c r="L4368" s="77"/>
      <c r="M4368" s="76"/>
    </row>
    <row r="4369">
      <c r="A4369" s="2"/>
      <c r="B4369" s="2"/>
      <c r="C4369" s="2"/>
      <c r="D4369" s="2"/>
      <c r="E4369" s="2"/>
      <c r="K4369" s="77"/>
      <c r="L4369" s="77"/>
      <c r="M4369" s="76"/>
    </row>
    <row r="4370">
      <c r="A4370" s="77"/>
      <c r="B4370" s="77"/>
      <c r="C4370" s="77"/>
      <c r="D4370" s="77"/>
      <c r="E4370" s="77"/>
      <c r="K4370" s="77"/>
      <c r="L4370" s="77"/>
      <c r="M4370" s="76"/>
    </row>
    <row r="4371">
      <c r="A4371" s="2"/>
      <c r="B4371" s="2"/>
      <c r="C4371" s="2"/>
      <c r="D4371" s="2"/>
      <c r="E4371" s="2"/>
      <c r="K4371" s="77"/>
      <c r="L4371" s="77"/>
      <c r="M4371" s="76"/>
    </row>
    <row r="4372">
      <c r="A4372" s="2"/>
      <c r="B4372" s="2"/>
      <c r="C4372" s="2"/>
      <c r="D4372" s="2"/>
      <c r="E4372" s="2"/>
      <c r="K4372" s="77"/>
      <c r="L4372" s="77"/>
      <c r="M4372" s="76"/>
    </row>
    <row r="4373">
      <c r="A4373" s="2"/>
      <c r="B4373" s="2"/>
      <c r="C4373" s="2"/>
      <c r="D4373" s="2"/>
      <c r="E4373" s="2"/>
      <c r="K4373" s="77"/>
      <c r="L4373" s="77"/>
      <c r="M4373" s="76"/>
    </row>
    <row r="4374">
      <c r="A4374" s="2"/>
      <c r="B4374" s="2"/>
      <c r="C4374" s="2"/>
      <c r="D4374" s="2"/>
      <c r="E4374" s="2"/>
      <c r="K4374" s="77"/>
      <c r="L4374" s="77"/>
      <c r="M4374" s="76"/>
    </row>
    <row r="4375">
      <c r="A4375" s="2"/>
      <c r="B4375" s="2"/>
      <c r="C4375" s="2"/>
      <c r="D4375" s="2"/>
      <c r="E4375" s="2"/>
      <c r="K4375" s="77"/>
      <c r="L4375" s="77"/>
      <c r="M4375" s="76"/>
    </row>
    <row r="4376">
      <c r="A4376" s="2"/>
      <c r="B4376" s="2"/>
      <c r="C4376" s="2"/>
      <c r="D4376" s="2"/>
      <c r="E4376" s="2"/>
      <c r="K4376" s="77"/>
      <c r="L4376" s="77"/>
      <c r="M4376" s="76"/>
    </row>
    <row r="4377">
      <c r="A4377" s="2"/>
      <c r="B4377" s="2"/>
      <c r="C4377" s="2"/>
      <c r="D4377" s="2"/>
      <c r="E4377" s="2"/>
      <c r="K4377" s="77"/>
      <c r="L4377" s="77"/>
      <c r="M4377" s="76"/>
    </row>
    <row r="4378">
      <c r="A4378" s="2"/>
      <c r="B4378" s="2"/>
      <c r="C4378" s="2"/>
      <c r="D4378" s="2"/>
      <c r="E4378" s="2"/>
      <c r="K4378" s="77"/>
      <c r="L4378" s="77"/>
      <c r="M4378" s="76"/>
    </row>
    <row r="4379">
      <c r="A4379" s="2"/>
      <c r="B4379" s="2"/>
      <c r="C4379" s="2"/>
      <c r="D4379" s="2"/>
      <c r="E4379" s="2"/>
      <c r="K4379" s="77"/>
      <c r="L4379" s="77"/>
      <c r="M4379" s="76"/>
    </row>
    <row r="4380">
      <c r="A4380" s="2"/>
      <c r="B4380" s="2"/>
      <c r="C4380" s="2"/>
      <c r="D4380" s="2"/>
      <c r="E4380" s="2"/>
      <c r="K4380" s="77"/>
      <c r="L4380" s="77"/>
      <c r="M4380" s="76"/>
    </row>
    <row r="4381">
      <c r="A4381" s="2"/>
      <c r="B4381" s="2"/>
      <c r="C4381" s="2"/>
      <c r="D4381" s="2"/>
      <c r="E4381" s="2"/>
      <c r="K4381" s="77"/>
      <c r="L4381" s="77"/>
      <c r="M4381" s="76"/>
    </row>
    <row r="4382">
      <c r="A4382" s="2"/>
      <c r="B4382" s="2"/>
      <c r="C4382" s="2"/>
      <c r="D4382" s="2"/>
      <c r="E4382" s="2"/>
      <c r="K4382" s="77"/>
      <c r="L4382" s="77"/>
      <c r="M4382" s="76"/>
    </row>
    <row r="4383">
      <c r="A4383" s="2"/>
      <c r="B4383" s="2"/>
      <c r="C4383" s="2"/>
      <c r="D4383" s="2"/>
      <c r="E4383" s="2"/>
      <c r="K4383" s="77"/>
      <c r="L4383" s="77"/>
      <c r="M4383" s="76"/>
    </row>
    <row r="4384">
      <c r="A4384" s="2"/>
      <c r="B4384" s="2"/>
      <c r="C4384" s="2"/>
      <c r="D4384" s="2"/>
      <c r="E4384" s="2"/>
      <c r="K4384" s="77"/>
      <c r="L4384" s="77"/>
      <c r="M4384" s="76"/>
    </row>
    <row r="4385">
      <c r="A4385" s="2"/>
      <c r="B4385" s="2"/>
      <c r="C4385" s="2"/>
      <c r="D4385" s="2"/>
      <c r="E4385" s="2"/>
      <c r="K4385" s="77"/>
      <c r="L4385" s="77"/>
      <c r="M4385" s="76"/>
    </row>
    <row r="4386">
      <c r="A4386" s="2"/>
      <c r="B4386" s="2"/>
      <c r="C4386" s="2"/>
      <c r="D4386" s="2"/>
      <c r="E4386" s="2"/>
      <c r="K4386" s="77"/>
      <c r="L4386" s="77"/>
      <c r="M4386" s="76"/>
    </row>
    <row r="4387">
      <c r="A4387" s="2"/>
      <c r="B4387" s="2"/>
      <c r="C4387" s="2"/>
      <c r="D4387" s="2"/>
      <c r="E4387" s="2"/>
      <c r="K4387" s="77"/>
      <c r="L4387" s="77"/>
      <c r="M4387" s="76"/>
    </row>
    <row r="4388">
      <c r="A4388" s="2"/>
      <c r="B4388" s="2"/>
      <c r="C4388" s="2"/>
      <c r="D4388" s="2"/>
      <c r="E4388" s="2"/>
      <c r="K4388" s="77"/>
      <c r="L4388" s="77"/>
      <c r="M4388" s="76"/>
    </row>
    <row r="4389">
      <c r="A4389" s="2"/>
      <c r="B4389" s="2"/>
      <c r="C4389" s="2"/>
      <c r="D4389" s="2"/>
      <c r="E4389" s="2"/>
      <c r="K4389" s="77"/>
      <c r="L4389" s="77"/>
      <c r="M4389" s="76"/>
    </row>
    <row r="4390">
      <c r="A4390" s="2"/>
      <c r="B4390" s="2"/>
      <c r="C4390" s="2"/>
      <c r="D4390" s="2"/>
      <c r="E4390" s="2"/>
      <c r="K4390" s="77"/>
      <c r="L4390" s="77"/>
      <c r="M4390" s="76"/>
    </row>
    <row r="4391">
      <c r="A4391" s="2"/>
      <c r="B4391" s="2"/>
      <c r="C4391" s="2"/>
      <c r="D4391" s="2"/>
      <c r="E4391" s="2"/>
      <c r="K4391" s="77"/>
      <c r="L4391" s="77"/>
      <c r="M4391" s="76"/>
    </row>
    <row r="4392">
      <c r="A4392" s="2"/>
      <c r="B4392" s="2"/>
      <c r="C4392" s="2"/>
      <c r="D4392" s="2"/>
      <c r="E4392" s="2"/>
      <c r="K4392" s="77"/>
      <c r="L4392" s="77"/>
      <c r="M4392" s="76"/>
    </row>
    <row r="4393">
      <c r="A4393" s="2"/>
      <c r="B4393" s="2"/>
      <c r="C4393" s="2"/>
      <c r="D4393" s="2"/>
      <c r="E4393" s="2"/>
      <c r="K4393" s="77"/>
      <c r="L4393" s="77"/>
      <c r="M4393" s="76"/>
    </row>
    <row r="4394">
      <c r="A4394" s="77"/>
      <c r="B4394" s="77"/>
      <c r="C4394" s="77"/>
      <c r="D4394" s="77"/>
      <c r="E4394" s="77"/>
      <c r="K4394" s="77"/>
      <c r="L4394" s="77"/>
      <c r="M4394" s="76"/>
    </row>
    <row r="4395">
      <c r="A4395" s="2"/>
      <c r="B4395" s="2"/>
      <c r="C4395" s="2"/>
      <c r="D4395" s="2"/>
      <c r="E4395" s="2"/>
      <c r="K4395" s="77"/>
      <c r="L4395" s="77"/>
      <c r="M4395" s="76"/>
    </row>
    <row r="4396">
      <c r="A4396" s="2"/>
      <c r="B4396" s="2"/>
      <c r="C4396" s="2"/>
      <c r="D4396" s="2"/>
      <c r="E4396" s="2"/>
      <c r="K4396" s="77"/>
      <c r="L4396" s="77"/>
      <c r="M4396" s="76"/>
    </row>
    <row r="4397">
      <c r="A4397" s="2"/>
      <c r="B4397" s="2"/>
      <c r="C4397" s="2"/>
      <c r="D4397" s="2"/>
      <c r="E4397" s="2"/>
      <c r="K4397" s="77"/>
      <c r="L4397" s="77"/>
      <c r="M4397" s="76"/>
    </row>
    <row r="4398">
      <c r="A4398" s="2"/>
      <c r="B4398" s="2"/>
      <c r="C4398" s="2"/>
      <c r="D4398" s="2"/>
      <c r="E4398" s="2"/>
      <c r="K4398" s="77"/>
      <c r="L4398" s="77"/>
      <c r="M4398" s="76"/>
    </row>
    <row r="4399">
      <c r="A4399" s="2"/>
      <c r="B4399" s="2"/>
      <c r="C4399" s="2"/>
      <c r="D4399" s="2"/>
      <c r="E4399" s="2"/>
      <c r="K4399" s="77"/>
      <c r="L4399" s="77"/>
      <c r="M4399" s="76"/>
    </row>
    <row r="4400">
      <c r="A4400" s="2"/>
      <c r="B4400" s="2"/>
      <c r="C4400" s="2"/>
      <c r="D4400" s="2"/>
      <c r="E4400" s="2"/>
      <c r="K4400" s="77"/>
      <c r="L4400" s="77"/>
      <c r="M4400" s="76"/>
    </row>
    <row r="4401">
      <c r="A4401" s="2"/>
      <c r="B4401" s="2"/>
      <c r="C4401" s="2"/>
      <c r="D4401" s="2"/>
      <c r="E4401" s="2"/>
      <c r="K4401" s="77"/>
      <c r="L4401" s="77"/>
      <c r="M4401" s="76"/>
    </row>
    <row r="4402">
      <c r="A4402" s="2"/>
      <c r="B4402" s="2"/>
      <c r="C4402" s="2"/>
      <c r="D4402" s="2"/>
      <c r="E4402" s="2"/>
      <c r="K4402" s="77"/>
      <c r="L4402" s="77"/>
      <c r="M4402" s="76"/>
    </row>
    <row r="4403">
      <c r="A4403" s="2"/>
      <c r="B4403" s="2"/>
      <c r="C4403" s="2"/>
      <c r="D4403" s="2"/>
      <c r="E4403" s="2"/>
      <c r="K4403" s="77"/>
      <c r="L4403" s="77"/>
      <c r="M4403" s="76"/>
    </row>
    <row r="4404">
      <c r="A4404" s="2"/>
      <c r="B4404" s="2"/>
      <c r="C4404" s="2"/>
      <c r="D4404" s="2"/>
      <c r="E4404" s="2"/>
      <c r="K4404" s="77"/>
      <c r="L4404" s="77"/>
      <c r="M4404" s="76"/>
    </row>
    <row r="4405">
      <c r="A4405" s="2"/>
      <c r="B4405" s="2"/>
      <c r="C4405" s="2"/>
      <c r="D4405" s="2"/>
      <c r="E4405" s="2"/>
      <c r="K4405" s="77"/>
      <c r="L4405" s="77"/>
      <c r="M4405" s="76"/>
    </row>
    <row r="4406">
      <c r="A4406" s="2"/>
      <c r="B4406" s="2"/>
      <c r="C4406" s="2"/>
      <c r="D4406" s="2"/>
      <c r="E4406" s="2"/>
      <c r="K4406" s="77"/>
      <c r="L4406" s="77"/>
      <c r="M4406" s="76"/>
    </row>
    <row r="4407">
      <c r="A4407" s="2"/>
      <c r="B4407" s="2"/>
      <c r="C4407" s="2"/>
      <c r="D4407" s="2"/>
      <c r="E4407" s="2"/>
      <c r="K4407" s="77"/>
      <c r="L4407" s="77"/>
      <c r="M4407" s="76"/>
    </row>
    <row r="4408">
      <c r="A4408" s="2"/>
      <c r="B4408" s="2"/>
      <c r="C4408" s="2"/>
      <c r="D4408" s="2"/>
      <c r="E4408" s="2"/>
      <c r="K4408" s="77"/>
      <c r="L4408" s="77"/>
      <c r="M4408" s="76"/>
    </row>
    <row r="4409">
      <c r="A4409" s="2"/>
      <c r="B4409" s="2"/>
      <c r="C4409" s="2"/>
      <c r="D4409" s="2"/>
      <c r="E4409" s="2"/>
      <c r="K4409" s="77"/>
      <c r="L4409" s="77"/>
      <c r="M4409" s="76"/>
    </row>
    <row r="4410">
      <c r="A4410" s="2"/>
      <c r="B4410" s="2"/>
      <c r="C4410" s="2"/>
      <c r="D4410" s="2"/>
      <c r="E4410" s="2"/>
      <c r="K4410" s="77"/>
      <c r="L4410" s="77"/>
      <c r="M4410" s="76"/>
    </row>
    <row r="4411">
      <c r="A4411" s="2"/>
      <c r="B4411" s="2"/>
      <c r="C4411" s="2"/>
      <c r="D4411" s="2"/>
      <c r="E4411" s="2"/>
      <c r="K4411" s="77"/>
      <c r="L4411" s="77"/>
      <c r="M4411" s="76"/>
    </row>
    <row r="4412">
      <c r="A4412" s="2"/>
      <c r="B4412" s="2"/>
      <c r="C4412" s="2"/>
      <c r="D4412" s="2"/>
      <c r="E4412" s="2"/>
      <c r="K4412" s="77"/>
      <c r="L4412" s="77"/>
      <c r="M4412" s="76"/>
    </row>
    <row r="4413">
      <c r="A4413" s="2"/>
      <c r="B4413" s="2"/>
      <c r="C4413" s="2"/>
      <c r="D4413" s="2"/>
      <c r="E4413" s="2"/>
      <c r="K4413" s="77"/>
      <c r="L4413" s="77"/>
      <c r="M4413" s="76"/>
    </row>
    <row r="4414">
      <c r="A4414" s="2"/>
      <c r="B4414" s="2"/>
      <c r="C4414" s="2"/>
      <c r="D4414" s="2"/>
      <c r="E4414" s="2"/>
      <c r="K4414" s="77"/>
      <c r="L4414" s="77"/>
      <c r="M4414" s="76"/>
    </row>
    <row r="4415">
      <c r="A4415" s="2"/>
      <c r="B4415" s="2"/>
      <c r="C4415" s="2"/>
      <c r="D4415" s="2"/>
      <c r="E4415" s="2"/>
      <c r="K4415" s="77"/>
      <c r="L4415" s="77"/>
      <c r="M4415" s="76"/>
    </row>
    <row r="4416">
      <c r="A4416" s="2"/>
      <c r="B4416" s="2"/>
      <c r="C4416" s="2"/>
      <c r="D4416" s="2"/>
      <c r="E4416" s="2"/>
      <c r="K4416" s="77"/>
      <c r="L4416" s="77"/>
      <c r="M4416" s="76"/>
    </row>
    <row r="4417">
      <c r="A4417" s="2"/>
      <c r="B4417" s="2"/>
      <c r="C4417" s="2"/>
      <c r="D4417" s="2"/>
      <c r="E4417" s="2"/>
      <c r="K4417" s="77"/>
      <c r="L4417" s="77"/>
      <c r="M4417" s="76"/>
    </row>
    <row r="4418">
      <c r="A4418" s="77"/>
      <c r="B4418" s="77"/>
      <c r="C4418" s="77"/>
      <c r="D4418" s="77"/>
      <c r="E4418" s="77"/>
      <c r="K4418" s="77"/>
      <c r="L4418" s="77"/>
      <c r="M4418" s="76"/>
    </row>
    <row r="4419">
      <c r="A4419" s="2"/>
      <c r="B4419" s="2"/>
      <c r="C4419" s="2"/>
      <c r="D4419" s="2"/>
      <c r="E4419" s="2"/>
      <c r="K4419" s="77"/>
      <c r="L4419" s="77"/>
      <c r="M4419" s="76"/>
    </row>
    <row r="4420">
      <c r="A4420" s="2"/>
      <c r="B4420" s="2"/>
      <c r="C4420" s="2"/>
      <c r="D4420" s="2"/>
      <c r="E4420" s="2"/>
      <c r="K4420" s="77"/>
      <c r="L4420" s="77"/>
      <c r="M4420" s="76"/>
    </row>
    <row r="4421">
      <c r="A4421" s="2"/>
      <c r="B4421" s="2"/>
      <c r="C4421" s="2"/>
      <c r="D4421" s="2"/>
      <c r="E4421" s="2"/>
      <c r="K4421" s="77"/>
      <c r="L4421" s="77"/>
      <c r="M4421" s="76"/>
    </row>
    <row r="4422">
      <c r="A4422" s="2"/>
      <c r="B4422" s="2"/>
      <c r="C4422" s="2"/>
      <c r="D4422" s="2"/>
      <c r="E4422" s="2"/>
      <c r="K4422" s="77"/>
      <c r="L4422" s="77"/>
      <c r="M4422" s="76"/>
    </row>
    <row r="4423">
      <c r="A4423" s="2"/>
      <c r="B4423" s="2"/>
      <c r="C4423" s="2"/>
      <c r="D4423" s="2"/>
      <c r="E4423" s="2"/>
      <c r="K4423" s="77"/>
      <c r="L4423" s="77"/>
      <c r="M4423" s="76"/>
    </row>
    <row r="4424">
      <c r="A4424" s="2"/>
      <c r="B4424" s="2"/>
      <c r="C4424" s="2"/>
      <c r="D4424" s="2"/>
      <c r="E4424" s="2"/>
      <c r="K4424" s="77"/>
      <c r="L4424" s="77"/>
      <c r="M4424" s="76"/>
    </row>
    <row r="4425">
      <c r="A4425" s="2"/>
      <c r="B4425" s="2"/>
      <c r="C4425" s="2"/>
      <c r="D4425" s="2"/>
      <c r="E4425" s="2"/>
      <c r="K4425" s="77"/>
      <c r="L4425" s="77"/>
      <c r="M4425" s="76"/>
    </row>
    <row r="4426">
      <c r="A4426" s="2"/>
      <c r="B4426" s="2"/>
      <c r="C4426" s="2"/>
      <c r="D4426" s="2"/>
      <c r="E4426" s="2"/>
      <c r="K4426" s="77"/>
      <c r="L4426" s="77"/>
      <c r="M4426" s="76"/>
    </row>
    <row r="4427">
      <c r="A4427" s="2"/>
      <c r="B4427" s="2"/>
      <c r="C4427" s="2"/>
      <c r="D4427" s="2"/>
      <c r="E4427" s="2"/>
      <c r="K4427" s="77"/>
      <c r="L4427" s="77"/>
      <c r="M4427" s="76"/>
    </row>
    <row r="4428">
      <c r="A4428" s="2"/>
      <c r="B4428" s="2"/>
      <c r="C4428" s="2"/>
      <c r="D4428" s="2"/>
      <c r="E4428" s="2"/>
      <c r="K4428" s="77"/>
      <c r="L4428" s="77"/>
      <c r="M4428" s="76"/>
    </row>
    <row r="4429">
      <c r="A4429" s="2"/>
      <c r="B4429" s="2"/>
      <c r="C4429" s="2"/>
      <c r="D4429" s="2"/>
      <c r="E4429" s="2"/>
      <c r="K4429" s="77"/>
      <c r="L4429" s="77"/>
      <c r="M4429" s="76"/>
    </row>
    <row r="4430">
      <c r="A4430" s="2"/>
      <c r="B4430" s="2"/>
      <c r="C4430" s="2"/>
      <c r="D4430" s="2"/>
      <c r="E4430" s="2"/>
      <c r="K4430" s="77"/>
      <c r="L4430" s="77"/>
      <c r="M4430" s="76"/>
    </row>
    <row r="4431">
      <c r="A4431" s="2"/>
      <c r="B4431" s="2"/>
      <c r="C4431" s="2"/>
      <c r="D4431" s="2"/>
      <c r="E4431" s="2"/>
      <c r="K4431" s="77"/>
      <c r="L4431" s="77"/>
      <c r="M4431" s="76"/>
    </row>
    <row r="4432">
      <c r="A4432" s="2"/>
      <c r="B4432" s="2"/>
      <c r="C4432" s="2"/>
      <c r="D4432" s="2"/>
      <c r="E4432" s="2"/>
      <c r="K4432" s="77"/>
      <c r="L4432" s="77"/>
      <c r="M4432" s="76"/>
    </row>
    <row r="4433">
      <c r="A4433" s="2"/>
      <c r="B4433" s="2"/>
      <c r="C4433" s="2"/>
      <c r="D4433" s="2"/>
      <c r="E4433" s="2"/>
      <c r="K4433" s="77"/>
      <c r="L4433" s="77"/>
      <c r="M4433" s="76"/>
    </row>
    <row r="4434">
      <c r="A4434" s="2"/>
      <c r="B4434" s="2"/>
      <c r="C4434" s="2"/>
      <c r="D4434" s="2"/>
      <c r="E4434" s="2"/>
      <c r="K4434" s="77"/>
      <c r="L4434" s="77"/>
      <c r="M4434" s="76"/>
    </row>
    <row r="4435">
      <c r="A4435" s="2"/>
      <c r="B4435" s="2"/>
      <c r="C4435" s="2"/>
      <c r="D4435" s="2"/>
      <c r="E4435" s="2"/>
      <c r="K4435" s="77"/>
      <c r="L4435" s="77"/>
      <c r="M4435" s="76"/>
    </row>
    <row r="4436">
      <c r="A4436" s="2"/>
      <c r="B4436" s="2"/>
      <c r="C4436" s="2"/>
      <c r="D4436" s="2"/>
      <c r="E4436" s="2"/>
      <c r="K4436" s="77"/>
      <c r="L4436" s="77"/>
      <c r="M4436" s="76"/>
    </row>
    <row r="4437">
      <c r="A4437" s="2"/>
      <c r="B4437" s="2"/>
      <c r="C4437" s="2"/>
      <c r="D4437" s="2"/>
      <c r="E4437" s="2"/>
      <c r="K4437" s="77"/>
      <c r="L4437" s="77"/>
      <c r="M4437" s="76"/>
    </row>
    <row r="4438">
      <c r="A4438" s="2"/>
      <c r="B4438" s="2"/>
      <c r="C4438" s="2"/>
      <c r="D4438" s="2"/>
      <c r="E4438" s="2"/>
      <c r="K4438" s="77"/>
      <c r="L4438" s="77"/>
      <c r="M4438" s="76"/>
    </row>
    <row r="4439">
      <c r="A4439" s="2"/>
      <c r="B4439" s="2"/>
      <c r="C4439" s="2"/>
      <c r="D4439" s="2"/>
      <c r="E4439" s="2"/>
      <c r="K4439" s="77"/>
      <c r="L4439" s="77"/>
      <c r="M4439" s="76"/>
    </row>
    <row r="4440">
      <c r="A4440" s="2"/>
      <c r="B4440" s="2"/>
      <c r="C4440" s="2"/>
      <c r="D4440" s="2"/>
      <c r="E4440" s="2"/>
      <c r="K4440" s="77"/>
      <c r="L4440" s="77"/>
      <c r="M4440" s="76"/>
    </row>
    <row r="4441">
      <c r="A4441" s="2"/>
      <c r="B4441" s="2"/>
      <c r="C4441" s="2"/>
      <c r="D4441" s="2"/>
      <c r="E4441" s="2"/>
      <c r="K4441" s="77"/>
      <c r="L4441" s="77"/>
      <c r="M4441" s="76"/>
    </row>
    <row r="4442">
      <c r="A4442" s="77"/>
      <c r="B4442" s="77"/>
      <c r="C4442" s="77"/>
      <c r="D4442" s="77"/>
      <c r="E4442" s="77"/>
      <c r="K4442" s="77"/>
      <c r="L4442" s="77"/>
      <c r="M4442" s="76"/>
    </row>
    <row r="4443">
      <c r="A4443" s="2"/>
      <c r="B4443" s="2"/>
      <c r="C4443" s="2"/>
      <c r="D4443" s="2"/>
      <c r="E4443" s="2"/>
      <c r="K4443" s="77"/>
      <c r="L4443" s="77"/>
      <c r="M4443" s="76"/>
    </row>
    <row r="4444">
      <c r="A4444" s="2"/>
      <c r="B4444" s="2"/>
      <c r="C4444" s="2"/>
      <c r="D4444" s="2"/>
      <c r="E4444" s="2"/>
      <c r="K4444" s="77"/>
      <c r="L4444" s="77"/>
      <c r="M4444" s="76"/>
    </row>
    <row r="4445">
      <c r="A4445" s="2"/>
      <c r="B4445" s="2"/>
      <c r="C4445" s="2"/>
      <c r="D4445" s="2"/>
      <c r="E4445" s="2"/>
      <c r="K4445" s="77"/>
      <c r="L4445" s="77"/>
      <c r="M4445" s="76"/>
    </row>
    <row r="4446">
      <c r="A4446" s="2"/>
      <c r="B4446" s="2"/>
      <c r="C4446" s="2"/>
      <c r="D4446" s="2"/>
      <c r="E4446" s="2"/>
      <c r="K4446" s="77"/>
      <c r="L4446" s="77"/>
      <c r="M4446" s="76"/>
    </row>
    <row r="4447">
      <c r="A4447" s="2"/>
      <c r="B4447" s="2"/>
      <c r="C4447" s="2"/>
      <c r="D4447" s="2"/>
      <c r="E4447" s="2"/>
      <c r="K4447" s="77"/>
      <c r="L4447" s="77"/>
      <c r="M4447" s="76"/>
    </row>
    <row r="4448">
      <c r="A4448" s="2"/>
      <c r="B4448" s="2"/>
      <c r="C4448" s="2"/>
      <c r="D4448" s="2"/>
      <c r="E4448" s="2"/>
      <c r="K4448" s="77"/>
      <c r="L4448" s="77"/>
      <c r="M4448" s="76"/>
    </row>
    <row r="4449">
      <c r="A4449" s="2"/>
      <c r="B4449" s="2"/>
      <c r="C4449" s="2"/>
      <c r="D4449" s="2"/>
      <c r="E4449" s="2"/>
      <c r="K4449" s="77"/>
      <c r="L4449" s="77"/>
      <c r="M4449" s="76"/>
    </row>
    <row r="4450">
      <c r="A4450" s="2"/>
      <c r="B4450" s="2"/>
      <c r="C4450" s="2"/>
      <c r="D4450" s="2"/>
      <c r="E4450" s="2"/>
      <c r="K4450" s="77"/>
      <c r="L4450" s="77"/>
      <c r="M4450" s="76"/>
    </row>
    <row r="4451">
      <c r="A4451" s="2"/>
      <c r="B4451" s="2"/>
      <c r="C4451" s="2"/>
      <c r="D4451" s="2"/>
      <c r="E4451" s="2"/>
      <c r="K4451" s="77"/>
      <c r="L4451" s="77"/>
      <c r="M4451" s="76"/>
    </row>
    <row r="4452">
      <c r="A4452" s="2"/>
      <c r="B4452" s="2"/>
      <c r="C4452" s="2"/>
      <c r="D4452" s="2"/>
      <c r="E4452" s="2"/>
      <c r="K4452" s="77"/>
      <c r="L4452" s="77"/>
      <c r="M4452" s="76"/>
    </row>
    <row r="4453">
      <c r="A4453" s="2"/>
      <c r="B4453" s="2"/>
      <c r="C4453" s="2"/>
      <c r="D4453" s="2"/>
      <c r="E4453" s="2"/>
      <c r="K4453" s="77"/>
      <c r="L4453" s="77"/>
      <c r="M4453" s="76"/>
    </row>
    <row r="4454">
      <c r="A4454" s="2"/>
      <c r="B4454" s="2"/>
      <c r="C4454" s="2"/>
      <c r="D4454" s="2"/>
      <c r="E4454" s="2"/>
      <c r="K4454" s="77"/>
      <c r="L4454" s="77"/>
      <c r="M4454" s="76"/>
    </row>
    <row r="4455">
      <c r="A4455" s="2"/>
      <c r="B4455" s="2"/>
      <c r="C4455" s="2"/>
      <c r="D4455" s="2"/>
      <c r="E4455" s="2"/>
      <c r="K4455" s="77"/>
      <c r="L4455" s="77"/>
      <c r="M4455" s="76"/>
    </row>
    <row r="4456">
      <c r="A4456" s="2"/>
      <c r="B4456" s="2"/>
      <c r="C4456" s="2"/>
      <c r="D4456" s="2"/>
      <c r="E4456" s="2"/>
      <c r="K4456" s="77"/>
      <c r="L4456" s="77"/>
      <c r="M4456" s="76"/>
    </row>
    <row r="4457">
      <c r="A4457" s="2"/>
      <c r="B4457" s="2"/>
      <c r="C4457" s="2"/>
      <c r="D4457" s="2"/>
      <c r="E4457" s="2"/>
      <c r="K4457" s="77"/>
      <c r="L4457" s="77"/>
      <c r="M4457" s="76"/>
    </row>
    <row r="4458">
      <c r="A4458" s="2"/>
      <c r="B4458" s="2"/>
      <c r="C4458" s="2"/>
      <c r="D4458" s="2"/>
      <c r="E4458" s="2"/>
      <c r="K4458" s="77"/>
      <c r="L4458" s="77"/>
      <c r="M4458" s="76"/>
    </row>
    <row r="4459">
      <c r="A4459" s="2"/>
      <c r="B4459" s="2"/>
      <c r="C4459" s="2"/>
      <c r="D4459" s="2"/>
      <c r="E4459" s="2"/>
      <c r="K4459" s="77"/>
      <c r="L4459" s="77"/>
      <c r="M4459" s="76"/>
    </row>
    <row r="4460">
      <c r="A4460" s="2"/>
      <c r="B4460" s="2"/>
      <c r="C4460" s="2"/>
      <c r="D4460" s="2"/>
      <c r="E4460" s="2"/>
      <c r="K4460" s="77"/>
      <c r="L4460" s="77"/>
      <c r="M4460" s="76"/>
    </row>
    <row r="4461">
      <c r="A4461" s="2"/>
      <c r="B4461" s="2"/>
      <c r="C4461" s="2"/>
      <c r="D4461" s="2"/>
      <c r="E4461" s="2"/>
      <c r="K4461" s="77"/>
      <c r="L4461" s="77"/>
      <c r="M4461" s="76"/>
    </row>
    <row r="4462">
      <c r="A4462" s="2"/>
      <c r="B4462" s="2"/>
      <c r="C4462" s="2"/>
      <c r="D4462" s="2"/>
      <c r="E4462" s="2"/>
      <c r="K4462" s="77"/>
      <c r="L4462" s="77"/>
      <c r="M4462" s="76"/>
    </row>
    <row r="4463">
      <c r="A4463" s="2"/>
      <c r="B4463" s="2"/>
      <c r="C4463" s="2"/>
      <c r="D4463" s="2"/>
      <c r="E4463" s="2"/>
      <c r="K4463" s="77"/>
      <c r="L4463" s="77"/>
      <c r="M4463" s="76"/>
    </row>
    <row r="4464">
      <c r="A4464" s="2"/>
      <c r="B4464" s="2"/>
      <c r="C4464" s="2"/>
      <c r="D4464" s="2"/>
      <c r="E4464" s="2"/>
      <c r="K4464" s="77"/>
      <c r="L4464" s="77"/>
      <c r="M4464" s="76"/>
    </row>
    <row r="4465">
      <c r="A4465" s="2"/>
      <c r="B4465" s="2"/>
      <c r="C4465" s="2"/>
      <c r="D4465" s="2"/>
      <c r="E4465" s="2"/>
      <c r="K4465" s="77"/>
      <c r="L4465" s="77"/>
      <c r="M4465" s="76"/>
    </row>
    <row r="4466">
      <c r="A4466" s="77"/>
      <c r="B4466" s="77"/>
      <c r="C4466" s="77"/>
      <c r="D4466" s="77"/>
      <c r="E4466" s="77"/>
      <c r="K4466" s="77"/>
      <c r="L4466" s="77"/>
      <c r="M4466" s="76"/>
    </row>
    <row r="4467">
      <c r="A4467" s="2"/>
      <c r="B4467" s="2"/>
      <c r="C4467" s="2"/>
      <c r="D4467" s="2"/>
      <c r="E4467" s="2"/>
      <c r="K4467" s="77"/>
      <c r="L4467" s="77"/>
      <c r="M4467" s="76"/>
    </row>
    <row r="4468">
      <c r="A4468" s="2"/>
      <c r="B4468" s="2"/>
      <c r="C4468" s="2"/>
      <c r="D4468" s="2"/>
      <c r="E4468" s="2"/>
      <c r="K4468" s="77"/>
      <c r="L4468" s="77"/>
      <c r="M4468" s="76"/>
    </row>
    <row r="4469">
      <c r="A4469" s="2"/>
      <c r="B4469" s="2"/>
      <c r="C4469" s="2"/>
      <c r="D4469" s="2"/>
      <c r="E4469" s="2"/>
      <c r="K4469" s="77"/>
      <c r="L4469" s="77"/>
      <c r="M4469" s="76"/>
    </row>
    <row r="4470">
      <c r="A4470" s="2"/>
      <c r="B4470" s="2"/>
      <c r="C4470" s="2"/>
      <c r="D4470" s="2"/>
      <c r="E4470" s="2"/>
      <c r="K4470" s="77"/>
      <c r="L4470" s="77"/>
      <c r="M4470" s="76"/>
    </row>
    <row r="4471">
      <c r="A4471" s="2"/>
      <c r="B4471" s="2"/>
      <c r="C4471" s="2"/>
      <c r="D4471" s="2"/>
      <c r="E4471" s="2"/>
      <c r="K4471" s="77"/>
      <c r="L4471" s="77"/>
      <c r="M4471" s="76"/>
    </row>
    <row r="4472">
      <c r="A4472" s="2"/>
      <c r="B4472" s="2"/>
      <c r="C4472" s="2"/>
      <c r="D4472" s="2"/>
      <c r="E4472" s="2"/>
      <c r="K4472" s="77"/>
      <c r="L4472" s="77"/>
      <c r="M4472" s="76"/>
    </row>
    <row r="4473">
      <c r="A4473" s="2"/>
      <c r="B4473" s="2"/>
      <c r="C4473" s="2"/>
      <c r="D4473" s="2"/>
      <c r="E4473" s="2"/>
      <c r="K4473" s="77"/>
      <c r="L4473" s="77"/>
      <c r="M4473" s="76"/>
    </row>
    <row r="4474">
      <c r="A4474" s="2"/>
      <c r="B4474" s="2"/>
      <c r="C4474" s="2"/>
      <c r="D4474" s="2"/>
      <c r="E4474" s="2"/>
      <c r="K4474" s="77"/>
      <c r="L4474" s="77"/>
      <c r="M4474" s="76"/>
    </row>
    <row r="4475">
      <c r="A4475" s="2"/>
      <c r="B4475" s="2"/>
      <c r="C4475" s="2"/>
      <c r="D4475" s="2"/>
      <c r="E4475" s="2"/>
      <c r="K4475" s="77"/>
      <c r="L4475" s="77"/>
      <c r="M4475" s="76"/>
    </row>
    <row r="4476">
      <c r="A4476" s="2"/>
      <c r="B4476" s="2"/>
      <c r="C4476" s="2"/>
      <c r="D4476" s="2"/>
      <c r="E4476" s="2"/>
      <c r="K4476" s="77"/>
      <c r="L4476" s="77"/>
      <c r="M4476" s="76"/>
    </row>
    <row r="4477">
      <c r="A4477" s="2"/>
      <c r="B4477" s="2"/>
      <c r="C4477" s="2"/>
      <c r="D4477" s="2"/>
      <c r="E4477" s="2"/>
      <c r="K4477" s="77"/>
      <c r="L4477" s="77"/>
      <c r="M4477" s="76"/>
    </row>
    <row r="4478">
      <c r="A4478" s="2"/>
      <c r="B4478" s="2"/>
      <c r="C4478" s="2"/>
      <c r="D4478" s="2"/>
      <c r="E4478" s="2"/>
      <c r="K4478" s="77"/>
      <c r="L4478" s="77"/>
      <c r="M4478" s="76"/>
    </row>
    <row r="4479">
      <c r="A4479" s="2"/>
      <c r="B4479" s="2"/>
      <c r="C4479" s="2"/>
      <c r="D4479" s="2"/>
      <c r="E4479" s="2"/>
      <c r="K4479" s="77"/>
      <c r="L4479" s="77"/>
      <c r="M4479" s="76"/>
    </row>
    <row r="4480">
      <c r="A4480" s="2"/>
      <c r="B4480" s="2"/>
      <c r="C4480" s="2"/>
      <c r="D4480" s="2"/>
      <c r="E4480" s="2"/>
      <c r="K4480" s="77"/>
      <c r="L4480" s="77"/>
      <c r="M4480" s="76"/>
    </row>
    <row r="4481">
      <c r="A4481" s="2"/>
      <c r="B4481" s="2"/>
      <c r="C4481" s="2"/>
      <c r="D4481" s="2"/>
      <c r="E4481" s="2"/>
      <c r="K4481" s="77"/>
      <c r="L4481" s="77"/>
      <c r="M4481" s="76"/>
    </row>
    <row r="4482">
      <c r="A4482" s="2"/>
      <c r="B4482" s="2"/>
      <c r="C4482" s="2"/>
      <c r="D4482" s="2"/>
      <c r="E4482" s="2"/>
      <c r="K4482" s="77"/>
      <c r="L4482" s="77"/>
      <c r="M4482" s="76"/>
    </row>
    <row r="4483">
      <c r="A4483" s="2"/>
      <c r="B4483" s="2"/>
      <c r="C4483" s="2"/>
      <c r="D4483" s="2"/>
      <c r="E4483" s="2"/>
      <c r="K4483" s="77"/>
      <c r="L4483" s="77"/>
      <c r="M4483" s="76"/>
    </row>
    <row r="4484">
      <c r="A4484" s="2"/>
      <c r="B4484" s="2"/>
      <c r="C4484" s="2"/>
      <c r="D4484" s="2"/>
      <c r="E4484" s="2"/>
      <c r="K4484" s="77"/>
      <c r="L4484" s="77"/>
      <c r="M4484" s="76"/>
    </row>
    <row r="4485">
      <c r="A4485" s="2"/>
      <c r="B4485" s="2"/>
      <c r="C4485" s="2"/>
      <c r="D4485" s="2"/>
      <c r="E4485" s="2"/>
      <c r="K4485" s="77"/>
      <c r="L4485" s="77"/>
      <c r="M4485" s="76"/>
    </row>
    <row r="4486">
      <c r="A4486" s="2"/>
      <c r="B4486" s="2"/>
      <c r="C4486" s="2"/>
      <c r="D4486" s="2"/>
      <c r="E4486" s="2"/>
      <c r="K4486" s="77"/>
      <c r="L4486" s="77"/>
      <c r="M4486" s="76"/>
    </row>
    <row r="4487">
      <c r="A4487" s="2"/>
      <c r="B4487" s="2"/>
      <c r="C4487" s="2"/>
      <c r="D4487" s="2"/>
      <c r="E4487" s="2"/>
      <c r="K4487" s="77"/>
      <c r="L4487" s="77"/>
      <c r="M4487" s="76"/>
    </row>
    <row r="4488">
      <c r="A4488" s="2"/>
      <c r="B4488" s="2"/>
      <c r="C4488" s="2"/>
      <c r="D4488" s="2"/>
      <c r="E4488" s="2"/>
      <c r="K4488" s="77"/>
      <c r="L4488" s="77"/>
      <c r="M4488" s="76"/>
    </row>
    <row r="4489">
      <c r="A4489" s="2"/>
      <c r="B4489" s="2"/>
      <c r="C4489" s="2"/>
      <c r="D4489" s="2"/>
      <c r="E4489" s="2"/>
      <c r="K4489" s="77"/>
      <c r="L4489" s="77"/>
      <c r="M4489" s="76"/>
    </row>
    <row r="4490">
      <c r="A4490" s="77"/>
      <c r="B4490" s="77"/>
      <c r="C4490" s="77"/>
      <c r="D4490" s="77"/>
      <c r="E4490" s="77"/>
      <c r="K4490" s="77"/>
      <c r="L4490" s="77"/>
      <c r="M4490" s="76"/>
    </row>
    <row r="4491">
      <c r="A4491" s="2"/>
      <c r="B4491" s="2"/>
      <c r="C4491" s="2"/>
      <c r="D4491" s="2"/>
      <c r="E4491" s="2"/>
      <c r="K4491" s="77"/>
      <c r="L4491" s="77"/>
      <c r="M4491" s="76"/>
    </row>
    <row r="4492">
      <c r="A4492" s="2"/>
      <c r="B4492" s="2"/>
      <c r="C4492" s="2"/>
      <c r="D4492" s="2"/>
      <c r="E4492" s="2"/>
      <c r="K4492" s="77"/>
      <c r="L4492" s="77"/>
      <c r="M4492" s="76"/>
    </row>
    <row r="4493">
      <c r="A4493" s="2"/>
      <c r="B4493" s="2"/>
      <c r="C4493" s="2"/>
      <c r="D4493" s="2"/>
      <c r="E4493" s="2"/>
      <c r="K4493" s="77"/>
      <c r="L4493" s="77"/>
      <c r="M4493" s="76"/>
    </row>
    <row r="4494">
      <c r="A4494" s="2"/>
      <c r="B4494" s="2"/>
      <c r="C4494" s="2"/>
      <c r="D4494" s="2"/>
      <c r="E4494" s="2"/>
      <c r="K4494" s="77"/>
      <c r="L4494" s="77"/>
      <c r="M4494" s="76"/>
    </row>
    <row r="4495">
      <c r="A4495" s="2"/>
      <c r="B4495" s="2"/>
      <c r="C4495" s="2"/>
      <c r="D4495" s="2"/>
      <c r="E4495" s="2"/>
      <c r="K4495" s="77"/>
      <c r="L4495" s="77"/>
      <c r="M4495" s="76"/>
    </row>
    <row r="4496">
      <c r="A4496" s="2"/>
      <c r="B4496" s="2"/>
      <c r="C4496" s="2"/>
      <c r="D4496" s="2"/>
      <c r="E4496" s="2"/>
      <c r="K4496" s="77"/>
      <c r="L4496" s="77"/>
      <c r="M4496" s="76"/>
    </row>
    <row r="4497">
      <c r="A4497" s="2"/>
      <c r="B4497" s="2"/>
      <c r="C4497" s="2"/>
      <c r="D4497" s="2"/>
      <c r="E4497" s="2"/>
      <c r="K4497" s="77"/>
      <c r="L4497" s="77"/>
      <c r="M4497" s="76"/>
    </row>
    <row r="4498">
      <c r="A4498" s="2"/>
      <c r="B4498" s="2"/>
      <c r="C4498" s="2"/>
      <c r="D4498" s="2"/>
      <c r="E4498" s="2"/>
      <c r="K4498" s="77"/>
      <c r="L4498" s="77"/>
      <c r="M4498" s="76"/>
    </row>
    <row r="4499">
      <c r="A4499" s="2"/>
      <c r="B4499" s="2"/>
      <c r="C4499" s="2"/>
      <c r="D4499" s="2"/>
      <c r="E4499" s="2"/>
      <c r="K4499" s="77"/>
      <c r="L4499" s="77"/>
      <c r="M4499" s="76"/>
    </row>
    <row r="4500">
      <c r="A4500" s="2"/>
      <c r="B4500" s="2"/>
      <c r="C4500" s="2"/>
      <c r="D4500" s="2"/>
      <c r="E4500" s="2"/>
      <c r="K4500" s="77"/>
      <c r="L4500" s="77"/>
      <c r="M4500" s="76"/>
    </row>
    <row r="4501">
      <c r="A4501" s="2"/>
      <c r="B4501" s="2"/>
      <c r="C4501" s="2"/>
      <c r="D4501" s="2"/>
      <c r="E4501" s="2"/>
      <c r="K4501" s="77"/>
      <c r="L4501" s="77"/>
      <c r="M4501" s="76"/>
    </row>
    <row r="4502">
      <c r="A4502" s="2"/>
      <c r="B4502" s="2"/>
      <c r="C4502" s="2"/>
      <c r="D4502" s="2"/>
      <c r="E4502" s="2"/>
      <c r="K4502" s="77"/>
      <c r="L4502" s="77"/>
      <c r="M4502" s="76"/>
    </row>
    <row r="4503">
      <c r="A4503" s="2"/>
      <c r="B4503" s="2"/>
      <c r="C4503" s="2"/>
      <c r="D4503" s="2"/>
      <c r="E4503" s="2"/>
      <c r="K4503" s="77"/>
      <c r="L4503" s="77"/>
      <c r="M4503" s="76"/>
    </row>
    <row r="4504">
      <c r="A4504" s="2"/>
      <c r="B4504" s="2"/>
      <c r="C4504" s="2"/>
      <c r="D4504" s="2"/>
      <c r="E4504" s="2"/>
      <c r="K4504" s="77"/>
      <c r="L4504" s="77"/>
      <c r="M4504" s="76"/>
    </row>
    <row r="4505">
      <c r="A4505" s="2"/>
      <c r="B4505" s="2"/>
      <c r="C4505" s="2"/>
      <c r="D4505" s="2"/>
      <c r="E4505" s="2"/>
      <c r="K4505" s="77"/>
      <c r="L4505" s="77"/>
      <c r="M4505" s="76"/>
    </row>
    <row r="4506">
      <c r="A4506" s="2"/>
      <c r="B4506" s="2"/>
      <c r="C4506" s="2"/>
      <c r="D4506" s="2"/>
      <c r="E4506" s="2"/>
      <c r="K4506" s="77"/>
      <c r="L4506" s="77"/>
      <c r="M4506" s="76"/>
    </row>
    <row r="4507">
      <c r="A4507" s="2"/>
      <c r="B4507" s="2"/>
      <c r="C4507" s="2"/>
      <c r="D4507" s="2"/>
      <c r="E4507" s="2"/>
      <c r="K4507" s="77"/>
      <c r="L4507" s="77"/>
      <c r="M4507" s="76"/>
    </row>
    <row r="4508">
      <c r="A4508" s="2"/>
      <c r="B4508" s="2"/>
      <c r="C4508" s="2"/>
      <c r="D4508" s="2"/>
      <c r="E4508" s="2"/>
      <c r="K4508" s="77"/>
      <c r="L4508" s="77"/>
      <c r="M4508" s="76"/>
    </row>
    <row r="4509">
      <c r="A4509" s="2"/>
      <c r="B4509" s="2"/>
      <c r="C4509" s="2"/>
      <c r="D4509" s="2"/>
      <c r="E4509" s="2"/>
      <c r="K4509" s="77"/>
      <c r="L4509" s="77"/>
      <c r="M4509" s="76"/>
    </row>
    <row r="4510">
      <c r="A4510" s="2"/>
      <c r="B4510" s="2"/>
      <c r="C4510" s="2"/>
      <c r="D4510" s="2"/>
      <c r="E4510" s="2"/>
      <c r="K4510" s="77"/>
      <c r="L4510" s="77"/>
      <c r="M4510" s="76"/>
    </row>
    <row r="4511">
      <c r="A4511" s="2"/>
      <c r="B4511" s="2"/>
      <c r="C4511" s="2"/>
      <c r="D4511" s="2"/>
      <c r="E4511" s="2"/>
      <c r="K4511" s="77"/>
      <c r="L4511" s="77"/>
      <c r="M4511" s="76"/>
    </row>
    <row r="4512">
      <c r="A4512" s="2"/>
      <c r="B4512" s="2"/>
      <c r="C4512" s="2"/>
      <c r="D4512" s="2"/>
      <c r="E4512" s="2"/>
      <c r="K4512" s="77"/>
      <c r="L4512" s="77"/>
      <c r="M4512" s="76"/>
    </row>
    <row r="4513">
      <c r="A4513" s="2"/>
      <c r="B4513" s="2"/>
      <c r="C4513" s="2"/>
      <c r="D4513" s="2"/>
      <c r="E4513" s="2"/>
      <c r="K4513" s="77"/>
      <c r="L4513" s="77"/>
      <c r="M4513" s="76"/>
    </row>
    <row r="4514">
      <c r="A4514" s="77"/>
      <c r="B4514" s="77"/>
      <c r="C4514" s="77"/>
      <c r="D4514" s="77"/>
      <c r="E4514" s="77"/>
      <c r="K4514" s="77"/>
      <c r="L4514" s="77"/>
      <c r="M4514" s="76"/>
    </row>
    <row r="4515">
      <c r="A4515" s="2"/>
      <c r="B4515" s="2"/>
      <c r="C4515" s="2"/>
      <c r="D4515" s="2"/>
      <c r="E4515" s="2"/>
      <c r="K4515" s="77"/>
      <c r="L4515" s="77"/>
      <c r="M4515" s="76"/>
    </row>
    <row r="4516">
      <c r="A4516" s="2"/>
      <c r="B4516" s="2"/>
      <c r="C4516" s="2"/>
      <c r="D4516" s="2"/>
      <c r="E4516" s="2"/>
      <c r="K4516" s="77"/>
      <c r="L4516" s="77"/>
      <c r="M4516" s="76"/>
    </row>
    <row r="4517">
      <c r="A4517" s="2"/>
      <c r="B4517" s="2"/>
      <c r="C4517" s="2"/>
      <c r="D4517" s="2"/>
      <c r="E4517" s="2"/>
      <c r="K4517" s="77"/>
      <c r="L4517" s="77"/>
      <c r="M4517" s="76"/>
    </row>
    <row r="4518">
      <c r="A4518" s="2"/>
      <c r="B4518" s="2"/>
      <c r="C4518" s="2"/>
      <c r="D4518" s="2"/>
      <c r="E4518" s="2"/>
      <c r="K4518" s="77"/>
      <c r="L4518" s="77"/>
      <c r="M4518" s="76"/>
    </row>
    <row r="4519">
      <c r="A4519" s="2"/>
      <c r="B4519" s="2"/>
      <c r="C4519" s="2"/>
      <c r="D4519" s="2"/>
      <c r="E4519" s="2"/>
      <c r="K4519" s="77"/>
      <c r="L4519" s="77"/>
      <c r="M4519" s="76"/>
    </row>
    <row r="4520">
      <c r="A4520" s="2"/>
      <c r="B4520" s="2"/>
      <c r="C4520" s="2"/>
      <c r="D4520" s="2"/>
      <c r="E4520" s="2"/>
      <c r="K4520" s="77"/>
      <c r="L4520" s="77"/>
      <c r="M4520" s="76"/>
    </row>
    <row r="4521">
      <c r="A4521" s="2"/>
      <c r="B4521" s="2"/>
      <c r="C4521" s="2"/>
      <c r="D4521" s="2"/>
      <c r="E4521" s="2"/>
      <c r="K4521" s="77"/>
      <c r="L4521" s="77"/>
      <c r="M4521" s="76"/>
    </row>
    <row r="4522">
      <c r="A4522" s="2"/>
      <c r="B4522" s="2"/>
      <c r="C4522" s="2"/>
      <c r="D4522" s="2"/>
      <c r="E4522" s="2"/>
      <c r="K4522" s="77"/>
      <c r="L4522" s="77"/>
      <c r="M4522" s="76"/>
    </row>
    <row r="4523">
      <c r="A4523" s="2"/>
      <c r="B4523" s="2"/>
      <c r="C4523" s="2"/>
      <c r="D4523" s="2"/>
      <c r="E4523" s="2"/>
      <c r="K4523" s="77"/>
      <c r="L4523" s="77"/>
      <c r="M4523" s="76"/>
    </row>
    <row r="4524">
      <c r="A4524" s="2"/>
      <c r="B4524" s="2"/>
      <c r="C4524" s="2"/>
      <c r="D4524" s="2"/>
      <c r="E4524" s="2"/>
      <c r="K4524" s="77"/>
      <c r="L4524" s="77"/>
      <c r="M4524" s="76"/>
    </row>
    <row r="4525">
      <c r="A4525" s="2"/>
      <c r="B4525" s="2"/>
      <c r="C4525" s="2"/>
      <c r="D4525" s="2"/>
      <c r="E4525" s="2"/>
      <c r="K4525" s="77"/>
      <c r="L4525" s="77"/>
      <c r="M4525" s="76"/>
    </row>
    <row r="4526">
      <c r="A4526" s="2"/>
      <c r="B4526" s="2"/>
      <c r="C4526" s="2"/>
      <c r="D4526" s="2"/>
      <c r="E4526" s="2"/>
      <c r="K4526" s="77"/>
      <c r="L4526" s="77"/>
      <c r="M4526" s="76"/>
    </row>
    <row r="4527">
      <c r="A4527" s="2"/>
      <c r="B4527" s="2"/>
      <c r="C4527" s="2"/>
      <c r="D4527" s="2"/>
      <c r="E4527" s="2"/>
      <c r="K4527" s="77"/>
      <c r="L4527" s="77"/>
      <c r="M4527" s="76"/>
    </row>
    <row r="4528">
      <c r="A4528" s="2"/>
      <c r="B4528" s="2"/>
      <c r="C4528" s="2"/>
      <c r="D4528" s="2"/>
      <c r="E4528" s="2"/>
      <c r="K4528" s="77"/>
      <c r="L4528" s="77"/>
      <c r="M4528" s="76"/>
    </row>
    <row r="4529">
      <c r="A4529" s="2"/>
      <c r="B4529" s="2"/>
      <c r="C4529" s="2"/>
      <c r="D4529" s="2"/>
      <c r="E4529" s="2"/>
      <c r="K4529" s="77"/>
      <c r="L4529" s="77"/>
      <c r="M4529" s="76"/>
    </row>
    <row r="4530">
      <c r="A4530" s="2"/>
      <c r="B4530" s="2"/>
      <c r="C4530" s="2"/>
      <c r="D4530" s="2"/>
      <c r="E4530" s="2"/>
      <c r="K4530" s="77"/>
      <c r="L4530" s="77"/>
      <c r="M4530" s="76"/>
    </row>
    <row r="4531">
      <c r="A4531" s="2"/>
      <c r="B4531" s="2"/>
      <c r="C4531" s="2"/>
      <c r="D4531" s="2"/>
      <c r="E4531" s="2"/>
      <c r="K4531" s="77"/>
      <c r="L4531" s="77"/>
      <c r="M4531" s="76"/>
    </row>
    <row r="4532">
      <c r="A4532" s="2"/>
      <c r="B4532" s="2"/>
      <c r="C4532" s="2"/>
      <c r="D4532" s="2"/>
      <c r="E4532" s="2"/>
      <c r="K4532" s="77"/>
      <c r="L4532" s="77"/>
      <c r="M4532" s="76"/>
    </row>
    <row r="4533">
      <c r="A4533" s="2"/>
      <c r="B4533" s="2"/>
      <c r="C4533" s="2"/>
      <c r="D4533" s="2"/>
      <c r="E4533" s="2"/>
      <c r="K4533" s="77"/>
      <c r="L4533" s="77"/>
      <c r="M4533" s="76"/>
    </row>
    <row r="4534">
      <c r="A4534" s="2"/>
      <c r="B4534" s="2"/>
      <c r="C4534" s="2"/>
      <c r="D4534" s="2"/>
      <c r="E4534" s="2"/>
      <c r="K4534" s="77"/>
      <c r="L4534" s="77"/>
      <c r="M4534" s="76"/>
    </row>
    <row r="4535">
      <c r="A4535" s="2"/>
      <c r="B4535" s="2"/>
      <c r="C4535" s="2"/>
      <c r="D4535" s="2"/>
      <c r="E4535" s="2"/>
      <c r="K4535" s="77"/>
      <c r="L4535" s="77"/>
      <c r="M4535" s="76"/>
    </row>
    <row r="4536">
      <c r="A4536" s="2"/>
      <c r="B4536" s="2"/>
      <c r="C4536" s="2"/>
      <c r="D4536" s="2"/>
      <c r="E4536" s="2"/>
      <c r="K4536" s="77"/>
      <c r="L4536" s="77"/>
      <c r="M4536" s="76"/>
    </row>
    <row r="4537">
      <c r="A4537" s="2"/>
      <c r="B4537" s="2"/>
      <c r="C4537" s="2"/>
      <c r="D4537" s="2"/>
      <c r="E4537" s="2"/>
      <c r="K4537" s="77"/>
      <c r="L4537" s="77"/>
      <c r="M4537" s="76"/>
    </row>
    <row r="4538">
      <c r="A4538" s="77"/>
      <c r="B4538" s="77"/>
      <c r="C4538" s="77"/>
      <c r="D4538" s="77"/>
      <c r="E4538" s="77"/>
      <c r="K4538" s="77"/>
      <c r="L4538" s="77"/>
      <c r="M4538" s="76"/>
    </row>
    <row r="4539">
      <c r="A4539" s="2"/>
      <c r="B4539" s="2"/>
      <c r="C4539" s="2"/>
      <c r="D4539" s="2"/>
      <c r="E4539" s="2"/>
      <c r="K4539" s="77"/>
      <c r="L4539" s="77"/>
      <c r="M4539" s="76"/>
    </row>
    <row r="4540">
      <c r="A4540" s="2"/>
      <c r="B4540" s="2"/>
      <c r="C4540" s="2"/>
      <c r="D4540" s="2"/>
      <c r="E4540" s="2"/>
      <c r="K4540" s="77"/>
      <c r="L4540" s="77"/>
      <c r="M4540" s="76"/>
    </row>
    <row r="4541">
      <c r="A4541" s="2"/>
      <c r="B4541" s="2"/>
      <c r="C4541" s="2"/>
      <c r="D4541" s="2"/>
      <c r="E4541" s="2"/>
      <c r="K4541" s="77"/>
      <c r="L4541" s="77"/>
      <c r="M4541" s="76"/>
    </row>
    <row r="4542">
      <c r="A4542" s="2"/>
      <c r="B4542" s="2"/>
      <c r="C4542" s="2"/>
      <c r="D4542" s="2"/>
      <c r="E4542" s="2"/>
      <c r="K4542" s="77"/>
      <c r="L4542" s="77"/>
      <c r="M4542" s="76"/>
    </row>
    <row r="4543">
      <c r="A4543" s="2"/>
      <c r="B4543" s="2"/>
      <c r="C4543" s="2"/>
      <c r="D4543" s="2"/>
      <c r="E4543" s="2"/>
      <c r="K4543" s="77"/>
      <c r="L4543" s="77"/>
      <c r="M4543" s="76"/>
    </row>
    <row r="4544">
      <c r="A4544" s="2"/>
      <c r="B4544" s="2"/>
      <c r="C4544" s="2"/>
      <c r="D4544" s="2"/>
      <c r="E4544" s="2"/>
      <c r="K4544" s="77"/>
      <c r="L4544" s="77"/>
      <c r="M4544" s="76"/>
    </row>
    <row r="4545">
      <c r="A4545" s="2"/>
      <c r="B4545" s="2"/>
      <c r="C4545" s="2"/>
      <c r="D4545" s="2"/>
      <c r="E4545" s="2"/>
      <c r="K4545" s="77"/>
      <c r="L4545" s="77"/>
      <c r="M4545" s="76"/>
    </row>
    <row r="4546">
      <c r="A4546" s="2"/>
      <c r="B4546" s="2"/>
      <c r="C4546" s="2"/>
      <c r="D4546" s="2"/>
      <c r="E4546" s="2"/>
      <c r="K4546" s="77"/>
      <c r="L4546" s="77"/>
      <c r="M4546" s="76"/>
    </row>
    <row r="4547">
      <c r="A4547" s="2"/>
      <c r="B4547" s="2"/>
      <c r="C4547" s="2"/>
      <c r="D4547" s="2"/>
      <c r="E4547" s="2"/>
      <c r="K4547" s="77"/>
      <c r="L4547" s="77"/>
      <c r="M4547" s="76"/>
    </row>
    <row r="4548">
      <c r="A4548" s="2"/>
      <c r="B4548" s="2"/>
      <c r="C4548" s="2"/>
      <c r="D4548" s="2"/>
      <c r="E4548" s="2"/>
      <c r="K4548" s="77"/>
      <c r="L4548" s="77"/>
      <c r="M4548" s="76"/>
    </row>
    <row r="4549">
      <c r="A4549" s="2"/>
      <c r="B4549" s="2"/>
      <c r="C4549" s="2"/>
      <c r="D4549" s="2"/>
      <c r="E4549" s="2"/>
      <c r="K4549" s="77"/>
      <c r="L4549" s="77"/>
      <c r="M4549" s="76"/>
    </row>
    <row r="4550">
      <c r="A4550" s="2"/>
      <c r="B4550" s="2"/>
      <c r="C4550" s="2"/>
      <c r="D4550" s="2"/>
      <c r="E4550" s="2"/>
      <c r="K4550" s="77"/>
      <c r="L4550" s="77"/>
      <c r="M4550" s="76"/>
    </row>
    <row r="4551">
      <c r="A4551" s="2"/>
      <c r="B4551" s="2"/>
      <c r="C4551" s="2"/>
      <c r="D4551" s="2"/>
      <c r="E4551" s="2"/>
      <c r="K4551" s="77"/>
      <c r="L4551" s="77"/>
      <c r="M4551" s="76"/>
    </row>
    <row r="4552">
      <c r="A4552" s="2"/>
      <c r="B4552" s="2"/>
      <c r="C4552" s="2"/>
      <c r="D4552" s="2"/>
      <c r="E4552" s="2"/>
      <c r="K4552" s="77"/>
      <c r="L4552" s="77"/>
      <c r="M4552" s="76"/>
    </row>
    <row r="4553">
      <c r="A4553" s="2"/>
      <c r="B4553" s="2"/>
      <c r="C4553" s="2"/>
      <c r="D4553" s="2"/>
      <c r="E4553" s="2"/>
      <c r="K4553" s="77"/>
      <c r="L4553" s="77"/>
      <c r="M4553" s="76"/>
    </row>
    <row r="4554">
      <c r="A4554" s="2"/>
      <c r="B4554" s="2"/>
      <c r="C4554" s="2"/>
      <c r="D4554" s="2"/>
      <c r="E4554" s="2"/>
      <c r="K4554" s="77"/>
      <c r="L4554" s="77"/>
      <c r="M4554" s="76"/>
    </row>
    <row r="4555">
      <c r="A4555" s="2"/>
      <c r="B4555" s="2"/>
      <c r="C4555" s="2"/>
      <c r="D4555" s="2"/>
      <c r="E4555" s="2"/>
      <c r="K4555" s="77"/>
      <c r="L4555" s="77"/>
      <c r="M4555" s="76"/>
    </row>
    <row r="4556">
      <c r="A4556" s="2"/>
      <c r="B4556" s="2"/>
      <c r="C4556" s="2"/>
      <c r="D4556" s="2"/>
      <c r="E4556" s="2"/>
      <c r="K4556" s="77"/>
      <c r="L4556" s="77"/>
      <c r="M4556" s="76"/>
    </row>
    <row r="4557">
      <c r="A4557" s="2"/>
      <c r="B4557" s="2"/>
      <c r="C4557" s="2"/>
      <c r="D4557" s="2"/>
      <c r="E4557" s="2"/>
      <c r="K4557" s="77"/>
      <c r="L4557" s="77"/>
      <c r="M4557" s="76"/>
    </row>
    <row r="4558">
      <c r="A4558" s="2"/>
      <c r="B4558" s="2"/>
      <c r="C4558" s="2"/>
      <c r="D4558" s="2"/>
      <c r="E4558" s="2"/>
      <c r="K4558" s="77"/>
      <c r="L4558" s="77"/>
      <c r="M4558" s="76"/>
    </row>
    <row r="4559">
      <c r="A4559" s="2"/>
      <c r="B4559" s="2"/>
      <c r="C4559" s="2"/>
      <c r="D4559" s="2"/>
      <c r="E4559" s="2"/>
      <c r="K4559" s="77"/>
      <c r="L4559" s="77"/>
      <c r="M4559" s="76"/>
    </row>
    <row r="4560">
      <c r="A4560" s="2"/>
      <c r="B4560" s="2"/>
      <c r="C4560" s="2"/>
      <c r="D4560" s="2"/>
      <c r="E4560" s="2"/>
      <c r="K4560" s="77"/>
      <c r="L4560" s="77"/>
      <c r="M4560" s="76"/>
    </row>
    <row r="4561">
      <c r="A4561" s="2"/>
      <c r="B4561" s="2"/>
      <c r="C4561" s="2"/>
      <c r="D4561" s="2"/>
      <c r="E4561" s="2"/>
      <c r="K4561" s="77"/>
      <c r="L4561" s="77"/>
      <c r="M4561" s="76"/>
    </row>
    <row r="4562">
      <c r="A4562" s="77"/>
      <c r="B4562" s="77"/>
      <c r="C4562" s="77"/>
      <c r="D4562" s="77"/>
      <c r="E4562" s="77"/>
      <c r="K4562" s="77"/>
      <c r="L4562" s="77"/>
      <c r="M4562" s="76"/>
    </row>
    <row r="4563">
      <c r="A4563" s="2"/>
      <c r="B4563" s="2"/>
      <c r="C4563" s="2"/>
      <c r="D4563" s="2"/>
      <c r="E4563" s="2"/>
      <c r="K4563" s="77"/>
      <c r="L4563" s="77"/>
      <c r="M4563" s="76"/>
    </row>
    <row r="4564">
      <c r="A4564" s="2"/>
      <c r="B4564" s="2"/>
      <c r="C4564" s="2"/>
      <c r="D4564" s="2"/>
      <c r="E4564" s="2"/>
      <c r="K4564" s="77"/>
      <c r="L4564" s="77"/>
      <c r="M4564" s="76"/>
    </row>
    <row r="4565">
      <c r="A4565" s="2"/>
      <c r="B4565" s="2"/>
      <c r="C4565" s="2"/>
      <c r="D4565" s="2"/>
      <c r="E4565" s="2"/>
      <c r="K4565" s="77"/>
      <c r="L4565" s="77"/>
      <c r="M4565" s="76"/>
    </row>
    <row r="4566">
      <c r="A4566" s="2"/>
      <c r="B4566" s="2"/>
      <c r="C4566" s="2"/>
      <c r="D4566" s="2"/>
      <c r="E4566" s="2"/>
      <c r="K4566" s="77"/>
      <c r="L4566" s="77"/>
      <c r="M4566" s="76"/>
    </row>
    <row r="4567">
      <c r="A4567" s="2"/>
      <c r="B4567" s="2"/>
      <c r="C4567" s="2"/>
      <c r="D4567" s="2"/>
      <c r="E4567" s="2"/>
      <c r="K4567" s="77"/>
      <c r="L4567" s="77"/>
      <c r="M4567" s="76"/>
    </row>
    <row r="4568">
      <c r="A4568" s="2"/>
      <c r="B4568" s="2"/>
      <c r="C4568" s="2"/>
      <c r="D4568" s="2"/>
      <c r="E4568" s="2"/>
      <c r="K4568" s="77"/>
      <c r="L4568" s="77"/>
      <c r="M4568" s="76"/>
    </row>
    <row r="4569">
      <c r="A4569" s="2"/>
      <c r="B4569" s="2"/>
      <c r="C4569" s="2"/>
      <c r="D4569" s="2"/>
      <c r="E4569" s="2"/>
      <c r="K4569" s="77"/>
      <c r="L4569" s="77"/>
      <c r="M4569" s="76"/>
    </row>
    <row r="4570">
      <c r="A4570" s="2"/>
      <c r="B4570" s="2"/>
      <c r="C4570" s="2"/>
      <c r="D4570" s="2"/>
      <c r="E4570" s="2"/>
      <c r="K4570" s="77"/>
      <c r="L4570" s="77"/>
      <c r="M4570" s="76"/>
    </row>
    <row r="4571">
      <c r="A4571" s="2"/>
      <c r="B4571" s="2"/>
      <c r="C4571" s="2"/>
      <c r="D4571" s="2"/>
      <c r="E4571" s="2"/>
      <c r="K4571" s="77"/>
      <c r="L4571" s="77"/>
      <c r="M4571" s="76"/>
    </row>
    <row r="4572">
      <c r="A4572" s="2"/>
      <c r="B4572" s="2"/>
      <c r="C4572" s="2"/>
      <c r="D4572" s="2"/>
      <c r="E4572" s="2"/>
      <c r="K4572" s="77"/>
      <c r="L4572" s="77"/>
      <c r="M4572" s="76"/>
    </row>
    <row r="4573">
      <c r="A4573" s="2"/>
      <c r="B4573" s="2"/>
      <c r="C4573" s="2"/>
      <c r="D4573" s="2"/>
      <c r="E4573" s="2"/>
      <c r="K4573" s="77"/>
      <c r="L4573" s="77"/>
      <c r="M4573" s="76"/>
    </row>
    <row r="4574">
      <c r="A4574" s="2"/>
      <c r="B4574" s="2"/>
      <c r="C4574" s="2"/>
      <c r="D4574" s="2"/>
      <c r="E4574" s="2"/>
      <c r="K4574" s="77"/>
      <c r="L4574" s="77"/>
      <c r="M4574" s="76"/>
    </row>
    <row r="4575">
      <c r="A4575" s="2"/>
      <c r="B4575" s="2"/>
      <c r="C4575" s="2"/>
      <c r="D4575" s="2"/>
      <c r="E4575" s="2"/>
      <c r="K4575" s="77"/>
      <c r="L4575" s="77"/>
      <c r="M4575" s="76"/>
    </row>
    <row r="4576">
      <c r="A4576" s="2"/>
      <c r="B4576" s="2"/>
      <c r="C4576" s="2"/>
      <c r="D4576" s="2"/>
      <c r="E4576" s="2"/>
      <c r="K4576" s="77"/>
      <c r="L4576" s="77"/>
      <c r="M4576" s="76"/>
    </row>
    <row r="4577">
      <c r="A4577" s="2"/>
      <c r="B4577" s="2"/>
      <c r="C4577" s="2"/>
      <c r="D4577" s="2"/>
      <c r="E4577" s="2"/>
      <c r="K4577" s="77"/>
      <c r="L4577" s="77"/>
      <c r="M4577" s="76"/>
    </row>
    <row r="4578">
      <c r="A4578" s="2"/>
      <c r="B4578" s="2"/>
      <c r="C4578" s="2"/>
      <c r="D4578" s="2"/>
      <c r="E4578" s="2"/>
      <c r="K4578" s="77"/>
      <c r="L4578" s="77"/>
      <c r="M4578" s="76"/>
    </row>
    <row r="4579">
      <c r="A4579" s="2"/>
      <c r="B4579" s="2"/>
      <c r="C4579" s="2"/>
      <c r="D4579" s="2"/>
      <c r="E4579" s="2"/>
      <c r="K4579" s="77"/>
      <c r="L4579" s="77"/>
      <c r="M4579" s="76"/>
    </row>
    <row r="4580">
      <c r="A4580" s="2"/>
      <c r="B4580" s="2"/>
      <c r="C4580" s="2"/>
      <c r="D4580" s="2"/>
      <c r="E4580" s="2"/>
      <c r="K4580" s="77"/>
      <c r="L4580" s="77"/>
      <c r="M4580" s="76"/>
    </row>
    <row r="4581">
      <c r="A4581" s="2"/>
      <c r="B4581" s="2"/>
      <c r="C4581" s="2"/>
      <c r="D4581" s="2"/>
      <c r="E4581" s="2"/>
      <c r="K4581" s="77"/>
      <c r="L4581" s="77"/>
      <c r="M4581" s="76"/>
    </row>
    <row r="4582">
      <c r="A4582" s="2"/>
      <c r="B4582" s="2"/>
      <c r="C4582" s="2"/>
      <c r="D4582" s="2"/>
      <c r="E4582" s="2"/>
      <c r="K4582" s="77"/>
      <c r="L4582" s="77"/>
      <c r="M4582" s="76"/>
    </row>
    <row r="4583">
      <c r="A4583" s="2"/>
      <c r="B4583" s="2"/>
      <c r="C4583" s="2"/>
      <c r="D4583" s="2"/>
      <c r="E4583" s="2"/>
      <c r="K4583" s="77"/>
      <c r="L4583" s="77"/>
      <c r="M4583" s="76"/>
    </row>
    <row r="4584">
      <c r="A4584" s="2"/>
      <c r="B4584" s="2"/>
      <c r="C4584" s="2"/>
      <c r="D4584" s="2"/>
      <c r="E4584" s="2"/>
      <c r="K4584" s="77"/>
      <c r="L4584" s="77"/>
      <c r="M4584" s="76"/>
    </row>
    <row r="4585">
      <c r="A4585" s="2"/>
      <c r="B4585" s="2"/>
      <c r="C4585" s="2"/>
      <c r="D4585" s="2"/>
      <c r="E4585" s="2"/>
      <c r="K4585" s="77"/>
      <c r="L4585" s="77"/>
      <c r="M4585" s="76"/>
    </row>
    <row r="4586">
      <c r="A4586" s="77"/>
      <c r="B4586" s="77"/>
      <c r="C4586" s="77"/>
      <c r="D4586" s="77"/>
      <c r="E4586" s="77"/>
      <c r="K4586" s="77"/>
      <c r="L4586" s="77"/>
      <c r="M4586" s="76"/>
    </row>
    <row r="4587">
      <c r="A4587" s="2"/>
      <c r="B4587" s="2"/>
      <c r="C4587" s="2"/>
      <c r="D4587" s="2"/>
      <c r="E4587" s="2"/>
      <c r="K4587" s="77"/>
      <c r="L4587" s="77"/>
      <c r="M4587" s="76"/>
    </row>
    <row r="4588">
      <c r="A4588" s="2"/>
      <c r="B4588" s="2"/>
      <c r="C4588" s="2"/>
      <c r="D4588" s="2"/>
      <c r="E4588" s="2"/>
      <c r="K4588" s="77"/>
      <c r="L4588" s="77"/>
      <c r="M4588" s="76"/>
    </row>
    <row r="4589">
      <c r="A4589" s="2"/>
      <c r="B4589" s="2"/>
      <c r="C4589" s="2"/>
      <c r="D4589" s="2"/>
      <c r="E4589" s="2"/>
      <c r="K4589" s="77"/>
      <c r="L4589" s="77"/>
      <c r="M4589" s="76"/>
    </row>
    <row r="4590">
      <c r="A4590" s="2"/>
      <c r="B4590" s="2"/>
      <c r="C4590" s="2"/>
      <c r="D4590" s="2"/>
      <c r="E4590" s="2"/>
      <c r="K4590" s="77"/>
      <c r="L4590" s="77"/>
      <c r="M4590" s="76"/>
    </row>
    <row r="4591">
      <c r="A4591" s="2"/>
      <c r="B4591" s="2"/>
      <c r="C4591" s="2"/>
      <c r="D4591" s="2"/>
      <c r="E4591" s="2"/>
      <c r="K4591" s="77"/>
      <c r="L4591" s="77"/>
      <c r="M4591" s="76"/>
    </row>
    <row r="4592">
      <c r="A4592" s="2"/>
      <c r="B4592" s="2"/>
      <c r="C4592" s="2"/>
      <c r="D4592" s="2"/>
      <c r="E4592" s="2"/>
      <c r="K4592" s="77"/>
      <c r="L4592" s="77"/>
      <c r="M4592" s="76"/>
    </row>
    <row r="4593">
      <c r="A4593" s="2"/>
      <c r="B4593" s="2"/>
      <c r="C4593" s="2"/>
      <c r="D4593" s="2"/>
      <c r="E4593" s="2"/>
      <c r="K4593" s="77"/>
      <c r="L4593" s="77"/>
      <c r="M4593" s="76"/>
    </row>
    <row r="4594">
      <c r="A4594" s="2"/>
      <c r="B4594" s="2"/>
      <c r="C4594" s="2"/>
      <c r="D4594" s="2"/>
      <c r="E4594" s="2"/>
      <c r="K4594" s="77"/>
      <c r="L4594" s="77"/>
      <c r="M4594" s="76"/>
    </row>
    <row r="4595">
      <c r="A4595" s="2"/>
      <c r="B4595" s="2"/>
      <c r="C4595" s="2"/>
      <c r="D4595" s="2"/>
      <c r="E4595" s="2"/>
      <c r="K4595" s="77"/>
      <c r="L4595" s="77"/>
      <c r="M4595" s="76"/>
    </row>
    <row r="4596">
      <c r="A4596" s="2"/>
      <c r="B4596" s="2"/>
      <c r="C4596" s="2"/>
      <c r="D4596" s="2"/>
      <c r="E4596" s="2"/>
      <c r="K4596" s="77"/>
      <c r="L4596" s="77"/>
      <c r="M4596" s="76"/>
    </row>
    <row r="4597">
      <c r="A4597" s="2"/>
      <c r="B4597" s="2"/>
      <c r="C4597" s="2"/>
      <c r="D4597" s="2"/>
      <c r="E4597" s="2"/>
      <c r="K4597" s="77"/>
      <c r="L4597" s="77"/>
      <c r="M4597" s="76"/>
    </row>
    <row r="4598">
      <c r="A4598" s="2"/>
      <c r="B4598" s="2"/>
      <c r="C4598" s="2"/>
      <c r="D4598" s="2"/>
      <c r="E4598" s="2"/>
      <c r="K4598" s="77"/>
      <c r="L4598" s="77"/>
      <c r="M4598" s="76"/>
    </row>
    <row r="4599">
      <c r="A4599" s="2"/>
      <c r="B4599" s="2"/>
      <c r="C4599" s="2"/>
      <c r="D4599" s="2"/>
      <c r="E4599" s="2"/>
      <c r="K4599" s="77"/>
      <c r="L4599" s="77"/>
      <c r="M4599" s="76"/>
    </row>
    <row r="4600">
      <c r="A4600" s="2"/>
      <c r="B4600" s="2"/>
      <c r="C4600" s="2"/>
      <c r="D4600" s="2"/>
      <c r="E4600" s="2"/>
      <c r="K4600" s="77"/>
      <c r="L4600" s="77"/>
      <c r="M4600" s="76"/>
    </row>
    <row r="4601">
      <c r="A4601" s="2"/>
      <c r="B4601" s="2"/>
      <c r="C4601" s="2"/>
      <c r="D4601" s="2"/>
      <c r="E4601" s="2"/>
      <c r="K4601" s="77"/>
      <c r="L4601" s="77"/>
      <c r="M4601" s="76"/>
    </row>
    <row r="4602">
      <c r="A4602" s="2"/>
      <c r="B4602" s="2"/>
      <c r="C4602" s="2"/>
      <c r="D4602" s="2"/>
      <c r="E4602" s="2"/>
      <c r="K4602" s="77"/>
      <c r="L4602" s="77"/>
      <c r="M4602" s="76"/>
    </row>
    <row r="4603">
      <c r="A4603" s="2"/>
      <c r="B4603" s="2"/>
      <c r="C4603" s="2"/>
      <c r="D4603" s="2"/>
      <c r="E4603" s="2"/>
      <c r="K4603" s="77"/>
      <c r="L4603" s="77"/>
      <c r="M4603" s="76"/>
    </row>
    <row r="4604">
      <c r="A4604" s="2"/>
      <c r="B4604" s="2"/>
      <c r="C4604" s="2"/>
      <c r="D4604" s="2"/>
      <c r="E4604" s="2"/>
      <c r="K4604" s="77"/>
      <c r="L4604" s="77"/>
      <c r="M4604" s="76"/>
    </row>
    <row r="4605">
      <c r="A4605" s="2"/>
      <c r="B4605" s="2"/>
      <c r="C4605" s="2"/>
      <c r="D4605" s="2"/>
      <c r="E4605" s="2"/>
      <c r="K4605" s="77"/>
      <c r="L4605" s="77"/>
      <c r="M4605" s="76"/>
    </row>
    <row r="4606">
      <c r="A4606" s="2"/>
      <c r="B4606" s="2"/>
      <c r="C4606" s="2"/>
      <c r="D4606" s="2"/>
      <c r="E4606" s="2"/>
      <c r="K4606" s="77"/>
      <c r="L4606" s="77"/>
      <c r="M4606" s="76"/>
    </row>
    <row r="4607">
      <c r="A4607" s="2"/>
      <c r="B4607" s="2"/>
      <c r="C4607" s="2"/>
      <c r="D4607" s="2"/>
      <c r="E4607" s="2"/>
      <c r="K4607" s="77"/>
      <c r="L4607" s="77"/>
      <c r="M4607" s="76"/>
    </row>
    <row r="4608">
      <c r="A4608" s="2"/>
      <c r="B4608" s="2"/>
      <c r="C4608" s="2"/>
      <c r="D4608" s="2"/>
      <c r="E4608" s="2"/>
      <c r="K4608" s="77"/>
      <c r="L4608" s="77"/>
      <c r="M4608" s="76"/>
    </row>
    <row r="4609">
      <c r="A4609" s="2"/>
      <c r="B4609" s="2"/>
      <c r="C4609" s="2"/>
      <c r="D4609" s="2"/>
      <c r="E4609" s="2"/>
      <c r="K4609" s="77"/>
      <c r="L4609" s="77"/>
      <c r="M4609" s="76"/>
    </row>
    <row r="4610">
      <c r="A4610" s="77"/>
      <c r="B4610" s="77"/>
      <c r="C4610" s="77"/>
      <c r="D4610" s="77"/>
      <c r="E4610" s="77"/>
      <c r="K4610" s="77"/>
      <c r="L4610" s="77"/>
      <c r="M4610" s="76"/>
    </row>
    <row r="4611">
      <c r="A4611" s="2"/>
      <c r="B4611" s="2"/>
      <c r="C4611" s="2"/>
      <c r="D4611" s="2"/>
      <c r="E4611" s="2"/>
      <c r="K4611" s="77"/>
      <c r="L4611" s="77"/>
      <c r="M4611" s="76"/>
    </row>
    <row r="4612">
      <c r="A4612" s="2"/>
      <c r="B4612" s="2"/>
      <c r="C4612" s="2"/>
      <c r="D4612" s="2"/>
      <c r="E4612" s="2"/>
      <c r="K4612" s="77"/>
      <c r="L4612" s="77"/>
      <c r="M4612" s="76"/>
    </row>
    <row r="4613">
      <c r="A4613" s="2"/>
      <c r="B4613" s="2"/>
      <c r="C4613" s="2"/>
      <c r="D4613" s="2"/>
      <c r="E4613" s="2"/>
      <c r="K4613" s="77"/>
      <c r="L4613" s="77"/>
      <c r="M4613" s="76"/>
    </row>
    <row r="4614">
      <c r="A4614" s="2"/>
      <c r="B4614" s="2"/>
      <c r="C4614" s="2"/>
      <c r="D4614" s="2"/>
      <c r="E4614" s="2"/>
      <c r="K4614" s="77"/>
      <c r="L4614" s="77"/>
      <c r="M4614" s="76"/>
    </row>
    <row r="4615">
      <c r="A4615" s="2"/>
      <c r="B4615" s="2"/>
      <c r="C4615" s="2"/>
      <c r="D4615" s="2"/>
      <c r="E4615" s="2"/>
      <c r="K4615" s="77"/>
      <c r="L4615" s="77"/>
      <c r="M4615" s="76"/>
    </row>
    <row r="4616">
      <c r="A4616" s="2"/>
      <c r="B4616" s="2"/>
      <c r="C4616" s="2"/>
      <c r="D4616" s="2"/>
      <c r="E4616" s="2"/>
      <c r="K4616" s="77"/>
      <c r="L4616" s="77"/>
      <c r="M4616" s="76"/>
    </row>
    <row r="4617">
      <c r="A4617" s="2"/>
      <c r="B4617" s="2"/>
      <c r="C4617" s="2"/>
      <c r="D4617" s="2"/>
      <c r="E4617" s="2"/>
      <c r="K4617" s="77"/>
      <c r="L4617" s="77"/>
      <c r="M4617" s="76"/>
    </row>
    <row r="4618">
      <c r="A4618" s="2"/>
      <c r="B4618" s="2"/>
      <c r="C4618" s="2"/>
      <c r="D4618" s="2"/>
      <c r="E4618" s="2"/>
      <c r="K4618" s="77"/>
      <c r="L4618" s="77"/>
      <c r="M4618" s="76"/>
    </row>
    <row r="4619">
      <c r="A4619" s="2"/>
      <c r="B4619" s="2"/>
      <c r="C4619" s="2"/>
      <c r="D4619" s="2"/>
      <c r="E4619" s="2"/>
      <c r="K4619" s="77"/>
      <c r="L4619" s="77"/>
      <c r="M4619" s="76"/>
    </row>
    <row r="4620">
      <c r="A4620" s="2"/>
      <c r="B4620" s="2"/>
      <c r="C4620" s="2"/>
      <c r="D4620" s="2"/>
      <c r="E4620" s="2"/>
      <c r="K4620" s="77"/>
      <c r="L4620" s="77"/>
      <c r="M4620" s="76"/>
    </row>
    <row r="4621">
      <c r="A4621" s="2"/>
      <c r="B4621" s="2"/>
      <c r="C4621" s="2"/>
      <c r="D4621" s="2"/>
      <c r="E4621" s="2"/>
      <c r="K4621" s="77"/>
      <c r="L4621" s="77"/>
      <c r="M4621" s="76"/>
    </row>
    <row r="4622">
      <c r="A4622" s="2"/>
      <c r="B4622" s="2"/>
      <c r="C4622" s="2"/>
      <c r="D4622" s="2"/>
      <c r="E4622" s="2"/>
      <c r="K4622" s="77"/>
      <c r="L4622" s="77"/>
      <c r="M4622" s="76"/>
    </row>
    <row r="4623">
      <c r="A4623" s="2"/>
      <c r="B4623" s="2"/>
      <c r="C4623" s="2"/>
      <c r="D4623" s="2"/>
      <c r="E4623" s="2"/>
      <c r="K4623" s="77"/>
      <c r="L4623" s="77"/>
      <c r="M4623" s="76"/>
    </row>
    <row r="4624">
      <c r="A4624" s="2"/>
      <c r="B4624" s="2"/>
      <c r="C4624" s="2"/>
      <c r="D4624" s="2"/>
      <c r="E4624" s="2"/>
      <c r="K4624" s="77"/>
      <c r="L4624" s="77"/>
      <c r="M4624" s="76"/>
    </row>
    <row r="4625">
      <c r="A4625" s="2"/>
      <c r="B4625" s="2"/>
      <c r="C4625" s="2"/>
      <c r="D4625" s="2"/>
      <c r="E4625" s="2"/>
      <c r="K4625" s="77"/>
      <c r="L4625" s="77"/>
      <c r="M4625" s="76"/>
    </row>
    <row r="4626">
      <c r="A4626" s="2"/>
      <c r="B4626" s="2"/>
      <c r="C4626" s="2"/>
      <c r="D4626" s="2"/>
      <c r="E4626" s="2"/>
      <c r="K4626" s="77"/>
      <c r="L4626" s="77"/>
      <c r="M4626" s="76"/>
    </row>
    <row r="4627">
      <c r="A4627" s="2"/>
      <c r="B4627" s="2"/>
      <c r="C4627" s="2"/>
      <c r="D4627" s="2"/>
      <c r="E4627" s="2"/>
      <c r="K4627" s="77"/>
      <c r="L4627" s="77"/>
      <c r="M4627" s="76"/>
    </row>
    <row r="4628">
      <c r="A4628" s="2"/>
      <c r="B4628" s="2"/>
      <c r="C4628" s="2"/>
      <c r="D4628" s="2"/>
      <c r="E4628" s="2"/>
      <c r="K4628" s="77"/>
      <c r="L4628" s="77"/>
      <c r="M4628" s="76"/>
    </row>
    <row r="4629">
      <c r="A4629" s="2"/>
      <c r="B4629" s="2"/>
      <c r="C4629" s="2"/>
      <c r="D4629" s="2"/>
      <c r="E4629" s="2"/>
      <c r="K4629" s="77"/>
      <c r="L4629" s="77"/>
      <c r="M4629" s="76"/>
    </row>
    <row r="4630">
      <c r="A4630" s="2"/>
      <c r="B4630" s="2"/>
      <c r="C4630" s="2"/>
      <c r="D4630" s="2"/>
      <c r="E4630" s="2"/>
      <c r="K4630" s="77"/>
      <c r="L4630" s="77"/>
      <c r="M4630" s="76"/>
    </row>
    <row r="4631">
      <c r="A4631" s="2"/>
      <c r="B4631" s="2"/>
      <c r="C4631" s="2"/>
      <c r="D4631" s="2"/>
      <c r="E4631" s="2"/>
      <c r="K4631" s="77"/>
      <c r="L4631" s="77"/>
      <c r="M4631" s="76"/>
    </row>
    <row r="4632">
      <c r="A4632" s="2"/>
      <c r="B4632" s="2"/>
      <c r="C4632" s="2"/>
      <c r="D4632" s="2"/>
      <c r="E4632" s="2"/>
      <c r="K4632" s="77"/>
      <c r="L4632" s="77"/>
      <c r="M4632" s="76"/>
    </row>
    <row r="4633">
      <c r="A4633" s="2"/>
      <c r="B4633" s="2"/>
      <c r="C4633" s="2"/>
      <c r="D4633" s="2"/>
      <c r="E4633" s="2"/>
      <c r="K4633" s="77"/>
      <c r="L4633" s="77"/>
      <c r="M4633" s="76"/>
    </row>
    <row r="4634">
      <c r="A4634" s="77"/>
      <c r="B4634" s="77"/>
      <c r="C4634" s="77"/>
      <c r="D4634" s="77"/>
      <c r="E4634" s="77"/>
      <c r="K4634" s="77"/>
      <c r="L4634" s="77"/>
      <c r="M4634" s="76"/>
    </row>
    <row r="4635">
      <c r="A4635" s="2"/>
      <c r="B4635" s="2"/>
      <c r="C4635" s="2"/>
      <c r="D4635" s="2"/>
      <c r="E4635" s="2"/>
      <c r="K4635" s="77"/>
      <c r="L4635" s="77"/>
      <c r="M4635" s="76"/>
    </row>
    <row r="4636">
      <c r="A4636" s="2"/>
      <c r="B4636" s="2"/>
      <c r="C4636" s="2"/>
      <c r="D4636" s="2"/>
      <c r="E4636" s="2"/>
      <c r="K4636" s="77"/>
      <c r="L4636" s="77"/>
      <c r="M4636" s="76"/>
    </row>
    <row r="4637">
      <c r="A4637" s="2"/>
      <c r="B4637" s="2"/>
      <c r="C4637" s="2"/>
      <c r="D4637" s="2"/>
      <c r="E4637" s="2"/>
      <c r="K4637" s="77"/>
      <c r="L4637" s="77"/>
      <c r="M4637" s="76"/>
    </row>
    <row r="4638">
      <c r="A4638" s="2"/>
      <c r="B4638" s="2"/>
      <c r="C4638" s="2"/>
      <c r="D4638" s="2"/>
      <c r="E4638" s="2"/>
      <c r="K4638" s="77"/>
      <c r="L4638" s="77"/>
      <c r="M4638" s="76"/>
    </row>
    <row r="4639">
      <c r="A4639" s="2"/>
      <c r="B4639" s="2"/>
      <c r="C4639" s="2"/>
      <c r="D4639" s="2"/>
      <c r="E4639" s="2"/>
      <c r="K4639" s="77"/>
      <c r="L4639" s="77"/>
      <c r="M4639" s="76"/>
    </row>
    <row r="4640">
      <c r="A4640" s="2"/>
      <c r="B4640" s="2"/>
      <c r="C4640" s="2"/>
      <c r="D4640" s="2"/>
      <c r="E4640" s="2"/>
      <c r="K4640" s="77"/>
      <c r="L4640" s="77"/>
      <c r="M4640" s="76"/>
    </row>
    <row r="4641">
      <c r="A4641" s="2"/>
      <c r="B4641" s="2"/>
      <c r="C4641" s="2"/>
      <c r="D4641" s="2"/>
      <c r="E4641" s="2"/>
      <c r="K4641" s="77"/>
      <c r="L4641" s="77"/>
      <c r="M4641" s="76"/>
    </row>
    <row r="4642">
      <c r="A4642" s="2"/>
      <c r="B4642" s="2"/>
      <c r="C4642" s="2"/>
      <c r="D4642" s="2"/>
      <c r="E4642" s="2"/>
      <c r="K4642" s="77"/>
      <c r="L4642" s="77"/>
      <c r="M4642" s="76"/>
    </row>
    <row r="4643">
      <c r="A4643" s="2"/>
      <c r="B4643" s="2"/>
      <c r="C4643" s="2"/>
      <c r="D4643" s="2"/>
      <c r="E4643" s="2"/>
      <c r="K4643" s="77"/>
      <c r="L4643" s="77"/>
      <c r="M4643" s="76"/>
    </row>
    <row r="4644">
      <c r="A4644" s="2"/>
      <c r="B4644" s="2"/>
      <c r="C4644" s="2"/>
      <c r="D4644" s="2"/>
      <c r="E4644" s="2"/>
      <c r="K4644" s="77"/>
      <c r="L4644" s="77"/>
      <c r="M4644" s="76"/>
    </row>
    <row r="4645">
      <c r="A4645" s="2"/>
      <c r="B4645" s="2"/>
      <c r="C4645" s="2"/>
      <c r="D4645" s="2"/>
      <c r="E4645" s="2"/>
      <c r="K4645" s="77"/>
      <c r="L4645" s="77"/>
      <c r="M4645" s="76"/>
    </row>
    <row r="4646">
      <c r="A4646" s="2"/>
      <c r="B4646" s="2"/>
      <c r="C4646" s="2"/>
      <c r="D4646" s="2"/>
      <c r="E4646" s="2"/>
      <c r="K4646" s="77"/>
      <c r="L4646" s="77"/>
      <c r="M4646" s="76"/>
    </row>
    <row r="4647">
      <c r="A4647" s="2"/>
      <c r="B4647" s="2"/>
      <c r="C4647" s="2"/>
      <c r="D4647" s="2"/>
      <c r="E4647" s="2"/>
      <c r="K4647" s="77"/>
      <c r="L4647" s="77"/>
      <c r="M4647" s="76"/>
    </row>
    <row r="4648">
      <c r="A4648" s="2"/>
      <c r="B4648" s="2"/>
      <c r="C4648" s="2"/>
      <c r="D4648" s="2"/>
      <c r="E4648" s="2"/>
      <c r="K4648" s="77"/>
      <c r="L4648" s="77"/>
      <c r="M4648" s="76"/>
    </row>
    <row r="4649">
      <c r="A4649" s="2"/>
      <c r="B4649" s="2"/>
      <c r="C4649" s="2"/>
      <c r="D4649" s="2"/>
      <c r="E4649" s="2"/>
      <c r="K4649" s="77"/>
      <c r="L4649" s="77"/>
      <c r="M4649" s="76"/>
    </row>
    <row r="4650">
      <c r="A4650" s="2"/>
      <c r="B4650" s="2"/>
      <c r="C4650" s="2"/>
      <c r="D4650" s="2"/>
      <c r="E4650" s="2"/>
      <c r="K4650" s="77"/>
      <c r="L4650" s="77"/>
      <c r="M4650" s="76"/>
    </row>
    <row r="4651">
      <c r="A4651" s="2"/>
      <c r="B4651" s="2"/>
      <c r="C4651" s="2"/>
      <c r="D4651" s="2"/>
      <c r="E4651" s="2"/>
      <c r="K4651" s="77"/>
      <c r="L4651" s="77"/>
      <c r="M4651" s="76"/>
    </row>
    <row r="4652">
      <c r="A4652" s="2"/>
      <c r="B4652" s="2"/>
      <c r="C4652" s="2"/>
      <c r="D4652" s="2"/>
      <c r="E4652" s="2"/>
      <c r="K4652" s="77"/>
      <c r="L4652" s="77"/>
      <c r="M4652" s="76"/>
    </row>
    <row r="4653">
      <c r="A4653" s="2"/>
      <c r="B4653" s="2"/>
      <c r="C4653" s="2"/>
      <c r="D4653" s="2"/>
      <c r="E4653" s="2"/>
      <c r="K4653" s="77"/>
      <c r="L4653" s="77"/>
      <c r="M4653" s="76"/>
    </row>
    <row r="4654">
      <c r="A4654" s="2"/>
      <c r="B4654" s="2"/>
      <c r="C4654" s="2"/>
      <c r="D4654" s="2"/>
      <c r="E4654" s="2"/>
      <c r="K4654" s="77"/>
      <c r="L4654" s="77"/>
      <c r="M4654" s="76"/>
    </row>
    <row r="4655">
      <c r="A4655" s="2"/>
      <c r="B4655" s="2"/>
      <c r="C4655" s="2"/>
      <c r="D4655" s="2"/>
      <c r="E4655" s="2"/>
      <c r="K4655" s="77"/>
      <c r="L4655" s="77"/>
      <c r="M4655" s="76"/>
    </row>
    <row r="4656">
      <c r="A4656" s="2"/>
      <c r="B4656" s="2"/>
      <c r="C4656" s="2"/>
      <c r="D4656" s="2"/>
      <c r="E4656" s="2"/>
      <c r="K4656" s="77"/>
      <c r="L4656" s="77"/>
      <c r="M4656" s="76"/>
    </row>
    <row r="4657">
      <c r="A4657" s="2"/>
      <c r="B4657" s="2"/>
      <c r="C4657" s="2"/>
      <c r="D4657" s="2"/>
      <c r="E4657" s="2"/>
      <c r="K4657" s="77"/>
      <c r="L4657" s="77"/>
      <c r="M4657" s="76"/>
    </row>
    <row r="4658">
      <c r="A4658" s="77"/>
      <c r="B4658" s="77"/>
      <c r="C4658" s="77"/>
      <c r="D4658" s="77"/>
      <c r="E4658" s="77"/>
      <c r="K4658" s="77"/>
      <c r="L4658" s="77"/>
      <c r="M4658" s="76"/>
    </row>
    <row r="4659">
      <c r="A4659" s="2"/>
      <c r="B4659" s="2"/>
      <c r="C4659" s="2"/>
      <c r="D4659" s="2"/>
      <c r="E4659" s="2"/>
      <c r="K4659" s="77"/>
      <c r="L4659" s="77"/>
      <c r="M4659" s="76"/>
    </row>
    <row r="4660">
      <c r="A4660" s="2"/>
      <c r="B4660" s="2"/>
      <c r="C4660" s="2"/>
      <c r="D4660" s="2"/>
      <c r="E4660" s="2"/>
      <c r="K4660" s="77"/>
      <c r="L4660" s="77"/>
      <c r="M4660" s="76"/>
    </row>
    <row r="4661">
      <c r="A4661" s="2"/>
      <c r="B4661" s="2"/>
      <c r="C4661" s="2"/>
      <c r="D4661" s="2"/>
      <c r="E4661" s="2"/>
      <c r="K4661" s="77"/>
      <c r="L4661" s="77"/>
      <c r="M4661" s="76"/>
    </row>
    <row r="4662">
      <c r="A4662" s="2"/>
      <c r="B4662" s="2"/>
      <c r="C4662" s="2"/>
      <c r="D4662" s="2"/>
      <c r="E4662" s="2"/>
      <c r="K4662" s="77"/>
      <c r="L4662" s="77"/>
      <c r="M4662" s="76"/>
    </row>
    <row r="4663">
      <c r="A4663" s="2"/>
      <c r="B4663" s="2"/>
      <c r="C4663" s="2"/>
      <c r="D4663" s="2"/>
      <c r="E4663" s="2"/>
      <c r="K4663" s="77"/>
      <c r="L4663" s="77"/>
      <c r="M4663" s="76"/>
    </row>
    <row r="4664">
      <c r="A4664" s="2"/>
      <c r="B4664" s="2"/>
      <c r="C4664" s="2"/>
      <c r="D4664" s="2"/>
      <c r="E4664" s="2"/>
      <c r="K4664" s="77"/>
      <c r="L4664" s="77"/>
      <c r="M4664" s="76"/>
    </row>
    <row r="4665">
      <c r="A4665" s="2"/>
      <c r="B4665" s="2"/>
      <c r="C4665" s="2"/>
      <c r="D4665" s="2"/>
      <c r="E4665" s="2"/>
      <c r="K4665" s="77"/>
      <c r="L4665" s="77"/>
      <c r="M4665" s="76"/>
    </row>
    <row r="4666">
      <c r="A4666" s="2"/>
      <c r="B4666" s="2"/>
      <c r="C4666" s="2"/>
      <c r="D4666" s="2"/>
      <c r="E4666" s="2"/>
      <c r="K4666" s="77"/>
      <c r="L4666" s="77"/>
      <c r="M4666" s="76"/>
    </row>
    <row r="4667">
      <c r="A4667" s="2"/>
      <c r="B4667" s="2"/>
      <c r="C4667" s="2"/>
      <c r="D4667" s="2"/>
      <c r="E4667" s="2"/>
      <c r="K4667" s="77"/>
      <c r="L4667" s="77"/>
      <c r="M4667" s="76"/>
    </row>
    <row r="4668">
      <c r="A4668" s="2"/>
      <c r="B4668" s="2"/>
      <c r="C4668" s="2"/>
      <c r="D4668" s="2"/>
      <c r="E4668" s="2"/>
      <c r="K4668" s="77"/>
      <c r="L4668" s="77"/>
      <c r="M4668" s="76"/>
    </row>
    <row r="4669">
      <c r="A4669" s="2"/>
      <c r="B4669" s="2"/>
      <c r="C4669" s="2"/>
      <c r="D4669" s="2"/>
      <c r="E4669" s="2"/>
      <c r="K4669" s="77"/>
      <c r="L4669" s="77"/>
      <c r="M4669" s="76"/>
    </row>
    <row r="4670">
      <c r="A4670" s="2"/>
      <c r="B4670" s="2"/>
      <c r="C4670" s="2"/>
      <c r="D4670" s="2"/>
      <c r="E4670" s="2"/>
      <c r="K4670" s="77"/>
      <c r="L4670" s="77"/>
      <c r="M4670" s="76"/>
    </row>
    <row r="4671">
      <c r="A4671" s="2"/>
      <c r="B4671" s="2"/>
      <c r="C4671" s="2"/>
      <c r="D4671" s="2"/>
      <c r="E4671" s="2"/>
      <c r="K4671" s="77"/>
      <c r="L4671" s="77"/>
      <c r="M4671" s="76"/>
    </row>
    <row r="4672">
      <c r="A4672" s="2"/>
      <c r="B4672" s="2"/>
      <c r="C4672" s="2"/>
      <c r="D4672" s="2"/>
      <c r="E4672" s="2"/>
      <c r="K4672" s="77"/>
      <c r="L4672" s="77"/>
      <c r="M4672" s="76"/>
    </row>
    <row r="4673">
      <c r="A4673" s="2"/>
      <c r="B4673" s="2"/>
      <c r="C4673" s="2"/>
      <c r="D4673" s="2"/>
      <c r="E4673" s="2"/>
      <c r="K4673" s="77"/>
      <c r="L4673" s="77"/>
      <c r="M4673" s="76"/>
    </row>
    <row r="4674">
      <c r="A4674" s="2"/>
      <c r="B4674" s="2"/>
      <c r="C4674" s="2"/>
      <c r="D4674" s="2"/>
      <c r="E4674" s="2"/>
      <c r="K4674" s="77"/>
      <c r="L4674" s="77"/>
      <c r="M4674" s="76"/>
    </row>
    <row r="4675">
      <c r="A4675" s="2"/>
      <c r="B4675" s="2"/>
      <c r="C4675" s="2"/>
      <c r="D4675" s="2"/>
      <c r="E4675" s="2"/>
      <c r="K4675" s="77"/>
      <c r="L4675" s="77"/>
      <c r="M4675" s="76"/>
    </row>
    <row r="4676">
      <c r="A4676" s="2"/>
      <c r="B4676" s="2"/>
      <c r="C4676" s="2"/>
      <c r="D4676" s="2"/>
      <c r="E4676" s="2"/>
      <c r="K4676" s="77"/>
      <c r="L4676" s="77"/>
      <c r="M4676" s="76"/>
    </row>
    <row r="4677">
      <c r="A4677" s="2"/>
      <c r="B4677" s="2"/>
      <c r="C4677" s="2"/>
      <c r="D4677" s="2"/>
      <c r="E4677" s="2"/>
      <c r="K4677" s="77"/>
      <c r="L4677" s="77"/>
      <c r="M4677" s="76"/>
    </row>
    <row r="4678">
      <c r="A4678" s="2"/>
      <c r="B4678" s="2"/>
      <c r="C4678" s="2"/>
      <c r="D4678" s="2"/>
      <c r="E4678" s="2"/>
      <c r="K4678" s="77"/>
      <c r="L4678" s="77"/>
      <c r="M4678" s="76"/>
    </row>
    <row r="4679">
      <c r="A4679" s="2"/>
      <c r="B4679" s="2"/>
      <c r="C4679" s="2"/>
      <c r="D4679" s="2"/>
      <c r="E4679" s="2"/>
      <c r="K4679" s="77"/>
      <c r="L4679" s="77"/>
      <c r="M4679" s="76"/>
    </row>
    <row r="4680">
      <c r="A4680" s="2"/>
      <c r="B4680" s="2"/>
      <c r="C4680" s="2"/>
      <c r="D4680" s="2"/>
      <c r="E4680" s="2"/>
      <c r="K4680" s="77"/>
      <c r="L4680" s="77"/>
      <c r="M4680" s="76"/>
    </row>
    <row r="4681">
      <c r="A4681" s="2"/>
      <c r="B4681" s="2"/>
      <c r="C4681" s="2"/>
      <c r="D4681" s="2"/>
      <c r="E4681" s="2"/>
      <c r="K4681" s="77"/>
      <c r="L4681" s="77"/>
      <c r="M4681" s="76"/>
    </row>
    <row r="4682">
      <c r="A4682" s="77"/>
      <c r="B4682" s="77"/>
      <c r="C4682" s="77"/>
      <c r="D4682" s="77"/>
      <c r="E4682" s="77"/>
      <c r="K4682" s="77"/>
      <c r="L4682" s="77"/>
      <c r="M4682" s="76"/>
    </row>
    <row r="4683">
      <c r="A4683" s="2"/>
      <c r="B4683" s="2"/>
      <c r="C4683" s="2"/>
      <c r="D4683" s="2"/>
      <c r="E4683" s="2"/>
      <c r="K4683" s="77"/>
      <c r="L4683" s="77"/>
      <c r="M4683" s="76"/>
    </row>
    <row r="4684">
      <c r="A4684" s="2"/>
      <c r="B4684" s="2"/>
      <c r="C4684" s="2"/>
      <c r="D4684" s="2"/>
      <c r="E4684" s="2"/>
      <c r="K4684" s="77"/>
      <c r="L4684" s="77"/>
      <c r="M4684" s="76"/>
    </row>
    <row r="4685">
      <c r="A4685" s="2"/>
      <c r="B4685" s="2"/>
      <c r="C4685" s="2"/>
      <c r="D4685" s="2"/>
      <c r="E4685" s="2"/>
      <c r="K4685" s="77"/>
      <c r="L4685" s="77"/>
      <c r="M4685" s="76"/>
    </row>
    <row r="4686">
      <c r="A4686" s="2"/>
      <c r="B4686" s="2"/>
      <c r="C4686" s="2"/>
      <c r="D4686" s="2"/>
      <c r="E4686" s="2"/>
      <c r="K4686" s="77"/>
      <c r="L4686" s="77"/>
      <c r="M4686" s="76"/>
    </row>
    <row r="4687">
      <c r="A4687" s="2"/>
      <c r="B4687" s="2"/>
      <c r="C4687" s="2"/>
      <c r="D4687" s="2"/>
      <c r="E4687" s="2"/>
      <c r="K4687" s="77"/>
      <c r="L4687" s="77"/>
      <c r="M4687" s="76"/>
    </row>
    <row r="4688">
      <c r="A4688" s="2"/>
      <c r="B4688" s="2"/>
      <c r="C4688" s="2"/>
      <c r="D4688" s="2"/>
      <c r="E4688" s="2"/>
      <c r="K4688" s="77"/>
      <c r="L4688" s="77"/>
      <c r="M4688" s="76"/>
    </row>
    <row r="4689">
      <c r="A4689" s="2"/>
      <c r="B4689" s="2"/>
      <c r="C4689" s="2"/>
      <c r="D4689" s="2"/>
      <c r="E4689" s="2"/>
      <c r="K4689" s="77"/>
      <c r="L4689" s="77"/>
      <c r="M4689" s="76"/>
    </row>
    <row r="4690">
      <c r="A4690" s="2"/>
      <c r="B4690" s="2"/>
      <c r="C4690" s="2"/>
      <c r="D4690" s="2"/>
      <c r="E4690" s="2"/>
      <c r="K4690" s="77"/>
      <c r="L4690" s="77"/>
      <c r="M4690" s="76"/>
    </row>
    <row r="4691">
      <c r="A4691" s="2"/>
      <c r="B4691" s="2"/>
      <c r="C4691" s="2"/>
      <c r="D4691" s="2"/>
      <c r="E4691" s="2"/>
      <c r="K4691" s="77"/>
      <c r="L4691" s="77"/>
      <c r="M4691" s="76"/>
    </row>
    <row r="4692">
      <c r="A4692" s="2"/>
      <c r="B4692" s="2"/>
      <c r="C4692" s="2"/>
      <c r="D4692" s="2"/>
      <c r="E4692" s="2"/>
      <c r="K4692" s="77"/>
      <c r="L4692" s="77"/>
      <c r="M4692" s="76"/>
    </row>
    <row r="4693">
      <c r="A4693" s="2"/>
      <c r="B4693" s="2"/>
      <c r="C4693" s="2"/>
      <c r="D4693" s="2"/>
      <c r="E4693" s="2"/>
      <c r="K4693" s="77"/>
      <c r="L4693" s="77"/>
      <c r="M4693" s="76"/>
    </row>
    <row r="4694">
      <c r="A4694" s="2"/>
      <c r="B4694" s="2"/>
      <c r="C4694" s="2"/>
      <c r="D4694" s="2"/>
      <c r="E4694" s="2"/>
      <c r="K4694" s="77"/>
      <c r="L4694" s="77"/>
      <c r="M4694" s="76"/>
    </row>
    <row r="4695">
      <c r="A4695" s="2"/>
      <c r="B4695" s="2"/>
      <c r="C4695" s="2"/>
      <c r="D4695" s="2"/>
      <c r="E4695" s="2"/>
      <c r="K4695" s="77"/>
      <c r="L4695" s="77"/>
      <c r="M4695" s="76"/>
    </row>
    <row r="4696">
      <c r="A4696" s="2"/>
      <c r="B4696" s="2"/>
      <c r="C4696" s="2"/>
      <c r="D4696" s="2"/>
      <c r="E4696" s="2"/>
      <c r="K4696" s="77"/>
      <c r="L4696" s="77"/>
      <c r="M4696" s="76"/>
    </row>
    <row r="4697">
      <c r="A4697" s="2"/>
      <c r="B4697" s="2"/>
      <c r="C4697" s="2"/>
      <c r="D4697" s="2"/>
      <c r="E4697" s="2"/>
      <c r="K4697" s="77"/>
      <c r="L4697" s="77"/>
      <c r="M4697" s="76"/>
    </row>
    <row r="4698">
      <c r="A4698" s="2"/>
      <c r="B4698" s="2"/>
      <c r="C4698" s="2"/>
      <c r="D4698" s="2"/>
      <c r="E4698" s="2"/>
      <c r="K4698" s="77"/>
      <c r="L4698" s="77"/>
      <c r="M4698" s="76"/>
    </row>
    <row r="4699">
      <c r="A4699" s="2"/>
      <c r="B4699" s="2"/>
      <c r="C4699" s="2"/>
      <c r="D4699" s="2"/>
      <c r="E4699" s="2"/>
      <c r="K4699" s="77"/>
      <c r="L4699" s="77"/>
      <c r="M4699" s="76"/>
    </row>
    <row r="4700">
      <c r="A4700" s="2"/>
      <c r="B4700" s="2"/>
      <c r="C4700" s="2"/>
      <c r="D4700" s="2"/>
      <c r="E4700" s="2"/>
      <c r="K4700" s="77"/>
      <c r="L4700" s="77"/>
      <c r="M4700" s="76"/>
    </row>
    <row r="4701">
      <c r="A4701" s="2"/>
      <c r="B4701" s="2"/>
      <c r="C4701" s="2"/>
      <c r="D4701" s="2"/>
      <c r="E4701" s="2"/>
      <c r="K4701" s="77"/>
      <c r="L4701" s="77"/>
      <c r="M4701" s="76"/>
    </row>
    <row r="4702">
      <c r="A4702" s="2"/>
      <c r="B4702" s="2"/>
      <c r="C4702" s="2"/>
      <c r="D4702" s="2"/>
      <c r="E4702" s="2"/>
      <c r="K4702" s="77"/>
      <c r="L4702" s="77"/>
      <c r="M4702" s="76"/>
    </row>
    <row r="4703">
      <c r="A4703" s="2"/>
      <c r="B4703" s="2"/>
      <c r="C4703" s="2"/>
      <c r="D4703" s="2"/>
      <c r="E4703" s="2"/>
      <c r="K4703" s="77"/>
      <c r="L4703" s="77"/>
      <c r="M4703" s="76"/>
    </row>
    <row r="4704">
      <c r="A4704" s="2"/>
      <c r="B4704" s="2"/>
      <c r="C4704" s="2"/>
      <c r="D4704" s="2"/>
      <c r="E4704" s="2"/>
      <c r="K4704" s="77"/>
      <c r="L4704" s="77"/>
      <c r="M4704" s="76"/>
    </row>
    <row r="4705">
      <c r="A4705" s="2"/>
      <c r="B4705" s="2"/>
      <c r="C4705" s="2"/>
      <c r="D4705" s="2"/>
      <c r="E4705" s="2"/>
      <c r="K4705" s="77"/>
      <c r="L4705" s="77"/>
      <c r="M4705" s="76"/>
    </row>
    <row r="4706">
      <c r="A4706" s="77"/>
      <c r="B4706" s="77"/>
      <c r="C4706" s="77"/>
      <c r="D4706" s="77"/>
      <c r="E4706" s="77"/>
      <c r="K4706" s="77"/>
      <c r="L4706" s="77"/>
      <c r="M4706" s="76"/>
    </row>
    <row r="4707">
      <c r="A4707" s="2"/>
      <c r="B4707" s="2"/>
      <c r="C4707" s="2"/>
      <c r="D4707" s="2"/>
      <c r="E4707" s="2"/>
      <c r="K4707" s="77"/>
      <c r="L4707" s="77"/>
      <c r="M4707" s="76"/>
    </row>
    <row r="4708">
      <c r="A4708" s="2"/>
      <c r="B4708" s="2"/>
      <c r="C4708" s="2"/>
      <c r="D4708" s="2"/>
      <c r="E4708" s="2"/>
      <c r="K4708" s="77"/>
      <c r="L4708" s="77"/>
      <c r="M4708" s="76"/>
    </row>
    <row r="4709">
      <c r="A4709" s="2"/>
      <c r="B4709" s="2"/>
      <c r="C4709" s="2"/>
      <c r="D4709" s="2"/>
      <c r="E4709" s="2"/>
      <c r="K4709" s="77"/>
      <c r="L4709" s="77"/>
      <c r="M4709" s="76"/>
    </row>
    <row r="4710">
      <c r="A4710" s="2"/>
      <c r="B4710" s="2"/>
      <c r="C4710" s="2"/>
      <c r="D4710" s="2"/>
      <c r="E4710" s="2"/>
      <c r="K4710" s="77"/>
      <c r="L4710" s="77"/>
      <c r="M4710" s="76"/>
    </row>
    <row r="4711">
      <c r="A4711" s="2"/>
      <c r="B4711" s="2"/>
      <c r="C4711" s="2"/>
      <c r="D4711" s="2"/>
      <c r="E4711" s="2"/>
      <c r="K4711" s="77"/>
      <c r="L4711" s="77"/>
      <c r="M4711" s="76"/>
    </row>
    <row r="4712">
      <c r="A4712" s="2"/>
      <c r="B4712" s="2"/>
      <c r="C4712" s="2"/>
      <c r="D4712" s="2"/>
      <c r="E4712" s="2"/>
      <c r="K4712" s="77"/>
      <c r="L4712" s="77"/>
      <c r="M4712" s="76"/>
    </row>
    <row r="4713">
      <c r="A4713" s="2"/>
      <c r="B4713" s="2"/>
      <c r="C4713" s="2"/>
      <c r="D4713" s="2"/>
      <c r="E4713" s="2"/>
      <c r="K4713" s="77"/>
      <c r="L4713" s="77"/>
      <c r="M4713" s="76"/>
    </row>
    <row r="4714">
      <c r="A4714" s="2"/>
      <c r="B4714" s="2"/>
      <c r="C4714" s="2"/>
      <c r="D4714" s="2"/>
      <c r="E4714" s="2"/>
      <c r="K4714" s="77"/>
      <c r="L4714" s="77"/>
      <c r="M4714" s="76"/>
    </row>
    <row r="4715">
      <c r="A4715" s="2"/>
      <c r="B4715" s="2"/>
      <c r="C4715" s="2"/>
      <c r="D4715" s="2"/>
      <c r="E4715" s="2"/>
      <c r="K4715" s="77"/>
      <c r="L4715" s="77"/>
      <c r="M4715" s="76"/>
    </row>
    <row r="4716">
      <c r="A4716" s="2"/>
      <c r="B4716" s="2"/>
      <c r="C4716" s="2"/>
      <c r="D4716" s="2"/>
      <c r="E4716" s="2"/>
      <c r="K4716" s="77"/>
      <c r="L4716" s="77"/>
      <c r="M4716" s="76"/>
    </row>
    <row r="4717">
      <c r="A4717" s="2"/>
      <c r="B4717" s="2"/>
      <c r="C4717" s="2"/>
      <c r="D4717" s="2"/>
      <c r="E4717" s="2"/>
      <c r="K4717" s="77"/>
      <c r="L4717" s="77"/>
      <c r="M4717" s="76"/>
    </row>
    <row r="4718">
      <c r="A4718" s="2"/>
      <c r="B4718" s="2"/>
      <c r="C4718" s="2"/>
      <c r="D4718" s="2"/>
      <c r="E4718" s="2"/>
      <c r="K4718" s="77"/>
      <c r="L4718" s="77"/>
      <c r="M4718" s="76"/>
    </row>
    <row r="4719">
      <c r="A4719" s="2"/>
      <c r="B4719" s="2"/>
      <c r="C4719" s="2"/>
      <c r="D4719" s="2"/>
      <c r="E4719" s="2"/>
      <c r="K4719" s="77"/>
      <c r="L4719" s="77"/>
      <c r="M4719" s="76"/>
    </row>
    <row r="4720">
      <c r="A4720" s="2"/>
      <c r="B4720" s="2"/>
      <c r="C4720" s="2"/>
      <c r="D4720" s="2"/>
      <c r="E4720" s="2"/>
      <c r="K4720" s="77"/>
      <c r="L4720" s="77"/>
      <c r="M4720" s="76"/>
    </row>
    <row r="4721">
      <c r="A4721" s="2"/>
      <c r="B4721" s="2"/>
      <c r="C4721" s="2"/>
      <c r="D4721" s="2"/>
      <c r="E4721" s="2"/>
      <c r="K4721" s="77"/>
      <c r="L4721" s="77"/>
      <c r="M4721" s="76"/>
    </row>
    <row r="4722">
      <c r="A4722" s="2"/>
      <c r="B4722" s="2"/>
      <c r="C4722" s="2"/>
      <c r="D4722" s="2"/>
      <c r="E4722" s="2"/>
      <c r="K4722" s="77"/>
      <c r="L4722" s="77"/>
      <c r="M4722" s="76"/>
    </row>
    <row r="4723">
      <c r="A4723" s="2"/>
      <c r="B4723" s="2"/>
      <c r="C4723" s="2"/>
      <c r="D4723" s="2"/>
      <c r="E4723" s="2"/>
      <c r="K4723" s="77"/>
      <c r="L4723" s="77"/>
      <c r="M4723" s="76"/>
    </row>
    <row r="4724">
      <c r="A4724" s="2"/>
      <c r="B4724" s="2"/>
      <c r="C4724" s="2"/>
      <c r="D4724" s="2"/>
      <c r="E4724" s="2"/>
      <c r="K4724" s="77"/>
      <c r="L4724" s="77"/>
      <c r="M4724" s="76"/>
    </row>
    <row r="4725">
      <c r="A4725" s="2"/>
      <c r="B4725" s="2"/>
      <c r="C4725" s="2"/>
      <c r="D4725" s="2"/>
      <c r="E4725" s="2"/>
      <c r="K4725" s="77"/>
      <c r="L4725" s="77"/>
      <c r="M4725" s="76"/>
    </row>
    <row r="4726">
      <c r="A4726" s="2"/>
      <c r="B4726" s="2"/>
      <c r="C4726" s="2"/>
      <c r="D4726" s="2"/>
      <c r="E4726" s="2"/>
      <c r="K4726" s="77"/>
      <c r="L4726" s="77"/>
      <c r="M4726" s="76"/>
    </row>
    <row r="4727">
      <c r="A4727" s="2"/>
      <c r="B4727" s="2"/>
      <c r="C4727" s="2"/>
      <c r="D4727" s="2"/>
      <c r="E4727" s="2"/>
      <c r="K4727" s="77"/>
      <c r="L4727" s="77"/>
      <c r="M4727" s="76"/>
    </row>
    <row r="4728">
      <c r="A4728" s="2"/>
      <c r="B4728" s="2"/>
      <c r="C4728" s="2"/>
      <c r="D4728" s="2"/>
      <c r="E4728" s="2"/>
      <c r="K4728" s="77"/>
      <c r="L4728" s="77"/>
      <c r="M4728" s="76"/>
    </row>
    <row r="4729">
      <c r="A4729" s="2"/>
      <c r="B4729" s="2"/>
      <c r="C4729" s="2"/>
      <c r="D4729" s="2"/>
      <c r="E4729" s="2"/>
      <c r="K4729" s="77"/>
      <c r="L4729" s="77"/>
      <c r="M4729" s="76"/>
    </row>
    <row r="4730">
      <c r="A4730" s="77"/>
      <c r="B4730" s="77"/>
      <c r="C4730" s="77"/>
      <c r="D4730" s="77"/>
      <c r="E4730" s="77"/>
      <c r="K4730" s="77"/>
      <c r="L4730" s="77"/>
      <c r="M4730" s="76"/>
    </row>
    <row r="4731">
      <c r="A4731" s="2"/>
      <c r="B4731" s="2"/>
      <c r="C4731" s="2"/>
      <c r="D4731" s="2"/>
      <c r="E4731" s="2"/>
      <c r="K4731" s="77"/>
      <c r="L4731" s="77"/>
      <c r="M4731" s="76"/>
    </row>
    <row r="4732">
      <c r="A4732" s="2"/>
      <c r="B4732" s="2"/>
      <c r="C4732" s="2"/>
      <c r="D4732" s="2"/>
      <c r="E4732" s="2"/>
      <c r="K4732" s="77"/>
      <c r="L4732" s="77"/>
      <c r="M4732" s="76"/>
    </row>
    <row r="4733">
      <c r="A4733" s="2"/>
      <c r="B4733" s="2"/>
      <c r="C4733" s="2"/>
      <c r="D4733" s="2"/>
      <c r="E4733" s="2"/>
      <c r="K4733" s="77"/>
      <c r="L4733" s="77"/>
      <c r="M4733" s="76"/>
    </row>
    <row r="4734">
      <c r="A4734" s="2"/>
      <c r="B4734" s="2"/>
      <c r="C4734" s="2"/>
      <c r="D4734" s="2"/>
      <c r="E4734" s="2"/>
      <c r="K4734" s="77"/>
      <c r="L4734" s="77"/>
      <c r="M4734" s="76"/>
    </row>
    <row r="4735">
      <c r="A4735" s="2"/>
      <c r="B4735" s="2"/>
      <c r="C4735" s="2"/>
      <c r="D4735" s="2"/>
      <c r="E4735" s="2"/>
      <c r="K4735" s="77"/>
      <c r="L4735" s="77"/>
      <c r="M4735" s="76"/>
    </row>
    <row r="4736">
      <c r="A4736" s="2"/>
      <c r="B4736" s="2"/>
      <c r="C4736" s="2"/>
      <c r="D4736" s="2"/>
      <c r="E4736" s="2"/>
      <c r="K4736" s="77"/>
      <c r="L4736" s="77"/>
      <c r="M4736" s="76"/>
    </row>
    <row r="4737">
      <c r="A4737" s="2"/>
      <c r="B4737" s="2"/>
      <c r="C4737" s="2"/>
      <c r="D4737" s="2"/>
      <c r="E4737" s="2"/>
      <c r="K4737" s="77"/>
      <c r="L4737" s="77"/>
      <c r="M4737" s="76"/>
    </row>
    <row r="4738">
      <c r="A4738" s="2"/>
      <c r="B4738" s="2"/>
      <c r="C4738" s="2"/>
      <c r="D4738" s="2"/>
      <c r="E4738" s="2"/>
      <c r="K4738" s="77"/>
      <c r="L4738" s="77"/>
      <c r="M4738" s="76"/>
    </row>
    <row r="4739">
      <c r="A4739" s="2"/>
      <c r="B4739" s="2"/>
      <c r="C4739" s="2"/>
      <c r="D4739" s="2"/>
      <c r="E4739" s="2"/>
      <c r="K4739" s="77"/>
      <c r="L4739" s="77"/>
      <c r="M4739" s="76"/>
    </row>
    <row r="4740">
      <c r="A4740" s="2"/>
      <c r="B4740" s="2"/>
      <c r="C4740" s="2"/>
      <c r="D4740" s="2"/>
      <c r="E4740" s="2"/>
      <c r="K4740" s="77"/>
      <c r="L4740" s="77"/>
      <c r="M4740" s="76"/>
    </row>
    <row r="4741">
      <c r="A4741" s="2"/>
      <c r="B4741" s="2"/>
      <c r="C4741" s="2"/>
      <c r="D4741" s="2"/>
      <c r="E4741" s="2"/>
      <c r="K4741" s="77"/>
      <c r="L4741" s="77"/>
      <c r="M4741" s="76"/>
    </row>
    <row r="4742">
      <c r="A4742" s="2"/>
      <c r="B4742" s="2"/>
      <c r="C4742" s="2"/>
      <c r="D4742" s="2"/>
      <c r="E4742" s="2"/>
      <c r="K4742" s="77"/>
      <c r="L4742" s="77"/>
      <c r="M4742" s="76"/>
    </row>
    <row r="4743">
      <c r="A4743" s="2"/>
      <c r="B4743" s="2"/>
      <c r="C4743" s="2"/>
      <c r="D4743" s="2"/>
      <c r="E4743" s="2"/>
      <c r="K4743" s="77"/>
      <c r="L4743" s="77"/>
      <c r="M4743" s="76"/>
    </row>
    <row r="4744">
      <c r="A4744" s="2"/>
      <c r="B4744" s="2"/>
      <c r="C4744" s="2"/>
      <c r="D4744" s="2"/>
      <c r="E4744" s="2"/>
      <c r="K4744" s="77"/>
      <c r="L4744" s="77"/>
      <c r="M4744" s="76"/>
    </row>
    <row r="4745">
      <c r="A4745" s="2"/>
      <c r="B4745" s="2"/>
      <c r="C4745" s="2"/>
      <c r="D4745" s="2"/>
      <c r="E4745" s="2"/>
      <c r="K4745" s="77"/>
      <c r="L4745" s="77"/>
      <c r="M4745" s="76"/>
    </row>
    <row r="4746">
      <c r="A4746" s="2"/>
      <c r="B4746" s="2"/>
      <c r="C4746" s="2"/>
      <c r="D4746" s="2"/>
      <c r="E4746" s="2"/>
      <c r="K4746" s="77"/>
      <c r="L4746" s="77"/>
      <c r="M4746" s="76"/>
    </row>
    <row r="4747">
      <c r="A4747" s="2"/>
      <c r="B4747" s="2"/>
      <c r="C4747" s="2"/>
      <c r="D4747" s="2"/>
      <c r="E4747" s="2"/>
      <c r="K4747" s="77"/>
      <c r="L4747" s="77"/>
      <c r="M4747" s="76"/>
    </row>
    <row r="4748">
      <c r="A4748" s="2"/>
      <c r="B4748" s="2"/>
      <c r="C4748" s="2"/>
      <c r="D4748" s="2"/>
      <c r="E4748" s="2"/>
      <c r="K4748" s="77"/>
      <c r="L4748" s="77"/>
      <c r="M4748" s="76"/>
    </row>
    <row r="4749">
      <c r="A4749" s="2"/>
      <c r="B4749" s="2"/>
      <c r="C4749" s="2"/>
      <c r="D4749" s="2"/>
      <c r="E4749" s="2"/>
      <c r="K4749" s="77"/>
      <c r="L4749" s="77"/>
      <c r="M4749" s="76"/>
    </row>
    <row r="4750">
      <c r="A4750" s="2"/>
      <c r="B4750" s="2"/>
      <c r="C4750" s="2"/>
      <c r="D4750" s="2"/>
      <c r="E4750" s="2"/>
      <c r="K4750" s="77"/>
      <c r="L4750" s="77"/>
      <c r="M4750" s="76"/>
    </row>
    <row r="4751">
      <c r="A4751" s="2"/>
      <c r="B4751" s="2"/>
      <c r="C4751" s="2"/>
      <c r="D4751" s="2"/>
      <c r="E4751" s="2"/>
      <c r="K4751" s="77"/>
      <c r="L4751" s="77"/>
      <c r="M4751" s="76"/>
    </row>
    <row r="4752">
      <c r="A4752" s="2"/>
      <c r="B4752" s="2"/>
      <c r="C4752" s="2"/>
      <c r="D4752" s="2"/>
      <c r="E4752" s="2"/>
      <c r="K4752" s="77"/>
      <c r="L4752" s="77"/>
      <c r="M4752" s="76"/>
    </row>
    <row r="4753">
      <c r="A4753" s="2"/>
      <c r="B4753" s="2"/>
      <c r="C4753" s="2"/>
      <c r="D4753" s="2"/>
      <c r="E4753" s="2"/>
      <c r="K4753" s="77"/>
      <c r="L4753" s="77"/>
      <c r="M4753" s="76"/>
    </row>
    <row r="4754">
      <c r="A4754" s="77"/>
      <c r="B4754" s="77"/>
      <c r="C4754" s="77"/>
      <c r="D4754" s="77"/>
      <c r="E4754" s="77"/>
      <c r="K4754" s="77"/>
      <c r="L4754" s="77"/>
      <c r="M4754" s="76"/>
    </row>
    <row r="4755">
      <c r="A4755" s="2"/>
      <c r="B4755" s="2"/>
      <c r="C4755" s="2"/>
      <c r="D4755" s="2"/>
      <c r="E4755" s="2"/>
      <c r="K4755" s="77"/>
      <c r="L4755" s="77"/>
      <c r="M4755" s="76"/>
    </row>
    <row r="4756">
      <c r="A4756" s="2"/>
      <c r="B4756" s="2"/>
      <c r="C4756" s="2"/>
      <c r="D4756" s="2"/>
      <c r="E4756" s="2"/>
      <c r="K4756" s="77"/>
      <c r="L4756" s="77"/>
      <c r="M4756" s="76"/>
    </row>
    <row r="4757">
      <c r="A4757" s="2"/>
      <c r="B4757" s="2"/>
      <c r="C4757" s="2"/>
      <c r="D4757" s="2"/>
      <c r="E4757" s="2"/>
      <c r="K4757" s="77"/>
      <c r="L4757" s="77"/>
      <c r="M4757" s="76"/>
    </row>
    <row r="4758">
      <c r="A4758" s="2"/>
      <c r="B4758" s="2"/>
      <c r="C4758" s="2"/>
      <c r="D4758" s="2"/>
      <c r="E4758" s="2"/>
      <c r="K4758" s="77"/>
      <c r="L4758" s="77"/>
      <c r="M4758" s="76"/>
    </row>
    <row r="4759">
      <c r="A4759" s="2"/>
      <c r="B4759" s="2"/>
      <c r="C4759" s="2"/>
      <c r="D4759" s="2"/>
      <c r="E4759" s="2"/>
      <c r="K4759" s="77"/>
      <c r="L4759" s="77"/>
      <c r="M4759" s="76"/>
    </row>
    <row r="4760">
      <c r="A4760" s="2"/>
      <c r="B4760" s="2"/>
      <c r="C4760" s="2"/>
      <c r="D4760" s="2"/>
      <c r="E4760" s="2"/>
      <c r="K4760" s="77"/>
      <c r="L4760" s="77"/>
      <c r="M4760" s="76"/>
    </row>
    <row r="4761">
      <c r="A4761" s="2"/>
      <c r="B4761" s="2"/>
      <c r="C4761" s="2"/>
      <c r="D4761" s="2"/>
      <c r="E4761" s="2"/>
      <c r="K4761" s="77"/>
      <c r="L4761" s="77"/>
      <c r="M4761" s="76"/>
    </row>
    <row r="4762">
      <c r="A4762" s="2"/>
      <c r="B4762" s="2"/>
      <c r="C4762" s="2"/>
      <c r="D4762" s="2"/>
      <c r="E4762" s="2"/>
      <c r="K4762" s="77"/>
      <c r="L4762" s="77"/>
      <c r="M4762" s="76"/>
    </row>
    <row r="4763">
      <c r="A4763" s="2"/>
      <c r="B4763" s="2"/>
      <c r="C4763" s="2"/>
      <c r="D4763" s="2"/>
      <c r="E4763" s="2"/>
      <c r="K4763" s="77"/>
      <c r="L4763" s="77"/>
      <c r="M4763" s="76"/>
    </row>
    <row r="4764">
      <c r="A4764" s="2"/>
      <c r="B4764" s="2"/>
      <c r="C4764" s="2"/>
      <c r="D4764" s="2"/>
      <c r="E4764" s="2"/>
      <c r="K4764" s="77"/>
      <c r="L4764" s="77"/>
      <c r="M4764" s="76"/>
    </row>
    <row r="4765">
      <c r="A4765" s="2"/>
      <c r="B4765" s="2"/>
      <c r="C4765" s="2"/>
      <c r="D4765" s="2"/>
      <c r="E4765" s="2"/>
      <c r="K4765" s="77"/>
      <c r="L4765" s="77"/>
      <c r="M4765" s="76"/>
    </row>
    <row r="4766">
      <c r="A4766" s="2"/>
      <c r="B4766" s="2"/>
      <c r="C4766" s="2"/>
      <c r="D4766" s="2"/>
      <c r="E4766" s="2"/>
      <c r="K4766" s="77"/>
      <c r="L4766" s="77"/>
      <c r="M4766" s="76"/>
    </row>
    <row r="4767">
      <c r="A4767" s="2"/>
      <c r="B4767" s="2"/>
      <c r="C4767" s="2"/>
      <c r="D4767" s="2"/>
      <c r="E4767" s="2"/>
      <c r="K4767" s="77"/>
      <c r="L4767" s="77"/>
      <c r="M4767" s="76"/>
    </row>
    <row r="4768">
      <c r="A4768" s="2"/>
      <c r="B4768" s="2"/>
      <c r="C4768" s="2"/>
      <c r="D4768" s="2"/>
      <c r="E4768" s="2"/>
      <c r="K4768" s="77"/>
      <c r="L4768" s="77"/>
      <c r="M4768" s="76"/>
    </row>
    <row r="4769">
      <c r="A4769" s="2"/>
      <c r="B4769" s="2"/>
      <c r="C4769" s="2"/>
      <c r="D4769" s="2"/>
      <c r="E4769" s="2"/>
      <c r="K4769" s="77"/>
      <c r="L4769" s="77"/>
      <c r="M4769" s="76"/>
    </row>
    <row r="4770">
      <c r="A4770" s="2"/>
      <c r="B4770" s="2"/>
      <c r="C4770" s="2"/>
      <c r="D4770" s="2"/>
      <c r="E4770" s="2"/>
      <c r="K4770" s="77"/>
      <c r="L4770" s="77"/>
      <c r="M4770" s="76"/>
    </row>
    <row r="4771">
      <c r="A4771" s="2"/>
      <c r="B4771" s="2"/>
      <c r="C4771" s="2"/>
      <c r="D4771" s="2"/>
      <c r="E4771" s="2"/>
      <c r="K4771" s="77"/>
      <c r="L4771" s="77"/>
      <c r="M4771" s="76"/>
    </row>
    <row r="4772">
      <c r="A4772" s="2"/>
      <c r="B4772" s="2"/>
      <c r="C4772" s="2"/>
      <c r="D4772" s="2"/>
      <c r="E4772" s="2"/>
      <c r="K4772" s="77"/>
      <c r="L4772" s="77"/>
      <c r="M4772" s="76"/>
    </row>
    <row r="4773">
      <c r="A4773" s="2"/>
      <c r="B4773" s="2"/>
      <c r="C4773" s="2"/>
      <c r="D4773" s="2"/>
      <c r="E4773" s="2"/>
      <c r="K4773" s="77"/>
      <c r="L4773" s="77"/>
      <c r="M4773" s="76"/>
    </row>
    <row r="4774">
      <c r="A4774" s="2"/>
      <c r="B4774" s="2"/>
      <c r="C4774" s="2"/>
      <c r="D4774" s="2"/>
      <c r="E4774" s="2"/>
      <c r="K4774" s="77"/>
      <c r="L4774" s="77"/>
      <c r="M4774" s="76"/>
    </row>
    <row r="4775">
      <c r="A4775" s="2"/>
      <c r="B4775" s="2"/>
      <c r="C4775" s="2"/>
      <c r="D4775" s="2"/>
      <c r="E4775" s="2"/>
      <c r="K4775" s="77"/>
      <c r="L4775" s="77"/>
      <c r="M4775" s="76"/>
    </row>
    <row r="4776">
      <c r="A4776" s="2"/>
      <c r="B4776" s="2"/>
      <c r="C4776" s="2"/>
      <c r="D4776" s="2"/>
      <c r="E4776" s="2"/>
      <c r="K4776" s="77"/>
      <c r="L4776" s="77"/>
      <c r="M4776" s="76"/>
    </row>
    <row r="4777">
      <c r="A4777" s="2"/>
      <c r="B4777" s="2"/>
      <c r="C4777" s="2"/>
      <c r="D4777" s="2"/>
      <c r="E4777" s="2"/>
      <c r="K4777" s="77"/>
      <c r="L4777" s="77"/>
      <c r="M4777" s="76"/>
    </row>
    <row r="4778">
      <c r="A4778" s="77"/>
      <c r="B4778" s="77"/>
      <c r="C4778" s="77"/>
      <c r="D4778" s="77"/>
      <c r="E4778" s="77"/>
      <c r="K4778" s="77"/>
      <c r="L4778" s="77"/>
      <c r="M4778" s="76"/>
    </row>
    <row r="4779">
      <c r="A4779" s="2"/>
      <c r="B4779" s="2"/>
      <c r="C4779" s="2"/>
      <c r="D4779" s="2"/>
      <c r="E4779" s="2"/>
      <c r="K4779" s="77"/>
      <c r="L4779" s="77"/>
      <c r="M4779" s="76"/>
    </row>
    <row r="4780">
      <c r="A4780" s="2"/>
      <c r="B4780" s="2"/>
      <c r="C4780" s="2"/>
      <c r="D4780" s="2"/>
      <c r="E4780" s="2"/>
      <c r="K4780" s="77"/>
      <c r="L4780" s="77"/>
      <c r="M4780" s="76"/>
    </row>
    <row r="4781">
      <c r="A4781" s="2"/>
      <c r="B4781" s="2"/>
      <c r="C4781" s="2"/>
      <c r="D4781" s="2"/>
      <c r="E4781" s="2"/>
      <c r="K4781" s="77"/>
      <c r="L4781" s="77"/>
      <c r="M4781" s="76"/>
    </row>
    <row r="4782">
      <c r="A4782" s="2"/>
      <c r="B4782" s="2"/>
      <c r="C4782" s="2"/>
      <c r="D4782" s="2"/>
      <c r="E4782" s="2"/>
      <c r="K4782" s="77"/>
      <c r="L4782" s="77"/>
      <c r="M4782" s="76"/>
    </row>
    <row r="4783">
      <c r="A4783" s="2"/>
      <c r="B4783" s="2"/>
      <c r="C4783" s="2"/>
      <c r="D4783" s="2"/>
      <c r="E4783" s="2"/>
      <c r="K4783" s="77"/>
      <c r="L4783" s="77"/>
      <c r="M4783" s="76"/>
    </row>
    <row r="4784">
      <c r="A4784" s="2"/>
      <c r="B4784" s="2"/>
      <c r="C4784" s="2"/>
      <c r="D4784" s="2"/>
      <c r="E4784" s="2"/>
      <c r="K4784" s="77"/>
      <c r="L4784" s="77"/>
      <c r="M4784" s="76"/>
    </row>
    <row r="4785">
      <c r="A4785" s="2"/>
      <c r="B4785" s="2"/>
      <c r="C4785" s="2"/>
      <c r="D4785" s="2"/>
      <c r="E4785" s="2"/>
      <c r="K4785" s="77"/>
      <c r="L4785" s="77"/>
      <c r="M4785" s="76"/>
    </row>
    <row r="4786">
      <c r="A4786" s="2"/>
      <c r="B4786" s="2"/>
      <c r="C4786" s="2"/>
      <c r="D4786" s="2"/>
      <c r="E4786" s="2"/>
      <c r="K4786" s="77"/>
      <c r="L4786" s="77"/>
      <c r="M4786" s="76"/>
    </row>
    <row r="4787">
      <c r="A4787" s="2"/>
      <c r="B4787" s="2"/>
      <c r="C4787" s="2"/>
      <c r="D4787" s="2"/>
      <c r="E4787" s="2"/>
      <c r="K4787" s="77"/>
      <c r="L4787" s="77"/>
      <c r="M4787" s="76"/>
    </row>
    <row r="4788">
      <c r="A4788" s="2"/>
      <c r="B4788" s="2"/>
      <c r="C4788" s="2"/>
      <c r="D4788" s="2"/>
      <c r="E4788" s="2"/>
      <c r="K4788" s="77"/>
      <c r="L4788" s="77"/>
      <c r="M4788" s="76"/>
    </row>
    <row r="4789">
      <c r="A4789" s="2"/>
      <c r="B4789" s="2"/>
      <c r="C4789" s="2"/>
      <c r="D4789" s="2"/>
      <c r="E4789" s="2"/>
      <c r="K4789" s="77"/>
      <c r="L4789" s="77"/>
      <c r="M4789" s="76"/>
    </row>
    <row r="4790">
      <c r="A4790" s="2"/>
      <c r="B4790" s="2"/>
      <c r="C4790" s="2"/>
      <c r="D4790" s="2"/>
      <c r="E4790" s="2"/>
      <c r="K4790" s="77"/>
      <c r="L4790" s="77"/>
      <c r="M4790" s="76"/>
    </row>
    <row r="4791">
      <c r="A4791" s="2"/>
      <c r="B4791" s="2"/>
      <c r="C4791" s="2"/>
      <c r="D4791" s="2"/>
      <c r="E4791" s="2"/>
      <c r="K4791" s="77"/>
      <c r="L4791" s="77"/>
      <c r="M4791" s="76"/>
    </row>
    <row r="4792">
      <c r="A4792" s="2"/>
      <c r="B4792" s="2"/>
      <c r="C4792" s="2"/>
      <c r="D4792" s="2"/>
      <c r="E4792" s="2"/>
      <c r="K4792" s="77"/>
      <c r="L4792" s="77"/>
      <c r="M4792" s="76"/>
    </row>
    <row r="4793">
      <c r="A4793" s="2"/>
      <c r="B4793" s="2"/>
      <c r="C4793" s="2"/>
      <c r="D4793" s="2"/>
      <c r="E4793" s="2"/>
      <c r="K4793" s="77"/>
      <c r="L4793" s="77"/>
      <c r="M4793" s="76"/>
    </row>
    <row r="4794">
      <c r="A4794" s="2"/>
      <c r="B4794" s="2"/>
      <c r="C4794" s="2"/>
      <c r="D4794" s="2"/>
      <c r="E4794" s="2"/>
      <c r="K4794" s="77"/>
      <c r="L4794" s="77"/>
      <c r="M4794" s="76"/>
    </row>
    <row r="4795">
      <c r="A4795" s="2"/>
      <c r="B4795" s="2"/>
      <c r="C4795" s="2"/>
      <c r="D4795" s="2"/>
      <c r="E4795" s="2"/>
      <c r="K4795" s="77"/>
      <c r="L4795" s="77"/>
      <c r="M4795" s="76"/>
    </row>
    <row r="4796">
      <c r="A4796" s="2"/>
      <c r="B4796" s="2"/>
      <c r="C4796" s="2"/>
      <c r="D4796" s="2"/>
      <c r="E4796" s="2"/>
      <c r="K4796" s="77"/>
      <c r="L4796" s="77"/>
      <c r="M4796" s="76"/>
    </row>
    <row r="4797">
      <c r="A4797" s="2"/>
      <c r="B4797" s="2"/>
      <c r="C4797" s="2"/>
      <c r="D4797" s="2"/>
      <c r="E4797" s="2"/>
      <c r="K4797" s="77"/>
      <c r="L4797" s="77"/>
      <c r="M4797" s="76"/>
    </row>
    <row r="4798">
      <c r="A4798" s="2"/>
      <c r="B4798" s="2"/>
      <c r="C4798" s="2"/>
      <c r="D4798" s="2"/>
      <c r="E4798" s="2"/>
      <c r="K4798" s="77"/>
      <c r="L4798" s="77"/>
      <c r="M4798" s="76"/>
    </row>
    <row r="4799">
      <c r="A4799" s="2"/>
      <c r="B4799" s="2"/>
      <c r="C4799" s="2"/>
      <c r="D4799" s="2"/>
      <c r="E4799" s="2"/>
      <c r="K4799" s="77"/>
      <c r="L4799" s="77"/>
      <c r="M4799" s="76"/>
    </row>
    <row r="4800">
      <c r="A4800" s="2"/>
      <c r="B4800" s="2"/>
      <c r="C4800" s="2"/>
      <c r="D4800" s="2"/>
      <c r="E4800" s="2"/>
      <c r="K4800" s="77"/>
      <c r="L4800" s="77"/>
      <c r="M4800" s="76"/>
    </row>
    <row r="4801">
      <c r="A4801" s="2"/>
      <c r="B4801" s="2"/>
      <c r="C4801" s="2"/>
      <c r="D4801" s="2"/>
      <c r="E4801" s="2"/>
      <c r="K4801" s="77"/>
      <c r="L4801" s="77"/>
      <c r="M4801" s="76"/>
    </row>
    <row r="4802">
      <c r="A4802" s="77"/>
      <c r="B4802" s="77"/>
      <c r="C4802" s="77"/>
      <c r="D4802" s="77"/>
      <c r="E4802" s="77"/>
      <c r="K4802" s="77"/>
      <c r="L4802" s="77"/>
      <c r="M4802" s="76"/>
    </row>
    <row r="4803">
      <c r="A4803" s="2"/>
      <c r="B4803" s="2"/>
      <c r="C4803" s="2"/>
      <c r="D4803" s="2"/>
      <c r="E4803" s="2"/>
      <c r="K4803" s="77"/>
      <c r="L4803" s="77"/>
      <c r="M4803" s="76"/>
    </row>
    <row r="4804">
      <c r="A4804" s="2"/>
      <c r="B4804" s="2"/>
      <c r="C4804" s="2"/>
      <c r="D4804" s="2"/>
      <c r="E4804" s="2"/>
      <c r="K4804" s="77"/>
      <c r="L4804" s="77"/>
      <c r="M4804" s="76"/>
    </row>
    <row r="4805">
      <c r="A4805" s="2"/>
      <c r="B4805" s="2"/>
      <c r="C4805" s="2"/>
      <c r="D4805" s="2"/>
      <c r="E4805" s="2"/>
      <c r="K4805" s="77"/>
      <c r="L4805" s="77"/>
      <c r="M4805" s="76"/>
    </row>
    <row r="4806">
      <c r="A4806" s="2"/>
      <c r="B4806" s="2"/>
      <c r="C4806" s="2"/>
      <c r="D4806" s="2"/>
      <c r="E4806" s="2"/>
      <c r="K4806" s="77"/>
      <c r="L4806" s="77"/>
      <c r="M4806" s="76"/>
    </row>
    <row r="4807">
      <c r="A4807" s="2"/>
      <c r="B4807" s="2"/>
      <c r="C4807" s="2"/>
      <c r="D4807" s="2"/>
      <c r="E4807" s="2"/>
      <c r="K4807" s="77"/>
      <c r="L4807" s="77"/>
      <c r="M4807" s="76"/>
    </row>
    <row r="4808">
      <c r="A4808" s="2"/>
      <c r="B4808" s="2"/>
      <c r="C4808" s="2"/>
      <c r="D4808" s="2"/>
      <c r="E4808" s="2"/>
      <c r="K4808" s="77"/>
      <c r="L4808" s="77"/>
      <c r="M4808" s="76"/>
    </row>
    <row r="4809">
      <c r="A4809" s="2"/>
      <c r="B4809" s="2"/>
      <c r="C4809" s="2"/>
      <c r="D4809" s="2"/>
      <c r="E4809" s="2"/>
      <c r="K4809" s="77"/>
      <c r="L4809" s="77"/>
      <c r="M4809" s="76"/>
    </row>
    <row r="4810">
      <c r="A4810" s="2"/>
      <c r="B4810" s="2"/>
      <c r="C4810" s="2"/>
      <c r="D4810" s="2"/>
      <c r="E4810" s="2"/>
      <c r="K4810" s="77"/>
      <c r="L4810" s="77"/>
      <c r="M4810" s="76"/>
    </row>
    <row r="4811">
      <c r="A4811" s="2"/>
      <c r="B4811" s="2"/>
      <c r="C4811" s="2"/>
      <c r="D4811" s="2"/>
      <c r="E4811" s="2"/>
      <c r="K4811" s="77"/>
      <c r="L4811" s="77"/>
      <c r="M4811" s="76"/>
    </row>
    <row r="4812">
      <c r="A4812" s="2"/>
      <c r="B4812" s="2"/>
      <c r="C4812" s="2"/>
      <c r="D4812" s="2"/>
      <c r="E4812" s="2"/>
      <c r="K4812" s="77"/>
      <c r="L4812" s="77"/>
      <c r="M4812" s="76"/>
    </row>
    <row r="4813">
      <c r="A4813" s="2"/>
      <c r="B4813" s="2"/>
      <c r="C4813" s="2"/>
      <c r="D4813" s="2"/>
      <c r="E4813" s="2"/>
      <c r="K4813" s="77"/>
      <c r="L4813" s="77"/>
      <c r="M4813" s="76"/>
    </row>
    <row r="4814">
      <c r="A4814" s="2"/>
      <c r="B4814" s="2"/>
      <c r="C4814" s="2"/>
      <c r="D4814" s="2"/>
      <c r="E4814" s="2"/>
      <c r="K4814" s="77"/>
      <c r="L4814" s="77"/>
      <c r="M4814" s="76"/>
    </row>
    <row r="4815">
      <c r="A4815" s="2"/>
      <c r="B4815" s="2"/>
      <c r="C4815" s="2"/>
      <c r="D4815" s="2"/>
      <c r="E4815" s="2"/>
      <c r="K4815" s="77"/>
      <c r="L4815" s="77"/>
      <c r="M4815" s="76"/>
    </row>
    <row r="4816">
      <c r="A4816" s="2"/>
      <c r="B4816" s="2"/>
      <c r="C4816" s="2"/>
      <c r="D4816" s="2"/>
      <c r="E4816" s="2"/>
      <c r="K4816" s="77"/>
      <c r="L4816" s="77"/>
      <c r="M4816" s="76"/>
    </row>
    <row r="4817">
      <c r="A4817" s="2"/>
      <c r="B4817" s="2"/>
      <c r="C4817" s="2"/>
      <c r="D4817" s="2"/>
      <c r="E4817" s="2"/>
      <c r="K4817" s="77"/>
      <c r="L4817" s="77"/>
      <c r="M4817" s="76"/>
    </row>
    <row r="4818">
      <c r="A4818" s="2"/>
      <c r="B4818" s="2"/>
      <c r="C4818" s="2"/>
      <c r="D4818" s="2"/>
      <c r="E4818" s="2"/>
      <c r="K4818" s="77"/>
      <c r="L4818" s="77"/>
      <c r="M4818" s="76"/>
    </row>
    <row r="4819">
      <c r="A4819" s="2"/>
      <c r="B4819" s="2"/>
      <c r="C4819" s="2"/>
      <c r="D4819" s="2"/>
      <c r="E4819" s="2"/>
      <c r="K4819" s="77"/>
      <c r="L4819" s="77"/>
      <c r="M4819" s="76"/>
    </row>
    <row r="4820">
      <c r="A4820" s="2"/>
      <c r="B4820" s="2"/>
      <c r="C4820" s="2"/>
      <c r="D4820" s="2"/>
      <c r="E4820" s="2"/>
      <c r="K4820" s="77"/>
      <c r="L4820" s="77"/>
      <c r="M4820" s="76"/>
    </row>
    <row r="4821">
      <c r="A4821" s="2"/>
      <c r="B4821" s="2"/>
      <c r="C4821" s="2"/>
      <c r="D4821" s="2"/>
      <c r="E4821" s="2"/>
      <c r="K4821" s="77"/>
      <c r="L4821" s="77"/>
      <c r="M4821" s="76"/>
    </row>
    <row r="4822">
      <c r="A4822" s="2"/>
      <c r="B4822" s="2"/>
      <c r="C4822" s="2"/>
      <c r="D4822" s="2"/>
      <c r="E4822" s="2"/>
      <c r="K4822" s="77"/>
      <c r="L4822" s="77"/>
      <c r="M4822" s="76"/>
    </row>
    <row r="4823">
      <c r="A4823" s="2"/>
      <c r="B4823" s="2"/>
      <c r="C4823" s="2"/>
      <c r="D4823" s="2"/>
      <c r="E4823" s="2"/>
      <c r="K4823" s="77"/>
      <c r="L4823" s="77"/>
      <c r="M4823" s="76"/>
    </row>
    <row r="4824">
      <c r="A4824" s="2"/>
      <c r="B4824" s="2"/>
      <c r="C4824" s="2"/>
      <c r="D4824" s="2"/>
      <c r="E4824" s="2"/>
      <c r="K4824" s="77"/>
      <c r="L4824" s="77"/>
      <c r="M4824" s="76"/>
    </row>
    <row r="4825">
      <c r="A4825" s="2"/>
      <c r="B4825" s="2"/>
      <c r="C4825" s="2"/>
      <c r="D4825" s="2"/>
      <c r="E4825" s="2"/>
      <c r="K4825" s="77"/>
      <c r="L4825" s="77"/>
      <c r="M4825" s="76"/>
    </row>
    <row r="4826">
      <c r="A4826" s="77"/>
      <c r="B4826" s="77"/>
      <c r="C4826" s="77"/>
      <c r="D4826" s="77"/>
      <c r="E4826" s="77"/>
      <c r="K4826" s="77"/>
      <c r="L4826" s="77"/>
      <c r="M4826" s="76"/>
    </row>
    <row r="4827">
      <c r="A4827" s="2"/>
      <c r="B4827" s="2"/>
      <c r="C4827" s="2"/>
      <c r="D4827" s="2"/>
      <c r="E4827" s="2"/>
      <c r="K4827" s="77"/>
      <c r="L4827" s="77"/>
      <c r="M4827" s="76"/>
    </row>
    <row r="4828">
      <c r="A4828" s="2"/>
      <c r="B4828" s="2"/>
      <c r="C4828" s="2"/>
      <c r="D4828" s="2"/>
      <c r="E4828" s="2"/>
      <c r="K4828" s="77"/>
      <c r="L4828" s="77"/>
      <c r="M4828" s="76"/>
    </row>
    <row r="4829">
      <c r="A4829" s="2"/>
      <c r="B4829" s="2"/>
      <c r="C4829" s="2"/>
      <c r="D4829" s="2"/>
      <c r="E4829" s="2"/>
      <c r="K4829" s="77"/>
      <c r="L4829" s="77"/>
      <c r="M4829" s="76"/>
    </row>
    <row r="4830">
      <c r="A4830" s="2"/>
      <c r="B4830" s="2"/>
      <c r="C4830" s="2"/>
      <c r="D4830" s="2"/>
      <c r="E4830" s="2"/>
      <c r="K4830" s="77"/>
      <c r="L4830" s="77"/>
      <c r="M4830" s="76"/>
    </row>
    <row r="4831">
      <c r="A4831" s="2"/>
      <c r="B4831" s="2"/>
      <c r="C4831" s="2"/>
      <c r="D4831" s="2"/>
      <c r="E4831" s="2"/>
      <c r="K4831" s="77"/>
      <c r="L4831" s="77"/>
      <c r="M4831" s="76"/>
    </row>
    <row r="4832">
      <c r="A4832" s="2"/>
      <c r="B4832" s="2"/>
      <c r="C4832" s="2"/>
      <c r="D4832" s="2"/>
      <c r="E4832" s="2"/>
      <c r="K4832" s="77"/>
      <c r="L4832" s="77"/>
      <c r="M4832" s="76"/>
    </row>
    <row r="4833">
      <c r="A4833" s="2"/>
      <c r="B4833" s="2"/>
      <c r="C4833" s="2"/>
      <c r="D4833" s="2"/>
      <c r="E4833" s="2"/>
      <c r="K4833" s="77"/>
      <c r="L4833" s="77"/>
      <c r="M4833" s="76"/>
    </row>
    <row r="4834">
      <c r="A4834" s="2"/>
      <c r="B4834" s="2"/>
      <c r="C4834" s="2"/>
      <c r="D4834" s="2"/>
      <c r="E4834" s="2"/>
      <c r="K4834" s="77"/>
      <c r="L4834" s="77"/>
      <c r="M4834" s="76"/>
    </row>
    <row r="4835">
      <c r="A4835" s="2"/>
      <c r="B4835" s="2"/>
      <c r="C4835" s="2"/>
      <c r="D4835" s="2"/>
      <c r="E4835" s="2"/>
      <c r="K4835" s="77"/>
      <c r="L4835" s="77"/>
      <c r="M4835" s="76"/>
    </row>
    <row r="4836">
      <c r="A4836" s="2"/>
      <c r="B4836" s="2"/>
      <c r="C4836" s="2"/>
      <c r="D4836" s="2"/>
      <c r="E4836" s="2"/>
      <c r="K4836" s="77"/>
      <c r="L4836" s="77"/>
      <c r="M4836" s="76"/>
    </row>
    <row r="4837">
      <c r="A4837" s="2"/>
      <c r="B4837" s="2"/>
      <c r="C4837" s="2"/>
      <c r="D4837" s="2"/>
      <c r="E4837" s="2"/>
      <c r="K4837" s="77"/>
      <c r="L4837" s="77"/>
      <c r="M4837" s="76"/>
    </row>
    <row r="4838">
      <c r="A4838" s="2"/>
      <c r="B4838" s="2"/>
      <c r="C4838" s="2"/>
      <c r="D4838" s="2"/>
      <c r="E4838" s="2"/>
      <c r="K4838" s="77"/>
      <c r="L4838" s="77"/>
      <c r="M4838" s="76"/>
    </row>
    <row r="4839">
      <c r="A4839" s="2"/>
      <c r="B4839" s="2"/>
      <c r="C4839" s="2"/>
      <c r="D4839" s="2"/>
      <c r="E4839" s="2"/>
      <c r="K4839" s="77"/>
      <c r="L4839" s="77"/>
      <c r="M4839" s="76"/>
    </row>
    <row r="4840">
      <c r="A4840" s="2"/>
      <c r="B4840" s="2"/>
      <c r="C4840" s="2"/>
      <c r="D4840" s="2"/>
      <c r="E4840" s="2"/>
      <c r="K4840" s="77"/>
      <c r="L4840" s="77"/>
      <c r="M4840" s="76"/>
    </row>
    <row r="4841">
      <c r="A4841" s="2"/>
      <c r="B4841" s="2"/>
      <c r="C4841" s="2"/>
      <c r="D4841" s="2"/>
      <c r="E4841" s="2"/>
      <c r="K4841" s="77"/>
      <c r="L4841" s="77"/>
      <c r="M4841" s="76"/>
    </row>
    <row r="4842">
      <c r="A4842" s="2"/>
      <c r="B4842" s="2"/>
      <c r="C4842" s="2"/>
      <c r="D4842" s="2"/>
      <c r="E4842" s="2"/>
      <c r="K4842" s="77"/>
      <c r="L4842" s="77"/>
      <c r="M4842" s="76"/>
    </row>
    <row r="4843">
      <c r="A4843" s="2"/>
      <c r="B4843" s="2"/>
      <c r="C4843" s="2"/>
      <c r="D4843" s="2"/>
      <c r="E4843" s="2"/>
      <c r="K4843" s="77"/>
      <c r="L4843" s="77"/>
      <c r="M4843" s="76"/>
    </row>
    <row r="4844">
      <c r="A4844" s="2"/>
      <c r="B4844" s="2"/>
      <c r="C4844" s="2"/>
      <c r="D4844" s="2"/>
      <c r="E4844" s="2"/>
      <c r="K4844" s="77"/>
      <c r="L4844" s="77"/>
      <c r="M4844" s="76"/>
    </row>
    <row r="4845">
      <c r="A4845" s="2"/>
      <c r="B4845" s="2"/>
      <c r="C4845" s="2"/>
      <c r="D4845" s="2"/>
      <c r="E4845" s="2"/>
      <c r="K4845" s="77"/>
      <c r="L4845" s="77"/>
      <c r="M4845" s="76"/>
    </row>
    <row r="4846">
      <c r="A4846" s="2"/>
      <c r="B4846" s="2"/>
      <c r="C4846" s="2"/>
      <c r="D4846" s="2"/>
      <c r="E4846" s="2"/>
      <c r="K4846" s="77"/>
      <c r="L4846" s="77"/>
      <c r="M4846" s="76"/>
    </row>
    <row r="4847">
      <c r="A4847" s="2"/>
      <c r="B4847" s="2"/>
      <c r="C4847" s="2"/>
      <c r="D4847" s="2"/>
      <c r="E4847" s="2"/>
      <c r="K4847" s="77"/>
      <c r="L4847" s="77"/>
      <c r="M4847" s="76"/>
    </row>
    <row r="4848">
      <c r="A4848" s="2"/>
      <c r="B4848" s="2"/>
      <c r="C4848" s="2"/>
      <c r="D4848" s="2"/>
      <c r="E4848" s="2"/>
      <c r="K4848" s="77"/>
      <c r="L4848" s="77"/>
      <c r="M4848" s="76"/>
    </row>
    <row r="4849">
      <c r="A4849" s="2"/>
      <c r="B4849" s="2"/>
      <c r="C4849" s="2"/>
      <c r="D4849" s="2"/>
      <c r="E4849" s="2"/>
      <c r="K4849" s="77"/>
      <c r="L4849" s="77"/>
      <c r="M4849" s="76"/>
    </row>
    <row r="4850">
      <c r="A4850" s="77"/>
      <c r="B4850" s="77"/>
      <c r="C4850" s="77"/>
      <c r="D4850" s="77"/>
      <c r="E4850" s="77"/>
      <c r="K4850" s="77"/>
      <c r="L4850" s="77"/>
      <c r="M4850" s="76"/>
    </row>
    <row r="4851">
      <c r="A4851" s="2"/>
      <c r="B4851" s="2"/>
      <c r="C4851" s="2"/>
      <c r="D4851" s="2"/>
      <c r="E4851" s="2"/>
      <c r="K4851" s="77"/>
      <c r="L4851" s="77"/>
      <c r="M4851" s="76"/>
    </row>
    <row r="4852">
      <c r="A4852" s="2"/>
      <c r="B4852" s="2"/>
      <c r="C4852" s="2"/>
      <c r="D4852" s="2"/>
      <c r="E4852" s="2"/>
      <c r="K4852" s="77"/>
      <c r="L4852" s="77"/>
      <c r="M4852" s="76"/>
    </row>
    <row r="4853">
      <c r="A4853" s="2"/>
      <c r="B4853" s="2"/>
      <c r="C4853" s="2"/>
      <c r="D4853" s="2"/>
      <c r="E4853" s="2"/>
      <c r="K4853" s="77"/>
      <c r="L4853" s="77"/>
      <c r="M4853" s="76"/>
    </row>
    <row r="4854">
      <c r="A4854" s="2"/>
      <c r="B4854" s="2"/>
      <c r="C4854" s="2"/>
      <c r="D4854" s="2"/>
      <c r="E4854" s="2"/>
      <c r="K4854" s="77"/>
      <c r="L4854" s="77"/>
      <c r="M4854" s="76"/>
    </row>
    <row r="4855">
      <c r="A4855" s="2"/>
      <c r="B4855" s="2"/>
      <c r="C4855" s="2"/>
      <c r="D4855" s="2"/>
      <c r="E4855" s="2"/>
      <c r="K4855" s="77"/>
      <c r="L4855" s="77"/>
      <c r="M4855" s="76"/>
    </row>
    <row r="4856">
      <c r="A4856" s="2"/>
      <c r="B4856" s="2"/>
      <c r="C4856" s="2"/>
      <c r="D4856" s="2"/>
      <c r="E4856" s="2"/>
      <c r="K4856" s="77"/>
      <c r="L4856" s="77"/>
      <c r="M4856" s="76"/>
    </row>
    <row r="4857">
      <c r="A4857" s="2"/>
      <c r="B4857" s="2"/>
      <c r="C4857" s="2"/>
      <c r="D4857" s="2"/>
      <c r="E4857" s="2"/>
      <c r="K4857" s="77"/>
      <c r="L4857" s="77"/>
      <c r="M4857" s="76"/>
    </row>
    <row r="4858">
      <c r="A4858" s="2"/>
      <c r="B4858" s="2"/>
      <c r="C4858" s="2"/>
      <c r="D4858" s="2"/>
      <c r="E4858" s="2"/>
      <c r="K4858" s="77"/>
      <c r="L4858" s="77"/>
      <c r="M4858" s="76"/>
    </row>
    <row r="4859">
      <c r="A4859" s="2"/>
      <c r="B4859" s="2"/>
      <c r="C4859" s="2"/>
      <c r="D4859" s="2"/>
      <c r="E4859" s="2"/>
      <c r="K4859" s="77"/>
      <c r="L4859" s="77"/>
      <c r="M4859" s="76"/>
    </row>
    <row r="4860">
      <c r="A4860" s="2"/>
      <c r="B4860" s="2"/>
      <c r="C4860" s="2"/>
      <c r="D4860" s="2"/>
      <c r="E4860" s="2"/>
      <c r="K4860" s="77"/>
      <c r="L4860" s="77"/>
      <c r="M4860" s="76"/>
    </row>
    <row r="4861">
      <c r="A4861" s="2"/>
      <c r="B4861" s="2"/>
      <c r="C4861" s="2"/>
      <c r="D4861" s="2"/>
      <c r="E4861" s="2"/>
      <c r="K4861" s="77"/>
      <c r="L4861" s="77"/>
      <c r="M4861" s="76"/>
    </row>
    <row r="4862">
      <c r="A4862" s="2"/>
      <c r="B4862" s="2"/>
      <c r="C4862" s="2"/>
      <c r="D4862" s="2"/>
      <c r="E4862" s="2"/>
      <c r="K4862" s="77"/>
      <c r="L4862" s="77"/>
      <c r="M4862" s="76"/>
    </row>
    <row r="4863">
      <c r="A4863" s="2"/>
      <c r="B4863" s="2"/>
      <c r="C4863" s="2"/>
      <c r="D4863" s="2"/>
      <c r="E4863" s="2"/>
      <c r="K4863" s="77"/>
      <c r="L4863" s="77"/>
      <c r="M4863" s="76"/>
    </row>
    <row r="4864">
      <c r="A4864" s="2"/>
      <c r="B4864" s="2"/>
      <c r="C4864" s="2"/>
      <c r="D4864" s="2"/>
      <c r="E4864" s="2"/>
      <c r="K4864" s="77"/>
      <c r="L4864" s="77"/>
      <c r="M4864" s="76"/>
    </row>
    <row r="4865">
      <c r="A4865" s="2"/>
      <c r="B4865" s="2"/>
      <c r="C4865" s="2"/>
      <c r="D4865" s="2"/>
      <c r="E4865" s="2"/>
      <c r="K4865" s="77"/>
      <c r="L4865" s="77"/>
      <c r="M4865" s="76"/>
    </row>
    <row r="4866">
      <c r="A4866" s="2"/>
      <c r="B4866" s="2"/>
      <c r="C4866" s="2"/>
      <c r="D4866" s="2"/>
      <c r="E4866" s="2"/>
      <c r="K4866" s="77"/>
      <c r="L4866" s="77"/>
      <c r="M4866" s="76"/>
    </row>
    <row r="4867">
      <c r="A4867" s="2"/>
      <c r="B4867" s="2"/>
      <c r="C4867" s="2"/>
      <c r="D4867" s="2"/>
      <c r="E4867" s="2"/>
      <c r="K4867" s="77"/>
      <c r="L4867" s="77"/>
      <c r="M4867" s="76"/>
    </row>
    <row r="4868">
      <c r="A4868" s="2"/>
      <c r="B4868" s="2"/>
      <c r="C4868" s="2"/>
      <c r="D4868" s="2"/>
      <c r="E4868" s="2"/>
      <c r="K4868" s="77"/>
      <c r="L4868" s="77"/>
      <c r="M4868" s="76"/>
    </row>
    <row r="4869">
      <c r="A4869" s="2"/>
      <c r="B4869" s="2"/>
      <c r="C4869" s="2"/>
      <c r="D4869" s="2"/>
      <c r="E4869" s="2"/>
      <c r="K4869" s="77"/>
      <c r="L4869" s="77"/>
      <c r="M4869" s="76"/>
    </row>
    <row r="4870">
      <c r="A4870" s="2"/>
      <c r="B4870" s="2"/>
      <c r="C4870" s="2"/>
      <c r="D4870" s="2"/>
      <c r="E4870" s="2"/>
      <c r="K4870" s="77"/>
      <c r="L4870" s="77"/>
      <c r="M4870" s="76"/>
    </row>
    <row r="4871">
      <c r="A4871" s="2"/>
      <c r="B4871" s="2"/>
      <c r="C4871" s="2"/>
      <c r="D4871" s="2"/>
      <c r="E4871" s="2"/>
      <c r="K4871" s="77"/>
      <c r="L4871" s="77"/>
      <c r="M4871" s="76"/>
    </row>
    <row r="4872">
      <c r="A4872" s="2"/>
      <c r="B4872" s="2"/>
      <c r="C4872" s="2"/>
      <c r="D4872" s="2"/>
      <c r="E4872" s="2"/>
      <c r="K4872" s="77"/>
      <c r="L4872" s="77"/>
      <c r="M4872" s="76"/>
    </row>
    <row r="4873">
      <c r="A4873" s="2"/>
      <c r="B4873" s="2"/>
      <c r="C4873" s="2"/>
      <c r="D4873" s="2"/>
      <c r="E4873" s="2"/>
      <c r="K4873" s="77"/>
      <c r="L4873" s="77"/>
      <c r="M4873" s="76"/>
    </row>
    <row r="4874">
      <c r="A4874" s="77"/>
      <c r="B4874" s="77"/>
      <c r="C4874" s="77"/>
      <c r="D4874" s="77"/>
      <c r="E4874" s="77"/>
      <c r="K4874" s="77"/>
      <c r="L4874" s="77"/>
      <c r="M4874" s="76"/>
    </row>
    <row r="4875">
      <c r="A4875" s="2"/>
      <c r="B4875" s="2"/>
      <c r="C4875" s="2"/>
      <c r="D4875" s="2"/>
      <c r="E4875" s="2"/>
      <c r="K4875" s="77"/>
      <c r="L4875" s="77"/>
      <c r="M4875" s="76"/>
    </row>
    <row r="4876">
      <c r="A4876" s="2"/>
      <c r="B4876" s="2"/>
      <c r="C4876" s="2"/>
      <c r="D4876" s="2"/>
      <c r="E4876" s="2"/>
      <c r="K4876" s="77"/>
      <c r="L4876" s="77"/>
      <c r="M4876" s="76"/>
    </row>
    <row r="4877">
      <c r="A4877" s="2"/>
      <c r="B4877" s="2"/>
      <c r="C4877" s="2"/>
      <c r="D4877" s="2"/>
      <c r="E4877" s="2"/>
      <c r="K4877" s="77"/>
      <c r="L4877" s="77"/>
      <c r="M4877" s="76"/>
    </row>
    <row r="4878">
      <c r="A4878" s="2"/>
      <c r="B4878" s="2"/>
      <c r="C4878" s="2"/>
      <c r="D4878" s="2"/>
      <c r="E4878" s="2"/>
      <c r="K4878" s="77"/>
      <c r="L4878" s="77"/>
      <c r="M4878" s="76"/>
    </row>
    <row r="4879">
      <c r="A4879" s="2"/>
      <c r="B4879" s="2"/>
      <c r="C4879" s="2"/>
      <c r="D4879" s="2"/>
      <c r="E4879" s="2"/>
      <c r="K4879" s="77"/>
      <c r="L4879" s="77"/>
      <c r="M4879" s="76"/>
    </row>
    <row r="4880">
      <c r="A4880" s="2"/>
      <c r="B4880" s="2"/>
      <c r="C4880" s="2"/>
      <c r="D4880" s="2"/>
      <c r="E4880" s="2"/>
      <c r="K4880" s="77"/>
      <c r="L4880" s="77"/>
      <c r="M4880" s="76"/>
    </row>
    <row r="4881">
      <c r="A4881" s="2"/>
      <c r="B4881" s="2"/>
      <c r="C4881" s="2"/>
      <c r="D4881" s="2"/>
      <c r="E4881" s="2"/>
      <c r="K4881" s="77"/>
      <c r="L4881" s="77"/>
      <c r="M4881" s="76"/>
    </row>
    <row r="4882">
      <c r="A4882" s="2"/>
      <c r="B4882" s="2"/>
      <c r="C4882" s="2"/>
      <c r="D4882" s="2"/>
      <c r="E4882" s="2"/>
      <c r="K4882" s="77"/>
      <c r="L4882" s="77"/>
      <c r="M4882" s="76"/>
    </row>
    <row r="4883">
      <c r="A4883" s="2"/>
      <c r="B4883" s="2"/>
      <c r="C4883" s="2"/>
      <c r="D4883" s="2"/>
      <c r="E4883" s="2"/>
      <c r="K4883" s="77"/>
      <c r="L4883" s="77"/>
      <c r="M4883" s="76"/>
    </row>
    <row r="4884">
      <c r="A4884" s="2"/>
      <c r="B4884" s="2"/>
      <c r="C4884" s="2"/>
      <c r="D4884" s="2"/>
      <c r="E4884" s="2"/>
      <c r="K4884" s="77"/>
      <c r="L4884" s="77"/>
      <c r="M4884" s="76"/>
    </row>
    <row r="4885">
      <c r="A4885" s="2"/>
      <c r="B4885" s="2"/>
      <c r="C4885" s="2"/>
      <c r="D4885" s="2"/>
      <c r="E4885" s="2"/>
      <c r="K4885" s="77"/>
      <c r="L4885" s="77"/>
      <c r="M4885" s="76"/>
    </row>
    <row r="4886">
      <c r="A4886" s="2"/>
      <c r="B4886" s="2"/>
      <c r="C4886" s="2"/>
      <c r="D4886" s="2"/>
      <c r="E4886" s="2"/>
      <c r="K4886" s="77"/>
      <c r="L4886" s="77"/>
      <c r="M4886" s="76"/>
    </row>
    <row r="4887">
      <c r="A4887" s="2"/>
      <c r="B4887" s="2"/>
      <c r="C4887" s="2"/>
      <c r="D4887" s="2"/>
      <c r="E4887" s="2"/>
      <c r="K4887" s="77"/>
      <c r="L4887" s="77"/>
      <c r="M4887" s="76"/>
    </row>
    <row r="4888">
      <c r="A4888" s="2"/>
      <c r="B4888" s="2"/>
      <c r="C4888" s="2"/>
      <c r="D4888" s="2"/>
      <c r="E4888" s="2"/>
      <c r="K4888" s="77"/>
      <c r="L4888" s="77"/>
      <c r="M4888" s="76"/>
    </row>
    <row r="4889">
      <c r="A4889" s="2"/>
      <c r="B4889" s="2"/>
      <c r="C4889" s="2"/>
      <c r="D4889" s="2"/>
      <c r="E4889" s="2"/>
      <c r="K4889" s="77"/>
      <c r="L4889" s="77"/>
      <c r="M4889" s="76"/>
    </row>
    <row r="4890">
      <c r="A4890" s="2"/>
      <c r="B4890" s="2"/>
      <c r="C4890" s="2"/>
      <c r="D4890" s="2"/>
      <c r="E4890" s="2"/>
      <c r="K4890" s="77"/>
      <c r="L4890" s="77"/>
      <c r="M4890" s="76"/>
    </row>
    <row r="4891">
      <c r="A4891" s="2"/>
      <c r="B4891" s="2"/>
      <c r="C4891" s="2"/>
      <c r="D4891" s="2"/>
      <c r="E4891" s="2"/>
      <c r="K4891" s="77"/>
      <c r="L4891" s="77"/>
      <c r="M4891" s="76"/>
    </row>
    <row r="4892">
      <c r="A4892" s="2"/>
      <c r="B4892" s="2"/>
      <c r="C4892" s="2"/>
      <c r="D4892" s="2"/>
      <c r="E4892" s="2"/>
      <c r="K4892" s="77"/>
      <c r="L4892" s="77"/>
      <c r="M4892" s="76"/>
    </row>
    <row r="4893">
      <c r="A4893" s="2"/>
      <c r="B4893" s="2"/>
      <c r="C4893" s="2"/>
      <c r="D4893" s="2"/>
      <c r="E4893" s="2"/>
      <c r="K4893" s="77"/>
      <c r="L4893" s="77"/>
      <c r="M4893" s="76"/>
    </row>
    <row r="4894">
      <c r="A4894" s="2"/>
      <c r="B4894" s="2"/>
      <c r="C4894" s="2"/>
      <c r="D4894" s="2"/>
      <c r="E4894" s="2"/>
      <c r="K4894" s="77"/>
      <c r="L4894" s="77"/>
      <c r="M4894" s="76"/>
    </row>
    <row r="4895">
      <c r="A4895" s="2"/>
      <c r="B4895" s="2"/>
      <c r="C4895" s="2"/>
      <c r="D4895" s="2"/>
      <c r="E4895" s="2"/>
      <c r="K4895" s="77"/>
      <c r="L4895" s="77"/>
      <c r="M4895" s="76"/>
    </row>
    <row r="4896">
      <c r="A4896" s="2"/>
      <c r="B4896" s="2"/>
      <c r="C4896" s="2"/>
      <c r="D4896" s="2"/>
      <c r="E4896" s="2"/>
      <c r="K4896" s="77"/>
      <c r="L4896" s="77"/>
      <c r="M4896" s="76"/>
    </row>
    <row r="4897">
      <c r="A4897" s="2"/>
      <c r="B4897" s="2"/>
      <c r="C4897" s="2"/>
      <c r="D4897" s="2"/>
      <c r="E4897" s="2"/>
      <c r="K4897" s="77"/>
      <c r="L4897" s="77"/>
      <c r="M4897" s="76"/>
    </row>
    <row r="4898">
      <c r="A4898" s="77"/>
      <c r="B4898" s="77"/>
      <c r="C4898" s="77"/>
      <c r="D4898" s="77"/>
      <c r="E4898" s="77"/>
      <c r="K4898" s="77"/>
      <c r="L4898" s="77"/>
      <c r="M4898" s="76"/>
    </row>
    <row r="4899">
      <c r="A4899" s="2"/>
      <c r="B4899" s="2"/>
      <c r="C4899" s="2"/>
      <c r="D4899" s="2"/>
      <c r="E4899" s="2"/>
      <c r="K4899" s="77"/>
      <c r="L4899" s="77"/>
      <c r="M4899" s="76"/>
    </row>
    <row r="4900">
      <c r="A4900" s="2"/>
      <c r="B4900" s="2"/>
      <c r="C4900" s="2"/>
      <c r="D4900" s="2"/>
      <c r="E4900" s="2"/>
      <c r="K4900" s="77"/>
      <c r="L4900" s="77"/>
      <c r="M4900" s="76"/>
    </row>
    <row r="4901">
      <c r="A4901" s="2"/>
      <c r="B4901" s="2"/>
      <c r="C4901" s="2"/>
      <c r="D4901" s="2"/>
      <c r="E4901" s="2"/>
      <c r="K4901" s="77"/>
      <c r="L4901" s="77"/>
      <c r="M4901" s="76"/>
    </row>
    <row r="4902">
      <c r="A4902" s="2"/>
      <c r="B4902" s="2"/>
      <c r="C4902" s="2"/>
      <c r="D4902" s="2"/>
      <c r="E4902" s="2"/>
      <c r="K4902" s="77"/>
      <c r="L4902" s="77"/>
      <c r="M4902" s="76"/>
    </row>
    <row r="4903">
      <c r="A4903" s="2"/>
      <c r="B4903" s="2"/>
      <c r="C4903" s="2"/>
      <c r="D4903" s="2"/>
      <c r="E4903" s="2"/>
      <c r="K4903" s="77"/>
      <c r="L4903" s="77"/>
      <c r="M4903" s="76"/>
    </row>
    <row r="4904">
      <c r="A4904" s="2"/>
      <c r="B4904" s="2"/>
      <c r="C4904" s="2"/>
      <c r="D4904" s="2"/>
      <c r="E4904" s="2"/>
      <c r="K4904" s="77"/>
      <c r="L4904" s="77"/>
      <c r="M4904" s="76"/>
    </row>
    <row r="4905">
      <c r="A4905" s="2"/>
      <c r="B4905" s="2"/>
      <c r="C4905" s="2"/>
      <c r="D4905" s="2"/>
      <c r="E4905" s="2"/>
      <c r="K4905" s="77"/>
      <c r="L4905" s="77"/>
      <c r="M4905" s="76"/>
    </row>
    <row r="4906">
      <c r="A4906" s="2"/>
      <c r="B4906" s="2"/>
      <c r="C4906" s="2"/>
      <c r="D4906" s="2"/>
      <c r="E4906" s="2"/>
      <c r="K4906" s="77"/>
      <c r="L4906" s="77"/>
      <c r="M4906" s="76"/>
    </row>
    <row r="4907">
      <c r="A4907" s="2"/>
      <c r="B4907" s="2"/>
      <c r="C4907" s="2"/>
      <c r="D4907" s="2"/>
      <c r="E4907" s="2"/>
      <c r="K4907" s="77"/>
      <c r="L4907" s="77"/>
      <c r="M4907" s="76"/>
    </row>
    <row r="4908">
      <c r="A4908" s="2"/>
      <c r="B4908" s="2"/>
      <c r="C4908" s="2"/>
      <c r="D4908" s="2"/>
      <c r="E4908" s="2"/>
      <c r="K4908" s="77"/>
      <c r="L4908" s="77"/>
      <c r="M4908" s="76"/>
    </row>
    <row r="4909">
      <c r="A4909" s="2"/>
      <c r="B4909" s="2"/>
      <c r="C4909" s="2"/>
      <c r="D4909" s="2"/>
      <c r="E4909" s="2"/>
      <c r="K4909" s="77"/>
      <c r="L4909" s="77"/>
      <c r="M4909" s="76"/>
    </row>
    <row r="4910">
      <c r="A4910" s="2"/>
      <c r="B4910" s="2"/>
      <c r="C4910" s="2"/>
      <c r="D4910" s="2"/>
      <c r="E4910" s="2"/>
      <c r="K4910" s="77"/>
      <c r="L4910" s="77"/>
      <c r="M4910" s="76"/>
    </row>
    <row r="4911">
      <c r="A4911" s="2"/>
      <c r="B4911" s="2"/>
      <c r="C4911" s="2"/>
      <c r="D4911" s="2"/>
      <c r="E4911" s="2"/>
      <c r="K4911" s="77"/>
      <c r="L4911" s="77"/>
      <c r="M4911" s="76"/>
    </row>
    <row r="4912">
      <c r="A4912" s="2"/>
      <c r="B4912" s="2"/>
      <c r="C4912" s="2"/>
      <c r="D4912" s="2"/>
      <c r="E4912" s="2"/>
      <c r="K4912" s="77"/>
      <c r="L4912" s="77"/>
      <c r="M4912" s="76"/>
    </row>
    <row r="4913">
      <c r="A4913" s="2"/>
      <c r="B4913" s="2"/>
      <c r="C4913" s="2"/>
      <c r="D4913" s="2"/>
      <c r="E4913" s="2"/>
      <c r="K4913" s="77"/>
      <c r="L4913" s="77"/>
      <c r="M4913" s="76"/>
    </row>
    <row r="4914">
      <c r="A4914" s="2"/>
      <c r="B4914" s="2"/>
      <c r="C4914" s="2"/>
      <c r="D4914" s="2"/>
      <c r="E4914" s="2"/>
      <c r="K4914" s="77"/>
      <c r="L4914" s="77"/>
      <c r="M4914" s="76"/>
    </row>
    <row r="4915">
      <c r="A4915" s="2"/>
      <c r="B4915" s="2"/>
      <c r="C4915" s="2"/>
      <c r="D4915" s="2"/>
      <c r="E4915" s="2"/>
      <c r="K4915" s="77"/>
      <c r="L4915" s="77"/>
      <c r="M4915" s="76"/>
    </row>
    <row r="4916">
      <c r="A4916" s="2"/>
      <c r="B4916" s="2"/>
      <c r="C4916" s="2"/>
      <c r="D4916" s="2"/>
      <c r="E4916" s="2"/>
      <c r="K4916" s="77"/>
      <c r="L4916" s="77"/>
      <c r="M4916" s="76"/>
    </row>
    <row r="4917">
      <c r="A4917" s="2"/>
      <c r="B4917" s="2"/>
      <c r="C4917" s="2"/>
      <c r="D4917" s="2"/>
      <c r="E4917" s="2"/>
      <c r="K4917" s="77"/>
      <c r="L4917" s="77"/>
      <c r="M4917" s="76"/>
    </row>
    <row r="4918">
      <c r="A4918" s="2"/>
      <c r="B4918" s="2"/>
      <c r="C4918" s="2"/>
      <c r="D4918" s="2"/>
      <c r="E4918" s="2"/>
      <c r="K4918" s="77"/>
      <c r="L4918" s="77"/>
      <c r="M4918" s="76"/>
    </row>
    <row r="4919">
      <c r="A4919" s="2"/>
      <c r="B4919" s="2"/>
      <c r="C4919" s="2"/>
      <c r="D4919" s="2"/>
      <c r="E4919" s="2"/>
      <c r="K4919" s="77"/>
      <c r="L4919" s="77"/>
      <c r="M4919" s="76"/>
    </row>
    <row r="4920">
      <c r="A4920" s="2"/>
      <c r="B4920" s="2"/>
      <c r="C4920" s="2"/>
      <c r="D4920" s="2"/>
      <c r="E4920" s="2"/>
      <c r="K4920" s="77"/>
      <c r="L4920" s="77"/>
      <c r="M4920" s="76"/>
    </row>
    <row r="4921">
      <c r="A4921" s="2"/>
      <c r="B4921" s="2"/>
      <c r="C4921" s="2"/>
      <c r="D4921" s="2"/>
      <c r="E4921" s="2"/>
      <c r="K4921" s="77"/>
      <c r="L4921" s="77"/>
      <c r="M4921" s="76"/>
    </row>
    <row r="4922">
      <c r="A4922" s="77"/>
      <c r="B4922" s="77"/>
      <c r="C4922" s="77"/>
      <c r="D4922" s="77"/>
      <c r="E4922" s="77"/>
      <c r="K4922" s="77"/>
      <c r="L4922" s="77"/>
      <c r="M4922" s="76"/>
    </row>
    <row r="4923">
      <c r="A4923" s="2"/>
      <c r="B4923" s="2"/>
      <c r="C4923" s="2"/>
      <c r="D4923" s="2"/>
      <c r="E4923" s="2"/>
      <c r="K4923" s="77"/>
      <c r="L4923" s="77"/>
      <c r="M4923" s="76"/>
    </row>
    <row r="4924">
      <c r="A4924" s="2"/>
      <c r="B4924" s="2"/>
      <c r="C4924" s="2"/>
      <c r="D4924" s="2"/>
      <c r="E4924" s="2"/>
      <c r="K4924" s="77"/>
      <c r="L4924" s="77"/>
      <c r="M4924" s="76"/>
    </row>
    <row r="4925">
      <c r="A4925" s="2"/>
      <c r="B4925" s="2"/>
      <c r="C4925" s="2"/>
      <c r="D4925" s="2"/>
      <c r="E4925" s="2"/>
      <c r="K4925" s="77"/>
      <c r="L4925" s="77"/>
      <c r="M4925" s="76"/>
    </row>
    <row r="4926">
      <c r="A4926" s="2"/>
      <c r="B4926" s="2"/>
      <c r="C4926" s="2"/>
      <c r="D4926" s="2"/>
      <c r="E4926" s="2"/>
      <c r="K4926" s="77"/>
      <c r="L4926" s="77"/>
      <c r="M4926" s="76"/>
    </row>
    <row r="4927">
      <c r="A4927" s="2"/>
      <c r="B4927" s="2"/>
      <c r="C4927" s="2"/>
      <c r="D4927" s="2"/>
      <c r="E4927" s="2"/>
      <c r="K4927" s="77"/>
      <c r="L4927" s="77"/>
      <c r="M4927" s="76"/>
    </row>
    <row r="4928">
      <c r="A4928" s="2"/>
      <c r="B4928" s="2"/>
      <c r="C4928" s="2"/>
      <c r="D4928" s="2"/>
      <c r="E4928" s="2"/>
      <c r="K4928" s="77"/>
      <c r="L4928" s="77"/>
      <c r="M4928" s="76"/>
    </row>
    <row r="4929">
      <c r="A4929" s="2"/>
      <c r="B4929" s="2"/>
      <c r="C4929" s="2"/>
      <c r="D4929" s="2"/>
      <c r="E4929" s="2"/>
      <c r="K4929" s="77"/>
      <c r="L4929" s="77"/>
      <c r="M4929" s="76"/>
    </row>
    <row r="4930">
      <c r="A4930" s="2"/>
      <c r="B4930" s="2"/>
      <c r="C4930" s="2"/>
      <c r="D4930" s="2"/>
      <c r="E4930" s="2"/>
      <c r="K4930" s="77"/>
      <c r="L4930" s="77"/>
      <c r="M4930" s="76"/>
    </row>
    <row r="4931">
      <c r="A4931" s="2"/>
      <c r="B4931" s="2"/>
      <c r="C4931" s="2"/>
      <c r="D4931" s="2"/>
      <c r="E4931" s="2"/>
      <c r="K4931" s="77"/>
      <c r="L4931" s="77"/>
      <c r="M4931" s="76"/>
    </row>
    <row r="4932">
      <c r="A4932" s="2"/>
      <c r="B4932" s="2"/>
      <c r="C4932" s="2"/>
      <c r="D4932" s="2"/>
      <c r="E4932" s="2"/>
      <c r="K4932" s="77"/>
      <c r="L4932" s="77"/>
      <c r="M4932" s="76"/>
    </row>
    <row r="4933">
      <c r="A4933" s="2"/>
      <c r="B4933" s="2"/>
      <c r="C4933" s="2"/>
      <c r="D4933" s="2"/>
      <c r="E4933" s="2"/>
      <c r="K4933" s="77"/>
      <c r="L4933" s="77"/>
      <c r="M4933" s="76"/>
    </row>
    <row r="4934">
      <c r="A4934" s="2"/>
      <c r="B4934" s="2"/>
      <c r="C4934" s="2"/>
      <c r="D4934" s="2"/>
      <c r="E4934" s="2"/>
      <c r="K4934" s="77"/>
      <c r="L4934" s="77"/>
      <c r="M4934" s="76"/>
    </row>
    <row r="4935">
      <c r="A4935" s="2"/>
      <c r="B4935" s="2"/>
      <c r="C4935" s="2"/>
      <c r="D4935" s="2"/>
      <c r="E4935" s="2"/>
      <c r="K4935" s="77"/>
      <c r="L4935" s="77"/>
      <c r="M4935" s="76"/>
    </row>
    <row r="4936">
      <c r="A4936" s="2"/>
      <c r="B4936" s="2"/>
      <c r="C4936" s="2"/>
      <c r="D4936" s="2"/>
      <c r="E4936" s="2"/>
      <c r="K4936" s="77"/>
      <c r="L4936" s="77"/>
      <c r="M4936" s="76"/>
    </row>
    <row r="4937">
      <c r="A4937" s="2"/>
      <c r="B4937" s="2"/>
      <c r="C4937" s="2"/>
      <c r="D4937" s="2"/>
      <c r="E4937" s="2"/>
      <c r="K4937" s="77"/>
      <c r="L4937" s="77"/>
      <c r="M4937" s="76"/>
    </row>
    <row r="4938">
      <c r="A4938" s="2"/>
      <c r="B4938" s="2"/>
      <c r="C4938" s="2"/>
      <c r="D4938" s="2"/>
      <c r="E4938" s="2"/>
      <c r="K4938" s="77"/>
      <c r="L4938" s="77"/>
      <c r="M4938" s="76"/>
    </row>
    <row r="4939">
      <c r="A4939" s="2"/>
      <c r="B4939" s="2"/>
      <c r="C4939" s="2"/>
      <c r="D4939" s="2"/>
      <c r="E4939" s="2"/>
      <c r="K4939" s="77"/>
      <c r="L4939" s="77"/>
      <c r="M4939" s="76"/>
    </row>
    <row r="4940">
      <c r="A4940" s="2"/>
      <c r="B4940" s="2"/>
      <c r="C4940" s="2"/>
      <c r="D4940" s="2"/>
      <c r="E4940" s="2"/>
      <c r="K4940" s="77"/>
      <c r="L4940" s="77"/>
      <c r="M4940" s="76"/>
    </row>
    <row r="4941">
      <c r="A4941" s="2"/>
      <c r="B4941" s="2"/>
      <c r="C4941" s="2"/>
      <c r="D4941" s="2"/>
      <c r="E4941" s="2"/>
      <c r="K4941" s="77"/>
      <c r="L4941" s="77"/>
      <c r="M4941" s="76"/>
    </row>
    <row r="4942">
      <c r="A4942" s="2"/>
      <c r="B4942" s="2"/>
      <c r="C4942" s="2"/>
      <c r="D4942" s="2"/>
      <c r="E4942" s="2"/>
      <c r="K4942" s="77"/>
      <c r="L4942" s="77"/>
      <c r="M4942" s="76"/>
    </row>
    <row r="4943">
      <c r="A4943" s="2"/>
      <c r="B4943" s="2"/>
      <c r="C4943" s="2"/>
      <c r="D4943" s="2"/>
      <c r="E4943" s="2"/>
      <c r="K4943" s="77"/>
      <c r="L4943" s="77"/>
      <c r="M4943" s="76"/>
    </row>
    <row r="4944">
      <c r="A4944" s="2"/>
      <c r="B4944" s="2"/>
      <c r="C4944" s="2"/>
      <c r="D4944" s="2"/>
      <c r="E4944" s="2"/>
      <c r="K4944" s="77"/>
      <c r="L4944" s="77"/>
      <c r="M4944" s="76"/>
    </row>
    <row r="4945">
      <c r="A4945" s="2"/>
      <c r="B4945" s="2"/>
      <c r="C4945" s="2"/>
      <c r="D4945" s="2"/>
      <c r="E4945" s="2"/>
      <c r="K4945" s="77"/>
      <c r="L4945" s="77"/>
      <c r="M4945" s="76"/>
    </row>
    <row r="4946">
      <c r="A4946" s="77"/>
      <c r="B4946" s="77"/>
      <c r="C4946" s="77"/>
      <c r="D4946" s="77"/>
      <c r="E4946" s="77"/>
      <c r="K4946" s="77"/>
      <c r="L4946" s="77"/>
      <c r="M4946" s="76"/>
    </row>
    <row r="4947">
      <c r="A4947" s="2"/>
      <c r="B4947" s="2"/>
      <c r="C4947" s="2"/>
      <c r="D4947" s="2"/>
      <c r="E4947" s="2"/>
      <c r="K4947" s="77"/>
      <c r="L4947" s="77"/>
      <c r="M4947" s="76"/>
    </row>
    <row r="4948">
      <c r="A4948" s="2"/>
      <c r="B4948" s="2"/>
      <c r="C4948" s="2"/>
      <c r="D4948" s="2"/>
      <c r="E4948" s="2"/>
      <c r="K4948" s="77"/>
      <c r="L4948" s="77"/>
      <c r="M4948" s="76"/>
    </row>
    <row r="4949">
      <c r="A4949" s="2"/>
      <c r="B4949" s="2"/>
      <c r="C4949" s="2"/>
      <c r="D4949" s="2"/>
      <c r="E4949" s="2"/>
      <c r="K4949" s="77"/>
      <c r="L4949" s="77"/>
      <c r="M4949" s="76"/>
    </row>
    <row r="4950">
      <c r="A4950" s="2"/>
      <c r="B4950" s="2"/>
      <c r="C4950" s="2"/>
      <c r="D4950" s="2"/>
      <c r="E4950" s="2"/>
      <c r="K4950" s="77"/>
      <c r="L4950" s="77"/>
      <c r="M4950" s="76"/>
    </row>
    <row r="4951">
      <c r="A4951" s="2"/>
      <c r="B4951" s="2"/>
      <c r="C4951" s="2"/>
      <c r="D4951" s="2"/>
      <c r="E4951" s="2"/>
      <c r="K4951" s="77"/>
      <c r="L4951" s="77"/>
      <c r="M4951" s="76"/>
    </row>
    <row r="4952">
      <c r="A4952" s="2"/>
      <c r="B4952" s="2"/>
      <c r="C4952" s="2"/>
      <c r="D4952" s="2"/>
      <c r="E4952" s="2"/>
      <c r="K4952" s="77"/>
      <c r="L4952" s="77"/>
      <c r="M4952" s="76"/>
    </row>
    <row r="4953">
      <c r="A4953" s="2"/>
      <c r="B4953" s="2"/>
      <c r="C4953" s="2"/>
      <c r="D4953" s="2"/>
      <c r="E4953" s="2"/>
      <c r="K4953" s="77"/>
      <c r="L4953" s="77"/>
      <c r="M4953" s="76"/>
    </row>
    <row r="4954">
      <c r="A4954" s="2"/>
      <c r="B4954" s="2"/>
      <c r="C4954" s="2"/>
      <c r="D4954" s="2"/>
      <c r="E4954" s="2"/>
      <c r="K4954" s="77"/>
      <c r="L4954" s="77"/>
      <c r="M4954" s="76"/>
    </row>
    <row r="4955">
      <c r="A4955" s="2"/>
      <c r="B4955" s="2"/>
      <c r="C4955" s="2"/>
      <c r="D4955" s="2"/>
      <c r="E4955" s="2"/>
      <c r="K4955" s="77"/>
      <c r="L4955" s="77"/>
      <c r="M4955" s="76"/>
    </row>
    <row r="4956">
      <c r="A4956" s="2"/>
      <c r="B4956" s="2"/>
      <c r="C4956" s="2"/>
      <c r="D4956" s="2"/>
      <c r="E4956" s="2"/>
      <c r="K4956" s="77"/>
      <c r="L4956" s="77"/>
      <c r="M4956" s="76"/>
    </row>
    <row r="4957">
      <c r="A4957" s="2"/>
      <c r="B4957" s="2"/>
      <c r="C4957" s="2"/>
      <c r="D4957" s="2"/>
      <c r="E4957" s="2"/>
      <c r="K4957" s="77"/>
      <c r="L4957" s="77"/>
      <c r="M4957" s="76"/>
    </row>
    <row r="4958">
      <c r="A4958" s="2"/>
      <c r="B4958" s="2"/>
      <c r="C4958" s="2"/>
      <c r="D4958" s="2"/>
      <c r="E4958" s="2"/>
      <c r="K4958" s="77"/>
      <c r="L4958" s="77"/>
      <c r="M4958" s="76"/>
    </row>
    <row r="4959">
      <c r="A4959" s="2"/>
      <c r="B4959" s="2"/>
      <c r="C4959" s="2"/>
      <c r="D4959" s="2"/>
      <c r="E4959" s="2"/>
      <c r="K4959" s="77"/>
      <c r="L4959" s="77"/>
      <c r="M4959" s="76"/>
    </row>
    <row r="4960">
      <c r="A4960" s="2"/>
      <c r="B4960" s="2"/>
      <c r="C4960" s="2"/>
      <c r="D4960" s="2"/>
      <c r="E4960" s="2"/>
      <c r="K4960" s="77"/>
      <c r="L4960" s="77"/>
      <c r="M4960" s="76"/>
    </row>
    <row r="4961">
      <c r="A4961" s="2"/>
      <c r="B4961" s="2"/>
      <c r="C4961" s="2"/>
      <c r="D4961" s="2"/>
      <c r="E4961" s="2"/>
      <c r="K4961" s="77"/>
      <c r="L4961" s="77"/>
      <c r="M4961" s="76"/>
    </row>
    <row r="4962">
      <c r="A4962" s="2"/>
      <c r="B4962" s="2"/>
      <c r="C4962" s="2"/>
      <c r="D4962" s="2"/>
      <c r="E4962" s="2"/>
      <c r="K4962" s="77"/>
      <c r="L4962" s="77"/>
      <c r="M4962" s="76"/>
    </row>
    <row r="4963">
      <c r="A4963" s="2"/>
      <c r="B4963" s="2"/>
      <c r="C4963" s="2"/>
      <c r="D4963" s="2"/>
      <c r="E4963" s="2"/>
      <c r="K4963" s="77"/>
      <c r="L4963" s="77"/>
      <c r="M4963" s="76"/>
    </row>
    <row r="4964">
      <c r="A4964" s="2"/>
      <c r="B4964" s="2"/>
      <c r="C4964" s="2"/>
      <c r="D4964" s="2"/>
      <c r="E4964" s="2"/>
      <c r="K4964" s="77"/>
      <c r="L4964" s="77"/>
      <c r="M4964" s="76"/>
    </row>
    <row r="4965">
      <c r="A4965" s="2"/>
      <c r="B4965" s="2"/>
      <c r="C4965" s="2"/>
      <c r="D4965" s="2"/>
      <c r="E4965" s="2"/>
      <c r="K4965" s="77"/>
      <c r="L4965" s="77"/>
      <c r="M4965" s="76"/>
    </row>
    <row r="4966">
      <c r="A4966" s="2"/>
      <c r="B4966" s="2"/>
      <c r="C4966" s="2"/>
      <c r="D4966" s="2"/>
      <c r="E4966" s="2"/>
      <c r="K4966" s="77"/>
      <c r="L4966" s="77"/>
      <c r="M4966" s="76"/>
    </row>
    <row r="4967">
      <c r="A4967" s="2"/>
      <c r="B4967" s="2"/>
      <c r="C4967" s="2"/>
      <c r="D4967" s="2"/>
      <c r="E4967" s="2"/>
      <c r="K4967" s="77"/>
      <c r="L4967" s="77"/>
      <c r="M4967" s="76"/>
    </row>
    <row r="4968">
      <c r="A4968" s="2"/>
      <c r="B4968" s="2"/>
      <c r="C4968" s="2"/>
      <c r="D4968" s="2"/>
      <c r="E4968" s="2"/>
      <c r="K4968" s="77"/>
      <c r="L4968" s="77"/>
      <c r="M4968" s="76"/>
    </row>
    <row r="4969">
      <c r="A4969" s="2"/>
      <c r="B4969" s="2"/>
      <c r="C4969" s="2"/>
      <c r="D4969" s="2"/>
      <c r="E4969" s="2"/>
      <c r="K4969" s="77"/>
      <c r="L4969" s="77"/>
      <c r="M4969" s="76"/>
    </row>
    <row r="4970">
      <c r="A4970" s="77"/>
      <c r="B4970" s="77"/>
      <c r="C4970" s="77"/>
      <c r="D4970" s="77"/>
      <c r="E4970" s="77"/>
      <c r="K4970" s="77"/>
      <c r="L4970" s="77"/>
      <c r="M4970" s="76"/>
    </row>
    <row r="4971">
      <c r="A4971" s="2"/>
      <c r="B4971" s="2"/>
      <c r="C4971" s="2"/>
      <c r="D4971" s="2"/>
      <c r="E4971" s="2"/>
      <c r="K4971" s="77"/>
      <c r="L4971" s="77"/>
      <c r="M4971" s="76"/>
    </row>
    <row r="4972">
      <c r="A4972" s="2"/>
      <c r="B4972" s="2"/>
      <c r="C4972" s="2"/>
      <c r="D4972" s="2"/>
      <c r="E4972" s="2"/>
      <c r="K4972" s="77"/>
      <c r="L4972" s="77"/>
      <c r="M4972" s="76"/>
    </row>
    <row r="4973">
      <c r="A4973" s="2"/>
      <c r="B4973" s="2"/>
      <c r="C4973" s="2"/>
      <c r="D4973" s="2"/>
      <c r="E4973" s="2"/>
      <c r="K4973" s="77"/>
      <c r="L4973" s="77"/>
      <c r="M4973" s="76"/>
    </row>
    <row r="4974">
      <c r="A4974" s="2"/>
      <c r="B4974" s="2"/>
      <c r="C4974" s="2"/>
      <c r="D4974" s="2"/>
      <c r="E4974" s="2"/>
      <c r="K4974" s="77"/>
      <c r="L4974" s="77"/>
      <c r="M4974" s="76"/>
    </row>
    <row r="4975">
      <c r="A4975" s="2"/>
      <c r="B4975" s="2"/>
      <c r="C4975" s="2"/>
      <c r="D4975" s="2"/>
      <c r="E4975" s="2"/>
      <c r="K4975" s="77"/>
      <c r="L4975" s="77"/>
      <c r="M4975" s="76"/>
    </row>
    <row r="4976">
      <c r="A4976" s="2"/>
      <c r="B4976" s="2"/>
      <c r="C4976" s="2"/>
      <c r="D4976" s="2"/>
      <c r="E4976" s="2"/>
      <c r="K4976" s="77"/>
      <c r="L4976" s="77"/>
      <c r="M4976" s="76"/>
    </row>
    <row r="4977">
      <c r="A4977" s="2"/>
      <c r="B4977" s="2"/>
      <c r="C4977" s="2"/>
      <c r="D4977" s="2"/>
      <c r="E4977" s="2"/>
      <c r="K4977" s="77"/>
      <c r="L4977" s="77"/>
      <c r="M4977" s="76"/>
    </row>
    <row r="4978">
      <c r="A4978" s="2"/>
      <c r="B4978" s="2"/>
      <c r="C4978" s="2"/>
      <c r="D4978" s="2"/>
      <c r="E4978" s="2"/>
      <c r="K4978" s="77"/>
      <c r="L4978" s="77"/>
      <c r="M4978" s="76"/>
    </row>
    <row r="4979">
      <c r="A4979" s="2"/>
      <c r="B4979" s="2"/>
      <c r="C4979" s="2"/>
      <c r="D4979" s="2"/>
      <c r="E4979" s="2"/>
      <c r="K4979" s="77"/>
      <c r="L4979" s="77"/>
      <c r="M4979" s="76"/>
    </row>
    <row r="4980">
      <c r="A4980" s="2"/>
      <c r="B4980" s="2"/>
      <c r="C4980" s="2"/>
      <c r="D4980" s="2"/>
      <c r="E4980" s="2"/>
      <c r="K4980" s="77"/>
      <c r="L4980" s="77"/>
      <c r="M4980" s="76"/>
    </row>
    <row r="4981">
      <c r="A4981" s="2"/>
      <c r="B4981" s="2"/>
      <c r="C4981" s="2"/>
      <c r="D4981" s="2"/>
      <c r="E4981" s="2"/>
      <c r="K4981" s="77"/>
      <c r="L4981" s="77"/>
      <c r="M4981" s="76"/>
    </row>
    <row r="4982">
      <c r="A4982" s="2"/>
      <c r="B4982" s="2"/>
      <c r="C4982" s="2"/>
      <c r="D4982" s="2"/>
      <c r="E4982" s="2"/>
      <c r="K4982" s="77"/>
      <c r="L4982" s="77"/>
      <c r="M4982" s="76"/>
    </row>
    <row r="4983">
      <c r="A4983" s="2"/>
      <c r="B4983" s="2"/>
      <c r="C4983" s="2"/>
      <c r="D4983" s="2"/>
      <c r="E4983" s="2"/>
      <c r="K4983" s="77"/>
      <c r="L4983" s="77"/>
      <c r="M4983" s="76"/>
    </row>
    <row r="4984">
      <c r="A4984" s="2"/>
      <c r="B4984" s="2"/>
      <c r="C4984" s="2"/>
      <c r="D4984" s="2"/>
      <c r="E4984" s="2"/>
      <c r="K4984" s="77"/>
      <c r="L4984" s="77"/>
      <c r="M4984" s="76"/>
    </row>
    <row r="4985">
      <c r="A4985" s="2"/>
      <c r="B4985" s="2"/>
      <c r="C4985" s="2"/>
      <c r="D4985" s="2"/>
      <c r="E4985" s="2"/>
      <c r="K4985" s="77"/>
      <c r="L4985" s="77"/>
      <c r="M4985" s="76"/>
    </row>
    <row r="4986">
      <c r="A4986" s="2"/>
      <c r="B4986" s="2"/>
      <c r="C4986" s="2"/>
      <c r="D4986" s="2"/>
      <c r="E4986" s="2"/>
      <c r="K4986" s="77"/>
      <c r="L4986" s="77"/>
      <c r="M4986" s="76"/>
    </row>
    <row r="4987">
      <c r="A4987" s="2"/>
      <c r="B4987" s="2"/>
      <c r="C4987" s="2"/>
      <c r="D4987" s="2"/>
      <c r="E4987" s="2"/>
      <c r="K4987" s="77"/>
      <c r="L4987" s="77"/>
      <c r="M4987" s="76"/>
    </row>
    <row r="4988">
      <c r="A4988" s="2"/>
      <c r="B4988" s="2"/>
      <c r="C4988" s="2"/>
      <c r="D4988" s="2"/>
      <c r="E4988" s="2"/>
      <c r="K4988" s="77"/>
      <c r="L4988" s="77"/>
      <c r="M4988" s="76"/>
    </row>
    <row r="4989">
      <c r="A4989" s="2"/>
      <c r="B4989" s="2"/>
      <c r="C4989" s="2"/>
      <c r="D4989" s="2"/>
      <c r="E4989" s="2"/>
      <c r="K4989" s="77"/>
      <c r="L4989" s="77"/>
      <c r="M4989" s="76"/>
    </row>
    <row r="4990">
      <c r="A4990" s="2"/>
      <c r="B4990" s="2"/>
      <c r="C4990" s="2"/>
      <c r="D4990" s="2"/>
      <c r="E4990" s="2"/>
      <c r="K4990" s="77"/>
      <c r="L4990" s="77"/>
      <c r="M4990" s="76"/>
    </row>
    <row r="4991">
      <c r="A4991" s="2"/>
      <c r="B4991" s="2"/>
      <c r="C4991" s="2"/>
      <c r="D4991" s="2"/>
      <c r="E4991" s="2"/>
      <c r="K4991" s="77"/>
      <c r="L4991" s="77"/>
      <c r="M4991" s="76"/>
    </row>
    <row r="4992">
      <c r="A4992" s="2"/>
      <c r="B4992" s="2"/>
      <c r="C4992" s="2"/>
      <c r="D4992" s="2"/>
      <c r="E4992" s="2"/>
      <c r="K4992" s="77"/>
      <c r="L4992" s="77"/>
      <c r="M4992" s="76"/>
    </row>
    <row r="4993">
      <c r="A4993" s="2"/>
      <c r="B4993" s="2"/>
      <c r="C4993" s="2"/>
      <c r="D4993" s="2"/>
      <c r="E4993" s="2"/>
      <c r="K4993" s="77"/>
      <c r="L4993" s="77"/>
      <c r="M4993" s="76"/>
    </row>
    <row r="4994">
      <c r="A4994" s="77"/>
      <c r="B4994" s="77"/>
      <c r="C4994" s="77"/>
      <c r="D4994" s="77"/>
      <c r="E4994" s="77"/>
      <c r="K4994" s="77"/>
      <c r="L4994" s="77"/>
      <c r="M4994" s="76"/>
    </row>
    <row r="4995">
      <c r="A4995" s="2"/>
      <c r="B4995" s="2"/>
      <c r="C4995" s="2"/>
      <c r="D4995" s="2"/>
      <c r="E4995" s="2"/>
      <c r="K4995" s="77"/>
      <c r="L4995" s="77"/>
      <c r="M4995" s="76"/>
    </row>
    <row r="4996">
      <c r="A4996" s="2"/>
      <c r="B4996" s="2"/>
      <c r="C4996" s="2"/>
      <c r="D4996" s="2"/>
      <c r="E4996" s="2"/>
      <c r="K4996" s="77"/>
      <c r="L4996" s="77"/>
      <c r="M4996" s="76"/>
    </row>
    <row r="4997">
      <c r="A4997" s="2"/>
      <c r="B4997" s="2"/>
      <c r="C4997" s="2"/>
      <c r="D4997" s="2"/>
      <c r="E4997" s="2"/>
      <c r="K4997" s="77"/>
      <c r="L4997" s="77"/>
      <c r="M4997" s="76"/>
    </row>
    <row r="4998">
      <c r="A4998" s="2"/>
      <c r="B4998" s="2"/>
      <c r="C4998" s="2"/>
      <c r="D4998" s="2"/>
      <c r="E4998" s="2"/>
      <c r="K4998" s="77"/>
      <c r="L4998" s="77"/>
      <c r="M4998" s="76"/>
    </row>
    <row r="4999">
      <c r="A4999" s="2"/>
      <c r="B4999" s="2"/>
      <c r="C4999" s="2"/>
      <c r="D4999" s="2"/>
      <c r="E4999" s="2"/>
      <c r="K4999" s="77"/>
      <c r="L4999" s="77"/>
      <c r="M4999" s="76"/>
    </row>
    <row r="5000">
      <c r="A5000" s="2"/>
      <c r="B5000" s="2"/>
      <c r="C5000" s="2"/>
      <c r="D5000" s="2"/>
      <c r="E5000" s="2"/>
      <c r="K5000" s="77"/>
      <c r="L5000" s="77"/>
      <c r="M5000" s="76"/>
    </row>
    <row r="5001">
      <c r="A5001" s="2"/>
      <c r="B5001" s="2"/>
      <c r="C5001" s="2"/>
      <c r="D5001" s="2"/>
      <c r="E5001" s="2"/>
      <c r="K5001" s="77"/>
      <c r="L5001" s="77"/>
      <c r="M5001" s="76"/>
    </row>
    <row r="5002">
      <c r="A5002" s="2"/>
      <c r="B5002" s="2"/>
      <c r="C5002" s="2"/>
      <c r="D5002" s="2"/>
      <c r="E5002" s="2"/>
      <c r="K5002" s="77"/>
      <c r="L5002" s="77"/>
      <c r="M5002" s="76"/>
    </row>
    <row r="5003">
      <c r="A5003" s="2"/>
      <c r="B5003" s="2"/>
      <c r="C5003" s="2"/>
      <c r="D5003" s="2"/>
      <c r="E5003" s="2"/>
      <c r="K5003" s="77"/>
      <c r="L5003" s="77"/>
      <c r="M5003" s="76"/>
    </row>
    <row r="5004">
      <c r="A5004" s="2"/>
      <c r="B5004" s="2"/>
      <c r="C5004" s="2"/>
      <c r="D5004" s="2"/>
      <c r="E5004" s="2"/>
      <c r="K5004" s="77"/>
      <c r="L5004" s="77"/>
      <c r="M5004" s="76"/>
    </row>
    <row r="5005">
      <c r="A5005" s="2"/>
      <c r="B5005" s="2"/>
      <c r="C5005" s="2"/>
      <c r="D5005" s="2"/>
      <c r="E5005" s="2"/>
      <c r="K5005" s="77"/>
      <c r="L5005" s="77"/>
      <c r="M5005" s="76"/>
    </row>
    <row r="5006">
      <c r="A5006" s="2"/>
      <c r="B5006" s="2"/>
      <c r="C5006" s="2"/>
      <c r="D5006" s="2"/>
      <c r="E5006" s="2"/>
      <c r="K5006" s="77"/>
      <c r="L5006" s="77"/>
      <c r="M5006" s="76"/>
    </row>
    <row r="5007">
      <c r="A5007" s="2"/>
      <c r="B5007" s="2"/>
      <c r="C5007" s="2"/>
      <c r="D5007" s="2"/>
      <c r="E5007" s="2"/>
      <c r="K5007" s="77"/>
      <c r="L5007" s="77"/>
      <c r="M5007" s="76"/>
    </row>
    <row r="5008">
      <c r="A5008" s="2"/>
      <c r="B5008" s="2"/>
      <c r="C5008" s="2"/>
      <c r="D5008" s="2"/>
      <c r="E5008" s="2"/>
      <c r="K5008" s="77"/>
      <c r="L5008" s="77"/>
      <c r="M5008" s="76"/>
    </row>
    <row r="5009">
      <c r="A5009" s="2"/>
      <c r="B5009" s="2"/>
      <c r="C5009" s="2"/>
      <c r="D5009" s="2"/>
      <c r="E5009" s="2"/>
      <c r="K5009" s="77"/>
      <c r="L5009" s="77"/>
      <c r="M5009" s="76"/>
    </row>
    <row r="5010">
      <c r="A5010" s="2"/>
      <c r="B5010" s="2"/>
      <c r="C5010" s="2"/>
      <c r="D5010" s="2"/>
      <c r="E5010" s="2"/>
      <c r="K5010" s="77"/>
      <c r="L5010" s="77"/>
      <c r="M5010" s="76"/>
    </row>
    <row r="5011">
      <c r="A5011" s="2"/>
      <c r="B5011" s="2"/>
      <c r="C5011" s="2"/>
      <c r="D5011" s="2"/>
      <c r="E5011" s="2"/>
      <c r="K5011" s="77"/>
      <c r="L5011" s="77"/>
      <c r="M5011" s="76"/>
    </row>
    <row r="5012">
      <c r="A5012" s="2"/>
      <c r="B5012" s="2"/>
      <c r="C5012" s="2"/>
      <c r="D5012" s="2"/>
      <c r="E5012" s="2"/>
      <c r="K5012" s="77"/>
      <c r="L5012" s="77"/>
      <c r="M5012" s="76"/>
    </row>
    <row r="5013">
      <c r="A5013" s="2"/>
      <c r="B5013" s="2"/>
      <c r="C5013" s="2"/>
      <c r="D5013" s="2"/>
      <c r="E5013" s="2"/>
      <c r="K5013" s="77"/>
      <c r="L5013" s="77"/>
      <c r="M5013" s="76"/>
    </row>
    <row r="5014">
      <c r="A5014" s="2"/>
      <c r="B5014" s="2"/>
      <c r="C5014" s="2"/>
      <c r="D5014" s="2"/>
      <c r="E5014" s="2"/>
      <c r="K5014" s="77"/>
      <c r="L5014" s="77"/>
      <c r="M5014" s="76"/>
    </row>
    <row r="5015">
      <c r="A5015" s="2"/>
      <c r="B5015" s="2"/>
      <c r="C5015" s="2"/>
      <c r="D5015" s="2"/>
      <c r="E5015" s="2"/>
      <c r="K5015" s="77"/>
      <c r="L5015" s="77"/>
      <c r="M5015" s="76"/>
    </row>
    <row r="5016">
      <c r="A5016" s="2"/>
      <c r="B5016" s="2"/>
      <c r="C5016" s="2"/>
      <c r="D5016" s="2"/>
      <c r="E5016" s="2"/>
      <c r="K5016" s="77"/>
      <c r="L5016" s="77"/>
      <c r="M5016" s="76"/>
    </row>
    <row r="5017">
      <c r="A5017" s="2"/>
      <c r="B5017" s="2"/>
      <c r="C5017" s="2"/>
      <c r="D5017" s="2"/>
      <c r="E5017" s="2"/>
      <c r="K5017" s="77"/>
      <c r="L5017" s="77"/>
      <c r="M5017" s="76"/>
    </row>
    <row r="5018">
      <c r="A5018" s="77"/>
      <c r="B5018" s="77"/>
      <c r="C5018" s="77"/>
      <c r="D5018" s="77"/>
      <c r="E5018" s="77"/>
      <c r="K5018" s="77"/>
      <c r="L5018" s="77"/>
      <c r="M5018" s="76"/>
    </row>
    <row r="5019">
      <c r="A5019" s="2"/>
      <c r="B5019" s="2"/>
      <c r="C5019" s="2"/>
      <c r="D5019" s="2"/>
      <c r="E5019" s="2"/>
      <c r="K5019" s="77"/>
      <c r="L5019" s="77"/>
      <c r="M5019" s="76"/>
    </row>
    <row r="5020">
      <c r="A5020" s="2"/>
      <c r="B5020" s="2"/>
      <c r="C5020" s="2"/>
      <c r="D5020" s="2"/>
      <c r="E5020" s="2"/>
      <c r="K5020" s="77"/>
      <c r="L5020" s="77"/>
      <c r="M5020" s="76"/>
    </row>
    <row r="5021">
      <c r="A5021" s="2"/>
      <c r="B5021" s="2"/>
      <c r="C5021" s="2"/>
      <c r="D5021" s="2"/>
      <c r="E5021" s="2"/>
      <c r="K5021" s="77"/>
      <c r="L5021" s="77"/>
      <c r="M5021" s="76"/>
    </row>
    <row r="5022">
      <c r="A5022" s="2"/>
      <c r="B5022" s="2"/>
      <c r="C5022" s="2"/>
      <c r="D5022" s="2"/>
      <c r="E5022" s="2"/>
      <c r="K5022" s="77"/>
      <c r="L5022" s="77"/>
      <c r="M5022" s="76"/>
    </row>
    <row r="5023">
      <c r="A5023" s="2"/>
      <c r="B5023" s="2"/>
      <c r="C5023" s="2"/>
      <c r="D5023" s="2"/>
      <c r="E5023" s="2"/>
      <c r="K5023" s="77"/>
      <c r="L5023" s="77"/>
      <c r="M5023" s="76"/>
    </row>
    <row r="5024">
      <c r="A5024" s="2"/>
      <c r="B5024" s="2"/>
      <c r="C5024" s="2"/>
      <c r="D5024" s="2"/>
      <c r="E5024" s="2"/>
      <c r="K5024" s="77"/>
      <c r="L5024" s="77"/>
      <c r="M5024" s="76"/>
    </row>
    <row r="5025">
      <c r="A5025" s="2"/>
      <c r="B5025" s="2"/>
      <c r="C5025" s="2"/>
      <c r="D5025" s="2"/>
      <c r="E5025" s="2"/>
      <c r="K5025" s="77"/>
      <c r="L5025" s="77"/>
      <c r="M5025" s="76"/>
    </row>
    <row r="5026">
      <c r="A5026" s="2"/>
      <c r="B5026" s="2"/>
      <c r="C5026" s="2"/>
      <c r="D5026" s="2"/>
      <c r="E5026" s="2"/>
      <c r="K5026" s="77"/>
      <c r="L5026" s="77"/>
      <c r="M5026" s="76"/>
    </row>
    <row r="5027">
      <c r="A5027" s="2"/>
      <c r="B5027" s="2"/>
      <c r="C5027" s="2"/>
      <c r="D5027" s="2"/>
      <c r="E5027" s="2"/>
      <c r="K5027" s="77"/>
      <c r="L5027" s="77"/>
      <c r="M5027" s="76"/>
    </row>
    <row r="5028">
      <c r="A5028" s="2"/>
      <c r="B5028" s="2"/>
      <c r="C5028" s="2"/>
      <c r="D5028" s="2"/>
      <c r="E5028" s="2"/>
      <c r="K5028" s="77"/>
      <c r="L5028" s="77"/>
      <c r="M5028" s="76"/>
    </row>
    <row r="5029">
      <c r="A5029" s="2"/>
      <c r="B5029" s="2"/>
      <c r="C5029" s="2"/>
      <c r="D5029" s="2"/>
      <c r="E5029" s="2"/>
      <c r="K5029" s="77"/>
      <c r="L5029" s="77"/>
      <c r="M5029" s="76"/>
    </row>
    <row r="5030">
      <c r="A5030" s="2"/>
      <c r="B5030" s="2"/>
      <c r="C5030" s="2"/>
      <c r="D5030" s="2"/>
      <c r="E5030" s="2"/>
      <c r="K5030" s="77"/>
      <c r="L5030" s="77"/>
      <c r="M5030" s="76"/>
    </row>
    <row r="5031">
      <c r="A5031" s="2"/>
      <c r="B5031" s="2"/>
      <c r="C5031" s="2"/>
      <c r="D5031" s="2"/>
      <c r="E5031" s="2"/>
      <c r="K5031" s="77"/>
      <c r="L5031" s="77"/>
      <c r="M5031" s="76"/>
    </row>
    <row r="5032">
      <c r="A5032" s="2"/>
      <c r="B5032" s="2"/>
      <c r="C5032" s="2"/>
      <c r="D5032" s="2"/>
      <c r="E5032" s="2"/>
      <c r="K5032" s="77"/>
      <c r="L5032" s="77"/>
      <c r="M5032" s="76"/>
    </row>
    <row r="5033">
      <c r="A5033" s="2"/>
      <c r="B5033" s="2"/>
      <c r="C5033" s="2"/>
      <c r="D5033" s="2"/>
      <c r="E5033" s="2"/>
      <c r="K5033" s="77"/>
      <c r="L5033" s="77"/>
      <c r="M5033" s="76"/>
    </row>
    <row r="5034">
      <c r="A5034" s="2"/>
      <c r="B5034" s="2"/>
      <c r="C5034" s="2"/>
      <c r="D5034" s="2"/>
      <c r="E5034" s="2"/>
      <c r="K5034" s="77"/>
      <c r="L5034" s="77"/>
      <c r="M5034" s="76"/>
    </row>
    <row r="5035">
      <c r="A5035" s="2"/>
      <c r="B5035" s="2"/>
      <c r="C5035" s="2"/>
      <c r="D5035" s="2"/>
      <c r="E5035" s="2"/>
      <c r="K5035" s="77"/>
      <c r="L5035" s="77"/>
      <c r="M5035" s="76"/>
    </row>
    <row r="5036">
      <c r="A5036" s="2"/>
      <c r="B5036" s="2"/>
      <c r="C5036" s="2"/>
      <c r="D5036" s="2"/>
      <c r="E5036" s="2"/>
      <c r="K5036" s="77"/>
      <c r="L5036" s="77"/>
      <c r="M5036" s="76"/>
    </row>
    <row r="5037">
      <c r="A5037" s="2"/>
      <c r="B5037" s="2"/>
      <c r="C5037" s="2"/>
      <c r="D5037" s="2"/>
      <c r="E5037" s="2"/>
      <c r="K5037" s="77"/>
      <c r="L5037" s="77"/>
      <c r="M5037" s="76"/>
    </row>
    <row r="5038">
      <c r="A5038" s="2"/>
      <c r="B5038" s="2"/>
      <c r="C5038" s="2"/>
      <c r="D5038" s="2"/>
      <c r="E5038" s="2"/>
      <c r="K5038" s="77"/>
      <c r="L5038" s="77"/>
      <c r="M5038" s="76"/>
    </row>
    <row r="5039">
      <c r="A5039" s="2"/>
      <c r="B5039" s="2"/>
      <c r="C5039" s="2"/>
      <c r="D5039" s="2"/>
      <c r="E5039" s="2"/>
      <c r="K5039" s="77"/>
      <c r="L5039" s="77"/>
      <c r="M5039" s="76"/>
    </row>
    <row r="5040">
      <c r="A5040" s="2"/>
      <c r="B5040" s="2"/>
      <c r="C5040" s="2"/>
      <c r="D5040" s="2"/>
      <c r="E5040" s="2"/>
      <c r="K5040" s="77"/>
      <c r="L5040" s="77"/>
      <c r="M5040" s="76"/>
    </row>
    <row r="5041">
      <c r="A5041" s="2"/>
      <c r="B5041" s="2"/>
      <c r="C5041" s="2"/>
      <c r="D5041" s="2"/>
      <c r="E5041" s="2"/>
      <c r="K5041" s="77"/>
      <c r="L5041" s="77"/>
      <c r="M5041" s="76"/>
    </row>
    <row r="5042">
      <c r="A5042" s="77"/>
      <c r="B5042" s="77"/>
      <c r="C5042" s="77"/>
      <c r="D5042" s="77"/>
      <c r="E5042" s="77"/>
      <c r="K5042" s="77"/>
      <c r="L5042" s="77"/>
      <c r="M5042" s="76"/>
    </row>
    <row r="5043">
      <c r="A5043" s="2"/>
      <c r="B5043" s="2"/>
      <c r="C5043" s="2"/>
      <c r="D5043" s="2"/>
      <c r="E5043" s="2"/>
      <c r="K5043" s="77"/>
      <c r="L5043" s="77"/>
      <c r="M5043" s="76"/>
    </row>
    <row r="5044">
      <c r="A5044" s="2"/>
      <c r="B5044" s="2"/>
      <c r="C5044" s="2"/>
      <c r="D5044" s="2"/>
      <c r="E5044" s="2"/>
      <c r="K5044" s="77"/>
      <c r="L5044" s="77"/>
      <c r="M5044" s="76"/>
    </row>
    <row r="5045">
      <c r="A5045" s="2"/>
      <c r="B5045" s="2"/>
      <c r="C5045" s="2"/>
      <c r="D5045" s="2"/>
      <c r="E5045" s="2"/>
      <c r="K5045" s="77"/>
      <c r="L5045" s="77"/>
      <c r="M5045" s="76"/>
    </row>
    <row r="5046">
      <c r="A5046" s="2"/>
      <c r="B5046" s="2"/>
      <c r="C5046" s="2"/>
      <c r="D5046" s="2"/>
      <c r="E5046" s="2"/>
      <c r="K5046" s="77"/>
      <c r="L5046" s="77"/>
      <c r="M5046" s="76"/>
    </row>
    <row r="5047">
      <c r="A5047" s="2"/>
      <c r="B5047" s="2"/>
      <c r="C5047" s="2"/>
      <c r="D5047" s="2"/>
      <c r="E5047" s="2"/>
      <c r="K5047" s="77"/>
      <c r="L5047" s="77"/>
      <c r="M5047" s="76"/>
    </row>
    <row r="5048">
      <c r="A5048" s="2"/>
      <c r="B5048" s="2"/>
      <c r="C5048" s="2"/>
      <c r="D5048" s="2"/>
      <c r="E5048" s="2"/>
      <c r="K5048" s="77"/>
      <c r="L5048" s="77"/>
      <c r="M5048" s="76"/>
    </row>
    <row r="5049">
      <c r="A5049" s="2"/>
      <c r="B5049" s="2"/>
      <c r="C5049" s="2"/>
      <c r="D5049" s="2"/>
      <c r="E5049" s="2"/>
      <c r="K5049" s="77"/>
      <c r="L5049" s="77"/>
      <c r="M5049" s="76"/>
    </row>
    <row r="5050">
      <c r="A5050" s="2"/>
      <c r="B5050" s="2"/>
      <c r="C5050" s="2"/>
      <c r="D5050" s="2"/>
      <c r="E5050" s="2"/>
      <c r="K5050" s="77"/>
      <c r="L5050" s="77"/>
      <c r="M5050" s="76"/>
    </row>
    <row r="5051">
      <c r="A5051" s="2"/>
      <c r="B5051" s="2"/>
      <c r="C5051" s="2"/>
      <c r="D5051" s="2"/>
      <c r="E5051" s="2"/>
      <c r="K5051" s="77"/>
      <c r="L5051" s="77"/>
      <c r="M5051" s="76"/>
    </row>
    <row r="5052">
      <c r="A5052" s="2"/>
      <c r="B5052" s="2"/>
      <c r="C5052" s="2"/>
      <c r="D5052" s="2"/>
      <c r="E5052" s="2"/>
      <c r="K5052" s="77"/>
      <c r="L5052" s="77"/>
      <c r="M5052" s="76"/>
    </row>
    <row r="5053">
      <c r="A5053" s="2"/>
      <c r="B5053" s="2"/>
      <c r="C5053" s="2"/>
      <c r="D5053" s="2"/>
      <c r="E5053" s="2"/>
      <c r="K5053" s="77"/>
      <c r="L5053" s="77"/>
      <c r="M5053" s="76"/>
    </row>
    <row r="5054">
      <c r="A5054" s="2"/>
      <c r="B5054" s="2"/>
      <c r="C5054" s="2"/>
      <c r="D5054" s="2"/>
      <c r="E5054" s="2"/>
      <c r="K5054" s="77"/>
      <c r="L5054" s="77"/>
      <c r="M5054" s="76"/>
    </row>
    <row r="5055">
      <c r="A5055" s="2"/>
      <c r="B5055" s="2"/>
      <c r="C5055" s="2"/>
      <c r="D5055" s="2"/>
      <c r="E5055" s="2"/>
      <c r="K5055" s="77"/>
      <c r="L5055" s="77"/>
      <c r="M5055" s="76"/>
    </row>
    <row r="5056">
      <c r="A5056" s="2"/>
      <c r="B5056" s="2"/>
      <c r="C5056" s="2"/>
      <c r="D5056" s="2"/>
      <c r="E5056" s="2"/>
      <c r="K5056" s="77"/>
      <c r="L5056" s="77"/>
      <c r="M5056" s="76"/>
    </row>
    <row r="5057">
      <c r="A5057" s="2"/>
      <c r="B5057" s="2"/>
      <c r="C5057" s="2"/>
      <c r="D5057" s="2"/>
      <c r="E5057" s="2"/>
      <c r="K5057" s="77"/>
      <c r="L5057" s="77"/>
      <c r="M5057" s="76"/>
    </row>
    <row r="5058">
      <c r="A5058" s="2"/>
      <c r="B5058" s="2"/>
      <c r="C5058" s="2"/>
      <c r="D5058" s="2"/>
      <c r="E5058" s="2"/>
      <c r="K5058" s="77"/>
      <c r="L5058" s="77"/>
      <c r="M5058" s="76"/>
    </row>
    <row r="5059">
      <c r="A5059" s="2"/>
      <c r="B5059" s="2"/>
      <c r="C5059" s="2"/>
      <c r="D5059" s="2"/>
      <c r="E5059" s="2"/>
      <c r="K5059" s="77"/>
      <c r="L5059" s="77"/>
      <c r="M5059" s="76"/>
    </row>
    <row r="5060">
      <c r="A5060" s="2"/>
      <c r="B5060" s="2"/>
      <c r="C5060" s="2"/>
      <c r="D5060" s="2"/>
      <c r="E5060" s="2"/>
      <c r="K5060" s="77"/>
      <c r="L5060" s="77"/>
      <c r="M5060" s="76"/>
    </row>
    <row r="5061">
      <c r="A5061" s="2"/>
      <c r="B5061" s="2"/>
      <c r="C5061" s="2"/>
      <c r="D5061" s="2"/>
      <c r="E5061" s="2"/>
      <c r="K5061" s="77"/>
      <c r="L5061" s="77"/>
      <c r="M5061" s="76"/>
    </row>
    <row r="5062">
      <c r="A5062" s="2"/>
      <c r="B5062" s="2"/>
      <c r="C5062" s="2"/>
      <c r="D5062" s="2"/>
      <c r="E5062" s="2"/>
      <c r="K5062" s="77"/>
      <c r="L5062" s="77"/>
      <c r="M5062" s="76"/>
    </row>
    <row r="5063">
      <c r="A5063" s="2"/>
      <c r="B5063" s="2"/>
      <c r="C5063" s="2"/>
      <c r="D5063" s="2"/>
      <c r="E5063" s="2"/>
      <c r="K5063" s="77"/>
      <c r="L5063" s="77"/>
      <c r="M5063" s="76"/>
    </row>
    <row r="5064">
      <c r="A5064" s="2"/>
      <c r="B5064" s="2"/>
      <c r="C5064" s="2"/>
      <c r="D5064" s="2"/>
      <c r="E5064" s="2"/>
      <c r="K5064" s="77"/>
      <c r="L5064" s="77"/>
      <c r="M5064" s="76"/>
    </row>
    <row r="5065">
      <c r="A5065" s="2"/>
      <c r="B5065" s="2"/>
      <c r="C5065" s="2"/>
      <c r="D5065" s="2"/>
      <c r="E5065" s="2"/>
      <c r="K5065" s="77"/>
      <c r="L5065" s="77"/>
      <c r="M5065" s="7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/>
  </sheetPr>
  <sheetViews>
    <sheetView workbookViewId="0"/>
  </sheetViews>
  <sheetFormatPr customHeight="1" defaultColWidth="12.63" defaultRowHeight="15.75" outlineLevelCol="1"/>
  <cols>
    <col customWidth="1" hidden="1" min="1" max="1" width="7.38" outlineLevel="1"/>
    <col customWidth="1" hidden="1" min="2" max="2" width="3.75" outlineLevel="1"/>
    <col customWidth="1" hidden="1" min="3" max="3" width="12.5" outlineLevel="1"/>
    <col customWidth="1" hidden="1" min="4" max="4" width="37.0" outlineLevel="1"/>
    <col customWidth="1" hidden="1" min="5" max="5" width="51.13" outlineLevel="1"/>
    <col customWidth="1" hidden="1" min="6" max="6" width="6.13" outlineLevel="1"/>
    <col customWidth="1" hidden="1" min="7" max="7" width="17.13" outlineLevel="1"/>
    <col customWidth="1" hidden="1" min="8" max="8" width="13.63" outlineLevel="1"/>
    <col customWidth="1" hidden="1" min="9" max="9" width="20.38" outlineLevel="1"/>
    <col customWidth="1" hidden="1" min="10" max="10" width="19.63" outlineLevel="1"/>
    <col hidden="1" min="11" max="11" width="12.63" outlineLevel="1"/>
    <col collapsed="1" customWidth="1" min="12" max="12" width="12.63"/>
    <col customWidth="1" min="13" max="13" width="70.88"/>
    <col customWidth="1" min="14" max="14" width="11.75"/>
    <col customWidth="1" min="15" max="15" width="17.63"/>
    <col customWidth="1" min="16" max="16" width="17.0"/>
    <col hidden="1" min="28" max="28" width="12.63"/>
  </cols>
  <sheetData>
    <row r="1">
      <c r="A1" s="59" t="s">
        <v>6</v>
      </c>
      <c r="B1" s="59" t="s">
        <v>47</v>
      </c>
      <c r="C1" s="59" t="s">
        <v>48</v>
      </c>
      <c r="D1" s="59" t="s">
        <v>49</v>
      </c>
      <c r="E1" s="59" t="s">
        <v>50</v>
      </c>
      <c r="F1" s="59" t="s">
        <v>4014</v>
      </c>
      <c r="G1" s="60" t="s">
        <v>4015</v>
      </c>
      <c r="H1" s="60" t="s">
        <v>4017</v>
      </c>
      <c r="I1" s="78" t="s">
        <v>4018</v>
      </c>
      <c r="J1" s="78" t="s">
        <v>4019</v>
      </c>
      <c r="K1" s="2"/>
      <c r="L1" s="42" t="s">
        <v>4020</v>
      </c>
      <c r="M1" s="42" t="s">
        <v>436</v>
      </c>
      <c r="N1" s="79" t="s">
        <v>4021</v>
      </c>
      <c r="O1" s="14"/>
      <c r="P1" s="15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</row>
    <row r="2">
      <c r="A2" s="63">
        <v>1.0</v>
      </c>
      <c r="B2" s="63">
        <v>1.0</v>
      </c>
      <c r="C2" s="64" t="s">
        <v>51</v>
      </c>
      <c r="D2" s="64" t="s">
        <v>52</v>
      </c>
      <c r="E2" s="64" t="s">
        <v>53</v>
      </c>
      <c r="F2" s="63">
        <v>500.0</v>
      </c>
      <c r="G2" s="63">
        <v>11.0</v>
      </c>
      <c r="H2" s="66">
        <f t="shared" ref="H2:H3193" si="1">ROUND(G2*F2/716.2, 2)</f>
        <v>7.68</v>
      </c>
      <c r="I2" s="81">
        <f>IFERROR(__xludf.DUMMYFUNCTION("IF(G2="""", """", ROUND(G2 / MAX(FILTER($G$2:$G5067, $D$2:$D5067=$D2)) * 100, 2))"),68.75)</f>
        <v>68.75</v>
      </c>
      <c r="J2" s="81">
        <f>IFERROR(__xludf.DUMMYFUNCTION("IF(H2="""", """", ROUND(H2 / MAX(FILTER($H$2:$H5067, $D$2:$D5067=$D2)) * 100, 2))"),5.8)</f>
        <v>5.8</v>
      </c>
      <c r="K2" s="2"/>
      <c r="L2" s="82" t="s">
        <v>4014</v>
      </c>
      <c r="M2" s="83" t="s">
        <v>4015</v>
      </c>
      <c r="N2" s="83" t="s">
        <v>4016</v>
      </c>
      <c r="O2" s="83" t="s">
        <v>4018</v>
      </c>
      <c r="P2" s="83" t="s">
        <v>4019</v>
      </c>
      <c r="Q2" s="84"/>
      <c r="R2" s="85" t="s">
        <v>4022</v>
      </c>
      <c r="S2" s="4"/>
      <c r="T2" s="4"/>
      <c r="U2" s="4"/>
      <c r="V2" s="4"/>
      <c r="W2" s="4"/>
      <c r="X2" s="4"/>
      <c r="Y2" s="4"/>
      <c r="Z2" s="5"/>
      <c r="AA2" s="84"/>
      <c r="AB2" s="84" t="str">
        <f t="array" ref="AB2:AB213">UNIQUE(D2:D5067)</f>
        <v>EUNOS ROADSTER S-SPECIAL type U (NA8C)</v>
      </c>
    </row>
    <row r="3">
      <c r="A3" s="69">
        <v>1.0</v>
      </c>
      <c r="B3" s="69">
        <v>1.0</v>
      </c>
      <c r="C3" s="86" t="s">
        <v>51</v>
      </c>
      <c r="D3" s="86" t="s">
        <v>52</v>
      </c>
      <c r="E3" s="86" t="s">
        <v>53</v>
      </c>
      <c r="F3" s="69">
        <v>1000.0</v>
      </c>
      <c r="G3" s="69">
        <v>12.0</v>
      </c>
      <c r="H3" s="68">
        <f t="shared" si="1"/>
        <v>16.76</v>
      </c>
      <c r="I3" s="81">
        <f>IFERROR(__xludf.DUMMYFUNCTION("IF(G3="""", """", ROUND(G3 / MAX(FILTER($G$2:$G5067, $D$2:$D5067=$D3)) * 100, 2))"),75.0)</f>
        <v>75</v>
      </c>
      <c r="J3" s="81">
        <f>IFERROR(__xludf.DUMMYFUNCTION("IF(H3="""", """", ROUND(H3 / MAX(FILTER($H$2:$H5067, $D$2:$D5067=$D3)) * 100, 2))"),12.65)</f>
        <v>12.65</v>
      </c>
      <c r="K3" s="2"/>
      <c r="L3" s="48">
        <f>IFERROR(__xludf.DUMMYFUNCTION("FILTER(F2:J5067, D2:D5067=M1, G2:G5067&gt;0)"),500.0)</f>
        <v>500</v>
      </c>
      <c r="M3" s="48">
        <f>IFERROR(__xludf.DUMMYFUNCTION("""COMPUTED_VALUE"""),8.3)</f>
        <v>8.3</v>
      </c>
      <c r="N3" s="48">
        <f>IFERROR(__xludf.DUMMYFUNCTION("""COMPUTED_VALUE"""),5.79)</f>
        <v>5.79</v>
      </c>
      <c r="O3" s="48">
        <f>IFERROR(__xludf.DUMMYFUNCTION("""COMPUTED_VALUE"""),76.15)</f>
        <v>76.15</v>
      </c>
      <c r="P3" s="48">
        <f>IFERROR(__xludf.DUMMYFUNCTION("""COMPUTED_VALUE"""),7.51)</f>
        <v>7.51</v>
      </c>
      <c r="Q3" s="84"/>
      <c r="R3" s="8"/>
      <c r="S3" s="9"/>
      <c r="T3" s="9"/>
      <c r="U3" s="9"/>
      <c r="V3" s="9"/>
      <c r="W3" s="9"/>
      <c r="X3" s="9"/>
      <c r="Y3" s="9"/>
      <c r="Z3" s="10"/>
      <c r="AA3" s="84"/>
      <c r="AB3" s="84" t="s">
        <v>55</v>
      </c>
    </row>
    <row r="4">
      <c r="A4" s="63">
        <v>1.0</v>
      </c>
      <c r="B4" s="63">
        <v>1.0</v>
      </c>
      <c r="C4" s="64" t="s">
        <v>51</v>
      </c>
      <c r="D4" s="64" t="s">
        <v>52</v>
      </c>
      <c r="E4" s="64" t="s">
        <v>53</v>
      </c>
      <c r="F4" s="63">
        <v>1500.0</v>
      </c>
      <c r="G4" s="63">
        <v>12.8</v>
      </c>
      <c r="H4" s="66">
        <f t="shared" si="1"/>
        <v>26.81</v>
      </c>
      <c r="I4" s="81">
        <f>IFERROR(__xludf.DUMMYFUNCTION("IF(G4="""", """", ROUND(G4 / MAX(FILTER($G$2:$G5067, $D$2:$D5067=$D4)) * 100, 2))"),80.0)</f>
        <v>80</v>
      </c>
      <c r="J4" s="81">
        <f>IFERROR(__xludf.DUMMYFUNCTION("IF(H4="""", """", ROUND(H4 / MAX(FILTER($H$2:$H5067, $D$2:$D5067=$D4)) * 100, 2))"),20.23)</f>
        <v>20.23</v>
      </c>
      <c r="K4" s="2"/>
      <c r="L4" s="49">
        <f>IFERROR(__xludf.DUMMYFUNCTION("""COMPUTED_VALUE"""),1000.0)</f>
        <v>1000</v>
      </c>
      <c r="M4" s="49">
        <f>IFERROR(__xludf.DUMMYFUNCTION("""COMPUTED_VALUE"""),9.3)</f>
        <v>9.3</v>
      </c>
      <c r="N4" s="49">
        <f>IFERROR(__xludf.DUMMYFUNCTION("""COMPUTED_VALUE"""),12.99)</f>
        <v>12.99</v>
      </c>
      <c r="O4" s="49">
        <f>IFERROR(__xludf.DUMMYFUNCTION("""COMPUTED_VALUE"""),85.32)</f>
        <v>85.32</v>
      </c>
      <c r="P4" s="49">
        <f>IFERROR(__xludf.DUMMYFUNCTION("""COMPUTED_VALUE"""),16.85)</f>
        <v>16.85</v>
      </c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 t="s">
        <v>58</v>
      </c>
    </row>
    <row r="5">
      <c r="A5" s="69">
        <v>1.0</v>
      </c>
      <c r="B5" s="69">
        <v>1.0</v>
      </c>
      <c r="C5" s="86" t="s">
        <v>51</v>
      </c>
      <c r="D5" s="86" t="s">
        <v>52</v>
      </c>
      <c r="E5" s="86" t="s">
        <v>53</v>
      </c>
      <c r="F5" s="69">
        <v>2000.0</v>
      </c>
      <c r="G5" s="69">
        <v>13.5</v>
      </c>
      <c r="H5" s="68">
        <f t="shared" si="1"/>
        <v>37.7</v>
      </c>
      <c r="I5" s="81">
        <f>IFERROR(__xludf.DUMMYFUNCTION("IF(G5="""", """", ROUND(G5 / MAX(FILTER($G$2:$G5067, $D$2:$D5067=$D5)) * 100, 2))"),84.38)</f>
        <v>84.38</v>
      </c>
      <c r="J5" s="81">
        <f>IFERROR(__xludf.DUMMYFUNCTION("IF(H5="""", """", ROUND(H5 / MAX(FILTER($H$2:$H5067, $D$2:$D5067=$D5)) * 100, 2))"),28.45)</f>
        <v>28.45</v>
      </c>
      <c r="K5" s="2"/>
      <c r="L5" s="48">
        <f>IFERROR(__xludf.DUMMYFUNCTION("""COMPUTED_VALUE"""),1500.0)</f>
        <v>1500</v>
      </c>
      <c r="M5" s="48">
        <f>IFERROR(__xludf.DUMMYFUNCTION("""COMPUTED_VALUE"""),9.95)</f>
        <v>9.95</v>
      </c>
      <c r="N5" s="48">
        <f>IFERROR(__xludf.DUMMYFUNCTION("""COMPUTED_VALUE"""),20.84)</f>
        <v>20.84</v>
      </c>
      <c r="O5" s="48">
        <f>IFERROR(__xludf.DUMMYFUNCTION("""COMPUTED_VALUE"""),91.28)</f>
        <v>91.28</v>
      </c>
      <c r="P5" s="48">
        <f>IFERROR(__xludf.DUMMYFUNCTION("""COMPUTED_VALUE"""),27.04)</f>
        <v>27.04</v>
      </c>
      <c r="Q5" s="84"/>
      <c r="R5" s="87" t="s">
        <v>4023</v>
      </c>
      <c r="S5" s="4"/>
      <c r="T5" s="4"/>
      <c r="U5" s="4"/>
      <c r="V5" s="4"/>
      <c r="W5" s="4"/>
      <c r="X5" s="4"/>
      <c r="Y5" s="4"/>
      <c r="Z5" s="5"/>
      <c r="AA5" s="84"/>
      <c r="AB5" s="84" t="s">
        <v>61</v>
      </c>
    </row>
    <row r="6">
      <c r="A6" s="63">
        <v>1.0</v>
      </c>
      <c r="B6" s="63">
        <v>1.0</v>
      </c>
      <c r="C6" s="64" t="s">
        <v>51</v>
      </c>
      <c r="D6" s="64" t="s">
        <v>52</v>
      </c>
      <c r="E6" s="64" t="s">
        <v>53</v>
      </c>
      <c r="F6" s="63">
        <v>2500.0</v>
      </c>
      <c r="G6" s="63">
        <v>14.0</v>
      </c>
      <c r="H6" s="66">
        <f t="shared" si="1"/>
        <v>48.87</v>
      </c>
      <c r="I6" s="81">
        <f>IFERROR(__xludf.DUMMYFUNCTION("IF(G6="""", """", ROUND(G6 / MAX(FILTER($G$2:$G5067, $D$2:$D5067=$D6)) * 100, 2))"),87.5)</f>
        <v>87.5</v>
      </c>
      <c r="J6" s="81">
        <f>IFERROR(__xludf.DUMMYFUNCTION("IF(H6="""", """", ROUND(H6 / MAX(FILTER($H$2:$H5067, $D$2:$D5067=$D6)) * 100, 2))"),36.88)</f>
        <v>36.88</v>
      </c>
      <c r="K6" s="2"/>
      <c r="L6" s="49">
        <f>IFERROR(__xludf.DUMMYFUNCTION("""COMPUTED_VALUE"""),2000.0)</f>
        <v>2000</v>
      </c>
      <c r="M6" s="49">
        <f>IFERROR(__xludf.DUMMYFUNCTION("""COMPUTED_VALUE"""),10.3)</f>
        <v>10.3</v>
      </c>
      <c r="N6" s="49">
        <f>IFERROR(__xludf.DUMMYFUNCTION("""COMPUTED_VALUE"""),28.76)</f>
        <v>28.76</v>
      </c>
      <c r="O6" s="49">
        <f>IFERROR(__xludf.DUMMYFUNCTION("""COMPUTED_VALUE"""),94.5)</f>
        <v>94.5</v>
      </c>
      <c r="P6" s="49">
        <f>IFERROR(__xludf.DUMMYFUNCTION("""COMPUTED_VALUE"""),37.32)</f>
        <v>37.32</v>
      </c>
      <c r="Q6" s="84"/>
      <c r="R6" s="8"/>
      <c r="S6" s="9"/>
      <c r="T6" s="9"/>
      <c r="U6" s="9"/>
      <c r="V6" s="9"/>
      <c r="W6" s="9"/>
      <c r="X6" s="9"/>
      <c r="Y6" s="9"/>
      <c r="Z6" s="10"/>
      <c r="AA6" s="84"/>
      <c r="AB6" s="84" t="s">
        <v>64</v>
      </c>
    </row>
    <row r="7">
      <c r="A7" s="69">
        <v>1.0</v>
      </c>
      <c r="B7" s="69">
        <v>1.0</v>
      </c>
      <c r="C7" s="86" t="s">
        <v>51</v>
      </c>
      <c r="D7" s="86" t="s">
        <v>52</v>
      </c>
      <c r="E7" s="86" t="s">
        <v>53</v>
      </c>
      <c r="F7" s="69">
        <v>3000.0</v>
      </c>
      <c r="G7" s="69">
        <v>14.0</v>
      </c>
      <c r="H7" s="68">
        <f t="shared" si="1"/>
        <v>58.64</v>
      </c>
      <c r="I7" s="81">
        <f>IFERROR(__xludf.DUMMYFUNCTION("IF(G7="""", """", ROUND(G7 / MAX(FILTER($G$2:$G5067, $D$2:$D5067=$D7)) * 100, 2))"),87.5)</f>
        <v>87.5</v>
      </c>
      <c r="J7" s="81">
        <f>IFERROR(__xludf.DUMMYFUNCTION("IF(H7="""", """", ROUND(H7 / MAX(FILTER($H$2:$H5067, $D$2:$D5067=$D7)) * 100, 2))"),44.26)</f>
        <v>44.26</v>
      </c>
      <c r="K7" s="2"/>
      <c r="L7" s="48">
        <f>IFERROR(__xludf.DUMMYFUNCTION("""COMPUTED_VALUE"""),2500.0)</f>
        <v>2500</v>
      </c>
      <c r="M7" s="48">
        <f>IFERROR(__xludf.DUMMYFUNCTION("""COMPUTED_VALUE"""),10.65)</f>
        <v>10.65</v>
      </c>
      <c r="N7" s="48">
        <f>IFERROR(__xludf.DUMMYFUNCTION("""COMPUTED_VALUE"""),37.18)</f>
        <v>37.18</v>
      </c>
      <c r="O7" s="48">
        <f>IFERROR(__xludf.DUMMYFUNCTION("""COMPUTED_VALUE"""),97.71)</f>
        <v>97.71</v>
      </c>
      <c r="P7" s="48">
        <f>IFERROR(__xludf.DUMMYFUNCTION("""COMPUTED_VALUE"""),48.24)</f>
        <v>48.24</v>
      </c>
      <c r="Q7" s="84"/>
      <c r="R7" s="88" t="s">
        <v>4024</v>
      </c>
      <c r="S7" s="4"/>
      <c r="T7" s="4"/>
      <c r="U7" s="4"/>
      <c r="V7" s="4"/>
      <c r="W7" s="4"/>
      <c r="X7" s="4"/>
      <c r="Y7" s="4"/>
      <c r="Z7" s="5"/>
      <c r="AA7" s="84"/>
      <c r="AB7" s="84" t="s">
        <v>67</v>
      </c>
    </row>
    <row r="8">
      <c r="A8" s="63">
        <v>1.0</v>
      </c>
      <c r="B8" s="63">
        <v>1.0</v>
      </c>
      <c r="C8" s="64" t="s">
        <v>51</v>
      </c>
      <c r="D8" s="64" t="s">
        <v>52</v>
      </c>
      <c r="E8" s="64" t="s">
        <v>53</v>
      </c>
      <c r="F8" s="63">
        <v>3500.0</v>
      </c>
      <c r="G8" s="63">
        <v>15.0</v>
      </c>
      <c r="H8" s="66">
        <f t="shared" si="1"/>
        <v>73.3</v>
      </c>
      <c r="I8" s="81">
        <f>IFERROR(__xludf.DUMMYFUNCTION("IF(G8="""", """", ROUND(G8 / MAX(FILTER($G$2:$G5067, $D$2:$D5067=$D8)) * 100, 2))"),93.75)</f>
        <v>93.75</v>
      </c>
      <c r="J8" s="81">
        <f>IFERROR(__xludf.DUMMYFUNCTION("IF(H8="""", """", ROUND(H8 / MAX(FILTER($H$2:$H5067, $D$2:$D5067=$D8)) * 100, 2))"),55.32)</f>
        <v>55.32</v>
      </c>
      <c r="K8" s="2"/>
      <c r="L8" s="49">
        <f>IFERROR(__xludf.DUMMYFUNCTION("""COMPUTED_VALUE"""),3000.0)</f>
        <v>3000</v>
      </c>
      <c r="M8" s="49">
        <f>IFERROR(__xludf.DUMMYFUNCTION("""COMPUTED_VALUE"""),10.9)</f>
        <v>10.9</v>
      </c>
      <c r="N8" s="49">
        <f>IFERROR(__xludf.DUMMYFUNCTION("""COMPUTED_VALUE"""),45.66)</f>
        <v>45.66</v>
      </c>
      <c r="O8" s="49">
        <f>IFERROR(__xludf.DUMMYFUNCTION("""COMPUTED_VALUE"""),100.0)</f>
        <v>100</v>
      </c>
      <c r="P8" s="49">
        <f>IFERROR(__xludf.DUMMYFUNCTION("""COMPUTED_VALUE"""),59.24)</f>
        <v>59.24</v>
      </c>
      <c r="Q8" s="84"/>
      <c r="R8" s="8"/>
      <c r="S8" s="9"/>
      <c r="T8" s="9"/>
      <c r="U8" s="9"/>
      <c r="V8" s="9"/>
      <c r="W8" s="9"/>
      <c r="X8" s="9"/>
      <c r="Y8" s="9"/>
      <c r="Z8" s="10"/>
      <c r="AA8" s="84"/>
      <c r="AB8" s="84" t="s">
        <v>70</v>
      </c>
    </row>
    <row r="9">
      <c r="A9" s="69">
        <v>1.0</v>
      </c>
      <c r="B9" s="69">
        <v>1.0</v>
      </c>
      <c r="C9" s="86" t="s">
        <v>51</v>
      </c>
      <c r="D9" s="86" t="s">
        <v>52</v>
      </c>
      <c r="E9" s="86" t="s">
        <v>53</v>
      </c>
      <c r="F9" s="69">
        <v>4000.0</v>
      </c>
      <c r="G9" s="69">
        <v>15.8</v>
      </c>
      <c r="H9" s="68">
        <f t="shared" si="1"/>
        <v>88.24</v>
      </c>
      <c r="I9" s="81">
        <f>IFERROR(__xludf.DUMMYFUNCTION("IF(G9="""", """", ROUND(G9 / MAX(FILTER($G$2:$G5067, $D$2:$D5067=$D9)) * 100, 2))"),98.75)</f>
        <v>98.75</v>
      </c>
      <c r="J9" s="81">
        <f>IFERROR(__xludf.DUMMYFUNCTION("IF(H9="""", """", ROUND(H9 / MAX(FILTER($H$2:$H5067, $D$2:$D5067=$D9)) * 100, 2))"),66.6)</f>
        <v>66.6</v>
      </c>
      <c r="K9" s="2"/>
      <c r="L9" s="48">
        <f>IFERROR(__xludf.DUMMYFUNCTION("""COMPUTED_VALUE"""),3500.0)</f>
        <v>3500</v>
      </c>
      <c r="M9" s="48">
        <f>IFERROR(__xludf.DUMMYFUNCTION("""COMPUTED_VALUE"""),10.85)</f>
        <v>10.85</v>
      </c>
      <c r="N9" s="48">
        <f>IFERROR(__xludf.DUMMYFUNCTION("""COMPUTED_VALUE"""),53.02)</f>
        <v>53.02</v>
      </c>
      <c r="O9" s="48">
        <f>IFERROR(__xludf.DUMMYFUNCTION("""COMPUTED_VALUE"""),99.54)</f>
        <v>99.54</v>
      </c>
      <c r="P9" s="48">
        <f>IFERROR(__xludf.DUMMYFUNCTION("""COMPUTED_VALUE"""),68.79)</f>
        <v>68.79</v>
      </c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 t="s">
        <v>73</v>
      </c>
    </row>
    <row r="10">
      <c r="A10" s="63">
        <v>1.0</v>
      </c>
      <c r="B10" s="63">
        <v>1.0</v>
      </c>
      <c r="C10" s="64" t="s">
        <v>51</v>
      </c>
      <c r="D10" s="64" t="s">
        <v>52</v>
      </c>
      <c r="E10" s="64" t="s">
        <v>53</v>
      </c>
      <c r="F10" s="63">
        <v>4500.0</v>
      </c>
      <c r="G10" s="63">
        <v>16.0</v>
      </c>
      <c r="H10" s="66">
        <f t="shared" si="1"/>
        <v>100.53</v>
      </c>
      <c r="I10" s="81">
        <f>IFERROR(__xludf.DUMMYFUNCTION("IF(G10="""", """", ROUND(G10 / MAX(FILTER($G$2:$G5067, $D$2:$D5067=$D10)) * 100, 2))"),100.0)</f>
        <v>100</v>
      </c>
      <c r="J10" s="81">
        <f>IFERROR(__xludf.DUMMYFUNCTION("IF(H10="""", """", ROUND(H10 / MAX(FILTER($H$2:$H5067, $D$2:$D5067=$D10)) * 100, 2))"),75.87)</f>
        <v>75.87</v>
      </c>
      <c r="K10" s="2"/>
      <c r="L10" s="49">
        <f>IFERROR(__xludf.DUMMYFUNCTION("""COMPUTED_VALUE"""),4000.0)</f>
        <v>4000</v>
      </c>
      <c r="M10" s="49">
        <f>IFERROR(__xludf.DUMMYFUNCTION("""COMPUTED_VALUE"""),10.7)</f>
        <v>10.7</v>
      </c>
      <c r="N10" s="49">
        <f>IFERROR(__xludf.DUMMYFUNCTION("""COMPUTED_VALUE"""),59.76)</f>
        <v>59.76</v>
      </c>
      <c r="O10" s="49">
        <f>IFERROR(__xludf.DUMMYFUNCTION("""COMPUTED_VALUE"""),98.17)</f>
        <v>98.17</v>
      </c>
      <c r="P10" s="49">
        <f>IFERROR(__xludf.DUMMYFUNCTION("""COMPUTED_VALUE"""),77.54)</f>
        <v>77.54</v>
      </c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 t="s">
        <v>76</v>
      </c>
    </row>
    <row r="11">
      <c r="A11" s="69">
        <v>1.0</v>
      </c>
      <c r="B11" s="69">
        <v>1.0</v>
      </c>
      <c r="C11" s="86" t="s">
        <v>51</v>
      </c>
      <c r="D11" s="86" t="s">
        <v>52</v>
      </c>
      <c r="E11" s="86" t="s">
        <v>53</v>
      </c>
      <c r="F11" s="69">
        <v>5000.0</v>
      </c>
      <c r="G11" s="69">
        <v>15.9</v>
      </c>
      <c r="H11" s="68">
        <f t="shared" si="1"/>
        <v>111</v>
      </c>
      <c r="I11" s="81">
        <f>IFERROR(__xludf.DUMMYFUNCTION("IF(G11="""", """", ROUND(G11 / MAX(FILTER($G$2:$G5067, $D$2:$D5067=$D11)) * 100, 2))"),99.38)</f>
        <v>99.38</v>
      </c>
      <c r="J11" s="81">
        <f>IFERROR(__xludf.DUMMYFUNCTION("IF(H11="""", """", ROUND(H11 / MAX(FILTER($H$2:$H5067, $D$2:$D5067=$D11)) * 100, 2))"),83.77)</f>
        <v>83.77</v>
      </c>
      <c r="K11" s="2"/>
      <c r="L11" s="48">
        <f>IFERROR(__xludf.DUMMYFUNCTION("""COMPUTED_VALUE"""),4500.0)</f>
        <v>4500</v>
      </c>
      <c r="M11" s="48">
        <f>IFERROR(__xludf.DUMMYFUNCTION("""COMPUTED_VALUE"""),10.45)</f>
        <v>10.45</v>
      </c>
      <c r="N11" s="48">
        <f>IFERROR(__xludf.DUMMYFUNCTION("""COMPUTED_VALUE"""),65.66)</f>
        <v>65.66</v>
      </c>
      <c r="O11" s="48">
        <f>IFERROR(__xludf.DUMMYFUNCTION("""COMPUTED_VALUE"""),95.87)</f>
        <v>95.87</v>
      </c>
      <c r="P11" s="48">
        <f>IFERROR(__xludf.DUMMYFUNCTION("""COMPUTED_VALUE"""),85.2)</f>
        <v>85.2</v>
      </c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 t="s">
        <v>79</v>
      </c>
    </row>
    <row r="12">
      <c r="A12" s="63">
        <v>1.0</v>
      </c>
      <c r="B12" s="63">
        <v>1.0</v>
      </c>
      <c r="C12" s="64" t="s">
        <v>51</v>
      </c>
      <c r="D12" s="64" t="s">
        <v>52</v>
      </c>
      <c r="E12" s="64" t="s">
        <v>53</v>
      </c>
      <c r="F12" s="63">
        <v>5500.0</v>
      </c>
      <c r="G12" s="63">
        <v>15.6</v>
      </c>
      <c r="H12" s="66">
        <f t="shared" si="1"/>
        <v>119.8</v>
      </c>
      <c r="I12" s="81">
        <f>IFERROR(__xludf.DUMMYFUNCTION("IF(G12="""", """", ROUND(G12 / MAX(FILTER($G$2:$G5067, $D$2:$D5067=$D12)) * 100, 2))"),97.5)</f>
        <v>97.5</v>
      </c>
      <c r="J12" s="81">
        <f>IFERROR(__xludf.DUMMYFUNCTION("IF(H12="""", """", ROUND(H12 / MAX(FILTER($H$2:$H5067, $D$2:$D5067=$D12)) * 100, 2))"),90.42)</f>
        <v>90.42</v>
      </c>
      <c r="K12" s="2"/>
      <c r="L12" s="49">
        <f>IFERROR(__xludf.DUMMYFUNCTION("""COMPUTED_VALUE"""),5000.0)</f>
        <v>5000</v>
      </c>
      <c r="M12" s="49">
        <f>IFERROR(__xludf.DUMMYFUNCTION("""COMPUTED_VALUE"""),10.1)</f>
        <v>10.1</v>
      </c>
      <c r="N12" s="49">
        <f>IFERROR(__xludf.DUMMYFUNCTION("""COMPUTED_VALUE"""),70.51)</f>
        <v>70.51</v>
      </c>
      <c r="O12" s="49">
        <f>IFERROR(__xludf.DUMMYFUNCTION("""COMPUTED_VALUE"""),92.66)</f>
        <v>92.66</v>
      </c>
      <c r="P12" s="49">
        <f>IFERROR(__xludf.DUMMYFUNCTION("""COMPUTED_VALUE"""),91.49)</f>
        <v>91.49</v>
      </c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 t="s">
        <v>82</v>
      </c>
    </row>
    <row r="13">
      <c r="A13" s="69">
        <v>1.0</v>
      </c>
      <c r="B13" s="69">
        <v>1.0</v>
      </c>
      <c r="C13" s="86" t="s">
        <v>51</v>
      </c>
      <c r="D13" s="86" t="s">
        <v>52</v>
      </c>
      <c r="E13" s="86" t="s">
        <v>53</v>
      </c>
      <c r="F13" s="69">
        <v>6000.0</v>
      </c>
      <c r="G13" s="69">
        <v>15.2</v>
      </c>
      <c r="H13" s="68">
        <f t="shared" si="1"/>
        <v>127.34</v>
      </c>
      <c r="I13" s="81">
        <f>IFERROR(__xludf.DUMMYFUNCTION("IF(G13="""", """", ROUND(G13 / MAX(FILTER($G$2:$G5067, $D$2:$D5067=$D13)) * 100, 2))"),95.0)</f>
        <v>95</v>
      </c>
      <c r="J13" s="81">
        <f>IFERROR(__xludf.DUMMYFUNCTION("IF(H13="""", """", ROUND(H13 / MAX(FILTER($H$2:$H5067, $D$2:$D5067=$D13)) * 100, 2))"),96.11)</f>
        <v>96.11</v>
      </c>
      <c r="K13" s="2"/>
      <c r="L13" s="48">
        <f>IFERROR(__xludf.DUMMYFUNCTION("""COMPUTED_VALUE"""),5500.0)</f>
        <v>5500</v>
      </c>
      <c r="M13" s="48">
        <f>IFERROR(__xludf.DUMMYFUNCTION("""COMPUTED_VALUE"""),9.75)</f>
        <v>9.75</v>
      </c>
      <c r="N13" s="48">
        <f>IFERROR(__xludf.DUMMYFUNCTION("""COMPUTED_VALUE"""),74.87)</f>
        <v>74.87</v>
      </c>
      <c r="O13" s="48">
        <f>IFERROR(__xludf.DUMMYFUNCTION("""COMPUTED_VALUE"""),89.45)</f>
        <v>89.45</v>
      </c>
      <c r="P13" s="48">
        <f>IFERROR(__xludf.DUMMYFUNCTION("""COMPUTED_VALUE"""),97.15)</f>
        <v>97.15</v>
      </c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 t="s">
        <v>85</v>
      </c>
    </row>
    <row r="14">
      <c r="A14" s="63">
        <v>1.0</v>
      </c>
      <c r="B14" s="63">
        <v>1.0</v>
      </c>
      <c r="C14" s="64" t="s">
        <v>51</v>
      </c>
      <c r="D14" s="64" t="s">
        <v>52</v>
      </c>
      <c r="E14" s="64" t="s">
        <v>53</v>
      </c>
      <c r="F14" s="63">
        <v>6500.0</v>
      </c>
      <c r="G14" s="63">
        <v>14.6</v>
      </c>
      <c r="H14" s="66">
        <f t="shared" si="1"/>
        <v>132.5</v>
      </c>
      <c r="I14" s="81">
        <f>IFERROR(__xludf.DUMMYFUNCTION("IF(G14="""", """", ROUND(G14 / MAX(FILTER($G$2:$G5067, $D$2:$D5067=$D14)) * 100, 2))"),91.25)</f>
        <v>91.25</v>
      </c>
      <c r="J14" s="81">
        <f>IFERROR(__xludf.DUMMYFUNCTION("IF(H14="""", """", ROUND(H14 / MAX(FILTER($H$2:$H5067, $D$2:$D5067=$D14)) * 100, 2))"),100.0)</f>
        <v>100</v>
      </c>
      <c r="K14" s="2"/>
      <c r="L14" s="49">
        <f>IFERROR(__xludf.DUMMYFUNCTION("""COMPUTED_VALUE"""),6000.0)</f>
        <v>6000</v>
      </c>
      <c r="M14" s="49">
        <f>IFERROR(__xludf.DUMMYFUNCTION("""COMPUTED_VALUE"""),9.2)</f>
        <v>9.2</v>
      </c>
      <c r="N14" s="49">
        <f>IFERROR(__xludf.DUMMYFUNCTION("""COMPUTED_VALUE"""),77.07)</f>
        <v>77.07</v>
      </c>
      <c r="O14" s="49">
        <f>IFERROR(__xludf.DUMMYFUNCTION("""COMPUTED_VALUE"""),84.4)</f>
        <v>84.4</v>
      </c>
      <c r="P14" s="49">
        <f>IFERROR(__xludf.DUMMYFUNCTION("""COMPUTED_VALUE"""),100.0)</f>
        <v>100</v>
      </c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 t="s">
        <v>88</v>
      </c>
    </row>
    <row r="15">
      <c r="A15" s="69">
        <v>1.0</v>
      </c>
      <c r="B15" s="69">
        <v>1.0</v>
      </c>
      <c r="C15" s="86" t="s">
        <v>51</v>
      </c>
      <c r="D15" s="86" t="s">
        <v>52</v>
      </c>
      <c r="E15" s="86" t="s">
        <v>53</v>
      </c>
      <c r="F15" s="69">
        <v>7000.0</v>
      </c>
      <c r="G15" s="69">
        <v>13.3</v>
      </c>
      <c r="H15" s="68">
        <f t="shared" si="1"/>
        <v>129.99</v>
      </c>
      <c r="I15" s="81">
        <f>IFERROR(__xludf.DUMMYFUNCTION("IF(G15="""", """", ROUND(G15 / MAX(FILTER($G$2:$G5067, $D$2:$D5067=$D15)) * 100, 2))"),83.13)</f>
        <v>83.13</v>
      </c>
      <c r="J15" s="81">
        <f>IFERROR(__xludf.DUMMYFUNCTION("IF(H15="""", """", ROUND(H15 / MAX(FILTER($H$2:$H5067, $D$2:$D5067=$D15)) * 100, 2))"),98.11)</f>
        <v>98.11</v>
      </c>
      <c r="K15" s="2"/>
      <c r="L15" s="48">
        <f>IFERROR(__xludf.DUMMYFUNCTION("""COMPUTED_VALUE"""),6500.0)</f>
        <v>6500</v>
      </c>
      <c r="M15" s="48">
        <f>IFERROR(__xludf.DUMMYFUNCTION("""COMPUTED_VALUE"""),8.35)</f>
        <v>8.35</v>
      </c>
      <c r="N15" s="48">
        <f>IFERROR(__xludf.DUMMYFUNCTION("""COMPUTED_VALUE"""),75.78)</f>
        <v>75.78</v>
      </c>
      <c r="O15" s="48">
        <f>IFERROR(__xludf.DUMMYFUNCTION("""COMPUTED_VALUE"""),76.61)</f>
        <v>76.61</v>
      </c>
      <c r="P15" s="48">
        <f>IFERROR(__xludf.DUMMYFUNCTION("""COMPUTED_VALUE"""),98.33)</f>
        <v>98.33</v>
      </c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 t="s">
        <v>91</v>
      </c>
    </row>
    <row r="16">
      <c r="A16" s="63">
        <v>1.0</v>
      </c>
      <c r="B16" s="63">
        <v>1.0</v>
      </c>
      <c r="C16" s="64" t="s">
        <v>51</v>
      </c>
      <c r="D16" s="64" t="s">
        <v>52</v>
      </c>
      <c r="E16" s="64" t="s">
        <v>53</v>
      </c>
      <c r="F16" s="63">
        <v>7500.0</v>
      </c>
      <c r="G16" s="63">
        <v>12.0</v>
      </c>
      <c r="H16" s="66">
        <f t="shared" si="1"/>
        <v>125.66</v>
      </c>
      <c r="I16" s="81">
        <f>IFERROR(__xludf.DUMMYFUNCTION("IF(G16="""", """", ROUND(G16 / MAX(FILTER($G$2:$G5067, $D$2:$D5067=$D16)) * 100, 2))"),75.0)</f>
        <v>75</v>
      </c>
      <c r="J16" s="81">
        <f>IFERROR(__xludf.DUMMYFUNCTION("IF(H16="""", """", ROUND(H16 / MAX(FILTER($H$2:$H5067, $D$2:$D5067=$D16)) * 100, 2))"),94.84)</f>
        <v>94.84</v>
      </c>
      <c r="K16" s="2"/>
      <c r="L16" s="49">
        <f>IFERROR(__xludf.DUMMYFUNCTION("""COMPUTED_VALUE"""),7000.0)</f>
        <v>7000</v>
      </c>
      <c r="M16" s="49">
        <f>IFERROR(__xludf.DUMMYFUNCTION("""COMPUTED_VALUE"""),6.9)</f>
        <v>6.9</v>
      </c>
      <c r="N16" s="49">
        <f>IFERROR(__xludf.DUMMYFUNCTION("""COMPUTED_VALUE"""),67.44)</f>
        <v>67.44</v>
      </c>
      <c r="O16" s="49">
        <f>IFERROR(__xludf.DUMMYFUNCTION("""COMPUTED_VALUE"""),63.3)</f>
        <v>63.3</v>
      </c>
      <c r="P16" s="49">
        <f>IFERROR(__xludf.DUMMYFUNCTION("""COMPUTED_VALUE"""),87.5)</f>
        <v>87.5</v>
      </c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 t="s">
        <v>94</v>
      </c>
    </row>
    <row r="17">
      <c r="A17" s="69">
        <v>2.0</v>
      </c>
      <c r="B17" s="69">
        <v>2.0</v>
      </c>
      <c r="C17" s="86" t="s">
        <v>54</v>
      </c>
      <c r="D17" s="86" t="s">
        <v>55</v>
      </c>
      <c r="E17" s="86" t="s">
        <v>56</v>
      </c>
      <c r="F17" s="69">
        <v>500.0</v>
      </c>
      <c r="G17" s="69">
        <v>9.03</v>
      </c>
      <c r="H17" s="68">
        <f t="shared" si="1"/>
        <v>6.3</v>
      </c>
      <c r="I17" s="81">
        <f>IFERROR(__xludf.DUMMYFUNCTION("IF(G17="""", """", ROUND(G17 / MAX(FILTER($G$2:$G5067, $D$2:$D5067=$D17)) * 100, 2))"),64.64)</f>
        <v>64.64</v>
      </c>
      <c r="J17" s="81">
        <f>IFERROR(__xludf.DUMMYFUNCTION("IF(H17="""", """", ROUND(H17 / MAX(FILTER($H$2:$H5067, $D$2:$D5067=$D17)) * 100, 2))"),6.2)</f>
        <v>6.2</v>
      </c>
      <c r="K17" s="2"/>
      <c r="L17" s="48"/>
      <c r="M17" s="48"/>
      <c r="N17" s="48"/>
      <c r="O17" s="48"/>
      <c r="P17" s="48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 t="s">
        <v>97</v>
      </c>
    </row>
    <row r="18">
      <c r="A18" s="63">
        <v>2.0</v>
      </c>
      <c r="B18" s="63">
        <v>2.0</v>
      </c>
      <c r="C18" s="64" t="s">
        <v>54</v>
      </c>
      <c r="D18" s="64" t="s">
        <v>55</v>
      </c>
      <c r="E18" s="64" t="s">
        <v>56</v>
      </c>
      <c r="F18" s="63">
        <v>1000.0</v>
      </c>
      <c r="G18" s="63">
        <v>10.52</v>
      </c>
      <c r="H18" s="66">
        <f t="shared" si="1"/>
        <v>14.69</v>
      </c>
      <c r="I18" s="81">
        <f>IFERROR(__xludf.DUMMYFUNCTION("IF(G18="""", """", ROUND(G18 / MAX(FILTER($G$2:$G5067, $D$2:$D5067=$D18)) * 100, 2))"),75.3)</f>
        <v>75.3</v>
      </c>
      <c r="J18" s="81">
        <f>IFERROR(__xludf.DUMMYFUNCTION("IF(H18="""", """", ROUND(H18 / MAX(FILTER($H$2:$H5067, $D$2:$D5067=$D18)) * 100, 2))"),14.46)</f>
        <v>14.46</v>
      </c>
      <c r="K18" s="2"/>
      <c r="L18" s="49"/>
      <c r="M18" s="49"/>
      <c r="N18" s="49"/>
      <c r="O18" s="49"/>
      <c r="P18" s="49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 t="s">
        <v>100</v>
      </c>
    </row>
    <row r="19">
      <c r="A19" s="69">
        <v>2.0</v>
      </c>
      <c r="B19" s="69">
        <v>2.0</v>
      </c>
      <c r="C19" s="86" t="s">
        <v>54</v>
      </c>
      <c r="D19" s="86" t="s">
        <v>55</v>
      </c>
      <c r="E19" s="86" t="s">
        <v>56</v>
      </c>
      <c r="F19" s="69">
        <v>1500.0</v>
      </c>
      <c r="G19" s="69">
        <v>11.35</v>
      </c>
      <c r="H19" s="68">
        <f t="shared" si="1"/>
        <v>23.77</v>
      </c>
      <c r="I19" s="81">
        <f>IFERROR(__xludf.DUMMYFUNCTION("IF(G19="""", """", ROUND(G19 / MAX(FILTER($G$2:$G5067, $D$2:$D5067=$D19)) * 100, 2))"),81.25)</f>
        <v>81.25</v>
      </c>
      <c r="J19" s="81">
        <f>IFERROR(__xludf.DUMMYFUNCTION("IF(H19="""", """", ROUND(H19 / MAX(FILTER($H$2:$H5067, $D$2:$D5067=$D19)) * 100, 2))"),23.39)</f>
        <v>23.39</v>
      </c>
      <c r="K19" s="2"/>
      <c r="L19" s="48"/>
      <c r="M19" s="48"/>
      <c r="N19" s="48"/>
      <c r="O19" s="48"/>
      <c r="P19" s="48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 t="s">
        <v>103</v>
      </c>
    </row>
    <row r="20">
      <c r="A20" s="63">
        <v>2.0</v>
      </c>
      <c r="B20" s="63">
        <v>2.0</v>
      </c>
      <c r="C20" s="64" t="s">
        <v>54</v>
      </c>
      <c r="D20" s="64" t="s">
        <v>55</v>
      </c>
      <c r="E20" s="64" t="s">
        <v>56</v>
      </c>
      <c r="F20" s="63">
        <v>2000.0</v>
      </c>
      <c r="G20" s="63">
        <v>12.06</v>
      </c>
      <c r="H20" s="66">
        <f t="shared" si="1"/>
        <v>33.68</v>
      </c>
      <c r="I20" s="81">
        <f>IFERROR(__xludf.DUMMYFUNCTION("IF(G20="""", """", ROUND(G20 / MAX(FILTER($G$2:$G5067, $D$2:$D5067=$D20)) * 100, 2))"),86.33)</f>
        <v>86.33</v>
      </c>
      <c r="J20" s="81">
        <f>IFERROR(__xludf.DUMMYFUNCTION("IF(H20="""", """", ROUND(H20 / MAX(FILTER($H$2:$H5067, $D$2:$D5067=$D20)) * 100, 2))"),33.14)</f>
        <v>33.14</v>
      </c>
      <c r="K20" s="2"/>
      <c r="L20" s="49"/>
      <c r="M20" s="49"/>
      <c r="N20" s="49"/>
      <c r="O20" s="49"/>
      <c r="P20" s="49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 t="s">
        <v>106</v>
      </c>
    </row>
    <row r="21">
      <c r="A21" s="69">
        <v>2.0</v>
      </c>
      <c r="B21" s="69">
        <v>2.0</v>
      </c>
      <c r="C21" s="86" t="s">
        <v>54</v>
      </c>
      <c r="D21" s="86" t="s">
        <v>55</v>
      </c>
      <c r="E21" s="86" t="s">
        <v>56</v>
      </c>
      <c r="F21" s="69">
        <v>2500.0</v>
      </c>
      <c r="G21" s="69">
        <v>12.47</v>
      </c>
      <c r="H21" s="68">
        <f t="shared" si="1"/>
        <v>43.53</v>
      </c>
      <c r="I21" s="81">
        <f>IFERROR(__xludf.DUMMYFUNCTION("IF(G21="""", """", ROUND(G21 / MAX(FILTER($G$2:$G5067, $D$2:$D5067=$D21)) * 100, 2))"),89.26)</f>
        <v>89.26</v>
      </c>
      <c r="J21" s="81">
        <f>IFERROR(__xludf.DUMMYFUNCTION("IF(H21="""", """", ROUND(H21 / MAX(FILTER($H$2:$H5067, $D$2:$D5067=$D21)) * 100, 2))"),42.84)</f>
        <v>42.84</v>
      </c>
      <c r="K21" s="2"/>
      <c r="L21" s="48"/>
      <c r="M21" s="48"/>
      <c r="N21" s="48"/>
      <c r="O21" s="48"/>
      <c r="P21" s="48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 t="s">
        <v>109</v>
      </c>
    </row>
    <row r="22">
      <c r="A22" s="63">
        <v>2.0</v>
      </c>
      <c r="B22" s="63">
        <v>2.0</v>
      </c>
      <c r="C22" s="64" t="s">
        <v>54</v>
      </c>
      <c r="D22" s="64" t="s">
        <v>55</v>
      </c>
      <c r="E22" s="64" t="s">
        <v>56</v>
      </c>
      <c r="F22" s="63">
        <v>3000.0</v>
      </c>
      <c r="G22" s="63">
        <v>13.97</v>
      </c>
      <c r="H22" s="66">
        <f t="shared" si="1"/>
        <v>58.52</v>
      </c>
      <c r="I22" s="81">
        <f>IFERROR(__xludf.DUMMYFUNCTION("IF(G22="""", """", ROUND(G22 / MAX(FILTER($G$2:$G5067, $D$2:$D5067=$D22)) * 100, 2))"),100.0)</f>
        <v>100</v>
      </c>
      <c r="J22" s="81">
        <f>IFERROR(__xludf.DUMMYFUNCTION("IF(H22="""", """", ROUND(H22 / MAX(FILTER($H$2:$H5067, $D$2:$D5067=$D22)) * 100, 2))"),57.59)</f>
        <v>57.59</v>
      </c>
      <c r="K22" s="2"/>
      <c r="L22" s="49"/>
      <c r="M22" s="49"/>
      <c r="N22" s="49"/>
      <c r="O22" s="49"/>
      <c r="P22" s="49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 t="s">
        <v>112</v>
      </c>
    </row>
    <row r="23">
      <c r="A23" s="69">
        <v>2.0</v>
      </c>
      <c r="B23" s="69">
        <v>2.0</v>
      </c>
      <c r="C23" s="86" t="s">
        <v>54</v>
      </c>
      <c r="D23" s="86" t="s">
        <v>55</v>
      </c>
      <c r="E23" s="86" t="s">
        <v>56</v>
      </c>
      <c r="F23" s="69">
        <v>3500.0</v>
      </c>
      <c r="G23" s="69">
        <v>13.97</v>
      </c>
      <c r="H23" s="68">
        <f t="shared" si="1"/>
        <v>68.27</v>
      </c>
      <c r="I23" s="81">
        <f>IFERROR(__xludf.DUMMYFUNCTION("IF(G23="""", """", ROUND(G23 / MAX(FILTER($G$2:$G5067, $D$2:$D5067=$D23)) * 100, 2))"),100.0)</f>
        <v>100</v>
      </c>
      <c r="J23" s="81">
        <f>IFERROR(__xludf.DUMMYFUNCTION("IF(H23="""", """", ROUND(H23 / MAX(FILTER($H$2:$H5067, $D$2:$D5067=$D23)) * 100, 2))"),67.18)</f>
        <v>67.18</v>
      </c>
      <c r="K23" s="2"/>
      <c r="L23" s="48"/>
      <c r="M23" s="48"/>
      <c r="N23" s="48"/>
      <c r="O23" s="48"/>
      <c r="P23" s="48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 t="s">
        <v>115</v>
      </c>
    </row>
    <row r="24">
      <c r="A24" s="63">
        <v>2.0</v>
      </c>
      <c r="B24" s="63">
        <v>2.0</v>
      </c>
      <c r="C24" s="64" t="s">
        <v>54</v>
      </c>
      <c r="D24" s="64" t="s">
        <v>55</v>
      </c>
      <c r="E24" s="64" t="s">
        <v>56</v>
      </c>
      <c r="F24" s="63">
        <v>4000.0</v>
      </c>
      <c r="G24" s="63">
        <v>13.72</v>
      </c>
      <c r="H24" s="66">
        <f t="shared" si="1"/>
        <v>76.63</v>
      </c>
      <c r="I24" s="81">
        <f>IFERROR(__xludf.DUMMYFUNCTION("IF(G24="""", """", ROUND(G24 / MAX(FILTER($G$2:$G5067, $D$2:$D5067=$D24)) * 100, 2))"),98.21)</f>
        <v>98.21</v>
      </c>
      <c r="J24" s="81">
        <f>IFERROR(__xludf.DUMMYFUNCTION("IF(H24="""", """", ROUND(H24 / MAX(FILTER($H$2:$H5067, $D$2:$D5067=$D24)) * 100, 2))"),75.41)</f>
        <v>75.41</v>
      </c>
      <c r="K24" s="2"/>
      <c r="L24" s="49"/>
      <c r="M24" s="49"/>
      <c r="N24" s="49"/>
      <c r="O24" s="49"/>
      <c r="P24" s="49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 t="s">
        <v>118</v>
      </c>
    </row>
    <row r="25">
      <c r="A25" s="69">
        <v>2.0</v>
      </c>
      <c r="B25" s="69">
        <v>2.0</v>
      </c>
      <c r="C25" s="86" t="s">
        <v>54</v>
      </c>
      <c r="D25" s="86" t="s">
        <v>55</v>
      </c>
      <c r="E25" s="86" t="s">
        <v>56</v>
      </c>
      <c r="F25" s="69">
        <v>4500.0</v>
      </c>
      <c r="G25" s="69">
        <v>13.2</v>
      </c>
      <c r="H25" s="68">
        <f t="shared" si="1"/>
        <v>82.94</v>
      </c>
      <c r="I25" s="81">
        <f>IFERROR(__xludf.DUMMYFUNCTION("IF(G25="""", """", ROUND(G25 / MAX(FILTER($G$2:$G5067, $D$2:$D5067=$D25)) * 100, 2))"),94.49)</f>
        <v>94.49</v>
      </c>
      <c r="J25" s="81">
        <f>IFERROR(__xludf.DUMMYFUNCTION("IF(H25="""", """", ROUND(H25 / MAX(FILTER($H$2:$H5067, $D$2:$D5067=$D25)) * 100, 2))"),81.62)</f>
        <v>81.62</v>
      </c>
      <c r="K25" s="2"/>
      <c r="L25" s="48"/>
      <c r="M25" s="48"/>
      <c r="N25" s="48"/>
      <c r="O25" s="48"/>
      <c r="P25" s="48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 t="s">
        <v>121</v>
      </c>
    </row>
    <row r="26">
      <c r="A26" s="63">
        <v>2.0</v>
      </c>
      <c r="B26" s="63">
        <v>2.0</v>
      </c>
      <c r="C26" s="64" t="s">
        <v>54</v>
      </c>
      <c r="D26" s="64" t="s">
        <v>55</v>
      </c>
      <c r="E26" s="64" t="s">
        <v>56</v>
      </c>
      <c r="F26" s="63">
        <v>5000.0</v>
      </c>
      <c r="G26" s="63">
        <v>12.79</v>
      </c>
      <c r="H26" s="66">
        <f t="shared" si="1"/>
        <v>89.29</v>
      </c>
      <c r="I26" s="81">
        <f>IFERROR(__xludf.DUMMYFUNCTION("IF(G26="""", """", ROUND(G26 / MAX(FILTER($G$2:$G5067, $D$2:$D5067=$D26)) * 100, 2))"),91.55)</f>
        <v>91.55</v>
      </c>
      <c r="J26" s="81">
        <f>IFERROR(__xludf.DUMMYFUNCTION("IF(H26="""", """", ROUND(H26 / MAX(FILTER($H$2:$H5067, $D$2:$D5067=$D26)) * 100, 2))"),87.87)</f>
        <v>87.87</v>
      </c>
      <c r="K26" s="2"/>
      <c r="L26" s="49"/>
      <c r="M26" s="49"/>
      <c r="N26" s="49"/>
      <c r="O26" s="49"/>
      <c r="P26" s="49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 t="s">
        <v>124</v>
      </c>
    </row>
    <row r="27">
      <c r="A27" s="69">
        <v>2.0</v>
      </c>
      <c r="B27" s="69">
        <v>2.0</v>
      </c>
      <c r="C27" s="86" t="s">
        <v>54</v>
      </c>
      <c r="D27" s="86" t="s">
        <v>55</v>
      </c>
      <c r="E27" s="86" t="s">
        <v>56</v>
      </c>
      <c r="F27" s="69">
        <v>5600.0</v>
      </c>
      <c r="G27" s="69">
        <v>12.54</v>
      </c>
      <c r="H27" s="68">
        <f t="shared" si="1"/>
        <v>98.05</v>
      </c>
      <c r="I27" s="81">
        <f>IFERROR(__xludf.DUMMYFUNCTION("IF(G27="""", """", ROUND(G27 / MAX(FILTER($G$2:$G5067, $D$2:$D5067=$D27)) * 100, 2))"),89.76)</f>
        <v>89.76</v>
      </c>
      <c r="J27" s="81">
        <f>IFERROR(__xludf.DUMMYFUNCTION("IF(H27="""", """", ROUND(H27 / MAX(FILTER($H$2:$H5067, $D$2:$D5067=$D27)) * 100, 2))"),96.49)</f>
        <v>96.49</v>
      </c>
      <c r="K27" s="2"/>
      <c r="L27" s="48"/>
      <c r="M27" s="48"/>
      <c r="N27" s="48"/>
      <c r="O27" s="48"/>
      <c r="P27" s="48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 t="s">
        <v>127</v>
      </c>
    </row>
    <row r="28">
      <c r="A28" s="63">
        <v>2.0</v>
      </c>
      <c r="B28" s="63">
        <v>2.0</v>
      </c>
      <c r="C28" s="64" t="s">
        <v>54</v>
      </c>
      <c r="D28" s="64" t="s">
        <v>55</v>
      </c>
      <c r="E28" s="64" t="s">
        <v>56</v>
      </c>
      <c r="F28" s="63">
        <v>6000.0</v>
      </c>
      <c r="G28" s="63">
        <v>12.13</v>
      </c>
      <c r="H28" s="66">
        <f t="shared" si="1"/>
        <v>101.62</v>
      </c>
      <c r="I28" s="81">
        <f>IFERROR(__xludf.DUMMYFUNCTION("IF(G28="""", """", ROUND(G28 / MAX(FILTER($G$2:$G5067, $D$2:$D5067=$D28)) * 100, 2))"),86.83)</f>
        <v>86.83</v>
      </c>
      <c r="J28" s="81">
        <f>IFERROR(__xludf.DUMMYFUNCTION("IF(H28="""", """", ROUND(H28 / MAX(FILTER($H$2:$H5067, $D$2:$D5067=$D28)) * 100, 2))"),100.0)</f>
        <v>100</v>
      </c>
      <c r="K28" s="2"/>
      <c r="L28" s="49"/>
      <c r="M28" s="49"/>
      <c r="N28" s="49"/>
      <c r="O28" s="49"/>
      <c r="P28" s="49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 t="s">
        <v>130</v>
      </c>
    </row>
    <row r="29">
      <c r="A29" s="69">
        <v>2.0</v>
      </c>
      <c r="B29" s="69">
        <v>2.0</v>
      </c>
      <c r="C29" s="86" t="s">
        <v>54</v>
      </c>
      <c r="D29" s="86" t="s">
        <v>55</v>
      </c>
      <c r="E29" s="86" t="s">
        <v>56</v>
      </c>
      <c r="F29" s="69">
        <v>6500.0</v>
      </c>
      <c r="G29" s="69">
        <v>11.0</v>
      </c>
      <c r="H29" s="68">
        <f t="shared" si="1"/>
        <v>99.83</v>
      </c>
      <c r="I29" s="81">
        <f>IFERROR(__xludf.DUMMYFUNCTION("IF(G29="""", """", ROUND(G29 / MAX(FILTER($G$2:$G5067, $D$2:$D5067=$D29)) * 100, 2))"),78.74)</f>
        <v>78.74</v>
      </c>
      <c r="J29" s="81">
        <f>IFERROR(__xludf.DUMMYFUNCTION("IF(H29="""", """", ROUND(H29 / MAX(FILTER($H$2:$H5067, $D$2:$D5067=$D29)) * 100, 2))"),98.24)</f>
        <v>98.24</v>
      </c>
      <c r="K29" s="2"/>
      <c r="L29" s="48"/>
      <c r="M29" s="48"/>
      <c r="N29" s="48"/>
      <c r="O29" s="48"/>
      <c r="P29" s="48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 t="s">
        <v>133</v>
      </c>
    </row>
    <row r="30">
      <c r="A30" s="63">
        <v>2.0</v>
      </c>
      <c r="B30" s="63">
        <v>2.0</v>
      </c>
      <c r="C30" s="64" t="s">
        <v>54</v>
      </c>
      <c r="D30" s="64" t="s">
        <v>55</v>
      </c>
      <c r="E30" s="64" t="s">
        <v>56</v>
      </c>
      <c r="F30" s="63">
        <v>7000.0</v>
      </c>
      <c r="G30" s="63">
        <v>9.55</v>
      </c>
      <c r="H30" s="66">
        <f t="shared" si="1"/>
        <v>93.34</v>
      </c>
      <c r="I30" s="81">
        <f>IFERROR(__xludf.DUMMYFUNCTION("IF(G30="""", """", ROUND(G30 / MAX(FILTER($G$2:$G5067, $D$2:$D5067=$D30)) * 100, 2))"),68.36)</f>
        <v>68.36</v>
      </c>
      <c r="J30" s="81">
        <f>IFERROR(__xludf.DUMMYFUNCTION("IF(H30="""", """", ROUND(H30 / MAX(FILTER($H$2:$H5067, $D$2:$D5067=$D30)) * 100, 2))"),91.85)</f>
        <v>91.85</v>
      </c>
      <c r="K30" s="2"/>
      <c r="L30" s="49"/>
      <c r="M30" s="49"/>
      <c r="N30" s="49"/>
      <c r="O30" s="49"/>
      <c r="P30" s="49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 t="s">
        <v>136</v>
      </c>
    </row>
    <row r="31">
      <c r="A31" s="69">
        <v>3.0</v>
      </c>
      <c r="B31" s="69">
        <v>3.0</v>
      </c>
      <c r="C31" s="86" t="s">
        <v>57</v>
      </c>
      <c r="D31" s="86" t="s">
        <v>58</v>
      </c>
      <c r="E31" s="86" t="s">
        <v>59</v>
      </c>
      <c r="F31" s="69">
        <v>500.0</v>
      </c>
      <c r="G31" s="69">
        <v>9.87</v>
      </c>
      <c r="H31" s="68">
        <f t="shared" si="1"/>
        <v>6.89</v>
      </c>
      <c r="I31" s="81">
        <f>IFERROR(__xludf.DUMMYFUNCTION("IF(G31="""", """", ROUND(G31 / MAX(FILTER($G$2:$G5067, $D$2:$D5067=$D31)) * 100, 2))"),56.92)</f>
        <v>56.92</v>
      </c>
      <c r="J31" s="81">
        <f>IFERROR(__xludf.DUMMYFUNCTION("IF(H31="""", """", ROUND(H31 / MAX(FILTER($H$2:$H5067, $D$2:$D5067=$D31)) * 100, 2))"),4.6)</f>
        <v>4.6</v>
      </c>
      <c r="K31" s="2"/>
      <c r="L31" s="48"/>
      <c r="M31" s="48"/>
      <c r="N31" s="48"/>
      <c r="O31" s="48"/>
      <c r="P31" s="48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 t="s">
        <v>139</v>
      </c>
    </row>
    <row r="32">
      <c r="A32" s="63">
        <v>3.0</v>
      </c>
      <c r="B32" s="63">
        <v>3.0</v>
      </c>
      <c r="C32" s="64" t="s">
        <v>57</v>
      </c>
      <c r="D32" s="64" t="s">
        <v>58</v>
      </c>
      <c r="E32" s="64" t="s">
        <v>59</v>
      </c>
      <c r="F32" s="63">
        <v>1000.0</v>
      </c>
      <c r="G32" s="63">
        <v>12.24</v>
      </c>
      <c r="H32" s="66">
        <f t="shared" si="1"/>
        <v>17.09</v>
      </c>
      <c r="I32" s="81">
        <f>IFERROR(__xludf.DUMMYFUNCTION("IF(G32="""", """", ROUND(G32 / MAX(FILTER($G$2:$G5067, $D$2:$D5067=$D32)) * 100, 2))"),70.59)</f>
        <v>70.59</v>
      </c>
      <c r="J32" s="81">
        <f>IFERROR(__xludf.DUMMYFUNCTION("IF(H32="""", """", ROUND(H32 / MAX(FILTER($H$2:$H5067, $D$2:$D5067=$D32)) * 100, 2))"),11.41)</f>
        <v>11.41</v>
      </c>
      <c r="K32" s="2"/>
      <c r="L32" s="49"/>
      <c r="M32" s="49"/>
      <c r="N32" s="49"/>
      <c r="O32" s="49"/>
      <c r="P32" s="49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142</v>
      </c>
    </row>
    <row r="33">
      <c r="A33" s="69">
        <v>3.0</v>
      </c>
      <c r="B33" s="69">
        <v>3.0</v>
      </c>
      <c r="C33" s="86" t="s">
        <v>57</v>
      </c>
      <c r="D33" s="86" t="s">
        <v>58</v>
      </c>
      <c r="E33" s="86" t="s">
        <v>59</v>
      </c>
      <c r="F33" s="69">
        <v>1500.0</v>
      </c>
      <c r="G33" s="69">
        <v>13.77</v>
      </c>
      <c r="H33" s="68">
        <f t="shared" si="1"/>
        <v>28.84</v>
      </c>
      <c r="I33" s="81">
        <f>IFERROR(__xludf.DUMMYFUNCTION("IF(G33="""", """", ROUND(G33 / MAX(FILTER($G$2:$G5067, $D$2:$D5067=$D33)) * 100, 2))"),79.41)</f>
        <v>79.41</v>
      </c>
      <c r="J33" s="81">
        <f>IFERROR(__xludf.DUMMYFUNCTION("IF(H33="""", """", ROUND(H33 / MAX(FILTER($H$2:$H5067, $D$2:$D5067=$D33)) * 100, 2))"),19.25)</f>
        <v>19.25</v>
      </c>
      <c r="K33" s="2"/>
      <c r="L33" s="48"/>
      <c r="M33" s="48"/>
      <c r="N33" s="48"/>
      <c r="O33" s="48"/>
      <c r="P33" s="48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 t="s">
        <v>145</v>
      </c>
    </row>
    <row r="34">
      <c r="A34" s="63">
        <v>3.0</v>
      </c>
      <c r="B34" s="63">
        <v>3.0</v>
      </c>
      <c r="C34" s="64" t="s">
        <v>57</v>
      </c>
      <c r="D34" s="64" t="s">
        <v>58</v>
      </c>
      <c r="E34" s="64" t="s">
        <v>59</v>
      </c>
      <c r="F34" s="63">
        <v>2000.0</v>
      </c>
      <c r="G34" s="63">
        <v>15.3</v>
      </c>
      <c r="H34" s="66">
        <f t="shared" si="1"/>
        <v>42.73</v>
      </c>
      <c r="I34" s="81">
        <f>IFERROR(__xludf.DUMMYFUNCTION("IF(G34="""", """", ROUND(G34 / MAX(FILTER($G$2:$G5067, $D$2:$D5067=$D34)) * 100, 2))"),88.24)</f>
        <v>88.24</v>
      </c>
      <c r="J34" s="81">
        <f>IFERROR(__xludf.DUMMYFUNCTION("IF(H34="""", """", ROUND(H34 / MAX(FILTER($H$2:$H5067, $D$2:$D5067=$D34)) * 100, 2))"),28.52)</f>
        <v>28.52</v>
      </c>
      <c r="K34" s="2"/>
      <c r="L34" s="49"/>
      <c r="M34" s="49"/>
      <c r="N34" s="49"/>
      <c r="O34" s="49"/>
      <c r="P34" s="49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 t="s">
        <v>148</v>
      </c>
    </row>
    <row r="35">
      <c r="A35" s="69">
        <v>3.0</v>
      </c>
      <c r="B35" s="69">
        <v>3.0</v>
      </c>
      <c r="C35" s="86" t="s">
        <v>57</v>
      </c>
      <c r="D35" s="86" t="s">
        <v>58</v>
      </c>
      <c r="E35" s="86" t="s">
        <v>59</v>
      </c>
      <c r="F35" s="69">
        <v>2500.0</v>
      </c>
      <c r="G35" s="69">
        <v>15.81</v>
      </c>
      <c r="H35" s="68">
        <f t="shared" si="1"/>
        <v>55.19</v>
      </c>
      <c r="I35" s="81">
        <f>IFERROR(__xludf.DUMMYFUNCTION("IF(G35="""", """", ROUND(G35 / MAX(FILTER($G$2:$G5067, $D$2:$D5067=$D35)) * 100, 2))"),91.18)</f>
        <v>91.18</v>
      </c>
      <c r="J35" s="81">
        <f>IFERROR(__xludf.DUMMYFUNCTION("IF(H35="""", """", ROUND(H35 / MAX(FILTER($H$2:$H5067, $D$2:$D5067=$D35)) * 100, 2))"),36.83)</f>
        <v>36.83</v>
      </c>
      <c r="K35" s="2"/>
      <c r="L35" s="48"/>
      <c r="M35" s="48"/>
      <c r="N35" s="48"/>
      <c r="O35" s="48"/>
      <c r="P35" s="48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 t="s">
        <v>151</v>
      </c>
    </row>
    <row r="36">
      <c r="A36" s="63">
        <v>3.0</v>
      </c>
      <c r="B36" s="63">
        <v>3.0</v>
      </c>
      <c r="C36" s="64" t="s">
        <v>57</v>
      </c>
      <c r="D36" s="64" t="s">
        <v>58</v>
      </c>
      <c r="E36" s="64" t="s">
        <v>59</v>
      </c>
      <c r="F36" s="63">
        <v>3000.0</v>
      </c>
      <c r="G36" s="63">
        <v>16.32</v>
      </c>
      <c r="H36" s="66">
        <f t="shared" si="1"/>
        <v>68.36</v>
      </c>
      <c r="I36" s="81">
        <f>IFERROR(__xludf.DUMMYFUNCTION("IF(G36="""", """", ROUND(G36 / MAX(FILTER($G$2:$G5067, $D$2:$D5067=$D36)) * 100, 2))"),94.12)</f>
        <v>94.12</v>
      </c>
      <c r="J36" s="81">
        <f>IFERROR(__xludf.DUMMYFUNCTION("IF(H36="""", """", ROUND(H36 / MAX(FILTER($H$2:$H5067, $D$2:$D5067=$D36)) * 100, 2))"),45.62)</f>
        <v>45.62</v>
      </c>
      <c r="K36" s="2"/>
      <c r="L36" s="49"/>
      <c r="M36" s="49"/>
      <c r="N36" s="49"/>
      <c r="O36" s="49"/>
      <c r="P36" s="49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 t="s">
        <v>154</v>
      </c>
    </row>
    <row r="37">
      <c r="A37" s="69">
        <v>3.0</v>
      </c>
      <c r="B37" s="69">
        <v>3.0</v>
      </c>
      <c r="C37" s="86" t="s">
        <v>57</v>
      </c>
      <c r="D37" s="86" t="s">
        <v>58</v>
      </c>
      <c r="E37" s="86" t="s">
        <v>59</v>
      </c>
      <c r="F37" s="69">
        <v>3500.0</v>
      </c>
      <c r="G37" s="69">
        <v>16.72</v>
      </c>
      <c r="H37" s="68">
        <f t="shared" si="1"/>
        <v>81.71</v>
      </c>
      <c r="I37" s="81">
        <f>IFERROR(__xludf.DUMMYFUNCTION("IF(G37="""", """", ROUND(G37 / MAX(FILTER($G$2:$G5067, $D$2:$D5067=$D37)) * 100, 2))"),96.42)</f>
        <v>96.42</v>
      </c>
      <c r="J37" s="81">
        <f>IFERROR(__xludf.DUMMYFUNCTION("IF(H37="""", """", ROUND(H37 / MAX(FILTER($H$2:$H5067, $D$2:$D5067=$D37)) * 100, 2))"),54.53)</f>
        <v>54.53</v>
      </c>
      <c r="K37" s="2"/>
      <c r="L37" s="48"/>
      <c r="M37" s="48"/>
      <c r="N37" s="48"/>
      <c r="O37" s="48"/>
      <c r="P37" s="48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 t="s">
        <v>157</v>
      </c>
    </row>
    <row r="38">
      <c r="A38" s="63">
        <v>3.0</v>
      </c>
      <c r="B38" s="63">
        <v>3.0</v>
      </c>
      <c r="C38" s="64" t="s">
        <v>57</v>
      </c>
      <c r="D38" s="64" t="s">
        <v>58</v>
      </c>
      <c r="E38" s="64" t="s">
        <v>59</v>
      </c>
      <c r="F38" s="63">
        <v>4000.0</v>
      </c>
      <c r="G38" s="63">
        <v>17.13</v>
      </c>
      <c r="H38" s="66">
        <f t="shared" si="1"/>
        <v>95.67</v>
      </c>
      <c r="I38" s="81">
        <f>IFERROR(__xludf.DUMMYFUNCTION("IF(G38="""", """", ROUND(G38 / MAX(FILTER($G$2:$G5067, $D$2:$D5067=$D38)) * 100, 2))"),98.79)</f>
        <v>98.79</v>
      </c>
      <c r="J38" s="81">
        <f>IFERROR(__xludf.DUMMYFUNCTION("IF(H38="""", """", ROUND(H38 / MAX(FILTER($H$2:$H5067, $D$2:$D5067=$D38)) * 100, 2))"),63.85)</f>
        <v>63.85</v>
      </c>
      <c r="K38" s="2"/>
      <c r="L38" s="49"/>
      <c r="M38" s="49"/>
      <c r="N38" s="49"/>
      <c r="O38" s="49"/>
      <c r="P38" s="49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 t="s">
        <v>160</v>
      </c>
    </row>
    <row r="39">
      <c r="A39" s="69">
        <v>3.0</v>
      </c>
      <c r="B39" s="69">
        <v>3.0</v>
      </c>
      <c r="C39" s="86" t="s">
        <v>57</v>
      </c>
      <c r="D39" s="86" t="s">
        <v>58</v>
      </c>
      <c r="E39" s="86" t="s">
        <v>59</v>
      </c>
      <c r="F39" s="69">
        <v>4500.0</v>
      </c>
      <c r="G39" s="69">
        <v>17.2</v>
      </c>
      <c r="H39" s="68">
        <f t="shared" si="1"/>
        <v>108.07</v>
      </c>
      <c r="I39" s="81">
        <f>IFERROR(__xludf.DUMMYFUNCTION("IF(G39="""", """", ROUND(G39 / MAX(FILTER($G$2:$G5067, $D$2:$D5067=$D39)) * 100, 2))"),99.19)</f>
        <v>99.19</v>
      </c>
      <c r="J39" s="81">
        <f>IFERROR(__xludf.DUMMYFUNCTION("IF(H39="""", """", ROUND(H39 / MAX(FILTER($H$2:$H5067, $D$2:$D5067=$D39)) * 100, 2))"),72.12)</f>
        <v>72.12</v>
      </c>
      <c r="K39" s="2"/>
      <c r="L39" s="48"/>
      <c r="M39" s="48"/>
      <c r="N39" s="48"/>
      <c r="O39" s="48"/>
      <c r="P39" s="48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 t="s">
        <v>163</v>
      </c>
    </row>
    <row r="40">
      <c r="A40" s="63">
        <v>3.0</v>
      </c>
      <c r="B40" s="63">
        <v>3.0</v>
      </c>
      <c r="C40" s="64" t="s">
        <v>57</v>
      </c>
      <c r="D40" s="64" t="s">
        <v>58</v>
      </c>
      <c r="E40" s="64" t="s">
        <v>59</v>
      </c>
      <c r="F40" s="63">
        <v>5000.0</v>
      </c>
      <c r="G40" s="63">
        <v>17.27</v>
      </c>
      <c r="H40" s="66">
        <f t="shared" si="1"/>
        <v>120.57</v>
      </c>
      <c r="I40" s="81">
        <f>IFERROR(__xludf.DUMMYFUNCTION("IF(G40="""", """", ROUND(G40 / MAX(FILTER($G$2:$G5067, $D$2:$D5067=$D40)) * 100, 2))"),99.6)</f>
        <v>99.6</v>
      </c>
      <c r="J40" s="81">
        <f>IFERROR(__xludf.DUMMYFUNCTION("IF(H40="""", """", ROUND(H40 / MAX(FILTER($H$2:$H5067, $D$2:$D5067=$D40)) * 100, 2))"),80.47)</f>
        <v>80.47</v>
      </c>
      <c r="K40" s="2"/>
      <c r="L40" s="49"/>
      <c r="M40" s="49"/>
      <c r="N40" s="49"/>
      <c r="O40" s="49"/>
      <c r="P40" s="49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 t="s">
        <v>166</v>
      </c>
    </row>
    <row r="41">
      <c r="A41" s="69">
        <v>3.0</v>
      </c>
      <c r="B41" s="69">
        <v>3.0</v>
      </c>
      <c r="C41" s="86" t="s">
        <v>57</v>
      </c>
      <c r="D41" s="86" t="s">
        <v>58</v>
      </c>
      <c r="E41" s="86" t="s">
        <v>59</v>
      </c>
      <c r="F41" s="69">
        <v>5500.0</v>
      </c>
      <c r="G41" s="69">
        <v>17.34</v>
      </c>
      <c r="H41" s="68">
        <f t="shared" si="1"/>
        <v>133.16</v>
      </c>
      <c r="I41" s="81">
        <f>IFERROR(__xludf.DUMMYFUNCTION("IF(G41="""", """", ROUND(G41 / MAX(FILTER($G$2:$G5067, $D$2:$D5067=$D41)) * 100, 2))"),100.0)</f>
        <v>100</v>
      </c>
      <c r="J41" s="81">
        <f>IFERROR(__xludf.DUMMYFUNCTION("IF(H41="""", """", ROUND(H41 / MAX(FILTER($H$2:$H5067, $D$2:$D5067=$D41)) * 100, 2))"),88.87)</f>
        <v>88.87</v>
      </c>
      <c r="K41" s="2"/>
      <c r="L41" s="48"/>
      <c r="M41" s="48"/>
      <c r="N41" s="48"/>
      <c r="O41" s="48"/>
      <c r="P41" s="48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 t="s">
        <v>169</v>
      </c>
    </row>
    <row r="42">
      <c r="A42" s="63">
        <v>3.0</v>
      </c>
      <c r="B42" s="63">
        <v>3.0</v>
      </c>
      <c r="C42" s="64" t="s">
        <v>57</v>
      </c>
      <c r="D42" s="64" t="s">
        <v>58</v>
      </c>
      <c r="E42" s="64" t="s">
        <v>59</v>
      </c>
      <c r="F42" s="63">
        <v>6000.0</v>
      </c>
      <c r="G42" s="63">
        <v>17.0</v>
      </c>
      <c r="H42" s="66">
        <f t="shared" si="1"/>
        <v>142.42</v>
      </c>
      <c r="I42" s="81">
        <f>IFERROR(__xludf.DUMMYFUNCTION("IF(G42="""", """", ROUND(G42 / MAX(FILTER($G$2:$G5067, $D$2:$D5067=$D42)) * 100, 2))"),98.04)</f>
        <v>98.04</v>
      </c>
      <c r="J42" s="81">
        <f>IFERROR(__xludf.DUMMYFUNCTION("IF(H42="""", """", ROUND(H42 / MAX(FILTER($H$2:$H5067, $D$2:$D5067=$D42)) * 100, 2))"),95.05)</f>
        <v>95.05</v>
      </c>
      <c r="K42" s="2"/>
      <c r="L42" s="49"/>
      <c r="M42" s="49"/>
      <c r="N42" s="49"/>
      <c r="O42" s="49"/>
      <c r="P42" s="49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 t="s">
        <v>172</v>
      </c>
    </row>
    <row r="43">
      <c r="A43" s="69">
        <v>3.0</v>
      </c>
      <c r="B43" s="69">
        <v>3.0</v>
      </c>
      <c r="C43" s="86" t="s">
        <v>57</v>
      </c>
      <c r="D43" s="86" t="s">
        <v>58</v>
      </c>
      <c r="E43" s="86" t="s">
        <v>59</v>
      </c>
      <c r="F43" s="69">
        <v>6500.0</v>
      </c>
      <c r="G43" s="69">
        <v>16.51</v>
      </c>
      <c r="H43" s="68">
        <f t="shared" si="1"/>
        <v>149.84</v>
      </c>
      <c r="I43" s="81">
        <f>IFERROR(__xludf.DUMMYFUNCTION("IF(G43="""", """", ROUND(G43 / MAX(FILTER($G$2:$G5067, $D$2:$D5067=$D43)) * 100, 2))"),95.21)</f>
        <v>95.21</v>
      </c>
      <c r="J43" s="81">
        <f>IFERROR(__xludf.DUMMYFUNCTION("IF(H43="""", """", ROUND(H43 / MAX(FILTER($H$2:$H5067, $D$2:$D5067=$D43)) * 100, 2))"),100.0)</f>
        <v>100</v>
      </c>
      <c r="K43" s="2"/>
      <c r="L43" s="48"/>
      <c r="M43" s="48"/>
      <c r="N43" s="48"/>
      <c r="O43" s="48"/>
      <c r="P43" s="48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 t="s">
        <v>175</v>
      </c>
    </row>
    <row r="44">
      <c r="A44" s="63">
        <v>3.0</v>
      </c>
      <c r="B44" s="63">
        <v>3.0</v>
      </c>
      <c r="C44" s="64" t="s">
        <v>57</v>
      </c>
      <c r="D44" s="64" t="s">
        <v>58</v>
      </c>
      <c r="E44" s="64" t="s">
        <v>59</v>
      </c>
      <c r="F44" s="63">
        <v>7000.0</v>
      </c>
      <c r="G44" s="63">
        <v>15.32</v>
      </c>
      <c r="H44" s="66">
        <f t="shared" si="1"/>
        <v>149.73</v>
      </c>
      <c r="I44" s="81">
        <f>IFERROR(__xludf.DUMMYFUNCTION("IF(G44="""", """", ROUND(G44 / MAX(FILTER($G$2:$G5067, $D$2:$D5067=$D44)) * 100, 2))"),88.35)</f>
        <v>88.35</v>
      </c>
      <c r="J44" s="81">
        <f>IFERROR(__xludf.DUMMYFUNCTION("IF(H44="""", """", ROUND(H44 / MAX(FILTER($H$2:$H5067, $D$2:$D5067=$D44)) * 100, 2))"),99.93)</f>
        <v>99.93</v>
      </c>
      <c r="K44" s="2"/>
      <c r="L44" s="49"/>
      <c r="M44" s="49"/>
      <c r="N44" s="49"/>
      <c r="O44" s="49"/>
      <c r="P44" s="49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 t="s">
        <v>178</v>
      </c>
    </row>
    <row r="45">
      <c r="A45" s="69">
        <v>3.0</v>
      </c>
      <c r="B45" s="69">
        <v>3.0</v>
      </c>
      <c r="C45" s="86" t="s">
        <v>57</v>
      </c>
      <c r="D45" s="86" t="s">
        <v>58</v>
      </c>
      <c r="E45" s="86" t="s">
        <v>59</v>
      </c>
      <c r="F45" s="69">
        <v>7500.0</v>
      </c>
      <c r="G45" s="69">
        <v>13.49</v>
      </c>
      <c r="H45" s="68">
        <f t="shared" si="1"/>
        <v>141.27</v>
      </c>
      <c r="I45" s="81">
        <f>IFERROR(__xludf.DUMMYFUNCTION("IF(G45="""", """", ROUND(G45 / MAX(FILTER($G$2:$G5067, $D$2:$D5067=$D45)) * 100, 2))"),77.8)</f>
        <v>77.8</v>
      </c>
      <c r="J45" s="81">
        <f>IFERROR(__xludf.DUMMYFUNCTION("IF(H45="""", """", ROUND(H45 / MAX(FILTER($H$2:$H5067, $D$2:$D5067=$D45)) * 100, 2))"),94.28)</f>
        <v>94.28</v>
      </c>
      <c r="K45" s="2"/>
      <c r="L45" s="48"/>
      <c r="M45" s="48"/>
      <c r="N45" s="48"/>
      <c r="O45" s="48"/>
      <c r="P45" s="48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 t="s">
        <v>181</v>
      </c>
    </row>
    <row r="46">
      <c r="A46" s="63">
        <v>3.0</v>
      </c>
      <c r="B46" s="63">
        <v>3.0</v>
      </c>
      <c r="C46" s="64" t="s">
        <v>57</v>
      </c>
      <c r="D46" s="64" t="s">
        <v>58</v>
      </c>
      <c r="E46" s="64" t="s">
        <v>59</v>
      </c>
      <c r="F46" s="63">
        <v>8000.0</v>
      </c>
      <c r="G46" s="63">
        <v>10.0</v>
      </c>
      <c r="H46" s="66">
        <f t="shared" si="1"/>
        <v>111.7</v>
      </c>
      <c r="I46" s="81">
        <f>IFERROR(__xludf.DUMMYFUNCTION("IF(G46="""", """", ROUND(G46 / MAX(FILTER($G$2:$G5067, $D$2:$D5067=$D46)) * 100, 2))"),57.67)</f>
        <v>57.67</v>
      </c>
      <c r="J46" s="81">
        <f>IFERROR(__xludf.DUMMYFUNCTION("IF(H46="""", """", ROUND(H46 / MAX(FILTER($H$2:$H5067, $D$2:$D5067=$D46)) * 100, 2))"),74.55)</f>
        <v>74.55</v>
      </c>
      <c r="K46" s="2"/>
      <c r="L46" s="49"/>
      <c r="M46" s="49"/>
      <c r="N46" s="49"/>
      <c r="O46" s="49"/>
      <c r="P46" s="49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 t="s">
        <v>184</v>
      </c>
    </row>
    <row r="47">
      <c r="A47" s="69">
        <v>4.0</v>
      </c>
      <c r="B47" s="69">
        <v>5.0</v>
      </c>
      <c r="C47" s="86" t="s">
        <v>60</v>
      </c>
      <c r="D47" s="86" t="s">
        <v>61</v>
      </c>
      <c r="E47" s="86" t="s">
        <v>62</v>
      </c>
      <c r="F47" s="69">
        <v>500.0</v>
      </c>
      <c r="G47" s="69">
        <v>22.99</v>
      </c>
      <c r="H47" s="68">
        <f t="shared" si="1"/>
        <v>16.05</v>
      </c>
      <c r="I47" s="81">
        <f>IFERROR(__xludf.DUMMYFUNCTION("IF(G47="""", """", ROUND(G47 / MAX(FILTER($G$2:$G5067, $D$2:$D5067=$D47)) * 100, 2))"),73.92)</f>
        <v>73.92</v>
      </c>
      <c r="J47" s="81">
        <f>IFERROR(__xludf.DUMMYFUNCTION("IF(H47="""", """", ROUND(H47 / MAX(FILTER($H$2:$H5067, $D$2:$D5067=$D47)) * 100, 2))"),5.74)</f>
        <v>5.74</v>
      </c>
      <c r="K47" s="2"/>
      <c r="L47" s="48"/>
      <c r="M47" s="48"/>
      <c r="N47" s="48"/>
      <c r="O47" s="48"/>
      <c r="P47" s="48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 t="s">
        <v>187</v>
      </c>
    </row>
    <row r="48">
      <c r="A48" s="63">
        <v>4.0</v>
      </c>
      <c r="B48" s="63">
        <v>5.0</v>
      </c>
      <c r="C48" s="64" t="s">
        <v>60</v>
      </c>
      <c r="D48" s="64" t="s">
        <v>61</v>
      </c>
      <c r="E48" s="64" t="s">
        <v>62</v>
      </c>
      <c r="F48" s="63">
        <v>1000.0</v>
      </c>
      <c r="G48" s="63">
        <v>25.25</v>
      </c>
      <c r="H48" s="66">
        <f t="shared" si="1"/>
        <v>35.26</v>
      </c>
      <c r="I48" s="81">
        <f>IFERROR(__xludf.DUMMYFUNCTION("IF(G48="""", """", ROUND(G48 / MAX(FILTER($G$2:$G5067, $D$2:$D5067=$D48)) * 100, 2))"),81.19)</f>
        <v>81.19</v>
      </c>
      <c r="J48" s="81">
        <f>IFERROR(__xludf.DUMMYFUNCTION("IF(H48="""", """", ROUND(H48 / MAX(FILTER($H$2:$H5067, $D$2:$D5067=$D48)) * 100, 2))"),12.6)</f>
        <v>12.6</v>
      </c>
      <c r="K48" s="2"/>
      <c r="L48" s="49"/>
      <c r="M48" s="49"/>
      <c r="N48" s="49"/>
      <c r="O48" s="49"/>
      <c r="P48" s="49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 t="s">
        <v>190</v>
      </c>
    </row>
    <row r="49">
      <c r="A49" s="69">
        <v>4.0</v>
      </c>
      <c r="B49" s="69">
        <v>5.0</v>
      </c>
      <c r="C49" s="86" t="s">
        <v>60</v>
      </c>
      <c r="D49" s="86" t="s">
        <v>61</v>
      </c>
      <c r="E49" s="86" t="s">
        <v>62</v>
      </c>
      <c r="F49" s="69">
        <v>1500.0</v>
      </c>
      <c r="G49" s="69">
        <v>25.89</v>
      </c>
      <c r="H49" s="68">
        <f t="shared" si="1"/>
        <v>54.22</v>
      </c>
      <c r="I49" s="81">
        <f>IFERROR(__xludf.DUMMYFUNCTION("IF(G49="""", """", ROUND(G49 / MAX(FILTER($G$2:$G5067, $D$2:$D5067=$D49)) * 100, 2))"),83.25)</f>
        <v>83.25</v>
      </c>
      <c r="J49" s="81">
        <f>IFERROR(__xludf.DUMMYFUNCTION("IF(H49="""", """", ROUND(H49 / MAX(FILTER($H$2:$H5067, $D$2:$D5067=$D49)) * 100, 2))"),19.38)</f>
        <v>19.38</v>
      </c>
      <c r="K49" s="2"/>
      <c r="L49" s="48"/>
      <c r="M49" s="48"/>
      <c r="N49" s="48"/>
      <c r="O49" s="48"/>
      <c r="P49" s="48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 t="s">
        <v>193</v>
      </c>
    </row>
    <row r="50">
      <c r="A50" s="63">
        <v>4.0</v>
      </c>
      <c r="B50" s="63">
        <v>5.0</v>
      </c>
      <c r="C50" s="64" t="s">
        <v>60</v>
      </c>
      <c r="D50" s="64" t="s">
        <v>61</v>
      </c>
      <c r="E50" s="64" t="s">
        <v>62</v>
      </c>
      <c r="F50" s="63">
        <v>2000.0</v>
      </c>
      <c r="G50" s="63">
        <v>26.51</v>
      </c>
      <c r="H50" s="66">
        <f t="shared" si="1"/>
        <v>74.03</v>
      </c>
      <c r="I50" s="81">
        <f>IFERROR(__xludf.DUMMYFUNCTION("IF(G50="""", """", ROUND(G50 / MAX(FILTER($G$2:$G5067, $D$2:$D5067=$D50)) * 100, 2))"),85.24)</f>
        <v>85.24</v>
      </c>
      <c r="J50" s="81">
        <f>IFERROR(__xludf.DUMMYFUNCTION("IF(H50="""", """", ROUND(H50 / MAX(FILTER($H$2:$H5067, $D$2:$D5067=$D50)) * 100, 2))"),26.46)</f>
        <v>26.46</v>
      </c>
      <c r="K50" s="2"/>
      <c r="L50" s="49"/>
      <c r="M50" s="49"/>
      <c r="N50" s="49"/>
      <c r="O50" s="49"/>
      <c r="P50" s="49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 t="s">
        <v>196</v>
      </c>
    </row>
    <row r="51">
      <c r="A51" s="69">
        <v>4.0</v>
      </c>
      <c r="B51" s="69">
        <v>5.0</v>
      </c>
      <c r="C51" s="86" t="s">
        <v>60</v>
      </c>
      <c r="D51" s="86" t="s">
        <v>61</v>
      </c>
      <c r="E51" s="86" t="s">
        <v>62</v>
      </c>
      <c r="F51" s="69">
        <v>2500.0</v>
      </c>
      <c r="G51" s="69">
        <v>27.33</v>
      </c>
      <c r="H51" s="68">
        <f t="shared" si="1"/>
        <v>95.4</v>
      </c>
      <c r="I51" s="81">
        <f>IFERROR(__xludf.DUMMYFUNCTION("IF(G51="""", """", ROUND(G51 / MAX(FILTER($G$2:$G5067, $D$2:$D5067=$D51)) * 100, 2))"),87.88)</f>
        <v>87.88</v>
      </c>
      <c r="J51" s="81">
        <f>IFERROR(__xludf.DUMMYFUNCTION("IF(H51="""", """", ROUND(H51 / MAX(FILTER($H$2:$H5067, $D$2:$D5067=$D51)) * 100, 2))"),34.09)</f>
        <v>34.09</v>
      </c>
      <c r="K51" s="2"/>
      <c r="L51" s="48"/>
      <c r="M51" s="48"/>
      <c r="N51" s="48"/>
      <c r="O51" s="48"/>
      <c r="P51" s="48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 t="s">
        <v>199</v>
      </c>
    </row>
    <row r="52">
      <c r="A52" s="63">
        <v>4.0</v>
      </c>
      <c r="B52" s="63">
        <v>5.0</v>
      </c>
      <c r="C52" s="64" t="s">
        <v>60</v>
      </c>
      <c r="D52" s="64" t="s">
        <v>61</v>
      </c>
      <c r="E52" s="64" t="s">
        <v>62</v>
      </c>
      <c r="F52" s="63">
        <v>3000.0</v>
      </c>
      <c r="G52" s="63">
        <v>27.94</v>
      </c>
      <c r="H52" s="66">
        <f t="shared" si="1"/>
        <v>117.03</v>
      </c>
      <c r="I52" s="81">
        <f>IFERROR(__xludf.DUMMYFUNCTION("IF(G52="""", """", ROUND(G52 / MAX(FILTER($G$2:$G5067, $D$2:$D5067=$D52)) * 100, 2))"),89.84)</f>
        <v>89.84</v>
      </c>
      <c r="J52" s="81">
        <f>IFERROR(__xludf.DUMMYFUNCTION("IF(H52="""", """", ROUND(H52 / MAX(FILTER($H$2:$H5067, $D$2:$D5067=$D52)) * 100, 2))"),41.82)</f>
        <v>41.82</v>
      </c>
      <c r="K52" s="2"/>
      <c r="L52" s="49"/>
      <c r="M52" s="49"/>
      <c r="N52" s="49"/>
      <c r="O52" s="49"/>
      <c r="P52" s="49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 t="s">
        <v>202</v>
      </c>
    </row>
    <row r="53">
      <c r="A53" s="69">
        <v>4.0</v>
      </c>
      <c r="B53" s="69">
        <v>5.0</v>
      </c>
      <c r="C53" s="86" t="s">
        <v>60</v>
      </c>
      <c r="D53" s="86" t="s">
        <v>61</v>
      </c>
      <c r="E53" s="86" t="s">
        <v>62</v>
      </c>
      <c r="F53" s="69">
        <v>3500.0</v>
      </c>
      <c r="G53" s="69">
        <v>29.88</v>
      </c>
      <c r="H53" s="68">
        <f t="shared" si="1"/>
        <v>146.02</v>
      </c>
      <c r="I53" s="81">
        <f>IFERROR(__xludf.DUMMYFUNCTION("IF(G53="""", """", ROUND(G53 / MAX(FILTER($G$2:$G5067, $D$2:$D5067=$D53)) * 100, 2))"),96.08)</f>
        <v>96.08</v>
      </c>
      <c r="J53" s="81">
        <f>IFERROR(__xludf.DUMMYFUNCTION("IF(H53="""", """", ROUND(H53 / MAX(FILTER($H$2:$H5067, $D$2:$D5067=$D53)) * 100, 2))"),52.19)</f>
        <v>52.19</v>
      </c>
      <c r="K53" s="2"/>
      <c r="L53" s="48"/>
      <c r="M53" s="48"/>
      <c r="N53" s="48"/>
      <c r="O53" s="48"/>
      <c r="P53" s="48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 t="s">
        <v>205</v>
      </c>
    </row>
    <row r="54">
      <c r="A54" s="63">
        <v>4.0</v>
      </c>
      <c r="B54" s="63">
        <v>5.0</v>
      </c>
      <c r="C54" s="64" t="s">
        <v>60</v>
      </c>
      <c r="D54" s="64" t="s">
        <v>61</v>
      </c>
      <c r="E54" s="64" t="s">
        <v>62</v>
      </c>
      <c r="F54" s="63">
        <v>4000.0</v>
      </c>
      <c r="G54" s="63">
        <v>30.39</v>
      </c>
      <c r="H54" s="66">
        <f t="shared" si="1"/>
        <v>169.73</v>
      </c>
      <c r="I54" s="81">
        <f>IFERROR(__xludf.DUMMYFUNCTION("IF(G54="""", """", ROUND(G54 / MAX(FILTER($G$2:$G5067, $D$2:$D5067=$D54)) * 100, 2))"),97.72)</f>
        <v>97.72</v>
      </c>
      <c r="J54" s="81">
        <f>IFERROR(__xludf.DUMMYFUNCTION("IF(H54="""", """", ROUND(H54 / MAX(FILTER($H$2:$H5067, $D$2:$D5067=$D54)) * 100, 2))"),60.66)</f>
        <v>60.66</v>
      </c>
      <c r="K54" s="2"/>
      <c r="L54" s="49"/>
      <c r="M54" s="49"/>
      <c r="N54" s="49"/>
      <c r="O54" s="49"/>
      <c r="P54" s="49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 t="s">
        <v>208</v>
      </c>
    </row>
    <row r="55">
      <c r="A55" s="69">
        <v>4.0</v>
      </c>
      <c r="B55" s="69">
        <v>5.0</v>
      </c>
      <c r="C55" s="86" t="s">
        <v>60</v>
      </c>
      <c r="D55" s="86" t="s">
        <v>61</v>
      </c>
      <c r="E55" s="86" t="s">
        <v>62</v>
      </c>
      <c r="F55" s="69">
        <v>4500.0</v>
      </c>
      <c r="G55" s="69">
        <v>30.08</v>
      </c>
      <c r="H55" s="68">
        <f t="shared" si="1"/>
        <v>189</v>
      </c>
      <c r="I55" s="81">
        <f>IFERROR(__xludf.DUMMYFUNCTION("IF(G55="""", """", ROUND(G55 / MAX(FILTER($G$2:$G5067, $D$2:$D5067=$D55)) * 100, 2))"),96.72)</f>
        <v>96.72</v>
      </c>
      <c r="J55" s="81">
        <f>IFERROR(__xludf.DUMMYFUNCTION("IF(H55="""", """", ROUND(H55 / MAX(FILTER($H$2:$H5067, $D$2:$D5067=$D55)) * 100, 2))"),67.55)</f>
        <v>67.55</v>
      </c>
      <c r="K55" s="2"/>
      <c r="L55" s="48"/>
      <c r="M55" s="48"/>
      <c r="N55" s="48"/>
      <c r="O55" s="48"/>
      <c r="P55" s="48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 t="s">
        <v>211</v>
      </c>
    </row>
    <row r="56">
      <c r="A56" s="63">
        <v>4.0</v>
      </c>
      <c r="B56" s="63">
        <v>5.0</v>
      </c>
      <c r="C56" s="64" t="s">
        <v>60</v>
      </c>
      <c r="D56" s="64" t="s">
        <v>61</v>
      </c>
      <c r="E56" s="64" t="s">
        <v>62</v>
      </c>
      <c r="F56" s="63">
        <v>5000.0</v>
      </c>
      <c r="G56" s="63">
        <v>30.69</v>
      </c>
      <c r="H56" s="66">
        <f t="shared" si="1"/>
        <v>214.26</v>
      </c>
      <c r="I56" s="81">
        <f>IFERROR(__xludf.DUMMYFUNCTION("IF(G56="""", """", ROUND(G56 / MAX(FILTER($G$2:$G5067, $D$2:$D5067=$D56)) * 100, 2))"),98.68)</f>
        <v>98.68</v>
      </c>
      <c r="J56" s="81">
        <f>IFERROR(__xludf.DUMMYFUNCTION("IF(H56="""", """", ROUND(H56 / MAX(FILTER($H$2:$H5067, $D$2:$D5067=$D56)) * 100, 2))"),76.57)</f>
        <v>76.57</v>
      </c>
      <c r="K56" s="2"/>
      <c r="L56" s="49"/>
      <c r="M56" s="49"/>
      <c r="N56" s="49"/>
      <c r="O56" s="49"/>
      <c r="P56" s="49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 t="s">
        <v>214</v>
      </c>
    </row>
    <row r="57">
      <c r="A57" s="69">
        <v>4.0</v>
      </c>
      <c r="B57" s="69">
        <v>5.0</v>
      </c>
      <c r="C57" s="86" t="s">
        <v>60</v>
      </c>
      <c r="D57" s="86" t="s">
        <v>61</v>
      </c>
      <c r="E57" s="86" t="s">
        <v>62</v>
      </c>
      <c r="F57" s="69">
        <v>5500.0</v>
      </c>
      <c r="G57" s="69">
        <v>31.1</v>
      </c>
      <c r="H57" s="68">
        <f t="shared" si="1"/>
        <v>238.83</v>
      </c>
      <c r="I57" s="81">
        <f>IFERROR(__xludf.DUMMYFUNCTION("IF(G57="""", """", ROUND(G57 / MAX(FILTER($G$2:$G5067, $D$2:$D5067=$D57)) * 100, 2))"),100.0)</f>
        <v>100</v>
      </c>
      <c r="J57" s="81">
        <f>IFERROR(__xludf.DUMMYFUNCTION("IF(H57="""", """", ROUND(H57 / MAX(FILTER($H$2:$H5067, $D$2:$D5067=$D57)) * 100, 2))"),85.35)</f>
        <v>85.35</v>
      </c>
      <c r="K57" s="2"/>
      <c r="L57" s="48"/>
      <c r="M57" s="48"/>
      <c r="N57" s="48"/>
      <c r="O57" s="48"/>
      <c r="P57" s="48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217</v>
      </c>
    </row>
    <row r="58">
      <c r="A58" s="63">
        <v>4.0</v>
      </c>
      <c r="B58" s="63">
        <v>5.0</v>
      </c>
      <c r="C58" s="64" t="s">
        <v>60</v>
      </c>
      <c r="D58" s="64" t="s">
        <v>61</v>
      </c>
      <c r="E58" s="64" t="s">
        <v>62</v>
      </c>
      <c r="F58" s="63">
        <v>6000.0</v>
      </c>
      <c r="G58" s="63">
        <v>30.49</v>
      </c>
      <c r="H58" s="66">
        <f t="shared" si="1"/>
        <v>255.43</v>
      </c>
      <c r="I58" s="81">
        <f>IFERROR(__xludf.DUMMYFUNCTION("IF(G58="""", """", ROUND(G58 / MAX(FILTER($G$2:$G5067, $D$2:$D5067=$D58)) * 100, 2))"),98.04)</f>
        <v>98.04</v>
      </c>
      <c r="J58" s="81">
        <f>IFERROR(__xludf.DUMMYFUNCTION("IF(H58="""", """", ROUND(H58 / MAX(FILTER($H$2:$H5067, $D$2:$D5067=$D58)) * 100, 2))"),91.29)</f>
        <v>91.29</v>
      </c>
      <c r="K58" s="2"/>
      <c r="L58" s="49"/>
      <c r="M58" s="49"/>
      <c r="N58" s="49"/>
      <c r="O58" s="49"/>
      <c r="P58" s="49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 t="s">
        <v>220</v>
      </c>
    </row>
    <row r="59">
      <c r="A59" s="69">
        <v>4.0</v>
      </c>
      <c r="B59" s="69">
        <v>5.0</v>
      </c>
      <c r="C59" s="86" t="s">
        <v>60</v>
      </c>
      <c r="D59" s="86" t="s">
        <v>61</v>
      </c>
      <c r="E59" s="86" t="s">
        <v>62</v>
      </c>
      <c r="F59" s="69">
        <v>6500.0</v>
      </c>
      <c r="G59" s="69">
        <v>29.09</v>
      </c>
      <c r="H59" s="68">
        <f t="shared" si="1"/>
        <v>264.01</v>
      </c>
      <c r="I59" s="81">
        <f>IFERROR(__xludf.DUMMYFUNCTION("IF(G59="""", """", ROUND(G59 / MAX(FILTER($G$2:$G5067, $D$2:$D5067=$D59)) * 100, 2))"),93.54)</f>
        <v>93.54</v>
      </c>
      <c r="J59" s="81">
        <f>IFERROR(__xludf.DUMMYFUNCTION("IF(H59="""", """", ROUND(H59 / MAX(FILTER($H$2:$H5067, $D$2:$D5067=$D59)) * 100, 2))"),94.35)</f>
        <v>94.35</v>
      </c>
      <c r="K59" s="2"/>
      <c r="L59" s="48"/>
      <c r="M59" s="48"/>
      <c r="N59" s="48"/>
      <c r="O59" s="48"/>
      <c r="P59" s="48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 t="s">
        <v>223</v>
      </c>
    </row>
    <row r="60">
      <c r="A60" s="63">
        <v>4.0</v>
      </c>
      <c r="B60" s="63">
        <v>5.0</v>
      </c>
      <c r="C60" s="64" t="s">
        <v>60</v>
      </c>
      <c r="D60" s="64" t="s">
        <v>61</v>
      </c>
      <c r="E60" s="64" t="s">
        <v>62</v>
      </c>
      <c r="F60" s="63">
        <v>7000.0</v>
      </c>
      <c r="G60" s="63">
        <v>28.16</v>
      </c>
      <c r="H60" s="66">
        <f t="shared" si="1"/>
        <v>275.23</v>
      </c>
      <c r="I60" s="81">
        <f>IFERROR(__xludf.DUMMYFUNCTION("IF(G60="""", """", ROUND(G60 / MAX(FILTER($G$2:$G5067, $D$2:$D5067=$D60)) * 100, 2))"),90.55)</f>
        <v>90.55</v>
      </c>
      <c r="J60" s="81">
        <f>IFERROR(__xludf.DUMMYFUNCTION("IF(H60="""", """", ROUND(H60 / MAX(FILTER($H$2:$H5067, $D$2:$D5067=$D60)) * 100, 2))"),98.36)</f>
        <v>98.36</v>
      </c>
      <c r="K60" s="2"/>
      <c r="L60" s="49"/>
      <c r="M60" s="49"/>
      <c r="N60" s="49"/>
      <c r="O60" s="49" t="str">
        <f t="shared" ref="O60:O5065" si="2">IF(M60="","",M60/MAX($M$3:$M5067))</f>
        <v/>
      </c>
      <c r="P60" s="49" t="str">
        <f t="shared" ref="P60:P5065" si="3">IF(N60="","",N60/MAX($N$3:$N5067))</f>
        <v/>
      </c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 t="s">
        <v>226</v>
      </c>
    </row>
    <row r="61">
      <c r="A61" s="69">
        <v>4.0</v>
      </c>
      <c r="B61" s="69">
        <v>5.0</v>
      </c>
      <c r="C61" s="86" t="s">
        <v>60</v>
      </c>
      <c r="D61" s="86" t="s">
        <v>61</v>
      </c>
      <c r="E61" s="86" t="s">
        <v>62</v>
      </c>
      <c r="F61" s="69">
        <v>7500.0</v>
      </c>
      <c r="G61" s="69">
        <v>26.72</v>
      </c>
      <c r="H61" s="68">
        <f t="shared" si="1"/>
        <v>279.81</v>
      </c>
      <c r="I61" s="81">
        <f>IFERROR(__xludf.DUMMYFUNCTION("IF(G61="""", """", ROUND(G61 / MAX(FILTER($G$2:$G5067, $D$2:$D5067=$D61)) * 100, 2))"),85.92)</f>
        <v>85.92</v>
      </c>
      <c r="J61" s="81">
        <f>IFERROR(__xludf.DUMMYFUNCTION("IF(H61="""", """", ROUND(H61 / MAX(FILTER($H$2:$H5067, $D$2:$D5067=$D61)) * 100, 2))"),100.0)</f>
        <v>100</v>
      </c>
      <c r="K61" s="2"/>
      <c r="L61" s="48"/>
      <c r="M61" s="48"/>
      <c r="N61" s="48"/>
      <c r="O61" s="48" t="str">
        <f t="shared" si="2"/>
        <v/>
      </c>
      <c r="P61" s="48" t="str">
        <f t="shared" si="3"/>
        <v/>
      </c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 t="s">
        <v>229</v>
      </c>
    </row>
    <row r="62">
      <c r="A62" s="63">
        <v>4.0</v>
      </c>
      <c r="B62" s="63">
        <v>5.0</v>
      </c>
      <c r="C62" s="64" t="s">
        <v>60</v>
      </c>
      <c r="D62" s="64" t="s">
        <v>61</v>
      </c>
      <c r="E62" s="64" t="s">
        <v>62</v>
      </c>
      <c r="F62" s="63">
        <v>8000.0</v>
      </c>
      <c r="G62" s="63">
        <v>24.76</v>
      </c>
      <c r="H62" s="66">
        <f t="shared" si="1"/>
        <v>276.57</v>
      </c>
      <c r="I62" s="81">
        <f>IFERROR(__xludf.DUMMYFUNCTION("IF(G62="""", """", ROUND(G62 / MAX(FILTER($G$2:$G5067, $D$2:$D5067=$D62)) * 100, 2))"),79.61)</f>
        <v>79.61</v>
      </c>
      <c r="J62" s="81">
        <f>IFERROR(__xludf.DUMMYFUNCTION("IF(H62="""", """", ROUND(H62 / MAX(FILTER($H$2:$H5067, $D$2:$D5067=$D62)) * 100, 2))"),98.84)</f>
        <v>98.84</v>
      </c>
      <c r="K62" s="2"/>
      <c r="L62" s="49"/>
      <c r="M62" s="49"/>
      <c r="N62" s="49"/>
      <c r="O62" s="49" t="str">
        <f t="shared" si="2"/>
        <v/>
      </c>
      <c r="P62" s="49" t="str">
        <f t="shared" si="3"/>
        <v/>
      </c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 t="s">
        <v>232</v>
      </c>
    </row>
    <row r="63">
      <c r="A63" s="69">
        <v>4.0</v>
      </c>
      <c r="B63" s="69">
        <v>5.0</v>
      </c>
      <c r="C63" s="86" t="s">
        <v>60</v>
      </c>
      <c r="D63" s="86" t="s">
        <v>61</v>
      </c>
      <c r="E63" s="86" t="s">
        <v>62</v>
      </c>
      <c r="F63" s="69">
        <v>8500.0</v>
      </c>
      <c r="G63" s="69">
        <v>22.6</v>
      </c>
      <c r="H63" s="68">
        <f t="shared" si="1"/>
        <v>268.22</v>
      </c>
      <c r="I63" s="81">
        <f>IFERROR(__xludf.DUMMYFUNCTION("IF(G63="""", """", ROUND(G63 / MAX(FILTER($G$2:$G5067, $D$2:$D5067=$D63)) * 100, 2))"),72.67)</f>
        <v>72.67</v>
      </c>
      <c r="J63" s="81">
        <f>IFERROR(__xludf.DUMMYFUNCTION("IF(H63="""", """", ROUND(H63 / MAX(FILTER($H$2:$H5067, $D$2:$D5067=$D63)) * 100, 2))"),95.86)</f>
        <v>95.86</v>
      </c>
      <c r="K63" s="2"/>
      <c r="L63" s="48"/>
      <c r="M63" s="48"/>
      <c r="N63" s="48"/>
      <c r="O63" s="48" t="str">
        <f t="shared" si="2"/>
        <v/>
      </c>
      <c r="P63" s="48" t="str">
        <f t="shared" si="3"/>
        <v/>
      </c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 t="s">
        <v>235</v>
      </c>
    </row>
    <row r="64">
      <c r="A64" s="63">
        <v>4.0</v>
      </c>
      <c r="B64" s="63">
        <v>5.0</v>
      </c>
      <c r="C64" s="64" t="s">
        <v>60</v>
      </c>
      <c r="D64" s="64" t="s">
        <v>61</v>
      </c>
      <c r="E64" s="64" t="s">
        <v>62</v>
      </c>
      <c r="F64" s="63">
        <v>9000.0</v>
      </c>
      <c r="G64" s="63">
        <v>20.2</v>
      </c>
      <c r="H64" s="66">
        <f t="shared" si="1"/>
        <v>253.84</v>
      </c>
      <c r="I64" s="81">
        <f>IFERROR(__xludf.DUMMYFUNCTION("IF(G64="""", """", ROUND(G64 / MAX(FILTER($G$2:$G5067, $D$2:$D5067=$D64)) * 100, 2))"),64.95)</f>
        <v>64.95</v>
      </c>
      <c r="J64" s="81">
        <f>IFERROR(__xludf.DUMMYFUNCTION("IF(H64="""", """", ROUND(H64 / MAX(FILTER($H$2:$H5067, $D$2:$D5067=$D64)) * 100, 2))"),90.72)</f>
        <v>90.72</v>
      </c>
      <c r="K64" s="2"/>
      <c r="L64" s="49"/>
      <c r="M64" s="49"/>
      <c r="N64" s="49"/>
      <c r="O64" s="49" t="str">
        <f t="shared" si="2"/>
        <v/>
      </c>
      <c r="P64" s="49" t="str">
        <f t="shared" si="3"/>
        <v/>
      </c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 t="s">
        <v>238</v>
      </c>
    </row>
    <row r="65">
      <c r="A65" s="69">
        <v>5.0</v>
      </c>
      <c r="B65" s="69">
        <v>6.0</v>
      </c>
      <c r="C65" s="86" t="s">
        <v>63</v>
      </c>
      <c r="D65" s="86" t="s">
        <v>64</v>
      </c>
      <c r="E65" s="86" t="s">
        <v>65</v>
      </c>
      <c r="F65" s="69">
        <v>500.0</v>
      </c>
      <c r="G65" s="69">
        <v>11.01</v>
      </c>
      <c r="H65" s="68">
        <f t="shared" si="1"/>
        <v>7.69</v>
      </c>
      <c r="I65" s="81">
        <f>IFERROR(__xludf.DUMMYFUNCTION("IF(G65="""", """", ROUND(G65 / MAX(FILTER($G$2:$G5067, $D$2:$D5067=$D65)) * 100, 2))"),75.51)</f>
        <v>75.51</v>
      </c>
      <c r="J65" s="81">
        <f>IFERROR(__xludf.DUMMYFUNCTION("IF(H65="""", """", ROUND(H65 / MAX(FILTER($H$2:$H5067, $D$2:$D5067=$D65)) * 100, 2))"),6.99)</f>
        <v>6.99</v>
      </c>
      <c r="K65" s="2"/>
      <c r="L65" s="48"/>
      <c r="M65" s="48"/>
      <c r="N65" s="48"/>
      <c r="O65" s="48" t="str">
        <f t="shared" si="2"/>
        <v/>
      </c>
      <c r="P65" s="48" t="str">
        <f t="shared" si="3"/>
        <v/>
      </c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 t="s">
        <v>241</v>
      </c>
    </row>
    <row r="66">
      <c r="A66" s="63">
        <v>5.0</v>
      </c>
      <c r="B66" s="63">
        <v>6.0</v>
      </c>
      <c r="C66" s="64" t="s">
        <v>63</v>
      </c>
      <c r="D66" s="64" t="s">
        <v>64</v>
      </c>
      <c r="E66" s="64" t="s">
        <v>65</v>
      </c>
      <c r="F66" s="63">
        <v>1000.0</v>
      </c>
      <c r="G66" s="63">
        <v>11.93</v>
      </c>
      <c r="H66" s="66">
        <f t="shared" si="1"/>
        <v>16.66</v>
      </c>
      <c r="I66" s="81">
        <f>IFERROR(__xludf.DUMMYFUNCTION("IF(G66="""", """", ROUND(G66 / MAX(FILTER($G$2:$G5067, $D$2:$D5067=$D66)) * 100, 2))"),81.82)</f>
        <v>81.82</v>
      </c>
      <c r="J66" s="81">
        <f>IFERROR(__xludf.DUMMYFUNCTION("IF(H66="""", """", ROUND(H66 / MAX(FILTER($H$2:$H5067, $D$2:$D5067=$D66)) * 100, 2))"),15.13)</f>
        <v>15.13</v>
      </c>
      <c r="K66" s="2"/>
      <c r="L66" s="49"/>
      <c r="M66" s="49"/>
      <c r="N66" s="49"/>
      <c r="O66" s="49" t="str">
        <f t="shared" si="2"/>
        <v/>
      </c>
      <c r="P66" s="49" t="str">
        <f t="shared" si="3"/>
        <v/>
      </c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 t="s">
        <v>244</v>
      </c>
    </row>
    <row r="67">
      <c r="A67" s="69">
        <v>5.0</v>
      </c>
      <c r="B67" s="69">
        <v>6.0</v>
      </c>
      <c r="C67" s="86" t="s">
        <v>63</v>
      </c>
      <c r="D67" s="86" t="s">
        <v>64</v>
      </c>
      <c r="E67" s="86" t="s">
        <v>65</v>
      </c>
      <c r="F67" s="69">
        <v>1500.0</v>
      </c>
      <c r="G67" s="69">
        <v>12.54</v>
      </c>
      <c r="H67" s="68">
        <f t="shared" si="1"/>
        <v>26.26</v>
      </c>
      <c r="I67" s="81">
        <f>IFERROR(__xludf.DUMMYFUNCTION("IF(G67="""", """", ROUND(G67 / MAX(FILTER($G$2:$G5067, $D$2:$D5067=$D67)) * 100, 2))"),86.01)</f>
        <v>86.01</v>
      </c>
      <c r="J67" s="81">
        <f>IFERROR(__xludf.DUMMYFUNCTION("IF(H67="""", """", ROUND(H67 / MAX(FILTER($H$2:$H5067, $D$2:$D5067=$D67)) * 100, 2))"),23.85)</f>
        <v>23.85</v>
      </c>
      <c r="K67" s="2"/>
      <c r="L67" s="48"/>
      <c r="M67" s="48"/>
      <c r="N67" s="48"/>
      <c r="O67" s="48" t="str">
        <f t="shared" si="2"/>
        <v/>
      </c>
      <c r="P67" s="48" t="str">
        <f t="shared" si="3"/>
        <v/>
      </c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 t="s">
        <v>247</v>
      </c>
    </row>
    <row r="68">
      <c r="A68" s="63">
        <v>5.0</v>
      </c>
      <c r="B68" s="63">
        <v>6.0</v>
      </c>
      <c r="C68" s="64" t="s">
        <v>63</v>
      </c>
      <c r="D68" s="64" t="s">
        <v>64</v>
      </c>
      <c r="E68" s="64" t="s">
        <v>65</v>
      </c>
      <c r="F68" s="63">
        <v>2000.0</v>
      </c>
      <c r="G68" s="63">
        <v>12.95</v>
      </c>
      <c r="H68" s="66">
        <f t="shared" si="1"/>
        <v>36.16</v>
      </c>
      <c r="I68" s="81">
        <f>IFERROR(__xludf.DUMMYFUNCTION("IF(G68="""", """", ROUND(G68 / MAX(FILTER($G$2:$G5067, $D$2:$D5067=$D68)) * 100, 2))"),88.82)</f>
        <v>88.82</v>
      </c>
      <c r="J68" s="81">
        <f>IFERROR(__xludf.DUMMYFUNCTION("IF(H68="""", """", ROUND(H68 / MAX(FILTER($H$2:$H5067, $D$2:$D5067=$D68)) * 100, 2))"),32.85)</f>
        <v>32.85</v>
      </c>
      <c r="K68" s="2"/>
      <c r="L68" s="49"/>
      <c r="M68" s="49"/>
      <c r="N68" s="49"/>
      <c r="O68" s="49" t="str">
        <f t="shared" si="2"/>
        <v/>
      </c>
      <c r="P68" s="49" t="str">
        <f t="shared" si="3"/>
        <v/>
      </c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 t="s">
        <v>250</v>
      </c>
    </row>
    <row r="69">
      <c r="A69" s="69">
        <v>5.0</v>
      </c>
      <c r="B69" s="69">
        <v>6.0</v>
      </c>
      <c r="C69" s="86" t="s">
        <v>63</v>
      </c>
      <c r="D69" s="86" t="s">
        <v>64</v>
      </c>
      <c r="E69" s="86" t="s">
        <v>65</v>
      </c>
      <c r="F69" s="69">
        <v>2500.0</v>
      </c>
      <c r="G69" s="69">
        <v>13.15</v>
      </c>
      <c r="H69" s="68">
        <f t="shared" si="1"/>
        <v>45.9</v>
      </c>
      <c r="I69" s="81">
        <f>IFERROR(__xludf.DUMMYFUNCTION("IF(G69="""", """", ROUND(G69 / MAX(FILTER($G$2:$G5067, $D$2:$D5067=$D69)) * 100, 2))"),90.19)</f>
        <v>90.19</v>
      </c>
      <c r="J69" s="81">
        <f>IFERROR(__xludf.DUMMYFUNCTION("IF(H69="""", """", ROUND(H69 / MAX(FILTER($H$2:$H5067, $D$2:$D5067=$D69)) * 100, 2))"),41.69)</f>
        <v>41.69</v>
      </c>
      <c r="K69" s="2"/>
      <c r="L69" s="48"/>
      <c r="M69" s="48"/>
      <c r="N69" s="48"/>
      <c r="O69" s="48" t="str">
        <f t="shared" si="2"/>
        <v/>
      </c>
      <c r="P69" s="48" t="str">
        <f t="shared" si="3"/>
        <v/>
      </c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 t="s">
        <v>253</v>
      </c>
    </row>
    <row r="70">
      <c r="A70" s="63">
        <v>5.0</v>
      </c>
      <c r="B70" s="63">
        <v>6.0</v>
      </c>
      <c r="C70" s="64" t="s">
        <v>63</v>
      </c>
      <c r="D70" s="64" t="s">
        <v>64</v>
      </c>
      <c r="E70" s="64" t="s">
        <v>65</v>
      </c>
      <c r="F70" s="63">
        <v>3000.0</v>
      </c>
      <c r="G70" s="63">
        <v>13.66</v>
      </c>
      <c r="H70" s="66">
        <f t="shared" si="1"/>
        <v>57.22</v>
      </c>
      <c r="I70" s="81">
        <f>IFERROR(__xludf.DUMMYFUNCTION("IF(G70="""", """", ROUND(G70 / MAX(FILTER($G$2:$G5067, $D$2:$D5067=$D70)) * 100, 2))"),93.69)</f>
        <v>93.69</v>
      </c>
      <c r="J70" s="81">
        <f>IFERROR(__xludf.DUMMYFUNCTION("IF(H70="""", """", ROUND(H70 / MAX(FILTER($H$2:$H5067, $D$2:$D5067=$D70)) * 100, 2))"),51.98)</f>
        <v>51.98</v>
      </c>
      <c r="K70" s="2"/>
      <c r="L70" s="49"/>
      <c r="M70" s="49"/>
      <c r="N70" s="49"/>
      <c r="O70" s="49" t="str">
        <f t="shared" si="2"/>
        <v/>
      </c>
      <c r="P70" s="49" t="str">
        <f t="shared" si="3"/>
        <v/>
      </c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 t="s">
        <v>256</v>
      </c>
    </row>
    <row r="71">
      <c r="A71" s="69">
        <v>5.0</v>
      </c>
      <c r="B71" s="69">
        <v>6.0</v>
      </c>
      <c r="C71" s="86" t="s">
        <v>63</v>
      </c>
      <c r="D71" s="86" t="s">
        <v>64</v>
      </c>
      <c r="E71" s="86" t="s">
        <v>65</v>
      </c>
      <c r="F71" s="69">
        <v>3500.0</v>
      </c>
      <c r="G71" s="69">
        <v>14.38</v>
      </c>
      <c r="H71" s="68">
        <f t="shared" si="1"/>
        <v>70.27</v>
      </c>
      <c r="I71" s="81">
        <f>IFERROR(__xludf.DUMMYFUNCTION("IF(G71="""", """", ROUND(G71 / MAX(FILTER($G$2:$G5067, $D$2:$D5067=$D71)) * 100, 2))"),98.63)</f>
        <v>98.63</v>
      </c>
      <c r="J71" s="81">
        <f>IFERROR(__xludf.DUMMYFUNCTION("IF(H71="""", """", ROUND(H71 / MAX(FILTER($H$2:$H5067, $D$2:$D5067=$D71)) * 100, 2))"),63.83)</f>
        <v>63.83</v>
      </c>
      <c r="K71" s="2"/>
      <c r="L71" s="48"/>
      <c r="M71" s="48"/>
      <c r="N71" s="48"/>
      <c r="O71" s="48" t="str">
        <f t="shared" si="2"/>
        <v/>
      </c>
      <c r="P71" s="48" t="str">
        <f t="shared" si="3"/>
        <v/>
      </c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 t="s">
        <v>259</v>
      </c>
    </row>
    <row r="72">
      <c r="A72" s="63">
        <v>5.0</v>
      </c>
      <c r="B72" s="63">
        <v>6.0</v>
      </c>
      <c r="C72" s="64" t="s">
        <v>63</v>
      </c>
      <c r="D72" s="64" t="s">
        <v>64</v>
      </c>
      <c r="E72" s="64" t="s">
        <v>65</v>
      </c>
      <c r="F72" s="63">
        <v>4000.0</v>
      </c>
      <c r="G72" s="63">
        <v>14.58</v>
      </c>
      <c r="H72" s="66">
        <f t="shared" si="1"/>
        <v>81.43</v>
      </c>
      <c r="I72" s="81">
        <f>IFERROR(__xludf.DUMMYFUNCTION("IF(G72="""", """", ROUND(G72 / MAX(FILTER($G$2:$G5067, $D$2:$D5067=$D72)) * 100, 2))"),100.0)</f>
        <v>100</v>
      </c>
      <c r="J72" s="81">
        <f>IFERROR(__xludf.DUMMYFUNCTION("IF(H72="""", """", ROUND(H72 / MAX(FILTER($H$2:$H5067, $D$2:$D5067=$D72)) * 100, 2))"),73.97)</f>
        <v>73.97</v>
      </c>
      <c r="K72" s="2"/>
      <c r="L72" s="49"/>
      <c r="M72" s="49"/>
      <c r="N72" s="49"/>
      <c r="O72" s="49" t="str">
        <f t="shared" si="2"/>
        <v/>
      </c>
      <c r="P72" s="49" t="str">
        <f t="shared" si="3"/>
        <v/>
      </c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 t="s">
        <v>262</v>
      </c>
    </row>
    <row r="73">
      <c r="A73" s="69">
        <v>5.0</v>
      </c>
      <c r="B73" s="69">
        <v>6.0</v>
      </c>
      <c r="C73" s="86" t="s">
        <v>63</v>
      </c>
      <c r="D73" s="86" t="s">
        <v>64</v>
      </c>
      <c r="E73" s="86" t="s">
        <v>65</v>
      </c>
      <c r="F73" s="69">
        <v>4500.0</v>
      </c>
      <c r="G73" s="69">
        <v>14.48</v>
      </c>
      <c r="H73" s="68">
        <f t="shared" si="1"/>
        <v>90.98</v>
      </c>
      <c r="I73" s="81">
        <f>IFERROR(__xludf.DUMMYFUNCTION("IF(G73="""", """", ROUND(G73 / MAX(FILTER($G$2:$G5067, $D$2:$D5067=$D73)) * 100, 2))"),99.31)</f>
        <v>99.31</v>
      </c>
      <c r="J73" s="81">
        <f>IFERROR(__xludf.DUMMYFUNCTION("IF(H73="""", """", ROUND(H73 / MAX(FILTER($H$2:$H5067, $D$2:$D5067=$D73)) * 100, 2))"),82.64)</f>
        <v>82.64</v>
      </c>
      <c r="K73" s="2"/>
      <c r="L73" s="48"/>
      <c r="M73" s="48"/>
      <c r="N73" s="48"/>
      <c r="O73" s="48" t="str">
        <f t="shared" si="2"/>
        <v/>
      </c>
      <c r="P73" s="48" t="str">
        <f t="shared" si="3"/>
        <v/>
      </c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 t="s">
        <v>265</v>
      </c>
    </row>
    <row r="74">
      <c r="A74" s="63">
        <v>5.0</v>
      </c>
      <c r="B74" s="63">
        <v>6.0</v>
      </c>
      <c r="C74" s="64" t="s">
        <v>63</v>
      </c>
      <c r="D74" s="64" t="s">
        <v>64</v>
      </c>
      <c r="E74" s="64" t="s">
        <v>65</v>
      </c>
      <c r="F74" s="63">
        <v>5000.0</v>
      </c>
      <c r="G74" s="63">
        <v>14.07</v>
      </c>
      <c r="H74" s="66">
        <f t="shared" si="1"/>
        <v>98.23</v>
      </c>
      <c r="I74" s="81">
        <f>IFERROR(__xludf.DUMMYFUNCTION("IF(G74="""", """", ROUND(G74 / MAX(FILTER($G$2:$G5067, $D$2:$D5067=$D74)) * 100, 2))"),96.5)</f>
        <v>96.5</v>
      </c>
      <c r="J74" s="81">
        <f>IFERROR(__xludf.DUMMYFUNCTION("IF(H74="""", """", ROUND(H74 / MAX(FILTER($H$2:$H5067, $D$2:$D5067=$D74)) * 100, 2))"),89.23)</f>
        <v>89.23</v>
      </c>
      <c r="K74" s="2"/>
      <c r="L74" s="49"/>
      <c r="M74" s="49"/>
      <c r="N74" s="49"/>
      <c r="O74" s="49" t="str">
        <f t="shared" si="2"/>
        <v/>
      </c>
      <c r="P74" s="49" t="str">
        <f t="shared" si="3"/>
        <v/>
      </c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 t="s">
        <v>268</v>
      </c>
    </row>
    <row r="75">
      <c r="A75" s="69">
        <v>5.0</v>
      </c>
      <c r="B75" s="69">
        <v>6.0</v>
      </c>
      <c r="C75" s="86" t="s">
        <v>63</v>
      </c>
      <c r="D75" s="86" t="s">
        <v>64</v>
      </c>
      <c r="E75" s="86" t="s">
        <v>65</v>
      </c>
      <c r="F75" s="69">
        <v>5500.0</v>
      </c>
      <c r="G75" s="69">
        <v>13.66</v>
      </c>
      <c r="H75" s="68">
        <f t="shared" si="1"/>
        <v>104.9</v>
      </c>
      <c r="I75" s="81">
        <f>IFERROR(__xludf.DUMMYFUNCTION("IF(G75="""", """", ROUND(G75 / MAX(FILTER($G$2:$G5067, $D$2:$D5067=$D75)) * 100, 2))"),93.69)</f>
        <v>93.69</v>
      </c>
      <c r="J75" s="81">
        <f>IFERROR(__xludf.DUMMYFUNCTION("IF(H75="""", """", ROUND(H75 / MAX(FILTER($H$2:$H5067, $D$2:$D5067=$D75)) * 100, 2))"),95.29)</f>
        <v>95.29</v>
      </c>
      <c r="K75" s="2"/>
      <c r="L75" s="48"/>
      <c r="M75" s="48"/>
      <c r="N75" s="48"/>
      <c r="O75" s="48" t="str">
        <f t="shared" si="2"/>
        <v/>
      </c>
      <c r="P75" s="48" t="str">
        <f t="shared" si="3"/>
        <v/>
      </c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 t="s">
        <v>271</v>
      </c>
    </row>
    <row r="76">
      <c r="A76" s="63">
        <v>5.0</v>
      </c>
      <c r="B76" s="63">
        <v>6.0</v>
      </c>
      <c r="C76" s="64" t="s">
        <v>63</v>
      </c>
      <c r="D76" s="64" t="s">
        <v>64</v>
      </c>
      <c r="E76" s="64" t="s">
        <v>65</v>
      </c>
      <c r="F76" s="63">
        <v>6000.0</v>
      </c>
      <c r="G76" s="63">
        <v>13.05</v>
      </c>
      <c r="H76" s="66">
        <f t="shared" si="1"/>
        <v>109.33</v>
      </c>
      <c r="I76" s="81">
        <f>IFERROR(__xludf.DUMMYFUNCTION("IF(G76="""", """", ROUND(G76 / MAX(FILTER($G$2:$G5067, $D$2:$D5067=$D76)) * 100, 2))"),89.51)</f>
        <v>89.51</v>
      </c>
      <c r="J76" s="81">
        <f>IFERROR(__xludf.DUMMYFUNCTION("IF(H76="""", """", ROUND(H76 / MAX(FILTER($H$2:$H5067, $D$2:$D5067=$D76)) * 100, 2))"),99.31)</f>
        <v>99.31</v>
      </c>
      <c r="K76" s="2"/>
      <c r="L76" s="49"/>
      <c r="M76" s="49"/>
      <c r="N76" s="49"/>
      <c r="O76" s="49" t="str">
        <f t="shared" si="2"/>
        <v/>
      </c>
      <c r="P76" s="49" t="str">
        <f t="shared" si="3"/>
        <v/>
      </c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 t="s">
        <v>274</v>
      </c>
    </row>
    <row r="77">
      <c r="A77" s="69">
        <v>5.0</v>
      </c>
      <c r="B77" s="69">
        <v>6.0</v>
      </c>
      <c r="C77" s="86" t="s">
        <v>63</v>
      </c>
      <c r="D77" s="86" t="s">
        <v>64</v>
      </c>
      <c r="E77" s="86" t="s">
        <v>65</v>
      </c>
      <c r="F77" s="69">
        <v>6500.0</v>
      </c>
      <c r="G77" s="69">
        <v>12.13</v>
      </c>
      <c r="H77" s="68">
        <f t="shared" si="1"/>
        <v>110.09</v>
      </c>
      <c r="I77" s="81">
        <f>IFERROR(__xludf.DUMMYFUNCTION("IF(G77="""", """", ROUND(G77 / MAX(FILTER($G$2:$G5067, $D$2:$D5067=$D77)) * 100, 2))"),83.2)</f>
        <v>83.2</v>
      </c>
      <c r="J77" s="81">
        <f>IFERROR(__xludf.DUMMYFUNCTION("IF(H77="""", """", ROUND(H77 / MAX(FILTER($H$2:$H5067, $D$2:$D5067=$D77)) * 100, 2))"),100.0)</f>
        <v>100</v>
      </c>
      <c r="K77" s="2"/>
      <c r="L77" s="48"/>
      <c r="M77" s="48"/>
      <c r="N77" s="48"/>
      <c r="O77" s="48" t="str">
        <f t="shared" si="2"/>
        <v/>
      </c>
      <c r="P77" s="48" t="str">
        <f t="shared" si="3"/>
        <v/>
      </c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 t="s">
        <v>277</v>
      </c>
    </row>
    <row r="78">
      <c r="A78" s="63">
        <v>5.0</v>
      </c>
      <c r="B78" s="63">
        <v>6.0</v>
      </c>
      <c r="C78" s="64" t="s">
        <v>63</v>
      </c>
      <c r="D78" s="64" t="s">
        <v>64</v>
      </c>
      <c r="E78" s="64" t="s">
        <v>65</v>
      </c>
      <c r="F78" s="63">
        <v>7000.0</v>
      </c>
      <c r="G78" s="63">
        <v>10.91</v>
      </c>
      <c r="H78" s="66">
        <f t="shared" si="1"/>
        <v>106.63</v>
      </c>
      <c r="I78" s="81">
        <f>IFERROR(__xludf.DUMMYFUNCTION("IF(G78="""", """", ROUND(G78 / MAX(FILTER($G$2:$G5067, $D$2:$D5067=$D78)) * 100, 2))"),74.83)</f>
        <v>74.83</v>
      </c>
      <c r="J78" s="81">
        <f>IFERROR(__xludf.DUMMYFUNCTION("IF(H78="""", """", ROUND(H78 / MAX(FILTER($H$2:$H5067, $D$2:$D5067=$D78)) * 100, 2))"),96.86)</f>
        <v>96.86</v>
      </c>
      <c r="K78" s="2"/>
      <c r="L78" s="49"/>
      <c r="M78" s="49"/>
      <c r="N78" s="49"/>
      <c r="O78" s="49" t="str">
        <f t="shared" si="2"/>
        <v/>
      </c>
      <c r="P78" s="49" t="str">
        <f t="shared" si="3"/>
        <v/>
      </c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 t="s">
        <v>280</v>
      </c>
    </row>
    <row r="79">
      <c r="A79" s="69">
        <v>6.0</v>
      </c>
      <c r="B79" s="69">
        <v>7.0</v>
      </c>
      <c r="C79" s="86" t="s">
        <v>66</v>
      </c>
      <c r="D79" s="86" t="s">
        <v>67</v>
      </c>
      <c r="E79" s="86" t="s">
        <v>68</v>
      </c>
      <c r="F79" s="69">
        <v>500.0</v>
      </c>
      <c r="G79" s="69">
        <v>11.45</v>
      </c>
      <c r="H79" s="68">
        <f t="shared" si="1"/>
        <v>7.99</v>
      </c>
      <c r="I79" s="81">
        <f>IFERROR(__xludf.DUMMYFUNCTION("IF(G79="""", """", ROUND(G79 / MAX(FILTER($G$2:$G5067, $D$2:$D5067=$D79)) * 100, 2))"),63.61)</f>
        <v>63.61</v>
      </c>
      <c r="J79" s="81">
        <f>IFERROR(__xludf.DUMMYFUNCTION("IF(H79="""", """", ROUND(H79 / MAX(FILTER($H$2:$H5067, $D$2:$D5067=$D79)) * 100, 2))"),5.27)</f>
        <v>5.27</v>
      </c>
      <c r="K79" s="2"/>
      <c r="L79" s="48"/>
      <c r="M79" s="48"/>
      <c r="N79" s="48"/>
      <c r="O79" s="48" t="str">
        <f t="shared" si="2"/>
        <v/>
      </c>
      <c r="P79" s="48" t="str">
        <f t="shared" si="3"/>
        <v/>
      </c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 t="s">
        <v>283</v>
      </c>
    </row>
    <row r="80">
      <c r="A80" s="63">
        <v>6.0</v>
      </c>
      <c r="B80" s="63">
        <v>7.0</v>
      </c>
      <c r="C80" s="64" t="s">
        <v>66</v>
      </c>
      <c r="D80" s="64" t="s">
        <v>67</v>
      </c>
      <c r="E80" s="64" t="s">
        <v>68</v>
      </c>
      <c r="F80" s="63">
        <v>1000.0</v>
      </c>
      <c r="G80" s="63">
        <v>12.4</v>
      </c>
      <c r="H80" s="66">
        <f t="shared" si="1"/>
        <v>17.31</v>
      </c>
      <c r="I80" s="81">
        <f>IFERROR(__xludf.DUMMYFUNCTION("IF(G80="""", """", ROUND(G80 / MAX(FILTER($G$2:$G5067, $D$2:$D5067=$D80)) * 100, 2))"),68.89)</f>
        <v>68.89</v>
      </c>
      <c r="J80" s="81">
        <f>IFERROR(__xludf.DUMMYFUNCTION("IF(H80="""", """", ROUND(H80 / MAX(FILTER($H$2:$H5067, $D$2:$D5067=$D80)) * 100, 2))"),11.43)</f>
        <v>11.43</v>
      </c>
      <c r="K80" s="2"/>
      <c r="L80" s="49"/>
      <c r="M80" s="49"/>
      <c r="N80" s="49"/>
      <c r="O80" s="49" t="str">
        <f t="shared" si="2"/>
        <v/>
      </c>
      <c r="P80" s="49" t="str">
        <f t="shared" si="3"/>
        <v/>
      </c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 t="s">
        <v>286</v>
      </c>
    </row>
    <row r="81">
      <c r="A81" s="69">
        <v>6.0</v>
      </c>
      <c r="B81" s="69">
        <v>7.0</v>
      </c>
      <c r="C81" s="86" t="s">
        <v>66</v>
      </c>
      <c r="D81" s="86" t="s">
        <v>67</v>
      </c>
      <c r="E81" s="86" t="s">
        <v>68</v>
      </c>
      <c r="F81" s="69">
        <v>1500.0</v>
      </c>
      <c r="G81" s="69">
        <v>13.0</v>
      </c>
      <c r="H81" s="68">
        <f t="shared" si="1"/>
        <v>27.23</v>
      </c>
      <c r="I81" s="81">
        <f>IFERROR(__xludf.DUMMYFUNCTION("IF(G81="""", """", ROUND(G81 / MAX(FILTER($G$2:$G5067, $D$2:$D5067=$D81)) * 100, 2))"),72.22)</f>
        <v>72.22</v>
      </c>
      <c r="J81" s="81">
        <f>IFERROR(__xludf.DUMMYFUNCTION("IF(H81="""", """", ROUND(H81 / MAX(FILTER($H$2:$H5067, $D$2:$D5067=$D81)) * 100, 2))"),17.97)</f>
        <v>17.97</v>
      </c>
      <c r="K81" s="2"/>
      <c r="L81" s="48"/>
      <c r="M81" s="48"/>
      <c r="N81" s="48"/>
      <c r="O81" s="48" t="str">
        <f t="shared" si="2"/>
        <v/>
      </c>
      <c r="P81" s="48" t="str">
        <f t="shared" si="3"/>
        <v/>
      </c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 t="s">
        <v>289</v>
      </c>
    </row>
    <row r="82">
      <c r="A82" s="63">
        <v>6.0</v>
      </c>
      <c r="B82" s="63">
        <v>7.0</v>
      </c>
      <c r="C82" s="64" t="s">
        <v>66</v>
      </c>
      <c r="D82" s="64" t="s">
        <v>67</v>
      </c>
      <c r="E82" s="64" t="s">
        <v>68</v>
      </c>
      <c r="F82" s="63">
        <v>2000.0</v>
      </c>
      <c r="G82" s="63">
        <v>13.8</v>
      </c>
      <c r="H82" s="66">
        <f t="shared" si="1"/>
        <v>38.54</v>
      </c>
      <c r="I82" s="81">
        <f>IFERROR(__xludf.DUMMYFUNCTION("IF(G82="""", """", ROUND(G82 / MAX(FILTER($G$2:$G5067, $D$2:$D5067=$D82)) * 100, 2))"),76.67)</f>
        <v>76.67</v>
      </c>
      <c r="J82" s="81">
        <f>IFERROR(__xludf.DUMMYFUNCTION("IF(H82="""", """", ROUND(H82 / MAX(FILTER($H$2:$H5067, $D$2:$D5067=$D82)) * 100, 2))"),25.44)</f>
        <v>25.44</v>
      </c>
      <c r="K82" s="2"/>
      <c r="L82" s="49"/>
      <c r="M82" s="49"/>
      <c r="N82" s="49"/>
      <c r="O82" s="49" t="str">
        <f t="shared" si="2"/>
        <v/>
      </c>
      <c r="P82" s="49" t="str">
        <f t="shared" si="3"/>
        <v/>
      </c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 t="s">
        <v>292</v>
      </c>
    </row>
    <row r="83">
      <c r="A83" s="69">
        <v>6.0</v>
      </c>
      <c r="B83" s="69">
        <v>7.0</v>
      </c>
      <c r="C83" s="86" t="s">
        <v>66</v>
      </c>
      <c r="D83" s="86" t="s">
        <v>67</v>
      </c>
      <c r="E83" s="86" t="s">
        <v>68</v>
      </c>
      <c r="F83" s="69">
        <v>2500.0</v>
      </c>
      <c r="G83" s="69">
        <v>15.0</v>
      </c>
      <c r="H83" s="68">
        <f t="shared" si="1"/>
        <v>52.36</v>
      </c>
      <c r="I83" s="81">
        <f>IFERROR(__xludf.DUMMYFUNCTION("IF(G83="""", """", ROUND(G83 / MAX(FILTER($G$2:$G5067, $D$2:$D5067=$D83)) * 100, 2))"),83.33)</f>
        <v>83.33</v>
      </c>
      <c r="J83" s="81">
        <f>IFERROR(__xludf.DUMMYFUNCTION("IF(H83="""", """", ROUND(H83 / MAX(FILTER($H$2:$H5067, $D$2:$D5067=$D83)) * 100, 2))"),34.56)</f>
        <v>34.56</v>
      </c>
      <c r="K83" s="2"/>
      <c r="L83" s="48"/>
      <c r="M83" s="48"/>
      <c r="N83" s="48"/>
      <c r="O83" s="48" t="str">
        <f t="shared" si="2"/>
        <v/>
      </c>
      <c r="P83" s="48" t="str">
        <f t="shared" si="3"/>
        <v/>
      </c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 t="s">
        <v>295</v>
      </c>
    </row>
    <row r="84">
      <c r="A84" s="63">
        <v>6.0</v>
      </c>
      <c r="B84" s="63">
        <v>7.0</v>
      </c>
      <c r="C84" s="64" t="s">
        <v>66</v>
      </c>
      <c r="D84" s="64" t="s">
        <v>67</v>
      </c>
      <c r="E84" s="64" t="s">
        <v>68</v>
      </c>
      <c r="F84" s="63">
        <v>3000.0</v>
      </c>
      <c r="G84" s="63">
        <v>16.0</v>
      </c>
      <c r="H84" s="66">
        <f t="shared" si="1"/>
        <v>67.02</v>
      </c>
      <c r="I84" s="81">
        <f>IFERROR(__xludf.DUMMYFUNCTION("IF(G84="""", """", ROUND(G84 / MAX(FILTER($G$2:$G5067, $D$2:$D5067=$D84)) * 100, 2))"),88.89)</f>
        <v>88.89</v>
      </c>
      <c r="J84" s="81">
        <f>IFERROR(__xludf.DUMMYFUNCTION("IF(H84="""", """", ROUND(H84 / MAX(FILTER($H$2:$H5067, $D$2:$D5067=$D84)) * 100, 2))"),44.24)</f>
        <v>44.24</v>
      </c>
      <c r="K84" s="2"/>
      <c r="L84" s="49"/>
      <c r="M84" s="49"/>
      <c r="N84" s="49"/>
      <c r="O84" s="49" t="str">
        <f t="shared" si="2"/>
        <v/>
      </c>
      <c r="P84" s="49" t="str">
        <f t="shared" si="3"/>
        <v/>
      </c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 t="s">
        <v>298</v>
      </c>
    </row>
    <row r="85">
      <c r="A85" s="69">
        <v>6.0</v>
      </c>
      <c r="B85" s="69">
        <v>7.0</v>
      </c>
      <c r="C85" s="86" t="s">
        <v>66</v>
      </c>
      <c r="D85" s="86" t="s">
        <v>67</v>
      </c>
      <c r="E85" s="86" t="s">
        <v>68</v>
      </c>
      <c r="F85" s="69">
        <v>3500.0</v>
      </c>
      <c r="G85" s="69">
        <v>16.9</v>
      </c>
      <c r="H85" s="68">
        <f t="shared" si="1"/>
        <v>82.59</v>
      </c>
      <c r="I85" s="81">
        <f>IFERROR(__xludf.DUMMYFUNCTION("IF(G85="""", """", ROUND(G85 / MAX(FILTER($G$2:$G5067, $D$2:$D5067=$D85)) * 100, 2))"),93.89)</f>
        <v>93.89</v>
      </c>
      <c r="J85" s="81">
        <f>IFERROR(__xludf.DUMMYFUNCTION("IF(H85="""", """", ROUND(H85 / MAX(FILTER($H$2:$H5067, $D$2:$D5067=$D85)) * 100, 2))"),54.52)</f>
        <v>54.52</v>
      </c>
      <c r="K85" s="2"/>
      <c r="L85" s="48"/>
      <c r="M85" s="48"/>
      <c r="N85" s="48"/>
      <c r="O85" s="48" t="str">
        <f t="shared" si="2"/>
        <v/>
      </c>
      <c r="P85" s="48" t="str">
        <f t="shared" si="3"/>
        <v/>
      </c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 t="s">
        <v>301</v>
      </c>
    </row>
    <row r="86">
      <c r="A86" s="63">
        <v>6.0</v>
      </c>
      <c r="B86" s="63">
        <v>7.0</v>
      </c>
      <c r="C86" s="64" t="s">
        <v>66</v>
      </c>
      <c r="D86" s="64" t="s">
        <v>67</v>
      </c>
      <c r="E86" s="64" t="s">
        <v>68</v>
      </c>
      <c r="F86" s="63">
        <v>4000.0</v>
      </c>
      <c r="G86" s="63">
        <v>17.8</v>
      </c>
      <c r="H86" s="66">
        <f t="shared" si="1"/>
        <v>99.41</v>
      </c>
      <c r="I86" s="81">
        <f>IFERROR(__xludf.DUMMYFUNCTION("IF(G86="""", """", ROUND(G86 / MAX(FILTER($G$2:$G5067, $D$2:$D5067=$D86)) * 100, 2))"),98.89)</f>
        <v>98.89</v>
      </c>
      <c r="J86" s="81">
        <f>IFERROR(__xludf.DUMMYFUNCTION("IF(H86="""", """", ROUND(H86 / MAX(FILTER($H$2:$H5067, $D$2:$D5067=$D86)) * 100, 2))"),65.62)</f>
        <v>65.62</v>
      </c>
      <c r="K86" s="2"/>
      <c r="L86" s="49"/>
      <c r="M86" s="49"/>
      <c r="N86" s="49"/>
      <c r="O86" s="49" t="str">
        <f t="shared" si="2"/>
        <v/>
      </c>
      <c r="P86" s="49" t="str">
        <f t="shared" si="3"/>
        <v/>
      </c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 t="s">
        <v>304</v>
      </c>
    </row>
    <row r="87">
      <c r="A87" s="69">
        <v>6.0</v>
      </c>
      <c r="B87" s="69">
        <v>7.0</v>
      </c>
      <c r="C87" s="86" t="s">
        <v>66</v>
      </c>
      <c r="D87" s="86" t="s">
        <v>67</v>
      </c>
      <c r="E87" s="86" t="s">
        <v>68</v>
      </c>
      <c r="F87" s="69">
        <v>4500.0</v>
      </c>
      <c r="G87" s="69">
        <v>17.9</v>
      </c>
      <c r="H87" s="68">
        <f t="shared" si="1"/>
        <v>112.47</v>
      </c>
      <c r="I87" s="81">
        <f>IFERROR(__xludf.DUMMYFUNCTION("IF(G87="""", """", ROUND(G87 / MAX(FILTER($G$2:$G5067, $D$2:$D5067=$D87)) * 100, 2))"),99.44)</f>
        <v>99.44</v>
      </c>
      <c r="J87" s="81">
        <f>IFERROR(__xludf.DUMMYFUNCTION("IF(H87="""", """", ROUND(H87 / MAX(FILTER($H$2:$H5067, $D$2:$D5067=$D87)) * 100, 2))"),74.24)</f>
        <v>74.24</v>
      </c>
      <c r="K87" s="2"/>
      <c r="L87" s="48"/>
      <c r="M87" s="48"/>
      <c r="N87" s="48"/>
      <c r="O87" s="48" t="str">
        <f t="shared" si="2"/>
        <v/>
      </c>
      <c r="P87" s="48" t="str">
        <f t="shared" si="3"/>
        <v/>
      </c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 t="s">
        <v>307</v>
      </c>
    </row>
    <row r="88">
      <c r="A88" s="63">
        <v>6.0</v>
      </c>
      <c r="B88" s="63">
        <v>7.0</v>
      </c>
      <c r="C88" s="64" t="s">
        <v>66</v>
      </c>
      <c r="D88" s="64" t="s">
        <v>67</v>
      </c>
      <c r="E88" s="64" t="s">
        <v>68</v>
      </c>
      <c r="F88" s="63">
        <v>5000.0</v>
      </c>
      <c r="G88" s="63">
        <v>18.0</v>
      </c>
      <c r="H88" s="66">
        <f t="shared" si="1"/>
        <v>125.66</v>
      </c>
      <c r="I88" s="81">
        <f>IFERROR(__xludf.DUMMYFUNCTION("IF(G88="""", """", ROUND(G88 / MAX(FILTER($G$2:$G5067, $D$2:$D5067=$D88)) * 100, 2))"),100.0)</f>
        <v>100</v>
      </c>
      <c r="J88" s="81">
        <f>IFERROR(__xludf.DUMMYFUNCTION("IF(H88="""", """", ROUND(H88 / MAX(FILTER($H$2:$H5067, $D$2:$D5067=$D88)) * 100, 2))"),82.95)</f>
        <v>82.95</v>
      </c>
      <c r="K88" s="2"/>
      <c r="L88" s="49"/>
      <c r="M88" s="49"/>
      <c r="N88" s="49"/>
      <c r="O88" s="49" t="str">
        <f t="shared" si="2"/>
        <v/>
      </c>
      <c r="P88" s="49" t="str">
        <f t="shared" si="3"/>
        <v/>
      </c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 t="s">
        <v>310</v>
      </c>
    </row>
    <row r="89">
      <c r="A89" s="69">
        <v>6.0</v>
      </c>
      <c r="B89" s="69">
        <v>7.0</v>
      </c>
      <c r="C89" s="86" t="s">
        <v>66</v>
      </c>
      <c r="D89" s="86" t="s">
        <v>67</v>
      </c>
      <c r="E89" s="86" t="s">
        <v>68</v>
      </c>
      <c r="F89" s="69">
        <v>5500.0</v>
      </c>
      <c r="G89" s="69">
        <v>17.9</v>
      </c>
      <c r="H89" s="68">
        <f t="shared" si="1"/>
        <v>137.46</v>
      </c>
      <c r="I89" s="81">
        <f>IFERROR(__xludf.DUMMYFUNCTION("IF(G89="""", """", ROUND(G89 / MAX(FILTER($G$2:$G5067, $D$2:$D5067=$D89)) * 100, 2))"),99.44)</f>
        <v>99.44</v>
      </c>
      <c r="J89" s="81">
        <f>IFERROR(__xludf.DUMMYFUNCTION("IF(H89="""", """", ROUND(H89 / MAX(FILTER($H$2:$H5067, $D$2:$D5067=$D89)) * 100, 2))"),90.74)</f>
        <v>90.74</v>
      </c>
      <c r="K89" s="2"/>
      <c r="L89" s="48"/>
      <c r="M89" s="48"/>
      <c r="N89" s="48"/>
      <c r="O89" s="48" t="str">
        <f t="shared" si="2"/>
        <v/>
      </c>
      <c r="P89" s="48" t="str">
        <f t="shared" si="3"/>
        <v/>
      </c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 t="s">
        <v>313</v>
      </c>
    </row>
    <row r="90">
      <c r="A90" s="63">
        <v>6.0</v>
      </c>
      <c r="B90" s="63">
        <v>7.0</v>
      </c>
      <c r="C90" s="64" t="s">
        <v>66</v>
      </c>
      <c r="D90" s="64" t="s">
        <v>67</v>
      </c>
      <c r="E90" s="64" t="s">
        <v>68</v>
      </c>
      <c r="F90" s="63">
        <v>6000.0</v>
      </c>
      <c r="G90" s="63">
        <v>17.0</v>
      </c>
      <c r="H90" s="66">
        <f t="shared" si="1"/>
        <v>142.42</v>
      </c>
      <c r="I90" s="81">
        <f>IFERROR(__xludf.DUMMYFUNCTION("IF(G90="""", """", ROUND(G90 / MAX(FILTER($G$2:$G5067, $D$2:$D5067=$D90)) * 100, 2))"),94.44)</f>
        <v>94.44</v>
      </c>
      <c r="J90" s="81">
        <f>IFERROR(__xludf.DUMMYFUNCTION("IF(H90="""", """", ROUND(H90 / MAX(FILTER($H$2:$H5067, $D$2:$D5067=$D90)) * 100, 2))"),94.01)</f>
        <v>94.01</v>
      </c>
      <c r="K90" s="2"/>
      <c r="L90" s="49"/>
      <c r="M90" s="49"/>
      <c r="N90" s="49"/>
      <c r="O90" s="49" t="str">
        <f t="shared" si="2"/>
        <v/>
      </c>
      <c r="P90" s="49" t="str">
        <f t="shared" si="3"/>
        <v/>
      </c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 t="s">
        <v>316</v>
      </c>
    </row>
    <row r="91">
      <c r="A91" s="69">
        <v>6.0</v>
      </c>
      <c r="B91" s="69">
        <v>7.0</v>
      </c>
      <c r="C91" s="86" t="s">
        <v>66</v>
      </c>
      <c r="D91" s="86" t="s">
        <v>67</v>
      </c>
      <c r="E91" s="86" t="s">
        <v>68</v>
      </c>
      <c r="F91" s="69">
        <v>6500.0</v>
      </c>
      <c r="G91" s="69">
        <v>16.5</v>
      </c>
      <c r="H91" s="68">
        <f t="shared" si="1"/>
        <v>149.75</v>
      </c>
      <c r="I91" s="81">
        <f>IFERROR(__xludf.DUMMYFUNCTION("IF(G91="""", """", ROUND(G91 / MAX(FILTER($G$2:$G5067, $D$2:$D5067=$D91)) * 100, 2))"),91.67)</f>
        <v>91.67</v>
      </c>
      <c r="J91" s="81">
        <f>IFERROR(__xludf.DUMMYFUNCTION("IF(H91="""", """", ROUND(H91 / MAX(FILTER($H$2:$H5067, $D$2:$D5067=$D91)) * 100, 2))"),98.85)</f>
        <v>98.85</v>
      </c>
      <c r="K91" s="2"/>
      <c r="L91" s="48"/>
      <c r="M91" s="48"/>
      <c r="N91" s="48"/>
      <c r="O91" s="48" t="str">
        <f t="shared" si="2"/>
        <v/>
      </c>
      <c r="P91" s="48" t="str">
        <f t="shared" si="3"/>
        <v/>
      </c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 t="s">
        <v>319</v>
      </c>
    </row>
    <row r="92">
      <c r="A92" s="63">
        <v>6.0</v>
      </c>
      <c r="B92" s="63">
        <v>7.0</v>
      </c>
      <c r="C92" s="64" t="s">
        <v>66</v>
      </c>
      <c r="D92" s="64" t="s">
        <v>67</v>
      </c>
      <c r="E92" s="64" t="s">
        <v>68</v>
      </c>
      <c r="F92" s="63">
        <v>7000.0</v>
      </c>
      <c r="G92" s="63">
        <v>15.5</v>
      </c>
      <c r="H92" s="66">
        <f t="shared" si="1"/>
        <v>151.49</v>
      </c>
      <c r="I92" s="81">
        <f>IFERROR(__xludf.DUMMYFUNCTION("IF(G92="""", """", ROUND(G92 / MAX(FILTER($G$2:$G5067, $D$2:$D5067=$D92)) * 100, 2))"),86.11)</f>
        <v>86.11</v>
      </c>
      <c r="J92" s="81">
        <f>IFERROR(__xludf.DUMMYFUNCTION("IF(H92="""", """", ROUND(H92 / MAX(FILTER($H$2:$H5067, $D$2:$D5067=$D92)) * 100, 2))"),100.0)</f>
        <v>100</v>
      </c>
      <c r="K92" s="2"/>
      <c r="L92" s="49"/>
      <c r="M92" s="49"/>
      <c r="N92" s="49"/>
      <c r="O92" s="49" t="str">
        <f t="shared" si="2"/>
        <v/>
      </c>
      <c r="P92" s="49" t="str">
        <f t="shared" si="3"/>
        <v/>
      </c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 t="s">
        <v>322</v>
      </c>
    </row>
    <row r="93">
      <c r="A93" s="69">
        <v>6.0</v>
      </c>
      <c r="B93" s="69">
        <v>7.0</v>
      </c>
      <c r="C93" s="86" t="s">
        <v>66</v>
      </c>
      <c r="D93" s="86" t="s">
        <v>67</v>
      </c>
      <c r="E93" s="86" t="s">
        <v>68</v>
      </c>
      <c r="F93" s="69">
        <v>7500.0</v>
      </c>
      <c r="G93" s="69">
        <v>14.2</v>
      </c>
      <c r="H93" s="68">
        <f t="shared" si="1"/>
        <v>148.7</v>
      </c>
      <c r="I93" s="81">
        <f>IFERROR(__xludf.DUMMYFUNCTION("IF(G93="""", """", ROUND(G93 / MAX(FILTER($G$2:$G5067, $D$2:$D5067=$D93)) * 100, 2))"),78.89)</f>
        <v>78.89</v>
      </c>
      <c r="J93" s="81">
        <f>IFERROR(__xludf.DUMMYFUNCTION("IF(H93="""", """", ROUND(H93 / MAX(FILTER($H$2:$H5067, $D$2:$D5067=$D93)) * 100, 2))"),98.16)</f>
        <v>98.16</v>
      </c>
      <c r="K93" s="2"/>
      <c r="L93" s="48"/>
      <c r="M93" s="48"/>
      <c r="N93" s="48"/>
      <c r="O93" s="48" t="str">
        <f t="shared" si="2"/>
        <v/>
      </c>
      <c r="P93" s="48" t="str">
        <f t="shared" si="3"/>
        <v/>
      </c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 t="s">
        <v>325</v>
      </c>
    </row>
    <row r="94">
      <c r="A94" s="63">
        <v>6.0</v>
      </c>
      <c r="B94" s="63">
        <v>7.0</v>
      </c>
      <c r="C94" s="64" t="s">
        <v>66</v>
      </c>
      <c r="D94" s="64" t="s">
        <v>67</v>
      </c>
      <c r="E94" s="64" t="s">
        <v>68</v>
      </c>
      <c r="F94" s="63">
        <v>8000.0</v>
      </c>
      <c r="G94" s="63">
        <v>11.75</v>
      </c>
      <c r="H94" s="66">
        <f t="shared" si="1"/>
        <v>131.25</v>
      </c>
      <c r="I94" s="81">
        <f>IFERROR(__xludf.DUMMYFUNCTION("IF(G94="""", """", ROUND(G94 / MAX(FILTER($G$2:$G5067, $D$2:$D5067=$D94)) * 100, 2))"),65.28)</f>
        <v>65.28</v>
      </c>
      <c r="J94" s="81">
        <f>IFERROR(__xludf.DUMMYFUNCTION("IF(H94="""", """", ROUND(H94 / MAX(FILTER($H$2:$H5067, $D$2:$D5067=$D94)) * 100, 2))"),86.64)</f>
        <v>86.64</v>
      </c>
      <c r="K94" s="2"/>
      <c r="L94" s="49"/>
      <c r="M94" s="49"/>
      <c r="N94" s="49"/>
      <c r="O94" s="49" t="str">
        <f t="shared" si="2"/>
        <v/>
      </c>
      <c r="P94" s="49" t="str">
        <f t="shared" si="3"/>
        <v/>
      </c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 t="s">
        <v>328</v>
      </c>
    </row>
    <row r="95">
      <c r="A95" s="69">
        <v>7.0</v>
      </c>
      <c r="B95" s="69">
        <v>8.0</v>
      </c>
      <c r="C95" s="86" t="s">
        <v>69</v>
      </c>
      <c r="D95" s="86" t="s">
        <v>70</v>
      </c>
      <c r="E95" s="86" t="s">
        <v>71</v>
      </c>
      <c r="F95" s="69">
        <v>500.0</v>
      </c>
      <c r="G95" s="69">
        <v>27.88</v>
      </c>
      <c r="H95" s="68">
        <f t="shared" si="1"/>
        <v>19.46</v>
      </c>
      <c r="I95" s="81">
        <f>IFERROR(__xludf.DUMMYFUNCTION("IF(G95="""", """", ROUND(G95 / MAX(FILTER($G$2:$G5067, $D$2:$D5067=$D95)) * 100, 2))"),60.61)</f>
        <v>60.61</v>
      </c>
      <c r="J95" s="81">
        <f>IFERROR(__xludf.DUMMYFUNCTION("IF(H95="""", """", ROUND(H95 / MAX(FILTER($H$2:$H5067, $D$2:$D5067=$D95)) * 100, 2))"),6.95)</f>
        <v>6.95</v>
      </c>
      <c r="K95" s="2"/>
      <c r="L95" s="48"/>
      <c r="M95" s="48"/>
      <c r="N95" s="48"/>
      <c r="O95" s="48" t="str">
        <f t="shared" si="2"/>
        <v/>
      </c>
      <c r="P95" s="48" t="str">
        <f t="shared" si="3"/>
        <v/>
      </c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 t="s">
        <v>331</v>
      </c>
    </row>
    <row r="96">
      <c r="A96" s="63">
        <v>7.0</v>
      </c>
      <c r="B96" s="63">
        <v>8.0</v>
      </c>
      <c r="C96" s="64" t="s">
        <v>69</v>
      </c>
      <c r="D96" s="64" t="s">
        <v>70</v>
      </c>
      <c r="E96" s="64" t="s">
        <v>71</v>
      </c>
      <c r="F96" s="63">
        <v>1000.0</v>
      </c>
      <c r="G96" s="63">
        <v>31.25</v>
      </c>
      <c r="H96" s="66">
        <f t="shared" si="1"/>
        <v>43.63</v>
      </c>
      <c r="I96" s="81">
        <f>IFERROR(__xludf.DUMMYFUNCTION("IF(G96="""", """", ROUND(G96 / MAX(FILTER($G$2:$G5067, $D$2:$D5067=$D96)) * 100, 2))"),67.93)</f>
        <v>67.93</v>
      </c>
      <c r="J96" s="81">
        <f>IFERROR(__xludf.DUMMYFUNCTION("IF(H96="""", """", ROUND(H96 / MAX(FILTER($H$2:$H5067, $D$2:$D5067=$D96)) * 100, 2))"),15.59)</f>
        <v>15.59</v>
      </c>
      <c r="K96" s="2"/>
      <c r="L96" s="49"/>
      <c r="M96" s="49"/>
      <c r="N96" s="49"/>
      <c r="O96" s="49" t="str">
        <f t="shared" si="2"/>
        <v/>
      </c>
      <c r="P96" s="49" t="str">
        <f t="shared" si="3"/>
        <v/>
      </c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 t="s">
        <v>334</v>
      </c>
    </row>
    <row r="97">
      <c r="A97" s="69">
        <v>7.0</v>
      </c>
      <c r="B97" s="69">
        <v>8.0</v>
      </c>
      <c r="C97" s="86" t="s">
        <v>69</v>
      </c>
      <c r="D97" s="86" t="s">
        <v>70</v>
      </c>
      <c r="E97" s="86" t="s">
        <v>71</v>
      </c>
      <c r="F97" s="69">
        <v>1500.0</v>
      </c>
      <c r="G97" s="69">
        <v>34.2</v>
      </c>
      <c r="H97" s="68">
        <f t="shared" si="1"/>
        <v>71.63</v>
      </c>
      <c r="I97" s="81">
        <f>IFERROR(__xludf.DUMMYFUNCTION("IF(G97="""", """", ROUND(G97 / MAX(FILTER($G$2:$G5067, $D$2:$D5067=$D97)) * 100, 2))"),74.35)</f>
        <v>74.35</v>
      </c>
      <c r="J97" s="81">
        <f>IFERROR(__xludf.DUMMYFUNCTION("IF(H97="""", """", ROUND(H97 / MAX(FILTER($H$2:$H5067, $D$2:$D5067=$D97)) * 100, 2))"),25.59)</f>
        <v>25.59</v>
      </c>
      <c r="K97" s="2"/>
      <c r="L97" s="48"/>
      <c r="M97" s="48"/>
      <c r="N97" s="48"/>
      <c r="O97" s="48" t="str">
        <f t="shared" si="2"/>
        <v/>
      </c>
      <c r="P97" s="48" t="str">
        <f t="shared" si="3"/>
        <v/>
      </c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 t="s">
        <v>337</v>
      </c>
    </row>
    <row r="98">
      <c r="A98" s="63">
        <v>7.0</v>
      </c>
      <c r="B98" s="63">
        <v>8.0</v>
      </c>
      <c r="C98" s="64" t="s">
        <v>69</v>
      </c>
      <c r="D98" s="64" t="s">
        <v>70</v>
      </c>
      <c r="E98" s="64" t="s">
        <v>71</v>
      </c>
      <c r="F98" s="63">
        <v>2000.0</v>
      </c>
      <c r="G98" s="63">
        <v>41.67</v>
      </c>
      <c r="H98" s="66">
        <f t="shared" si="1"/>
        <v>116.36</v>
      </c>
      <c r="I98" s="81">
        <f>IFERROR(__xludf.DUMMYFUNCTION("IF(G98="""", """", ROUND(G98 / MAX(FILTER($G$2:$G5067, $D$2:$D5067=$D98)) * 100, 2))"),90.59)</f>
        <v>90.59</v>
      </c>
      <c r="J98" s="81">
        <f>IFERROR(__xludf.DUMMYFUNCTION("IF(H98="""", """", ROUND(H98 / MAX(FILTER($H$2:$H5067, $D$2:$D5067=$D98)) * 100, 2))"),41.57)</f>
        <v>41.57</v>
      </c>
      <c r="K98" s="2"/>
      <c r="L98" s="49"/>
      <c r="M98" s="49"/>
      <c r="N98" s="49"/>
      <c r="O98" s="49" t="str">
        <f t="shared" si="2"/>
        <v/>
      </c>
      <c r="P98" s="49" t="str">
        <f t="shared" si="3"/>
        <v/>
      </c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 t="s">
        <v>340</v>
      </c>
    </row>
    <row r="99">
      <c r="A99" s="69">
        <v>7.0</v>
      </c>
      <c r="B99" s="69">
        <v>8.0</v>
      </c>
      <c r="C99" s="86" t="s">
        <v>69</v>
      </c>
      <c r="D99" s="86" t="s">
        <v>70</v>
      </c>
      <c r="E99" s="86" t="s">
        <v>71</v>
      </c>
      <c r="F99" s="69">
        <v>2500.0</v>
      </c>
      <c r="G99" s="69">
        <v>44.0</v>
      </c>
      <c r="H99" s="68">
        <f t="shared" si="1"/>
        <v>153.59</v>
      </c>
      <c r="I99" s="81">
        <f>IFERROR(__xludf.DUMMYFUNCTION("IF(G99="""", """", ROUND(G99 / MAX(FILTER($G$2:$G5067, $D$2:$D5067=$D99)) * 100, 2))"),95.65)</f>
        <v>95.65</v>
      </c>
      <c r="J99" s="81">
        <f>IFERROR(__xludf.DUMMYFUNCTION("IF(H99="""", """", ROUND(H99 / MAX(FILTER($H$2:$H5067, $D$2:$D5067=$D99)) * 100, 2))"),54.87)</f>
        <v>54.87</v>
      </c>
      <c r="K99" s="2"/>
      <c r="L99" s="48"/>
      <c r="M99" s="48"/>
      <c r="N99" s="48"/>
      <c r="O99" s="48" t="str">
        <f t="shared" si="2"/>
        <v/>
      </c>
      <c r="P99" s="48" t="str">
        <f t="shared" si="3"/>
        <v/>
      </c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 t="s">
        <v>343</v>
      </c>
    </row>
    <row r="100">
      <c r="A100" s="63">
        <v>7.0</v>
      </c>
      <c r="B100" s="63">
        <v>8.0</v>
      </c>
      <c r="C100" s="64" t="s">
        <v>69</v>
      </c>
      <c r="D100" s="64" t="s">
        <v>70</v>
      </c>
      <c r="E100" s="64" t="s">
        <v>71</v>
      </c>
      <c r="F100" s="63">
        <v>3000.0</v>
      </c>
      <c r="G100" s="63">
        <v>44.54</v>
      </c>
      <c r="H100" s="66">
        <f t="shared" si="1"/>
        <v>186.57</v>
      </c>
      <c r="I100" s="81">
        <f>IFERROR(__xludf.DUMMYFUNCTION("IF(G100="""", """", ROUND(G100 / MAX(FILTER($G$2:$G5067, $D$2:$D5067=$D100)) * 100, 2))"),96.83)</f>
        <v>96.83</v>
      </c>
      <c r="J100" s="81">
        <f>IFERROR(__xludf.DUMMYFUNCTION("IF(H100="""", """", ROUND(H100 / MAX(FILTER($H$2:$H5067, $D$2:$D5067=$D100)) * 100, 2))"),66.65)</f>
        <v>66.65</v>
      </c>
      <c r="K100" s="2"/>
      <c r="L100" s="49"/>
      <c r="M100" s="49"/>
      <c r="N100" s="49"/>
      <c r="O100" s="49" t="str">
        <f t="shared" si="2"/>
        <v/>
      </c>
      <c r="P100" s="49" t="str">
        <f t="shared" si="3"/>
        <v/>
      </c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 t="s">
        <v>346</v>
      </c>
    </row>
    <row r="101">
      <c r="A101" s="69">
        <v>7.0</v>
      </c>
      <c r="B101" s="69">
        <v>8.0</v>
      </c>
      <c r="C101" s="86" t="s">
        <v>69</v>
      </c>
      <c r="D101" s="86" t="s">
        <v>70</v>
      </c>
      <c r="E101" s="86" t="s">
        <v>71</v>
      </c>
      <c r="F101" s="69">
        <v>3600.0</v>
      </c>
      <c r="G101" s="69">
        <v>46.0</v>
      </c>
      <c r="H101" s="68">
        <f t="shared" si="1"/>
        <v>231.22</v>
      </c>
      <c r="I101" s="81">
        <f>IFERROR(__xludf.DUMMYFUNCTION("IF(G101="""", """", ROUND(G101 / MAX(FILTER($G$2:$G5067, $D$2:$D5067=$D101)) * 100, 2))"),100.0)</f>
        <v>100</v>
      </c>
      <c r="J101" s="81">
        <f>IFERROR(__xludf.DUMMYFUNCTION("IF(H101="""", """", ROUND(H101 / MAX(FILTER($H$2:$H5067, $D$2:$D5067=$D101)) * 100, 2))"),82.6)</f>
        <v>82.6</v>
      </c>
      <c r="K101" s="2"/>
      <c r="L101" s="48"/>
      <c r="M101" s="48"/>
      <c r="N101" s="48"/>
      <c r="O101" s="48" t="str">
        <f t="shared" si="2"/>
        <v/>
      </c>
      <c r="P101" s="48" t="str">
        <f t="shared" si="3"/>
        <v/>
      </c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 t="s">
        <v>349</v>
      </c>
    </row>
    <row r="102">
      <c r="A102" s="63">
        <v>7.0</v>
      </c>
      <c r="B102" s="63">
        <v>8.0</v>
      </c>
      <c r="C102" s="64" t="s">
        <v>69</v>
      </c>
      <c r="D102" s="64" t="s">
        <v>70</v>
      </c>
      <c r="E102" s="64" t="s">
        <v>71</v>
      </c>
      <c r="F102" s="63">
        <v>4000.0</v>
      </c>
      <c r="G102" s="63">
        <v>45.0</v>
      </c>
      <c r="H102" s="66">
        <f t="shared" si="1"/>
        <v>251.33</v>
      </c>
      <c r="I102" s="81">
        <f>IFERROR(__xludf.DUMMYFUNCTION("IF(G102="""", """", ROUND(G102 / MAX(FILTER($G$2:$G5067, $D$2:$D5067=$D102)) * 100, 2))"),97.83)</f>
        <v>97.83</v>
      </c>
      <c r="J102" s="81">
        <f>IFERROR(__xludf.DUMMYFUNCTION("IF(H102="""", """", ROUND(H102 / MAX(FILTER($H$2:$H5067, $D$2:$D5067=$D102)) * 100, 2))"),89.79)</f>
        <v>89.79</v>
      </c>
      <c r="K102" s="2"/>
      <c r="L102" s="49"/>
      <c r="M102" s="49"/>
      <c r="N102" s="49"/>
      <c r="O102" s="49" t="str">
        <f t="shared" si="2"/>
        <v/>
      </c>
      <c r="P102" s="49" t="str">
        <f t="shared" si="3"/>
        <v/>
      </c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 t="s">
        <v>352</v>
      </c>
    </row>
    <row r="103">
      <c r="A103" s="69">
        <v>7.0</v>
      </c>
      <c r="B103" s="69">
        <v>8.0</v>
      </c>
      <c r="C103" s="86" t="s">
        <v>69</v>
      </c>
      <c r="D103" s="86" t="s">
        <v>70</v>
      </c>
      <c r="E103" s="86" t="s">
        <v>71</v>
      </c>
      <c r="F103" s="69">
        <v>4500.0</v>
      </c>
      <c r="G103" s="69">
        <v>42.25</v>
      </c>
      <c r="H103" s="68">
        <f t="shared" si="1"/>
        <v>265.46</v>
      </c>
      <c r="I103" s="81">
        <f>IFERROR(__xludf.DUMMYFUNCTION("IF(G103="""", """", ROUND(G103 / MAX(FILTER($G$2:$G5067, $D$2:$D5067=$D103)) * 100, 2))"),91.85)</f>
        <v>91.85</v>
      </c>
      <c r="J103" s="81">
        <f>IFERROR(__xludf.DUMMYFUNCTION("IF(H103="""", """", ROUND(H103 / MAX(FILTER($H$2:$H5067, $D$2:$D5067=$D103)) * 100, 2))"),94.83)</f>
        <v>94.83</v>
      </c>
      <c r="K103" s="2"/>
      <c r="L103" s="48"/>
      <c r="M103" s="48"/>
      <c r="N103" s="48"/>
      <c r="O103" s="48" t="str">
        <f t="shared" si="2"/>
        <v/>
      </c>
      <c r="P103" s="48" t="str">
        <f t="shared" si="3"/>
        <v/>
      </c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 t="s">
        <v>355</v>
      </c>
    </row>
    <row r="104">
      <c r="A104" s="63">
        <v>7.0</v>
      </c>
      <c r="B104" s="63">
        <v>8.0</v>
      </c>
      <c r="C104" s="64" t="s">
        <v>69</v>
      </c>
      <c r="D104" s="64" t="s">
        <v>70</v>
      </c>
      <c r="E104" s="64" t="s">
        <v>71</v>
      </c>
      <c r="F104" s="63">
        <v>5000.0</v>
      </c>
      <c r="G104" s="63">
        <v>39.5</v>
      </c>
      <c r="H104" s="66">
        <f t="shared" si="1"/>
        <v>275.76</v>
      </c>
      <c r="I104" s="81">
        <f>IFERROR(__xludf.DUMMYFUNCTION("IF(G104="""", """", ROUND(G104 / MAX(FILTER($G$2:$G5067, $D$2:$D5067=$D104)) * 100, 2))"),85.87)</f>
        <v>85.87</v>
      </c>
      <c r="J104" s="81">
        <f>IFERROR(__xludf.DUMMYFUNCTION("IF(H104="""", """", ROUND(H104 / MAX(FILTER($H$2:$H5067, $D$2:$D5067=$D104)) * 100, 2))"),98.51)</f>
        <v>98.51</v>
      </c>
      <c r="K104" s="2"/>
      <c r="L104" s="49"/>
      <c r="M104" s="49"/>
      <c r="N104" s="49"/>
      <c r="O104" s="49" t="str">
        <f t="shared" si="2"/>
        <v/>
      </c>
      <c r="P104" s="49" t="str">
        <f t="shared" si="3"/>
        <v/>
      </c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 t="s">
        <v>358</v>
      </c>
    </row>
    <row r="105">
      <c r="A105" s="69">
        <v>7.0</v>
      </c>
      <c r="B105" s="69">
        <v>8.0</v>
      </c>
      <c r="C105" s="86" t="s">
        <v>69</v>
      </c>
      <c r="D105" s="86" t="s">
        <v>70</v>
      </c>
      <c r="E105" s="86" t="s">
        <v>71</v>
      </c>
      <c r="F105" s="69">
        <v>5600.0</v>
      </c>
      <c r="G105" s="69">
        <v>35.8</v>
      </c>
      <c r="H105" s="68">
        <f t="shared" si="1"/>
        <v>279.92</v>
      </c>
      <c r="I105" s="81">
        <f>IFERROR(__xludf.DUMMYFUNCTION("IF(G105="""", """", ROUND(G105 / MAX(FILTER($G$2:$G5067, $D$2:$D5067=$D105)) * 100, 2))"),77.83)</f>
        <v>77.83</v>
      </c>
      <c r="J105" s="81">
        <f>IFERROR(__xludf.DUMMYFUNCTION("IF(H105="""", """", ROUND(H105 / MAX(FILTER($H$2:$H5067, $D$2:$D5067=$D105)) * 100, 2))"),100.0)</f>
        <v>100</v>
      </c>
      <c r="K105" s="2"/>
      <c r="L105" s="48"/>
      <c r="M105" s="48"/>
      <c r="N105" s="48"/>
      <c r="O105" s="48" t="str">
        <f t="shared" si="2"/>
        <v/>
      </c>
      <c r="P105" s="48" t="str">
        <f t="shared" si="3"/>
        <v/>
      </c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 t="s">
        <v>361</v>
      </c>
    </row>
    <row r="106">
      <c r="A106" s="63">
        <v>7.0</v>
      </c>
      <c r="B106" s="63">
        <v>8.0</v>
      </c>
      <c r="C106" s="64" t="s">
        <v>69</v>
      </c>
      <c r="D106" s="64" t="s">
        <v>70</v>
      </c>
      <c r="E106" s="64" t="s">
        <v>71</v>
      </c>
      <c r="F106" s="63">
        <v>6000.0</v>
      </c>
      <c r="G106" s="63">
        <v>33.25</v>
      </c>
      <c r="H106" s="66">
        <f t="shared" si="1"/>
        <v>278.55</v>
      </c>
      <c r="I106" s="81">
        <f>IFERROR(__xludf.DUMMYFUNCTION("IF(G106="""", """", ROUND(G106 / MAX(FILTER($G$2:$G5067, $D$2:$D5067=$D106)) * 100, 2))"),72.28)</f>
        <v>72.28</v>
      </c>
      <c r="J106" s="81">
        <f>IFERROR(__xludf.DUMMYFUNCTION("IF(H106="""", """", ROUND(H106 / MAX(FILTER($H$2:$H5067, $D$2:$D5067=$D106)) * 100, 2))"),99.51)</f>
        <v>99.51</v>
      </c>
      <c r="K106" s="2"/>
      <c r="L106" s="49"/>
      <c r="M106" s="49"/>
      <c r="N106" s="49"/>
      <c r="O106" s="49" t="str">
        <f t="shared" si="2"/>
        <v/>
      </c>
      <c r="P106" s="49" t="str">
        <f t="shared" si="3"/>
        <v/>
      </c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 t="s">
        <v>364</v>
      </c>
    </row>
    <row r="107">
      <c r="A107" s="69">
        <v>7.0</v>
      </c>
      <c r="B107" s="69">
        <v>8.0</v>
      </c>
      <c r="C107" s="86" t="s">
        <v>69</v>
      </c>
      <c r="D107" s="86" t="s">
        <v>70</v>
      </c>
      <c r="E107" s="86" t="s">
        <v>71</v>
      </c>
      <c r="F107" s="69">
        <v>6500.0</v>
      </c>
      <c r="G107" s="69">
        <v>30.5</v>
      </c>
      <c r="H107" s="68">
        <f t="shared" si="1"/>
        <v>276.81</v>
      </c>
      <c r="I107" s="81">
        <f>IFERROR(__xludf.DUMMYFUNCTION("IF(G107="""", """", ROUND(G107 / MAX(FILTER($G$2:$G5067, $D$2:$D5067=$D107)) * 100, 2))"),66.3)</f>
        <v>66.3</v>
      </c>
      <c r="J107" s="81">
        <f>IFERROR(__xludf.DUMMYFUNCTION("IF(H107="""", """", ROUND(H107 / MAX(FILTER($H$2:$H5067, $D$2:$D5067=$D107)) * 100, 2))"),98.89)</f>
        <v>98.89</v>
      </c>
      <c r="K107" s="2"/>
      <c r="L107" s="48"/>
      <c r="M107" s="48"/>
      <c r="N107" s="48"/>
      <c r="O107" s="48" t="str">
        <f t="shared" si="2"/>
        <v/>
      </c>
      <c r="P107" s="48" t="str">
        <f t="shared" si="3"/>
        <v/>
      </c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 t="s">
        <v>367</v>
      </c>
    </row>
    <row r="108">
      <c r="A108" s="63">
        <v>7.0</v>
      </c>
      <c r="B108" s="63">
        <v>8.0</v>
      </c>
      <c r="C108" s="64" t="s">
        <v>69</v>
      </c>
      <c r="D108" s="64" t="s">
        <v>70</v>
      </c>
      <c r="E108" s="64" t="s">
        <v>71</v>
      </c>
      <c r="F108" s="63">
        <v>7000.0</v>
      </c>
      <c r="G108" s="63">
        <v>27.38</v>
      </c>
      <c r="H108" s="66">
        <f t="shared" si="1"/>
        <v>267.61</v>
      </c>
      <c r="I108" s="81">
        <f>IFERROR(__xludf.DUMMYFUNCTION("IF(G108="""", """", ROUND(G108 / MAX(FILTER($G$2:$G5067, $D$2:$D5067=$D108)) * 100, 2))"),59.52)</f>
        <v>59.52</v>
      </c>
      <c r="J108" s="81">
        <f>IFERROR(__xludf.DUMMYFUNCTION("IF(H108="""", """", ROUND(H108 / MAX(FILTER($H$2:$H5067, $D$2:$D5067=$D108)) * 100, 2))"),95.6)</f>
        <v>95.6</v>
      </c>
      <c r="K108" s="2"/>
      <c r="L108" s="49"/>
      <c r="M108" s="49"/>
      <c r="N108" s="49"/>
      <c r="O108" s="49" t="str">
        <f t="shared" si="2"/>
        <v/>
      </c>
      <c r="P108" s="49" t="str">
        <f t="shared" si="3"/>
        <v/>
      </c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 t="s">
        <v>370</v>
      </c>
    </row>
    <row r="109">
      <c r="A109" s="69">
        <v>8.0</v>
      </c>
      <c r="B109" s="69">
        <v>10.0</v>
      </c>
      <c r="C109" s="86" t="s">
        <v>72</v>
      </c>
      <c r="D109" s="86" t="s">
        <v>73</v>
      </c>
      <c r="E109" s="86" t="s">
        <v>74</v>
      </c>
      <c r="F109" s="69">
        <v>500.0</v>
      </c>
      <c r="G109" s="69">
        <v>4.8</v>
      </c>
      <c r="H109" s="68">
        <f t="shared" si="1"/>
        <v>3.35</v>
      </c>
      <c r="I109" s="81">
        <f>IFERROR(__xludf.DUMMYFUNCTION("IF(G109="""", """", ROUND(G109 / MAX(FILTER($G$2:$G5067, $D$2:$D5067=$D109)) * 100, 2))"),70.59)</f>
        <v>70.59</v>
      </c>
      <c r="J109" s="81">
        <f>IFERROR(__xludf.DUMMYFUNCTION("IF(H109="""", """", ROUND(H109 / MAX(FILTER($H$2:$H5067, $D$2:$D5067=$D109)) * 100, 2))"),7.45)</f>
        <v>7.45</v>
      </c>
      <c r="K109" s="2"/>
      <c r="L109" s="48"/>
      <c r="M109" s="48"/>
      <c r="N109" s="48"/>
      <c r="O109" s="48" t="str">
        <f t="shared" si="2"/>
        <v/>
      </c>
      <c r="P109" s="48" t="str">
        <f t="shared" si="3"/>
        <v/>
      </c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 t="s">
        <v>373</v>
      </c>
    </row>
    <row r="110">
      <c r="A110" s="63">
        <v>8.0</v>
      </c>
      <c r="B110" s="63">
        <v>10.0</v>
      </c>
      <c r="C110" s="64" t="s">
        <v>72</v>
      </c>
      <c r="D110" s="64" t="s">
        <v>73</v>
      </c>
      <c r="E110" s="64" t="s">
        <v>74</v>
      </c>
      <c r="F110" s="63">
        <v>1000.0</v>
      </c>
      <c r="G110" s="63">
        <v>4.8</v>
      </c>
      <c r="H110" s="66">
        <f t="shared" si="1"/>
        <v>6.7</v>
      </c>
      <c r="I110" s="81">
        <f>IFERROR(__xludf.DUMMYFUNCTION("IF(G110="""", """", ROUND(G110 / MAX(FILTER($G$2:$G5067, $D$2:$D5067=$D110)) * 100, 2))"),70.59)</f>
        <v>70.59</v>
      </c>
      <c r="J110" s="81">
        <f>IFERROR(__xludf.DUMMYFUNCTION("IF(H110="""", """", ROUND(H110 / MAX(FILTER($H$2:$H5067, $D$2:$D5067=$D110)) * 100, 2))"),14.9)</f>
        <v>14.9</v>
      </c>
      <c r="K110" s="2"/>
      <c r="L110" s="49"/>
      <c r="M110" s="49"/>
      <c r="N110" s="49"/>
      <c r="O110" s="49" t="str">
        <f t="shared" si="2"/>
        <v/>
      </c>
      <c r="P110" s="49" t="str">
        <f t="shared" si="3"/>
        <v/>
      </c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 t="s">
        <v>376</v>
      </c>
    </row>
    <row r="111">
      <c r="A111" s="69">
        <v>8.0</v>
      </c>
      <c r="B111" s="69">
        <v>10.0</v>
      </c>
      <c r="C111" s="86" t="s">
        <v>72</v>
      </c>
      <c r="D111" s="86" t="s">
        <v>73</v>
      </c>
      <c r="E111" s="86" t="s">
        <v>74</v>
      </c>
      <c r="F111" s="69">
        <v>1500.0</v>
      </c>
      <c r="G111" s="69">
        <v>4.9</v>
      </c>
      <c r="H111" s="68">
        <f t="shared" si="1"/>
        <v>10.26</v>
      </c>
      <c r="I111" s="81">
        <f>IFERROR(__xludf.DUMMYFUNCTION("IF(G111="""", """", ROUND(G111 / MAX(FILTER($G$2:$G5067, $D$2:$D5067=$D111)) * 100, 2))"),72.06)</f>
        <v>72.06</v>
      </c>
      <c r="J111" s="81">
        <f>IFERROR(__xludf.DUMMYFUNCTION("IF(H111="""", """", ROUND(H111 / MAX(FILTER($H$2:$H5067, $D$2:$D5067=$D111)) * 100, 2))"),22.82)</f>
        <v>22.82</v>
      </c>
      <c r="K111" s="2"/>
      <c r="L111" s="48"/>
      <c r="M111" s="48"/>
      <c r="N111" s="48"/>
      <c r="O111" s="48" t="str">
        <f t="shared" si="2"/>
        <v/>
      </c>
      <c r="P111" s="48" t="str">
        <f t="shared" si="3"/>
        <v/>
      </c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 t="s">
        <v>379</v>
      </c>
    </row>
    <row r="112">
      <c r="A112" s="63">
        <v>8.0</v>
      </c>
      <c r="B112" s="63">
        <v>10.0</v>
      </c>
      <c r="C112" s="64" t="s">
        <v>72</v>
      </c>
      <c r="D112" s="64" t="s">
        <v>73</v>
      </c>
      <c r="E112" s="64" t="s">
        <v>74</v>
      </c>
      <c r="F112" s="63">
        <v>2000.0</v>
      </c>
      <c r="G112" s="63">
        <v>5.1</v>
      </c>
      <c r="H112" s="66">
        <f t="shared" si="1"/>
        <v>14.24</v>
      </c>
      <c r="I112" s="81">
        <f>IFERROR(__xludf.DUMMYFUNCTION("IF(G112="""", """", ROUND(G112 / MAX(FILTER($G$2:$G5067, $D$2:$D5067=$D112)) * 100, 2))"),75.0)</f>
        <v>75</v>
      </c>
      <c r="J112" s="81">
        <f>IFERROR(__xludf.DUMMYFUNCTION("IF(H112="""", """", ROUND(H112 / MAX(FILTER($H$2:$H5067, $D$2:$D5067=$D112)) * 100, 2))"),31.67)</f>
        <v>31.67</v>
      </c>
      <c r="K112" s="2"/>
      <c r="L112" s="49"/>
      <c r="M112" s="49"/>
      <c r="N112" s="49"/>
      <c r="O112" s="49" t="str">
        <f t="shared" si="2"/>
        <v/>
      </c>
      <c r="P112" s="49" t="str">
        <f t="shared" si="3"/>
        <v/>
      </c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 t="s">
        <v>382</v>
      </c>
    </row>
    <row r="113">
      <c r="A113" s="69">
        <v>8.0</v>
      </c>
      <c r="B113" s="69">
        <v>10.0</v>
      </c>
      <c r="C113" s="86" t="s">
        <v>72</v>
      </c>
      <c r="D113" s="86" t="s">
        <v>73</v>
      </c>
      <c r="E113" s="86" t="s">
        <v>74</v>
      </c>
      <c r="F113" s="69">
        <v>2500.0</v>
      </c>
      <c r="G113" s="69">
        <v>6.0</v>
      </c>
      <c r="H113" s="68">
        <f t="shared" si="1"/>
        <v>20.94</v>
      </c>
      <c r="I113" s="81">
        <f>IFERROR(__xludf.DUMMYFUNCTION("IF(G113="""", """", ROUND(G113 / MAX(FILTER($G$2:$G5067, $D$2:$D5067=$D113)) * 100, 2))"),88.24)</f>
        <v>88.24</v>
      </c>
      <c r="J113" s="81">
        <f>IFERROR(__xludf.DUMMYFUNCTION("IF(H113="""", """", ROUND(H113 / MAX(FILTER($H$2:$H5067, $D$2:$D5067=$D113)) * 100, 2))"),46.57)</f>
        <v>46.57</v>
      </c>
      <c r="K113" s="2"/>
      <c r="L113" s="48"/>
      <c r="M113" s="48"/>
      <c r="N113" s="48"/>
      <c r="O113" s="48" t="str">
        <f t="shared" si="2"/>
        <v/>
      </c>
      <c r="P113" s="48" t="str">
        <f t="shared" si="3"/>
        <v/>
      </c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 t="s">
        <v>385</v>
      </c>
    </row>
    <row r="114">
      <c r="A114" s="63">
        <v>8.0</v>
      </c>
      <c r="B114" s="63">
        <v>10.0</v>
      </c>
      <c r="C114" s="64" t="s">
        <v>72</v>
      </c>
      <c r="D114" s="64" t="s">
        <v>73</v>
      </c>
      <c r="E114" s="64" t="s">
        <v>74</v>
      </c>
      <c r="F114" s="63">
        <v>3000.0</v>
      </c>
      <c r="G114" s="63">
        <v>6.6</v>
      </c>
      <c r="H114" s="66">
        <f t="shared" si="1"/>
        <v>27.65</v>
      </c>
      <c r="I114" s="81">
        <f>IFERROR(__xludf.DUMMYFUNCTION("IF(G114="""", """", ROUND(G114 / MAX(FILTER($G$2:$G5067, $D$2:$D5067=$D114)) * 100, 2))"),97.06)</f>
        <v>97.06</v>
      </c>
      <c r="J114" s="81">
        <f>IFERROR(__xludf.DUMMYFUNCTION("IF(H114="""", """", ROUND(H114 / MAX(FILTER($H$2:$H5067, $D$2:$D5067=$D114)) * 100, 2))"),61.5)</f>
        <v>61.5</v>
      </c>
      <c r="K114" s="2"/>
      <c r="L114" s="49"/>
      <c r="M114" s="49"/>
      <c r="N114" s="49"/>
      <c r="O114" s="49" t="str">
        <f t="shared" si="2"/>
        <v/>
      </c>
      <c r="P114" s="49" t="str">
        <f t="shared" si="3"/>
        <v/>
      </c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 t="s">
        <v>388</v>
      </c>
    </row>
    <row r="115">
      <c r="A115" s="69">
        <v>8.0</v>
      </c>
      <c r="B115" s="69">
        <v>10.0</v>
      </c>
      <c r="C115" s="86" t="s">
        <v>72</v>
      </c>
      <c r="D115" s="86" t="s">
        <v>73</v>
      </c>
      <c r="E115" s="86" t="s">
        <v>74</v>
      </c>
      <c r="F115" s="69">
        <v>3500.0</v>
      </c>
      <c r="G115" s="69">
        <v>6.7</v>
      </c>
      <c r="H115" s="68">
        <f t="shared" si="1"/>
        <v>32.74</v>
      </c>
      <c r="I115" s="81">
        <f>IFERROR(__xludf.DUMMYFUNCTION("IF(G115="""", """", ROUND(G115 / MAX(FILTER($G$2:$G5067, $D$2:$D5067=$D115)) * 100, 2))"),98.53)</f>
        <v>98.53</v>
      </c>
      <c r="J115" s="81">
        <f>IFERROR(__xludf.DUMMYFUNCTION("IF(H115="""", """", ROUND(H115 / MAX(FILTER($H$2:$H5067, $D$2:$D5067=$D115)) * 100, 2))"),72.82)</f>
        <v>72.82</v>
      </c>
      <c r="K115" s="2"/>
      <c r="L115" s="48"/>
      <c r="M115" s="48"/>
      <c r="N115" s="48"/>
      <c r="O115" s="48" t="str">
        <f t="shared" si="2"/>
        <v/>
      </c>
      <c r="P115" s="48" t="str">
        <f t="shared" si="3"/>
        <v/>
      </c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 t="s">
        <v>391</v>
      </c>
    </row>
    <row r="116">
      <c r="A116" s="63">
        <v>8.0</v>
      </c>
      <c r="B116" s="63">
        <v>10.0</v>
      </c>
      <c r="C116" s="64" t="s">
        <v>72</v>
      </c>
      <c r="D116" s="64" t="s">
        <v>73</v>
      </c>
      <c r="E116" s="64" t="s">
        <v>74</v>
      </c>
      <c r="F116" s="63">
        <v>4000.0</v>
      </c>
      <c r="G116" s="63">
        <v>6.8</v>
      </c>
      <c r="H116" s="66">
        <f t="shared" si="1"/>
        <v>37.98</v>
      </c>
      <c r="I116" s="81">
        <f>IFERROR(__xludf.DUMMYFUNCTION("IF(G116="""", """", ROUND(G116 / MAX(FILTER($G$2:$G5067, $D$2:$D5067=$D116)) * 100, 2))"),100.0)</f>
        <v>100</v>
      </c>
      <c r="J116" s="81">
        <f>IFERROR(__xludf.DUMMYFUNCTION("IF(H116="""", """", ROUND(H116 / MAX(FILTER($H$2:$H5067, $D$2:$D5067=$D116)) * 100, 2))"),84.48)</f>
        <v>84.48</v>
      </c>
      <c r="K116" s="2"/>
      <c r="L116" s="49"/>
      <c r="M116" s="49"/>
      <c r="N116" s="49"/>
      <c r="O116" s="49" t="str">
        <f t="shared" si="2"/>
        <v/>
      </c>
      <c r="P116" s="49" t="str">
        <f t="shared" si="3"/>
        <v/>
      </c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 t="s">
        <v>394</v>
      </c>
    </row>
    <row r="117">
      <c r="A117" s="69">
        <v>8.0</v>
      </c>
      <c r="B117" s="69">
        <v>10.0</v>
      </c>
      <c r="C117" s="86" t="s">
        <v>72</v>
      </c>
      <c r="D117" s="86" t="s">
        <v>73</v>
      </c>
      <c r="E117" s="86" t="s">
        <v>74</v>
      </c>
      <c r="F117" s="69">
        <v>4500.0</v>
      </c>
      <c r="G117" s="69">
        <v>6.63</v>
      </c>
      <c r="H117" s="68">
        <f t="shared" si="1"/>
        <v>41.66</v>
      </c>
      <c r="I117" s="81">
        <f>IFERROR(__xludf.DUMMYFUNCTION("IF(G117="""", """", ROUND(G117 / MAX(FILTER($G$2:$G5067, $D$2:$D5067=$D117)) * 100, 2))"),97.5)</f>
        <v>97.5</v>
      </c>
      <c r="J117" s="81">
        <f>IFERROR(__xludf.DUMMYFUNCTION("IF(H117="""", """", ROUND(H117 / MAX(FILTER($H$2:$H5067, $D$2:$D5067=$D117)) * 100, 2))"),92.66)</f>
        <v>92.66</v>
      </c>
      <c r="K117" s="2"/>
      <c r="L117" s="48"/>
      <c r="M117" s="48"/>
      <c r="N117" s="48"/>
      <c r="O117" s="48" t="str">
        <f t="shared" si="2"/>
        <v/>
      </c>
      <c r="P117" s="48" t="str">
        <f t="shared" si="3"/>
        <v/>
      </c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 t="s">
        <v>397</v>
      </c>
    </row>
    <row r="118">
      <c r="A118" s="63">
        <v>8.0</v>
      </c>
      <c r="B118" s="63">
        <v>10.0</v>
      </c>
      <c r="C118" s="64" t="s">
        <v>72</v>
      </c>
      <c r="D118" s="64" t="s">
        <v>73</v>
      </c>
      <c r="E118" s="64" t="s">
        <v>74</v>
      </c>
      <c r="F118" s="63">
        <v>5000.0</v>
      </c>
      <c r="G118" s="63">
        <v>6.44</v>
      </c>
      <c r="H118" s="66">
        <f t="shared" si="1"/>
        <v>44.96</v>
      </c>
      <c r="I118" s="81">
        <f>IFERROR(__xludf.DUMMYFUNCTION("IF(G118="""", """", ROUND(G118 / MAX(FILTER($G$2:$G5067, $D$2:$D5067=$D118)) * 100, 2))"),94.71)</f>
        <v>94.71</v>
      </c>
      <c r="J118" s="81">
        <f>IFERROR(__xludf.DUMMYFUNCTION("IF(H118="""", """", ROUND(H118 / MAX(FILTER($H$2:$H5067, $D$2:$D5067=$D118)) * 100, 2))"),100.0)</f>
        <v>100</v>
      </c>
      <c r="K118" s="2"/>
      <c r="L118" s="49"/>
      <c r="M118" s="49"/>
      <c r="N118" s="49"/>
      <c r="O118" s="49" t="str">
        <f t="shared" si="2"/>
        <v/>
      </c>
      <c r="P118" s="49" t="str">
        <f t="shared" si="3"/>
        <v/>
      </c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 t="s">
        <v>400</v>
      </c>
    </row>
    <row r="119">
      <c r="A119" s="69">
        <v>8.0</v>
      </c>
      <c r="B119" s="69">
        <v>10.0</v>
      </c>
      <c r="C119" s="86" t="s">
        <v>72</v>
      </c>
      <c r="D119" s="86" t="s">
        <v>73</v>
      </c>
      <c r="E119" s="86" t="s">
        <v>74</v>
      </c>
      <c r="F119" s="69">
        <v>5500.0</v>
      </c>
      <c r="G119" s="69">
        <v>5.82</v>
      </c>
      <c r="H119" s="68">
        <f t="shared" si="1"/>
        <v>44.69</v>
      </c>
      <c r="I119" s="81">
        <f>IFERROR(__xludf.DUMMYFUNCTION("IF(G119="""", """", ROUND(G119 / MAX(FILTER($G$2:$G5067, $D$2:$D5067=$D119)) * 100, 2))"),85.59)</f>
        <v>85.59</v>
      </c>
      <c r="J119" s="81">
        <f>IFERROR(__xludf.DUMMYFUNCTION("IF(H119="""", """", ROUND(H119 / MAX(FILTER($H$2:$H5067, $D$2:$D5067=$D119)) * 100, 2))"),99.4)</f>
        <v>99.4</v>
      </c>
      <c r="K119" s="2"/>
      <c r="L119" s="48"/>
      <c r="M119" s="48"/>
      <c r="N119" s="48"/>
      <c r="O119" s="48" t="str">
        <f t="shared" si="2"/>
        <v/>
      </c>
      <c r="P119" s="48" t="str">
        <f t="shared" si="3"/>
        <v/>
      </c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 t="s">
        <v>403</v>
      </c>
    </row>
    <row r="120">
      <c r="A120" s="63">
        <v>8.0</v>
      </c>
      <c r="B120" s="63">
        <v>10.0</v>
      </c>
      <c r="C120" s="64" t="s">
        <v>72</v>
      </c>
      <c r="D120" s="64" t="s">
        <v>73</v>
      </c>
      <c r="E120" s="64" t="s">
        <v>74</v>
      </c>
      <c r="F120" s="63">
        <v>6000.0</v>
      </c>
      <c r="G120" s="63">
        <v>5.15</v>
      </c>
      <c r="H120" s="66">
        <f t="shared" si="1"/>
        <v>43.14</v>
      </c>
      <c r="I120" s="81">
        <f>IFERROR(__xludf.DUMMYFUNCTION("IF(G120="""", """", ROUND(G120 / MAX(FILTER($G$2:$G5067, $D$2:$D5067=$D120)) * 100, 2))"),75.74)</f>
        <v>75.74</v>
      </c>
      <c r="J120" s="81">
        <f>IFERROR(__xludf.DUMMYFUNCTION("IF(H120="""", """", ROUND(H120 / MAX(FILTER($H$2:$H5067, $D$2:$D5067=$D120)) * 100, 2))"),95.95)</f>
        <v>95.95</v>
      </c>
      <c r="K120" s="2"/>
      <c r="L120" s="49"/>
      <c r="M120" s="49"/>
      <c r="N120" s="49"/>
      <c r="O120" s="49" t="str">
        <f t="shared" si="2"/>
        <v/>
      </c>
      <c r="P120" s="49" t="str">
        <f t="shared" si="3"/>
        <v/>
      </c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 t="s">
        <v>406</v>
      </c>
    </row>
    <row r="121">
      <c r="A121" s="69">
        <v>8.0</v>
      </c>
      <c r="B121" s="69">
        <v>10.0</v>
      </c>
      <c r="C121" s="86" t="s">
        <v>72</v>
      </c>
      <c r="D121" s="86" t="s">
        <v>73</v>
      </c>
      <c r="E121" s="86" t="s">
        <v>74</v>
      </c>
      <c r="F121" s="69">
        <v>6500.0</v>
      </c>
      <c r="G121" s="69">
        <v>3.85</v>
      </c>
      <c r="H121" s="68">
        <f t="shared" si="1"/>
        <v>34.94</v>
      </c>
      <c r="I121" s="81">
        <f>IFERROR(__xludf.DUMMYFUNCTION("IF(G121="""", """", ROUND(G121 / MAX(FILTER($G$2:$G5067, $D$2:$D5067=$D121)) * 100, 2))"),56.62)</f>
        <v>56.62</v>
      </c>
      <c r="J121" s="81">
        <f>IFERROR(__xludf.DUMMYFUNCTION("IF(H121="""", """", ROUND(H121 / MAX(FILTER($H$2:$H5067, $D$2:$D5067=$D121)) * 100, 2))"),77.71)</f>
        <v>77.71</v>
      </c>
      <c r="K121" s="2"/>
      <c r="L121" s="48"/>
      <c r="M121" s="48"/>
      <c r="N121" s="48"/>
      <c r="O121" s="48" t="str">
        <f t="shared" si="2"/>
        <v/>
      </c>
      <c r="P121" s="48" t="str">
        <f t="shared" si="3"/>
        <v/>
      </c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 t="s">
        <v>409</v>
      </c>
    </row>
    <row r="122">
      <c r="A122" s="63">
        <v>9.0</v>
      </c>
      <c r="B122" s="63">
        <v>11.0</v>
      </c>
      <c r="C122" s="64" t="s">
        <v>75</v>
      </c>
      <c r="D122" s="64" t="s">
        <v>76</v>
      </c>
      <c r="E122" s="64" t="s">
        <v>77</v>
      </c>
      <c r="F122" s="63">
        <v>500.0</v>
      </c>
      <c r="G122" s="63">
        <v>25.55</v>
      </c>
      <c r="H122" s="66">
        <f t="shared" si="1"/>
        <v>17.84</v>
      </c>
      <c r="I122" s="81">
        <f>IFERROR(__xludf.DUMMYFUNCTION("IF(G122="""", """", ROUND(G122 / MAX(FILTER($G$2:$G5067, $D$2:$D5067=$D122)) * 100, 2))"),40.43)</f>
        <v>40.43</v>
      </c>
      <c r="J122" s="81">
        <f>IFERROR(__xludf.DUMMYFUNCTION("IF(H122="""", """", ROUND(H122 / MAX(FILTER($H$2:$H5067, $D$2:$D5067=$D122)) * 100, 2))"),2.98)</f>
        <v>2.98</v>
      </c>
      <c r="K122" s="2"/>
      <c r="L122" s="49"/>
      <c r="M122" s="49"/>
      <c r="N122" s="49"/>
      <c r="O122" s="49" t="str">
        <f t="shared" si="2"/>
        <v/>
      </c>
      <c r="P122" s="49" t="str">
        <f t="shared" si="3"/>
        <v/>
      </c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 t="s">
        <v>412</v>
      </c>
    </row>
    <row r="123">
      <c r="A123" s="69">
        <v>9.0</v>
      </c>
      <c r="B123" s="69">
        <v>11.0</v>
      </c>
      <c r="C123" s="86" t="s">
        <v>75</v>
      </c>
      <c r="D123" s="86" t="s">
        <v>76</v>
      </c>
      <c r="E123" s="86" t="s">
        <v>77</v>
      </c>
      <c r="F123" s="69">
        <v>1000.0</v>
      </c>
      <c r="G123" s="69">
        <v>28.35</v>
      </c>
      <c r="H123" s="68">
        <f t="shared" si="1"/>
        <v>39.58</v>
      </c>
      <c r="I123" s="81">
        <f>IFERROR(__xludf.DUMMYFUNCTION("IF(G123="""", """", ROUND(G123 / MAX(FILTER($G$2:$G5067, $D$2:$D5067=$D123)) * 100, 2))"),44.86)</f>
        <v>44.86</v>
      </c>
      <c r="J123" s="81">
        <f>IFERROR(__xludf.DUMMYFUNCTION("IF(H123="""", """", ROUND(H123 / MAX(FILTER($H$2:$H5067, $D$2:$D5067=$D123)) * 100, 2))"),6.61)</f>
        <v>6.61</v>
      </c>
      <c r="K123" s="2"/>
      <c r="L123" s="48"/>
      <c r="M123" s="48"/>
      <c r="N123" s="48"/>
      <c r="O123" s="48" t="str">
        <f t="shared" si="2"/>
        <v/>
      </c>
      <c r="P123" s="48" t="str">
        <f t="shared" si="3"/>
        <v/>
      </c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 t="s">
        <v>415</v>
      </c>
    </row>
    <row r="124">
      <c r="A124" s="63">
        <v>9.0</v>
      </c>
      <c r="B124" s="63">
        <v>11.0</v>
      </c>
      <c r="C124" s="64" t="s">
        <v>75</v>
      </c>
      <c r="D124" s="64" t="s">
        <v>76</v>
      </c>
      <c r="E124" s="64" t="s">
        <v>77</v>
      </c>
      <c r="F124" s="63">
        <v>1500.0</v>
      </c>
      <c r="G124" s="63">
        <v>30.8</v>
      </c>
      <c r="H124" s="66">
        <f t="shared" si="1"/>
        <v>64.51</v>
      </c>
      <c r="I124" s="81">
        <f>IFERROR(__xludf.DUMMYFUNCTION("IF(G124="""", """", ROUND(G124 / MAX(FILTER($G$2:$G5067, $D$2:$D5067=$D124)) * 100, 2))"),48.73)</f>
        <v>48.73</v>
      </c>
      <c r="J124" s="81">
        <f>IFERROR(__xludf.DUMMYFUNCTION("IF(H124="""", """", ROUND(H124 / MAX(FILTER($H$2:$H5067, $D$2:$D5067=$D124)) * 100, 2))"),10.77)</f>
        <v>10.77</v>
      </c>
      <c r="K124" s="2"/>
      <c r="L124" s="49"/>
      <c r="M124" s="49"/>
      <c r="N124" s="49"/>
      <c r="O124" s="49" t="str">
        <f t="shared" si="2"/>
        <v/>
      </c>
      <c r="P124" s="49" t="str">
        <f t="shared" si="3"/>
        <v/>
      </c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 t="s">
        <v>418</v>
      </c>
    </row>
    <row r="125">
      <c r="A125" s="69">
        <v>9.0</v>
      </c>
      <c r="B125" s="69">
        <v>11.0</v>
      </c>
      <c r="C125" s="86" t="s">
        <v>75</v>
      </c>
      <c r="D125" s="86" t="s">
        <v>76</v>
      </c>
      <c r="E125" s="86" t="s">
        <v>77</v>
      </c>
      <c r="F125" s="69">
        <v>2000.0</v>
      </c>
      <c r="G125" s="69">
        <v>35.17</v>
      </c>
      <c r="H125" s="68">
        <f t="shared" si="1"/>
        <v>98.21</v>
      </c>
      <c r="I125" s="81">
        <f>IFERROR(__xludf.DUMMYFUNCTION("IF(G125="""", """", ROUND(G125 / MAX(FILTER($G$2:$G5067, $D$2:$D5067=$D125)) * 100, 2))"),55.65)</f>
        <v>55.65</v>
      </c>
      <c r="J125" s="81">
        <f>IFERROR(__xludf.DUMMYFUNCTION("IF(H125="""", """", ROUND(H125 / MAX(FILTER($H$2:$H5067, $D$2:$D5067=$D125)) * 100, 2))"),16.4)</f>
        <v>16.4</v>
      </c>
      <c r="K125" s="2"/>
      <c r="L125" s="48"/>
      <c r="M125" s="48"/>
      <c r="N125" s="48"/>
      <c r="O125" s="48" t="str">
        <f t="shared" si="2"/>
        <v/>
      </c>
      <c r="P125" s="48" t="str">
        <f t="shared" si="3"/>
        <v/>
      </c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 t="s">
        <v>421</v>
      </c>
    </row>
    <row r="126">
      <c r="A126" s="63">
        <v>9.0</v>
      </c>
      <c r="B126" s="63">
        <v>11.0</v>
      </c>
      <c r="C126" s="64" t="s">
        <v>75</v>
      </c>
      <c r="D126" s="64" t="s">
        <v>76</v>
      </c>
      <c r="E126" s="64" t="s">
        <v>77</v>
      </c>
      <c r="F126" s="63">
        <v>2500.0</v>
      </c>
      <c r="G126" s="63">
        <v>46.38</v>
      </c>
      <c r="H126" s="66">
        <f t="shared" si="1"/>
        <v>161.9</v>
      </c>
      <c r="I126" s="81">
        <f>IFERROR(__xludf.DUMMYFUNCTION("IF(G126="""", """", ROUND(G126 / MAX(FILTER($G$2:$G5067, $D$2:$D5067=$D126)) * 100, 2))"),73.39)</f>
        <v>73.39</v>
      </c>
      <c r="J126" s="81">
        <f>IFERROR(__xludf.DUMMYFUNCTION("IF(H126="""", """", ROUND(H126 / MAX(FILTER($H$2:$H5067, $D$2:$D5067=$D126)) * 100, 2))"),27.03)</f>
        <v>27.03</v>
      </c>
      <c r="K126" s="2"/>
      <c r="L126" s="49"/>
      <c r="M126" s="49"/>
      <c r="N126" s="49"/>
      <c r="O126" s="49" t="str">
        <f t="shared" si="2"/>
        <v/>
      </c>
      <c r="P126" s="49" t="str">
        <f t="shared" si="3"/>
        <v/>
      </c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 t="s">
        <v>424</v>
      </c>
    </row>
    <row r="127">
      <c r="A127" s="69">
        <v>9.0</v>
      </c>
      <c r="B127" s="69">
        <v>11.0</v>
      </c>
      <c r="C127" s="86" t="s">
        <v>75</v>
      </c>
      <c r="D127" s="86" t="s">
        <v>76</v>
      </c>
      <c r="E127" s="86" t="s">
        <v>77</v>
      </c>
      <c r="F127" s="69">
        <v>3000.0</v>
      </c>
      <c r="G127" s="69">
        <v>56.35</v>
      </c>
      <c r="H127" s="68">
        <f t="shared" si="1"/>
        <v>236.04</v>
      </c>
      <c r="I127" s="81">
        <f>IFERROR(__xludf.DUMMYFUNCTION("IF(G127="""", """", ROUND(G127 / MAX(FILTER($G$2:$G5067, $D$2:$D5067=$D127)) * 100, 2))"),89.16)</f>
        <v>89.16</v>
      </c>
      <c r="J127" s="81">
        <f>IFERROR(__xludf.DUMMYFUNCTION("IF(H127="""", """", ROUND(H127 / MAX(FILTER($H$2:$H5067, $D$2:$D5067=$D127)) * 100, 2))"),39.41)</f>
        <v>39.41</v>
      </c>
      <c r="K127" s="2"/>
      <c r="L127" s="48"/>
      <c r="M127" s="48"/>
      <c r="N127" s="48"/>
      <c r="O127" s="48" t="str">
        <f t="shared" si="2"/>
        <v/>
      </c>
      <c r="P127" s="48" t="str">
        <f t="shared" si="3"/>
        <v/>
      </c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 t="s">
        <v>427</v>
      </c>
    </row>
    <row r="128">
      <c r="A128" s="63">
        <v>9.0</v>
      </c>
      <c r="B128" s="63">
        <v>11.0</v>
      </c>
      <c r="C128" s="64" t="s">
        <v>75</v>
      </c>
      <c r="D128" s="64" t="s">
        <v>76</v>
      </c>
      <c r="E128" s="64" t="s">
        <v>77</v>
      </c>
      <c r="F128" s="63">
        <v>3500.0</v>
      </c>
      <c r="G128" s="63">
        <v>59.67</v>
      </c>
      <c r="H128" s="66">
        <f t="shared" si="1"/>
        <v>291.6</v>
      </c>
      <c r="I128" s="81">
        <f>IFERROR(__xludf.DUMMYFUNCTION("IF(G128="""", """", ROUND(G128 / MAX(FILTER($G$2:$G5067, $D$2:$D5067=$D128)) * 100, 2))"),94.41)</f>
        <v>94.41</v>
      </c>
      <c r="J128" s="81">
        <f>IFERROR(__xludf.DUMMYFUNCTION("IF(H128="""", """", ROUND(H128 / MAX(FILTER($H$2:$H5067, $D$2:$D5067=$D128)) * 100, 2))"),48.68)</f>
        <v>48.68</v>
      </c>
      <c r="K128" s="2"/>
      <c r="L128" s="49"/>
      <c r="M128" s="49"/>
      <c r="N128" s="49"/>
      <c r="O128" s="49" t="str">
        <f t="shared" si="2"/>
        <v/>
      </c>
      <c r="P128" s="49" t="str">
        <f t="shared" si="3"/>
        <v/>
      </c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 t="s">
        <v>430</v>
      </c>
    </row>
    <row r="129">
      <c r="A129" s="69">
        <v>9.0</v>
      </c>
      <c r="B129" s="69">
        <v>11.0</v>
      </c>
      <c r="C129" s="86" t="s">
        <v>75</v>
      </c>
      <c r="D129" s="86" t="s">
        <v>76</v>
      </c>
      <c r="E129" s="86" t="s">
        <v>77</v>
      </c>
      <c r="F129" s="69">
        <v>4000.0</v>
      </c>
      <c r="G129" s="69">
        <v>61.25</v>
      </c>
      <c r="H129" s="68">
        <f t="shared" si="1"/>
        <v>342.08</v>
      </c>
      <c r="I129" s="81">
        <f>IFERROR(__xludf.DUMMYFUNCTION("IF(G129="""", """", ROUND(G129 / MAX(FILTER($G$2:$G5067, $D$2:$D5067=$D129)) * 100, 2))"),96.91)</f>
        <v>96.91</v>
      </c>
      <c r="J129" s="81">
        <f>IFERROR(__xludf.DUMMYFUNCTION("IF(H129="""", """", ROUND(H129 / MAX(FILTER($H$2:$H5067, $D$2:$D5067=$D129)) * 100, 2))"),57.11)</f>
        <v>57.11</v>
      </c>
      <c r="K129" s="2"/>
      <c r="L129" s="48"/>
      <c r="M129" s="48"/>
      <c r="N129" s="48"/>
      <c r="O129" s="48" t="str">
        <f t="shared" si="2"/>
        <v/>
      </c>
      <c r="P129" s="48" t="str">
        <f t="shared" si="3"/>
        <v/>
      </c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 t="s">
        <v>433</v>
      </c>
    </row>
    <row r="130">
      <c r="A130" s="63">
        <v>9.0</v>
      </c>
      <c r="B130" s="63">
        <v>11.0</v>
      </c>
      <c r="C130" s="64" t="s">
        <v>75</v>
      </c>
      <c r="D130" s="64" t="s">
        <v>76</v>
      </c>
      <c r="E130" s="64" t="s">
        <v>77</v>
      </c>
      <c r="F130" s="63">
        <v>4500.0</v>
      </c>
      <c r="G130" s="63">
        <v>62.13</v>
      </c>
      <c r="H130" s="66">
        <f t="shared" si="1"/>
        <v>390.37</v>
      </c>
      <c r="I130" s="81">
        <f>IFERROR(__xludf.DUMMYFUNCTION("IF(G130="""", """", ROUND(G130 / MAX(FILTER($G$2:$G5067, $D$2:$D5067=$D130)) * 100, 2))"),98.31)</f>
        <v>98.31</v>
      </c>
      <c r="J130" s="81">
        <f>IFERROR(__xludf.DUMMYFUNCTION("IF(H130="""", """", ROUND(H130 / MAX(FILTER($H$2:$H5067, $D$2:$D5067=$D130)) * 100, 2))"),65.17)</f>
        <v>65.17</v>
      </c>
      <c r="K130" s="2"/>
      <c r="L130" s="49"/>
      <c r="M130" s="49"/>
      <c r="N130" s="49"/>
      <c r="O130" s="49" t="str">
        <f t="shared" si="2"/>
        <v/>
      </c>
      <c r="P130" s="49" t="str">
        <f t="shared" si="3"/>
        <v/>
      </c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 t="s">
        <v>436</v>
      </c>
    </row>
    <row r="131">
      <c r="A131" s="69">
        <v>9.0</v>
      </c>
      <c r="B131" s="69">
        <v>11.0</v>
      </c>
      <c r="C131" s="86" t="s">
        <v>75</v>
      </c>
      <c r="D131" s="86" t="s">
        <v>76</v>
      </c>
      <c r="E131" s="86" t="s">
        <v>77</v>
      </c>
      <c r="F131" s="69">
        <v>5000.0</v>
      </c>
      <c r="G131" s="69">
        <v>62.65</v>
      </c>
      <c r="H131" s="68">
        <f t="shared" si="1"/>
        <v>437.38</v>
      </c>
      <c r="I131" s="81">
        <f>IFERROR(__xludf.DUMMYFUNCTION("IF(G131="""", """", ROUND(G131 / MAX(FILTER($G$2:$G5067, $D$2:$D5067=$D131)) * 100, 2))"),99.13)</f>
        <v>99.13</v>
      </c>
      <c r="J131" s="81">
        <f>IFERROR(__xludf.DUMMYFUNCTION("IF(H131="""", """", ROUND(H131 / MAX(FILTER($H$2:$H5067, $D$2:$D5067=$D131)) * 100, 2))"),73.02)</f>
        <v>73.02</v>
      </c>
      <c r="K131" s="2"/>
      <c r="L131" s="48"/>
      <c r="M131" s="48"/>
      <c r="N131" s="48"/>
      <c r="O131" s="48" t="str">
        <f t="shared" si="2"/>
        <v/>
      </c>
      <c r="P131" s="48" t="str">
        <f t="shared" si="3"/>
        <v/>
      </c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 t="s">
        <v>439</v>
      </c>
    </row>
    <row r="132">
      <c r="A132" s="63">
        <v>9.0</v>
      </c>
      <c r="B132" s="63">
        <v>11.0</v>
      </c>
      <c r="C132" s="64" t="s">
        <v>75</v>
      </c>
      <c r="D132" s="64" t="s">
        <v>76</v>
      </c>
      <c r="E132" s="64" t="s">
        <v>77</v>
      </c>
      <c r="F132" s="63">
        <v>5500.0</v>
      </c>
      <c r="G132" s="63">
        <v>63.0</v>
      </c>
      <c r="H132" s="66">
        <f t="shared" si="1"/>
        <v>483.8</v>
      </c>
      <c r="I132" s="81">
        <f>IFERROR(__xludf.DUMMYFUNCTION("IF(G132="""", """", ROUND(G132 / MAX(FILTER($G$2:$G5067, $D$2:$D5067=$D132)) * 100, 2))"),99.68)</f>
        <v>99.68</v>
      </c>
      <c r="J132" s="81">
        <f>IFERROR(__xludf.DUMMYFUNCTION("IF(H132="""", """", ROUND(H132 / MAX(FILTER($H$2:$H5067, $D$2:$D5067=$D132)) * 100, 2))"),80.77)</f>
        <v>80.77</v>
      </c>
      <c r="K132" s="2"/>
      <c r="L132" s="49"/>
      <c r="M132" s="49"/>
      <c r="N132" s="49"/>
      <c r="O132" s="49" t="str">
        <f t="shared" si="2"/>
        <v/>
      </c>
      <c r="P132" s="49" t="str">
        <f t="shared" si="3"/>
        <v/>
      </c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 t="s">
        <v>442</v>
      </c>
    </row>
    <row r="133">
      <c r="A133" s="69">
        <v>9.0</v>
      </c>
      <c r="B133" s="69">
        <v>11.0</v>
      </c>
      <c r="C133" s="86" t="s">
        <v>75</v>
      </c>
      <c r="D133" s="86" t="s">
        <v>76</v>
      </c>
      <c r="E133" s="86" t="s">
        <v>77</v>
      </c>
      <c r="F133" s="69">
        <v>6000.0</v>
      </c>
      <c r="G133" s="69">
        <v>63.2</v>
      </c>
      <c r="H133" s="68">
        <f t="shared" si="1"/>
        <v>529.46</v>
      </c>
      <c r="I133" s="81">
        <f>IFERROR(__xludf.DUMMYFUNCTION("IF(G133="""", """", ROUND(G133 / MAX(FILTER($G$2:$G5067, $D$2:$D5067=$D133)) * 100, 2))"),100.0)</f>
        <v>100</v>
      </c>
      <c r="J133" s="81">
        <f>IFERROR(__xludf.DUMMYFUNCTION("IF(H133="""", """", ROUND(H133 / MAX(FILTER($H$2:$H5067, $D$2:$D5067=$D133)) * 100, 2))"),88.39)</f>
        <v>88.39</v>
      </c>
      <c r="K133" s="2"/>
      <c r="L133" s="48"/>
      <c r="M133" s="48"/>
      <c r="N133" s="48"/>
      <c r="O133" s="48" t="str">
        <f t="shared" si="2"/>
        <v/>
      </c>
      <c r="P133" s="48" t="str">
        <f t="shared" si="3"/>
        <v/>
      </c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 t="s">
        <v>445</v>
      </c>
    </row>
    <row r="134">
      <c r="A134" s="63">
        <v>9.0</v>
      </c>
      <c r="B134" s="63">
        <v>11.0</v>
      </c>
      <c r="C134" s="64" t="s">
        <v>75</v>
      </c>
      <c r="D134" s="64" t="s">
        <v>76</v>
      </c>
      <c r="E134" s="64" t="s">
        <v>77</v>
      </c>
      <c r="F134" s="63">
        <v>6500.0</v>
      </c>
      <c r="G134" s="63">
        <v>63.0</v>
      </c>
      <c r="H134" s="66">
        <f t="shared" si="1"/>
        <v>571.77</v>
      </c>
      <c r="I134" s="81">
        <f>IFERROR(__xludf.DUMMYFUNCTION("IF(G134="""", """", ROUND(G134 / MAX(FILTER($G$2:$G5067, $D$2:$D5067=$D134)) * 100, 2))"),99.68)</f>
        <v>99.68</v>
      </c>
      <c r="J134" s="81">
        <f>IFERROR(__xludf.DUMMYFUNCTION("IF(H134="""", """", ROUND(H134 / MAX(FILTER($H$2:$H5067, $D$2:$D5067=$D134)) * 100, 2))"),95.46)</f>
        <v>95.46</v>
      </c>
      <c r="K134" s="2"/>
      <c r="L134" s="49"/>
      <c r="M134" s="49"/>
      <c r="N134" s="49"/>
      <c r="O134" s="49" t="str">
        <f t="shared" si="2"/>
        <v/>
      </c>
      <c r="P134" s="49" t="str">
        <f t="shared" si="3"/>
        <v/>
      </c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 t="s">
        <v>448</v>
      </c>
    </row>
    <row r="135">
      <c r="A135" s="69">
        <v>9.0</v>
      </c>
      <c r="B135" s="69">
        <v>11.0</v>
      </c>
      <c r="C135" s="86" t="s">
        <v>75</v>
      </c>
      <c r="D135" s="86" t="s">
        <v>76</v>
      </c>
      <c r="E135" s="86" t="s">
        <v>77</v>
      </c>
      <c r="F135" s="69">
        <v>7000.0</v>
      </c>
      <c r="G135" s="69">
        <v>60.9</v>
      </c>
      <c r="H135" s="68">
        <f t="shared" si="1"/>
        <v>595.22</v>
      </c>
      <c r="I135" s="81">
        <f>IFERROR(__xludf.DUMMYFUNCTION("IF(G135="""", """", ROUND(G135 / MAX(FILTER($G$2:$G5067, $D$2:$D5067=$D135)) * 100, 2))"),96.36)</f>
        <v>96.36</v>
      </c>
      <c r="J135" s="81">
        <f>IFERROR(__xludf.DUMMYFUNCTION("IF(H135="""", """", ROUND(H135 / MAX(FILTER($H$2:$H5067, $D$2:$D5067=$D135)) * 100, 2))"),99.37)</f>
        <v>99.37</v>
      </c>
      <c r="K135" s="2"/>
      <c r="L135" s="48"/>
      <c r="M135" s="48"/>
      <c r="N135" s="48"/>
      <c r="O135" s="48" t="str">
        <f t="shared" si="2"/>
        <v/>
      </c>
      <c r="P135" s="48" t="str">
        <f t="shared" si="3"/>
        <v/>
      </c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 t="s">
        <v>451</v>
      </c>
    </row>
    <row r="136">
      <c r="A136" s="63">
        <v>9.0</v>
      </c>
      <c r="B136" s="63">
        <v>11.0</v>
      </c>
      <c r="C136" s="64" t="s">
        <v>75</v>
      </c>
      <c r="D136" s="64" t="s">
        <v>76</v>
      </c>
      <c r="E136" s="64" t="s">
        <v>77</v>
      </c>
      <c r="F136" s="63">
        <v>7500.0</v>
      </c>
      <c r="G136" s="63">
        <v>57.2</v>
      </c>
      <c r="H136" s="66">
        <f t="shared" si="1"/>
        <v>598.99</v>
      </c>
      <c r="I136" s="81">
        <f>IFERROR(__xludf.DUMMYFUNCTION("IF(G136="""", """", ROUND(G136 / MAX(FILTER($G$2:$G5067, $D$2:$D5067=$D136)) * 100, 2))"),90.51)</f>
        <v>90.51</v>
      </c>
      <c r="J136" s="81">
        <f>IFERROR(__xludf.DUMMYFUNCTION("IF(H136="""", """", ROUND(H136 / MAX(FILTER($H$2:$H5067, $D$2:$D5067=$D136)) * 100, 2))"),100.0)</f>
        <v>100</v>
      </c>
      <c r="K136" s="2"/>
      <c r="L136" s="49"/>
      <c r="M136" s="49"/>
      <c r="N136" s="49"/>
      <c r="O136" s="49" t="str">
        <f t="shared" si="2"/>
        <v/>
      </c>
      <c r="P136" s="49" t="str">
        <f t="shared" si="3"/>
        <v/>
      </c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 t="s">
        <v>454</v>
      </c>
    </row>
    <row r="137">
      <c r="A137" s="69">
        <v>9.0</v>
      </c>
      <c r="B137" s="69">
        <v>11.0</v>
      </c>
      <c r="C137" s="86" t="s">
        <v>75</v>
      </c>
      <c r="D137" s="86" t="s">
        <v>76</v>
      </c>
      <c r="E137" s="86" t="s">
        <v>77</v>
      </c>
      <c r="F137" s="69">
        <v>8000.0</v>
      </c>
      <c r="G137" s="69">
        <v>51.8</v>
      </c>
      <c r="H137" s="68">
        <f t="shared" si="1"/>
        <v>578.61</v>
      </c>
      <c r="I137" s="81">
        <f>IFERROR(__xludf.DUMMYFUNCTION("IF(G137="""", """", ROUND(G137 / MAX(FILTER($G$2:$G5067, $D$2:$D5067=$D137)) * 100, 2))"),81.96)</f>
        <v>81.96</v>
      </c>
      <c r="J137" s="81">
        <f>IFERROR(__xludf.DUMMYFUNCTION("IF(H137="""", """", ROUND(H137 / MAX(FILTER($H$2:$H5067, $D$2:$D5067=$D137)) * 100, 2))"),96.6)</f>
        <v>96.6</v>
      </c>
      <c r="K137" s="2"/>
      <c r="L137" s="48"/>
      <c r="M137" s="48"/>
      <c r="N137" s="48"/>
      <c r="O137" s="48" t="str">
        <f t="shared" si="2"/>
        <v/>
      </c>
      <c r="P137" s="48" t="str">
        <f t="shared" si="3"/>
        <v/>
      </c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 t="s">
        <v>457</v>
      </c>
    </row>
    <row r="138">
      <c r="A138" s="63">
        <v>10.0</v>
      </c>
      <c r="B138" s="63">
        <v>13.0</v>
      </c>
      <c r="C138" s="64" t="s">
        <v>78</v>
      </c>
      <c r="D138" s="64" t="s">
        <v>79</v>
      </c>
      <c r="E138" s="64" t="s">
        <v>80</v>
      </c>
      <c r="F138" s="63">
        <v>500.0</v>
      </c>
      <c r="G138" s="63">
        <v>14.13</v>
      </c>
      <c r="H138" s="66">
        <f t="shared" si="1"/>
        <v>9.86</v>
      </c>
      <c r="I138" s="81">
        <f>IFERROR(__xludf.DUMMYFUNCTION("IF(G138="""", """", ROUND(G138 / MAX(FILTER($G$2:$G5067, $D$2:$D5067=$D138)) * 100, 2))"),67.29)</f>
        <v>67.29</v>
      </c>
      <c r="J138" s="81">
        <f>IFERROR(__xludf.DUMMYFUNCTION("IF(H138="""", """", ROUND(H138 / MAX(FILTER($H$2:$H5067, $D$2:$D5067=$D138)) * 100, 2))"),6.57)</f>
        <v>6.57</v>
      </c>
      <c r="K138" s="2"/>
      <c r="L138" s="49"/>
      <c r="M138" s="49"/>
      <c r="N138" s="49"/>
      <c r="O138" s="49" t="str">
        <f t="shared" si="2"/>
        <v/>
      </c>
      <c r="P138" s="49" t="str">
        <f t="shared" si="3"/>
        <v/>
      </c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 t="s">
        <v>460</v>
      </c>
    </row>
    <row r="139">
      <c r="A139" s="69">
        <v>10.0</v>
      </c>
      <c r="B139" s="69">
        <v>13.0</v>
      </c>
      <c r="C139" s="86" t="s">
        <v>78</v>
      </c>
      <c r="D139" s="86" t="s">
        <v>79</v>
      </c>
      <c r="E139" s="86" t="s">
        <v>80</v>
      </c>
      <c r="F139" s="69">
        <v>1000.0</v>
      </c>
      <c r="G139" s="69">
        <v>16.1</v>
      </c>
      <c r="H139" s="68">
        <f t="shared" si="1"/>
        <v>22.48</v>
      </c>
      <c r="I139" s="81">
        <f>IFERROR(__xludf.DUMMYFUNCTION("IF(G139="""", """", ROUND(G139 / MAX(FILTER($G$2:$G5067, $D$2:$D5067=$D139)) * 100, 2))"),76.67)</f>
        <v>76.67</v>
      </c>
      <c r="J139" s="81">
        <f>IFERROR(__xludf.DUMMYFUNCTION("IF(H139="""", """", ROUND(H139 / MAX(FILTER($H$2:$H5067, $D$2:$D5067=$D139)) * 100, 2))"),14.97)</f>
        <v>14.97</v>
      </c>
      <c r="K139" s="2"/>
      <c r="L139" s="48"/>
      <c r="M139" s="48"/>
      <c r="N139" s="48"/>
      <c r="O139" s="48" t="str">
        <f t="shared" si="2"/>
        <v/>
      </c>
      <c r="P139" s="48" t="str">
        <f t="shared" si="3"/>
        <v/>
      </c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 t="s">
        <v>463</v>
      </c>
    </row>
    <row r="140">
      <c r="A140" s="63">
        <v>10.0</v>
      </c>
      <c r="B140" s="63">
        <v>13.0</v>
      </c>
      <c r="C140" s="64" t="s">
        <v>78</v>
      </c>
      <c r="D140" s="64" t="s">
        <v>79</v>
      </c>
      <c r="E140" s="64" t="s">
        <v>80</v>
      </c>
      <c r="F140" s="63">
        <v>1500.0</v>
      </c>
      <c r="G140" s="63">
        <v>17.4</v>
      </c>
      <c r="H140" s="66">
        <f t="shared" si="1"/>
        <v>36.44</v>
      </c>
      <c r="I140" s="81">
        <f>IFERROR(__xludf.DUMMYFUNCTION("IF(G140="""", """", ROUND(G140 / MAX(FILTER($G$2:$G5067, $D$2:$D5067=$D140)) * 100, 2))"),82.86)</f>
        <v>82.86</v>
      </c>
      <c r="J140" s="81">
        <f>IFERROR(__xludf.DUMMYFUNCTION("IF(H140="""", """", ROUND(H140 / MAX(FILTER($H$2:$H5067, $D$2:$D5067=$D140)) * 100, 2))"),24.27)</f>
        <v>24.27</v>
      </c>
      <c r="K140" s="2"/>
      <c r="L140" s="49"/>
      <c r="M140" s="49"/>
      <c r="N140" s="49"/>
      <c r="O140" s="49" t="str">
        <f t="shared" si="2"/>
        <v/>
      </c>
      <c r="P140" s="49" t="str">
        <f t="shared" si="3"/>
        <v/>
      </c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 t="s">
        <v>466</v>
      </c>
    </row>
    <row r="141">
      <c r="A141" s="69">
        <v>10.0</v>
      </c>
      <c r="B141" s="69">
        <v>13.0</v>
      </c>
      <c r="C141" s="86" t="s">
        <v>78</v>
      </c>
      <c r="D141" s="86" t="s">
        <v>79</v>
      </c>
      <c r="E141" s="86" t="s">
        <v>80</v>
      </c>
      <c r="F141" s="69">
        <v>2000.0</v>
      </c>
      <c r="G141" s="69">
        <v>18.25</v>
      </c>
      <c r="H141" s="68">
        <f t="shared" si="1"/>
        <v>50.96</v>
      </c>
      <c r="I141" s="81">
        <f>IFERROR(__xludf.DUMMYFUNCTION("IF(G141="""", """", ROUND(G141 / MAX(FILTER($G$2:$G5067, $D$2:$D5067=$D141)) * 100, 2))"),86.9)</f>
        <v>86.9</v>
      </c>
      <c r="J141" s="81">
        <f>IFERROR(__xludf.DUMMYFUNCTION("IF(H141="""", """", ROUND(H141 / MAX(FILTER($H$2:$H5067, $D$2:$D5067=$D141)) * 100, 2))"),33.94)</f>
        <v>33.94</v>
      </c>
      <c r="K141" s="2"/>
      <c r="L141" s="48"/>
      <c r="M141" s="48"/>
      <c r="N141" s="48"/>
      <c r="O141" s="48" t="str">
        <f t="shared" si="2"/>
        <v/>
      </c>
      <c r="P141" s="48" t="str">
        <f t="shared" si="3"/>
        <v/>
      </c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 t="s">
        <v>469</v>
      </c>
    </row>
    <row r="142">
      <c r="A142" s="63">
        <v>10.0</v>
      </c>
      <c r="B142" s="63">
        <v>13.0</v>
      </c>
      <c r="C142" s="64" t="s">
        <v>78</v>
      </c>
      <c r="D142" s="64" t="s">
        <v>79</v>
      </c>
      <c r="E142" s="64" t="s">
        <v>80</v>
      </c>
      <c r="F142" s="63">
        <v>2500.0</v>
      </c>
      <c r="G142" s="63">
        <v>18.58</v>
      </c>
      <c r="H142" s="66">
        <f t="shared" si="1"/>
        <v>64.86</v>
      </c>
      <c r="I142" s="81">
        <f>IFERROR(__xludf.DUMMYFUNCTION("IF(G142="""", """", ROUND(G142 / MAX(FILTER($G$2:$G5067, $D$2:$D5067=$D142)) * 100, 2))"),88.48)</f>
        <v>88.48</v>
      </c>
      <c r="J142" s="81">
        <f>IFERROR(__xludf.DUMMYFUNCTION("IF(H142="""", """", ROUND(H142 / MAX(FILTER($H$2:$H5067, $D$2:$D5067=$D142)) * 100, 2))"),43.2)</f>
        <v>43.2</v>
      </c>
      <c r="K142" s="2"/>
      <c r="L142" s="49"/>
      <c r="M142" s="49"/>
      <c r="N142" s="49"/>
      <c r="O142" s="49" t="str">
        <f t="shared" si="2"/>
        <v/>
      </c>
      <c r="P142" s="49" t="str">
        <f t="shared" si="3"/>
        <v/>
      </c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 t="s">
        <v>472</v>
      </c>
    </row>
    <row r="143">
      <c r="A143" s="69">
        <v>10.0</v>
      </c>
      <c r="B143" s="69">
        <v>13.0</v>
      </c>
      <c r="C143" s="86" t="s">
        <v>78</v>
      </c>
      <c r="D143" s="86" t="s">
        <v>79</v>
      </c>
      <c r="E143" s="86" t="s">
        <v>80</v>
      </c>
      <c r="F143" s="69">
        <v>3000.0</v>
      </c>
      <c r="G143" s="69">
        <v>19.23</v>
      </c>
      <c r="H143" s="68">
        <f t="shared" si="1"/>
        <v>80.55</v>
      </c>
      <c r="I143" s="81">
        <f>IFERROR(__xludf.DUMMYFUNCTION("IF(G143="""", """", ROUND(G143 / MAX(FILTER($G$2:$G5067, $D$2:$D5067=$D143)) * 100, 2))"),91.57)</f>
        <v>91.57</v>
      </c>
      <c r="J143" s="81">
        <f>IFERROR(__xludf.DUMMYFUNCTION("IF(H143="""", """", ROUND(H143 / MAX(FILTER($H$2:$H5067, $D$2:$D5067=$D143)) * 100, 2))"),53.65)</f>
        <v>53.65</v>
      </c>
      <c r="K143" s="2"/>
      <c r="L143" s="48"/>
      <c r="M143" s="48"/>
      <c r="N143" s="48"/>
      <c r="O143" s="48" t="str">
        <f t="shared" si="2"/>
        <v/>
      </c>
      <c r="P143" s="48" t="str">
        <f t="shared" si="3"/>
        <v/>
      </c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 t="s">
        <v>475</v>
      </c>
    </row>
    <row r="144">
      <c r="A144" s="63">
        <v>10.0</v>
      </c>
      <c r="B144" s="63">
        <v>13.0</v>
      </c>
      <c r="C144" s="64" t="s">
        <v>78</v>
      </c>
      <c r="D144" s="64" t="s">
        <v>79</v>
      </c>
      <c r="E144" s="64" t="s">
        <v>80</v>
      </c>
      <c r="F144" s="63">
        <v>3500.0</v>
      </c>
      <c r="G144" s="63">
        <v>19.83</v>
      </c>
      <c r="H144" s="66">
        <f t="shared" si="1"/>
        <v>96.91</v>
      </c>
      <c r="I144" s="81">
        <f>IFERROR(__xludf.DUMMYFUNCTION("IF(G144="""", """", ROUND(G144 / MAX(FILTER($G$2:$G5067, $D$2:$D5067=$D144)) * 100, 2))"),94.43)</f>
        <v>94.43</v>
      </c>
      <c r="J144" s="81">
        <f>IFERROR(__xludf.DUMMYFUNCTION("IF(H144="""", """", ROUND(H144 / MAX(FILTER($H$2:$H5067, $D$2:$D5067=$D144)) * 100, 2))"),64.55)</f>
        <v>64.55</v>
      </c>
      <c r="K144" s="2"/>
      <c r="L144" s="49"/>
      <c r="M144" s="49"/>
      <c r="N144" s="49"/>
      <c r="O144" s="49" t="str">
        <f t="shared" si="2"/>
        <v/>
      </c>
      <c r="P144" s="49" t="str">
        <f t="shared" si="3"/>
        <v/>
      </c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 t="s">
        <v>478</v>
      </c>
    </row>
    <row r="145">
      <c r="A145" s="69">
        <v>10.0</v>
      </c>
      <c r="B145" s="69">
        <v>13.0</v>
      </c>
      <c r="C145" s="86" t="s">
        <v>78</v>
      </c>
      <c r="D145" s="86" t="s">
        <v>79</v>
      </c>
      <c r="E145" s="86" t="s">
        <v>80</v>
      </c>
      <c r="F145" s="69">
        <v>4000.0</v>
      </c>
      <c r="G145" s="69">
        <v>20.43</v>
      </c>
      <c r="H145" s="68">
        <f t="shared" si="1"/>
        <v>114.1</v>
      </c>
      <c r="I145" s="81">
        <f>IFERROR(__xludf.DUMMYFUNCTION("IF(G145="""", """", ROUND(G145 / MAX(FILTER($G$2:$G5067, $D$2:$D5067=$D145)) * 100, 2))"),97.29)</f>
        <v>97.29</v>
      </c>
      <c r="J145" s="81">
        <f>IFERROR(__xludf.DUMMYFUNCTION("IF(H145="""", """", ROUND(H145 / MAX(FILTER($H$2:$H5067, $D$2:$D5067=$D145)) * 100, 2))"),76.0)</f>
        <v>76</v>
      </c>
      <c r="K145" s="2"/>
      <c r="L145" s="48"/>
      <c r="M145" s="48"/>
      <c r="N145" s="48"/>
      <c r="O145" s="48" t="str">
        <f t="shared" si="2"/>
        <v/>
      </c>
      <c r="P145" s="48" t="str">
        <f t="shared" si="3"/>
        <v/>
      </c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 t="s">
        <v>481</v>
      </c>
    </row>
    <row r="146">
      <c r="A146" s="63">
        <v>10.0</v>
      </c>
      <c r="B146" s="63">
        <v>13.0</v>
      </c>
      <c r="C146" s="64" t="s">
        <v>78</v>
      </c>
      <c r="D146" s="64" t="s">
        <v>79</v>
      </c>
      <c r="E146" s="64" t="s">
        <v>80</v>
      </c>
      <c r="F146" s="63">
        <v>4500.0</v>
      </c>
      <c r="G146" s="63">
        <v>20.9</v>
      </c>
      <c r="H146" s="66">
        <f t="shared" si="1"/>
        <v>131.32</v>
      </c>
      <c r="I146" s="81">
        <f>IFERROR(__xludf.DUMMYFUNCTION("IF(G146="""", """", ROUND(G146 / MAX(FILTER($G$2:$G5067, $D$2:$D5067=$D146)) * 100, 2))"),99.52)</f>
        <v>99.52</v>
      </c>
      <c r="J146" s="81">
        <f>IFERROR(__xludf.DUMMYFUNCTION("IF(H146="""", """", ROUND(H146 / MAX(FILTER($H$2:$H5067, $D$2:$D5067=$D146)) * 100, 2))"),87.47)</f>
        <v>87.47</v>
      </c>
      <c r="K146" s="2"/>
      <c r="L146" s="49"/>
      <c r="M146" s="49"/>
      <c r="N146" s="49"/>
      <c r="O146" s="49" t="str">
        <f t="shared" si="2"/>
        <v/>
      </c>
      <c r="P146" s="49" t="str">
        <f t="shared" si="3"/>
        <v/>
      </c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 t="s">
        <v>484</v>
      </c>
    </row>
    <row r="147">
      <c r="A147" s="69">
        <v>10.0</v>
      </c>
      <c r="B147" s="69">
        <v>13.0</v>
      </c>
      <c r="C147" s="86" t="s">
        <v>78</v>
      </c>
      <c r="D147" s="86" t="s">
        <v>79</v>
      </c>
      <c r="E147" s="86" t="s">
        <v>80</v>
      </c>
      <c r="F147" s="69">
        <v>4800.0</v>
      </c>
      <c r="G147" s="69">
        <v>21.0</v>
      </c>
      <c r="H147" s="68">
        <f t="shared" si="1"/>
        <v>140.74</v>
      </c>
      <c r="I147" s="81">
        <f>IFERROR(__xludf.DUMMYFUNCTION("IF(G147="""", """", ROUND(G147 / MAX(FILTER($G$2:$G5067, $D$2:$D5067=$D147)) * 100, 2))"),100.0)</f>
        <v>100</v>
      </c>
      <c r="J147" s="81">
        <f>IFERROR(__xludf.DUMMYFUNCTION("IF(H147="""", """", ROUND(H147 / MAX(FILTER($H$2:$H5067, $D$2:$D5067=$D147)) * 100, 2))"),93.75)</f>
        <v>93.75</v>
      </c>
      <c r="K147" s="2"/>
      <c r="L147" s="48"/>
      <c r="M147" s="48"/>
      <c r="N147" s="48"/>
      <c r="O147" s="48" t="str">
        <f t="shared" si="2"/>
        <v/>
      </c>
      <c r="P147" s="48" t="str">
        <f t="shared" si="3"/>
        <v/>
      </c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 t="s">
        <v>487</v>
      </c>
    </row>
    <row r="148">
      <c r="A148" s="63">
        <v>10.0</v>
      </c>
      <c r="B148" s="63">
        <v>13.0</v>
      </c>
      <c r="C148" s="64" t="s">
        <v>78</v>
      </c>
      <c r="D148" s="64" t="s">
        <v>79</v>
      </c>
      <c r="E148" s="64" t="s">
        <v>80</v>
      </c>
      <c r="F148" s="63">
        <v>5600.0</v>
      </c>
      <c r="G148" s="63">
        <v>19.2</v>
      </c>
      <c r="H148" s="66">
        <f t="shared" si="1"/>
        <v>150.13</v>
      </c>
      <c r="I148" s="81">
        <f>IFERROR(__xludf.DUMMYFUNCTION("IF(G148="""", """", ROUND(G148 / MAX(FILTER($G$2:$G5067, $D$2:$D5067=$D148)) * 100, 2))"),91.43)</f>
        <v>91.43</v>
      </c>
      <c r="J148" s="81">
        <f>IFERROR(__xludf.DUMMYFUNCTION("IF(H148="""", """", ROUND(H148 / MAX(FILTER($H$2:$H5067, $D$2:$D5067=$D148)) * 100, 2))"),100.0)</f>
        <v>100</v>
      </c>
      <c r="K148" s="2"/>
      <c r="L148" s="49"/>
      <c r="M148" s="49"/>
      <c r="N148" s="49"/>
      <c r="O148" s="49" t="str">
        <f t="shared" si="2"/>
        <v/>
      </c>
      <c r="P148" s="49" t="str">
        <f t="shared" si="3"/>
        <v/>
      </c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 t="s">
        <v>490</v>
      </c>
    </row>
    <row r="149">
      <c r="A149" s="69">
        <v>10.0</v>
      </c>
      <c r="B149" s="69">
        <v>13.0</v>
      </c>
      <c r="C149" s="86" t="s">
        <v>78</v>
      </c>
      <c r="D149" s="86" t="s">
        <v>79</v>
      </c>
      <c r="E149" s="86" t="s">
        <v>80</v>
      </c>
      <c r="F149" s="69">
        <v>6000.0</v>
      </c>
      <c r="G149" s="69">
        <v>17.83</v>
      </c>
      <c r="H149" s="68">
        <f t="shared" si="1"/>
        <v>149.37</v>
      </c>
      <c r="I149" s="81">
        <f>IFERROR(__xludf.DUMMYFUNCTION("IF(G149="""", """", ROUND(G149 / MAX(FILTER($G$2:$G5067, $D$2:$D5067=$D149)) * 100, 2))"),84.9)</f>
        <v>84.9</v>
      </c>
      <c r="J149" s="81">
        <f>IFERROR(__xludf.DUMMYFUNCTION("IF(H149="""", """", ROUND(H149 / MAX(FILTER($H$2:$H5067, $D$2:$D5067=$D149)) * 100, 2))"),99.49)</f>
        <v>99.49</v>
      </c>
      <c r="K149" s="2"/>
      <c r="L149" s="48"/>
      <c r="M149" s="48"/>
      <c r="N149" s="48"/>
      <c r="O149" s="48" t="str">
        <f t="shared" si="2"/>
        <v/>
      </c>
      <c r="P149" s="48" t="str">
        <f t="shared" si="3"/>
        <v/>
      </c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 t="s">
        <v>493</v>
      </c>
    </row>
    <row r="150">
      <c r="A150" s="63">
        <v>10.0</v>
      </c>
      <c r="B150" s="63">
        <v>13.0</v>
      </c>
      <c r="C150" s="64" t="s">
        <v>78</v>
      </c>
      <c r="D150" s="64" t="s">
        <v>79</v>
      </c>
      <c r="E150" s="64" t="s">
        <v>80</v>
      </c>
      <c r="F150" s="63">
        <v>6500.0</v>
      </c>
      <c r="G150" s="63">
        <v>15.92</v>
      </c>
      <c r="H150" s="66">
        <f t="shared" si="1"/>
        <v>144.48</v>
      </c>
      <c r="I150" s="81">
        <f>IFERROR(__xludf.DUMMYFUNCTION("IF(G150="""", """", ROUND(G150 / MAX(FILTER($G$2:$G5067, $D$2:$D5067=$D150)) * 100, 2))"),75.81)</f>
        <v>75.81</v>
      </c>
      <c r="J150" s="81">
        <f>IFERROR(__xludf.DUMMYFUNCTION("IF(H150="""", """", ROUND(H150 / MAX(FILTER($H$2:$H5067, $D$2:$D5067=$D150)) * 100, 2))"),96.24)</f>
        <v>96.24</v>
      </c>
      <c r="K150" s="2"/>
      <c r="L150" s="49"/>
      <c r="M150" s="49"/>
      <c r="N150" s="49"/>
      <c r="O150" s="49" t="str">
        <f t="shared" si="2"/>
        <v/>
      </c>
      <c r="P150" s="49" t="str">
        <f t="shared" si="3"/>
        <v/>
      </c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 t="s">
        <v>496</v>
      </c>
    </row>
    <row r="151">
      <c r="A151" s="69">
        <v>10.0</v>
      </c>
      <c r="B151" s="69">
        <v>13.0</v>
      </c>
      <c r="C151" s="86" t="s">
        <v>78</v>
      </c>
      <c r="D151" s="86" t="s">
        <v>79</v>
      </c>
      <c r="E151" s="86" t="s">
        <v>80</v>
      </c>
      <c r="F151" s="69">
        <v>7000.0</v>
      </c>
      <c r="G151" s="69">
        <v>13.73</v>
      </c>
      <c r="H151" s="68">
        <f t="shared" si="1"/>
        <v>134.19</v>
      </c>
      <c r="I151" s="81">
        <f>IFERROR(__xludf.DUMMYFUNCTION("IF(G151="""", """", ROUND(G151 / MAX(FILTER($G$2:$G5067, $D$2:$D5067=$D151)) * 100, 2))"),65.38)</f>
        <v>65.38</v>
      </c>
      <c r="J151" s="81">
        <f>IFERROR(__xludf.DUMMYFUNCTION("IF(H151="""", """", ROUND(H151 / MAX(FILTER($H$2:$H5067, $D$2:$D5067=$D151)) * 100, 2))"),89.38)</f>
        <v>89.38</v>
      </c>
      <c r="K151" s="2"/>
      <c r="L151" s="48"/>
      <c r="M151" s="48"/>
      <c r="N151" s="48"/>
      <c r="O151" s="48" t="str">
        <f t="shared" si="2"/>
        <v/>
      </c>
      <c r="P151" s="48" t="str">
        <f t="shared" si="3"/>
        <v/>
      </c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 t="s">
        <v>499</v>
      </c>
    </row>
    <row r="152">
      <c r="A152" s="63">
        <v>10.0</v>
      </c>
      <c r="B152" s="63">
        <v>13.0</v>
      </c>
      <c r="C152" s="64" t="s">
        <v>78</v>
      </c>
      <c r="D152" s="64" t="s">
        <v>79</v>
      </c>
      <c r="E152" s="64" t="s">
        <v>80</v>
      </c>
      <c r="F152" s="63">
        <v>7500.0</v>
      </c>
      <c r="G152" s="63">
        <v>11.02</v>
      </c>
      <c r="H152" s="66">
        <f t="shared" si="1"/>
        <v>115.4</v>
      </c>
      <c r="I152" s="81">
        <f>IFERROR(__xludf.DUMMYFUNCTION("IF(G152="""", """", ROUND(G152 / MAX(FILTER($G$2:$G5067, $D$2:$D5067=$D152)) * 100, 2))"),52.48)</f>
        <v>52.48</v>
      </c>
      <c r="J152" s="81">
        <f>IFERROR(__xludf.DUMMYFUNCTION("IF(H152="""", """", ROUND(H152 / MAX(FILTER($H$2:$H5067, $D$2:$D5067=$D152)) * 100, 2))"),76.87)</f>
        <v>76.87</v>
      </c>
      <c r="K152" s="2"/>
      <c r="L152" s="49"/>
      <c r="M152" s="49"/>
      <c r="N152" s="49"/>
      <c r="O152" s="49" t="str">
        <f t="shared" si="2"/>
        <v/>
      </c>
      <c r="P152" s="49" t="str">
        <f t="shared" si="3"/>
        <v/>
      </c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 t="s">
        <v>502</v>
      </c>
    </row>
    <row r="153">
      <c r="A153" s="69">
        <v>11.0</v>
      </c>
      <c r="B153" s="69">
        <v>14.0</v>
      </c>
      <c r="C153" s="86" t="s">
        <v>81</v>
      </c>
      <c r="D153" s="86" t="s">
        <v>82</v>
      </c>
      <c r="E153" s="86" t="s">
        <v>83</v>
      </c>
      <c r="F153" s="69">
        <v>500.0</v>
      </c>
      <c r="G153" s="69">
        <v>8.97</v>
      </c>
      <c r="H153" s="68">
        <f t="shared" si="1"/>
        <v>6.26</v>
      </c>
      <c r="I153" s="81">
        <f>IFERROR(__xludf.DUMMYFUNCTION("IF(G153="""", """", ROUND(G153 / MAX(FILTER($G$2:$G5067, $D$2:$D5067=$D153)) * 100, 2))"),66.44)</f>
        <v>66.44</v>
      </c>
      <c r="J153" s="81">
        <f>IFERROR(__xludf.DUMMYFUNCTION("IF(H153="""", """", ROUND(H153 / MAX(FILTER($H$2:$H5067, $D$2:$D5067=$D153)) * 100, 2))"),6.3)</f>
        <v>6.3</v>
      </c>
      <c r="K153" s="2"/>
      <c r="L153" s="48"/>
      <c r="M153" s="48"/>
      <c r="N153" s="48"/>
      <c r="O153" s="48" t="str">
        <f t="shared" si="2"/>
        <v/>
      </c>
      <c r="P153" s="48" t="str">
        <f t="shared" si="3"/>
        <v/>
      </c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 t="s">
        <v>505</v>
      </c>
    </row>
    <row r="154">
      <c r="A154" s="63">
        <v>11.0</v>
      </c>
      <c r="B154" s="63">
        <v>14.0</v>
      </c>
      <c r="C154" s="64" t="s">
        <v>81</v>
      </c>
      <c r="D154" s="64" t="s">
        <v>82</v>
      </c>
      <c r="E154" s="64" t="s">
        <v>83</v>
      </c>
      <c r="F154" s="63">
        <v>1000.0</v>
      </c>
      <c r="G154" s="63">
        <v>10.26</v>
      </c>
      <c r="H154" s="66">
        <f t="shared" si="1"/>
        <v>14.33</v>
      </c>
      <c r="I154" s="81">
        <f>IFERROR(__xludf.DUMMYFUNCTION("IF(G154="""", """", ROUND(G154 / MAX(FILTER($G$2:$G5067, $D$2:$D5067=$D154)) * 100, 2))"),76.0)</f>
        <v>76</v>
      </c>
      <c r="J154" s="81">
        <f>IFERROR(__xludf.DUMMYFUNCTION("IF(H154="""", """", ROUND(H154 / MAX(FILTER($H$2:$H5067, $D$2:$D5067=$D154)) * 100, 2))"),14.42)</f>
        <v>14.42</v>
      </c>
      <c r="K154" s="2"/>
      <c r="L154" s="49"/>
      <c r="M154" s="49"/>
      <c r="N154" s="49"/>
      <c r="O154" s="49" t="str">
        <f t="shared" si="2"/>
        <v/>
      </c>
      <c r="P154" s="49" t="str">
        <f t="shared" si="3"/>
        <v/>
      </c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 t="s">
        <v>508</v>
      </c>
    </row>
    <row r="155">
      <c r="A155" s="69">
        <v>11.0</v>
      </c>
      <c r="B155" s="69">
        <v>14.0</v>
      </c>
      <c r="C155" s="86" t="s">
        <v>81</v>
      </c>
      <c r="D155" s="86" t="s">
        <v>82</v>
      </c>
      <c r="E155" s="86" t="s">
        <v>83</v>
      </c>
      <c r="F155" s="69">
        <v>1500.0</v>
      </c>
      <c r="G155" s="69">
        <v>11.44</v>
      </c>
      <c r="H155" s="68">
        <f t="shared" si="1"/>
        <v>23.96</v>
      </c>
      <c r="I155" s="81">
        <f>IFERROR(__xludf.DUMMYFUNCTION("IF(G155="""", """", ROUND(G155 / MAX(FILTER($G$2:$G5067, $D$2:$D5067=$D155)) * 100, 2))"),84.74)</f>
        <v>84.74</v>
      </c>
      <c r="J155" s="81">
        <f>IFERROR(__xludf.DUMMYFUNCTION("IF(H155="""", """", ROUND(H155 / MAX(FILTER($H$2:$H5067, $D$2:$D5067=$D155)) * 100, 2))"),24.11)</f>
        <v>24.11</v>
      </c>
      <c r="K155" s="2"/>
      <c r="L155" s="48"/>
      <c r="M155" s="48"/>
      <c r="N155" s="48"/>
      <c r="O155" s="48" t="str">
        <f t="shared" si="2"/>
        <v/>
      </c>
      <c r="P155" s="48" t="str">
        <f t="shared" si="3"/>
        <v/>
      </c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 t="s">
        <v>511</v>
      </c>
    </row>
    <row r="156">
      <c r="A156" s="63">
        <v>11.0</v>
      </c>
      <c r="B156" s="63">
        <v>14.0</v>
      </c>
      <c r="C156" s="64" t="s">
        <v>81</v>
      </c>
      <c r="D156" s="64" t="s">
        <v>82</v>
      </c>
      <c r="E156" s="64" t="s">
        <v>83</v>
      </c>
      <c r="F156" s="63">
        <v>2000.0</v>
      </c>
      <c r="G156" s="63">
        <v>12.33</v>
      </c>
      <c r="H156" s="66">
        <f t="shared" si="1"/>
        <v>34.43</v>
      </c>
      <c r="I156" s="81">
        <f>IFERROR(__xludf.DUMMYFUNCTION("IF(G156="""", """", ROUND(G156 / MAX(FILTER($G$2:$G5067, $D$2:$D5067=$D156)) * 100, 2))"),91.33)</f>
        <v>91.33</v>
      </c>
      <c r="J156" s="81">
        <f>IFERROR(__xludf.DUMMYFUNCTION("IF(H156="""", """", ROUND(H156 / MAX(FILTER($H$2:$H5067, $D$2:$D5067=$D156)) * 100, 2))"),34.65)</f>
        <v>34.65</v>
      </c>
      <c r="K156" s="2"/>
      <c r="L156" s="49"/>
      <c r="M156" s="49"/>
      <c r="N156" s="49"/>
      <c r="O156" s="49" t="str">
        <f t="shared" si="2"/>
        <v/>
      </c>
      <c r="P156" s="49" t="str">
        <f t="shared" si="3"/>
        <v/>
      </c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 t="s">
        <v>514</v>
      </c>
    </row>
    <row r="157">
      <c r="A157" s="69">
        <v>11.0</v>
      </c>
      <c r="B157" s="69">
        <v>14.0</v>
      </c>
      <c r="C157" s="86" t="s">
        <v>81</v>
      </c>
      <c r="D157" s="86" t="s">
        <v>82</v>
      </c>
      <c r="E157" s="86" t="s">
        <v>83</v>
      </c>
      <c r="F157" s="69">
        <v>2500.0</v>
      </c>
      <c r="G157" s="69">
        <v>12.88</v>
      </c>
      <c r="H157" s="68">
        <f t="shared" si="1"/>
        <v>44.96</v>
      </c>
      <c r="I157" s="81">
        <f>IFERROR(__xludf.DUMMYFUNCTION("IF(G157="""", """", ROUND(G157 / MAX(FILTER($G$2:$G5067, $D$2:$D5067=$D157)) * 100, 2))"),95.41)</f>
        <v>95.41</v>
      </c>
      <c r="J157" s="81">
        <f>IFERROR(__xludf.DUMMYFUNCTION("IF(H157="""", """", ROUND(H157 / MAX(FILTER($H$2:$H5067, $D$2:$D5067=$D157)) * 100, 2))"),45.25)</f>
        <v>45.25</v>
      </c>
      <c r="K157" s="2"/>
      <c r="L157" s="48"/>
      <c r="M157" s="48"/>
      <c r="N157" s="48"/>
      <c r="O157" s="48" t="str">
        <f t="shared" si="2"/>
        <v/>
      </c>
      <c r="P157" s="48" t="str">
        <f t="shared" si="3"/>
        <v/>
      </c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 t="s">
        <v>517</v>
      </c>
    </row>
    <row r="158">
      <c r="A158" s="63">
        <v>11.0</v>
      </c>
      <c r="B158" s="63">
        <v>14.0</v>
      </c>
      <c r="C158" s="64" t="s">
        <v>81</v>
      </c>
      <c r="D158" s="64" t="s">
        <v>82</v>
      </c>
      <c r="E158" s="64" t="s">
        <v>83</v>
      </c>
      <c r="F158" s="63">
        <v>3000.0</v>
      </c>
      <c r="G158" s="63">
        <v>13.24</v>
      </c>
      <c r="H158" s="66">
        <f t="shared" si="1"/>
        <v>55.46</v>
      </c>
      <c r="I158" s="81">
        <f>IFERROR(__xludf.DUMMYFUNCTION("IF(G158="""", """", ROUND(G158 / MAX(FILTER($G$2:$G5067, $D$2:$D5067=$D158)) * 100, 2))"),98.07)</f>
        <v>98.07</v>
      </c>
      <c r="J158" s="81">
        <f>IFERROR(__xludf.DUMMYFUNCTION("IF(H158="""", """", ROUND(H158 / MAX(FILTER($H$2:$H5067, $D$2:$D5067=$D158)) * 100, 2))"),55.82)</f>
        <v>55.82</v>
      </c>
      <c r="K158" s="2"/>
      <c r="L158" s="49"/>
      <c r="M158" s="49"/>
      <c r="N158" s="49"/>
      <c r="O158" s="49" t="str">
        <f t="shared" si="2"/>
        <v/>
      </c>
      <c r="P158" s="49" t="str">
        <f t="shared" si="3"/>
        <v/>
      </c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 t="s">
        <v>520</v>
      </c>
    </row>
    <row r="159">
      <c r="A159" s="69">
        <v>11.0</v>
      </c>
      <c r="B159" s="69">
        <v>14.0</v>
      </c>
      <c r="C159" s="86" t="s">
        <v>81</v>
      </c>
      <c r="D159" s="86" t="s">
        <v>82</v>
      </c>
      <c r="E159" s="86" t="s">
        <v>83</v>
      </c>
      <c r="F159" s="69">
        <v>3500.0</v>
      </c>
      <c r="G159" s="69">
        <v>13.45</v>
      </c>
      <c r="H159" s="68">
        <f t="shared" si="1"/>
        <v>65.73</v>
      </c>
      <c r="I159" s="81">
        <f>IFERROR(__xludf.DUMMYFUNCTION("IF(G159="""", """", ROUND(G159 / MAX(FILTER($G$2:$G5067, $D$2:$D5067=$D159)) * 100, 2))"),99.63)</f>
        <v>99.63</v>
      </c>
      <c r="J159" s="81">
        <f>IFERROR(__xludf.DUMMYFUNCTION("IF(H159="""", """", ROUND(H159 / MAX(FILTER($H$2:$H5067, $D$2:$D5067=$D159)) * 100, 2))"),66.15)</f>
        <v>66.15</v>
      </c>
      <c r="K159" s="2"/>
      <c r="L159" s="48"/>
      <c r="M159" s="48"/>
      <c r="N159" s="48"/>
      <c r="O159" s="48" t="str">
        <f t="shared" si="2"/>
        <v/>
      </c>
      <c r="P159" s="48" t="str">
        <f t="shared" si="3"/>
        <v/>
      </c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 t="s">
        <v>523</v>
      </c>
    </row>
    <row r="160">
      <c r="A160" s="63">
        <v>11.0</v>
      </c>
      <c r="B160" s="63">
        <v>14.0</v>
      </c>
      <c r="C160" s="64" t="s">
        <v>81</v>
      </c>
      <c r="D160" s="64" t="s">
        <v>82</v>
      </c>
      <c r="E160" s="64" t="s">
        <v>83</v>
      </c>
      <c r="F160" s="63">
        <v>4000.0</v>
      </c>
      <c r="G160" s="63">
        <v>13.5</v>
      </c>
      <c r="H160" s="66">
        <f t="shared" si="1"/>
        <v>75.4</v>
      </c>
      <c r="I160" s="81">
        <f>IFERROR(__xludf.DUMMYFUNCTION("IF(G160="""", """", ROUND(G160 / MAX(FILTER($G$2:$G5067, $D$2:$D5067=$D160)) * 100, 2))"),100.0)</f>
        <v>100</v>
      </c>
      <c r="J160" s="81">
        <f>IFERROR(__xludf.DUMMYFUNCTION("IF(H160="""", """", ROUND(H160 / MAX(FILTER($H$2:$H5067, $D$2:$D5067=$D160)) * 100, 2))"),75.89)</f>
        <v>75.89</v>
      </c>
      <c r="K160" s="2"/>
      <c r="L160" s="49"/>
      <c r="M160" s="49"/>
      <c r="N160" s="49"/>
      <c r="O160" s="49" t="str">
        <f t="shared" si="2"/>
        <v/>
      </c>
      <c r="P160" s="49" t="str">
        <f t="shared" si="3"/>
        <v/>
      </c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 t="s">
        <v>526</v>
      </c>
    </row>
    <row r="161">
      <c r="A161" s="69">
        <v>11.0</v>
      </c>
      <c r="B161" s="69">
        <v>14.0</v>
      </c>
      <c r="C161" s="86" t="s">
        <v>81</v>
      </c>
      <c r="D161" s="86" t="s">
        <v>82</v>
      </c>
      <c r="E161" s="86" t="s">
        <v>83</v>
      </c>
      <c r="F161" s="69">
        <v>4500.0</v>
      </c>
      <c r="G161" s="69">
        <v>13.39</v>
      </c>
      <c r="H161" s="68">
        <f t="shared" si="1"/>
        <v>84.13</v>
      </c>
      <c r="I161" s="81">
        <f>IFERROR(__xludf.DUMMYFUNCTION("IF(G161="""", """", ROUND(G161 / MAX(FILTER($G$2:$G5067, $D$2:$D5067=$D161)) * 100, 2))"),99.19)</f>
        <v>99.19</v>
      </c>
      <c r="J161" s="81">
        <f>IFERROR(__xludf.DUMMYFUNCTION("IF(H161="""", """", ROUND(H161 / MAX(FILTER($H$2:$H5067, $D$2:$D5067=$D161)) * 100, 2))"),84.67)</f>
        <v>84.67</v>
      </c>
      <c r="K161" s="2"/>
      <c r="L161" s="48"/>
      <c r="M161" s="48"/>
      <c r="N161" s="48"/>
      <c r="O161" s="48" t="str">
        <f t="shared" si="2"/>
        <v/>
      </c>
      <c r="P161" s="48" t="str">
        <f t="shared" si="3"/>
        <v/>
      </c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 t="s">
        <v>529</v>
      </c>
    </row>
    <row r="162">
      <c r="A162" s="63">
        <v>11.0</v>
      </c>
      <c r="B162" s="63">
        <v>14.0</v>
      </c>
      <c r="C162" s="64" t="s">
        <v>81</v>
      </c>
      <c r="D162" s="64" t="s">
        <v>82</v>
      </c>
      <c r="E162" s="64" t="s">
        <v>83</v>
      </c>
      <c r="F162" s="63">
        <v>5000.0</v>
      </c>
      <c r="G162" s="63">
        <v>13.1</v>
      </c>
      <c r="H162" s="66">
        <f t="shared" si="1"/>
        <v>91.45</v>
      </c>
      <c r="I162" s="81">
        <f>IFERROR(__xludf.DUMMYFUNCTION("IF(G162="""", """", ROUND(G162 / MAX(FILTER($G$2:$G5067, $D$2:$D5067=$D162)) * 100, 2))"),97.04)</f>
        <v>97.04</v>
      </c>
      <c r="J162" s="81">
        <f>IFERROR(__xludf.DUMMYFUNCTION("IF(H162="""", """", ROUND(H162 / MAX(FILTER($H$2:$H5067, $D$2:$D5067=$D162)) * 100, 2))"),92.04)</f>
        <v>92.04</v>
      </c>
      <c r="K162" s="2"/>
      <c r="L162" s="49"/>
      <c r="M162" s="49"/>
      <c r="N162" s="49"/>
      <c r="O162" s="49" t="str">
        <f t="shared" si="2"/>
        <v/>
      </c>
      <c r="P162" s="49" t="str">
        <f t="shared" si="3"/>
        <v/>
      </c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 t="s">
        <v>532</v>
      </c>
    </row>
    <row r="163">
      <c r="A163" s="69">
        <v>11.0</v>
      </c>
      <c r="B163" s="69">
        <v>14.0</v>
      </c>
      <c r="C163" s="86" t="s">
        <v>81</v>
      </c>
      <c r="D163" s="86" t="s">
        <v>82</v>
      </c>
      <c r="E163" s="86" t="s">
        <v>83</v>
      </c>
      <c r="F163" s="69">
        <v>5500.0</v>
      </c>
      <c r="G163" s="69">
        <v>12.6</v>
      </c>
      <c r="H163" s="68">
        <f t="shared" si="1"/>
        <v>96.76</v>
      </c>
      <c r="I163" s="81">
        <f>IFERROR(__xludf.DUMMYFUNCTION("IF(G163="""", """", ROUND(G163 / MAX(FILTER($G$2:$G5067, $D$2:$D5067=$D163)) * 100, 2))"),93.33)</f>
        <v>93.33</v>
      </c>
      <c r="J163" s="81">
        <f>IFERROR(__xludf.DUMMYFUNCTION("IF(H163="""", """", ROUND(H163 / MAX(FILTER($H$2:$H5067, $D$2:$D5067=$D163)) * 100, 2))"),97.38)</f>
        <v>97.38</v>
      </c>
      <c r="K163" s="2"/>
      <c r="L163" s="48"/>
      <c r="M163" s="48"/>
      <c r="N163" s="48"/>
      <c r="O163" s="48" t="str">
        <f t="shared" si="2"/>
        <v/>
      </c>
      <c r="P163" s="48" t="str">
        <f t="shared" si="3"/>
        <v/>
      </c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 t="s">
        <v>535</v>
      </c>
    </row>
    <row r="164">
      <c r="A164" s="63">
        <v>11.0</v>
      </c>
      <c r="B164" s="63">
        <v>14.0</v>
      </c>
      <c r="C164" s="64" t="s">
        <v>81</v>
      </c>
      <c r="D164" s="64" t="s">
        <v>82</v>
      </c>
      <c r="E164" s="64" t="s">
        <v>83</v>
      </c>
      <c r="F164" s="63">
        <v>6000.0</v>
      </c>
      <c r="G164" s="63">
        <v>11.86</v>
      </c>
      <c r="H164" s="66">
        <f t="shared" si="1"/>
        <v>99.36</v>
      </c>
      <c r="I164" s="81">
        <f>IFERROR(__xludf.DUMMYFUNCTION("IF(G164="""", """", ROUND(G164 / MAX(FILTER($G$2:$G5067, $D$2:$D5067=$D164)) * 100, 2))"),87.85)</f>
        <v>87.85</v>
      </c>
      <c r="J164" s="81">
        <f>IFERROR(__xludf.DUMMYFUNCTION("IF(H164="""", """", ROUND(H164 / MAX(FILTER($H$2:$H5067, $D$2:$D5067=$D164)) * 100, 2))"),100.0)</f>
        <v>100</v>
      </c>
      <c r="K164" s="2"/>
      <c r="L164" s="49"/>
      <c r="M164" s="49"/>
      <c r="N164" s="49"/>
      <c r="O164" s="49" t="str">
        <f t="shared" si="2"/>
        <v/>
      </c>
      <c r="P164" s="49" t="str">
        <f t="shared" si="3"/>
        <v/>
      </c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 t="s">
        <v>538</v>
      </c>
    </row>
    <row r="165">
      <c r="A165" s="69">
        <v>11.0</v>
      </c>
      <c r="B165" s="69">
        <v>14.0</v>
      </c>
      <c r="C165" s="86" t="s">
        <v>81</v>
      </c>
      <c r="D165" s="86" t="s">
        <v>82</v>
      </c>
      <c r="E165" s="86" t="s">
        <v>83</v>
      </c>
      <c r="F165" s="69">
        <v>6500.0</v>
      </c>
      <c r="G165" s="69">
        <v>10.8</v>
      </c>
      <c r="H165" s="68">
        <f t="shared" si="1"/>
        <v>98.02</v>
      </c>
      <c r="I165" s="81">
        <f>IFERROR(__xludf.DUMMYFUNCTION("IF(G165="""", """", ROUND(G165 / MAX(FILTER($G$2:$G5067, $D$2:$D5067=$D165)) * 100, 2))"),80.0)</f>
        <v>80</v>
      </c>
      <c r="J165" s="81">
        <f>IFERROR(__xludf.DUMMYFUNCTION("IF(H165="""", """", ROUND(H165 / MAX(FILTER($H$2:$H5067, $D$2:$D5067=$D165)) * 100, 2))"),98.65)</f>
        <v>98.65</v>
      </c>
      <c r="K165" s="2"/>
      <c r="L165" s="48"/>
      <c r="M165" s="48"/>
      <c r="N165" s="48"/>
      <c r="O165" s="48" t="str">
        <f t="shared" si="2"/>
        <v/>
      </c>
      <c r="P165" s="48" t="str">
        <f t="shared" si="3"/>
        <v/>
      </c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 t="s">
        <v>541</v>
      </c>
    </row>
    <row r="166">
      <c r="A166" s="63">
        <v>11.0</v>
      </c>
      <c r="B166" s="63">
        <v>14.0</v>
      </c>
      <c r="C166" s="64" t="s">
        <v>81</v>
      </c>
      <c r="D166" s="64" t="s">
        <v>82</v>
      </c>
      <c r="E166" s="64" t="s">
        <v>83</v>
      </c>
      <c r="F166" s="63">
        <v>7000.0</v>
      </c>
      <c r="G166" s="63">
        <v>9.55</v>
      </c>
      <c r="H166" s="66">
        <f t="shared" si="1"/>
        <v>93.34</v>
      </c>
      <c r="I166" s="81">
        <f>IFERROR(__xludf.DUMMYFUNCTION("IF(G166="""", """", ROUND(G166 / MAX(FILTER($G$2:$G5067, $D$2:$D5067=$D166)) * 100, 2))"),70.74)</f>
        <v>70.74</v>
      </c>
      <c r="J166" s="81">
        <f>IFERROR(__xludf.DUMMYFUNCTION("IF(H166="""", """", ROUND(H166 / MAX(FILTER($H$2:$H5067, $D$2:$D5067=$D166)) * 100, 2))"),93.94)</f>
        <v>93.94</v>
      </c>
      <c r="K166" s="2"/>
      <c r="L166" s="49"/>
      <c r="M166" s="49"/>
      <c r="N166" s="49"/>
      <c r="O166" s="49" t="str">
        <f t="shared" si="2"/>
        <v/>
      </c>
      <c r="P166" s="49" t="str">
        <f t="shared" si="3"/>
        <v/>
      </c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 t="s">
        <v>544</v>
      </c>
    </row>
    <row r="167">
      <c r="A167" s="69">
        <v>11.0</v>
      </c>
      <c r="B167" s="69">
        <v>14.0</v>
      </c>
      <c r="C167" s="86" t="s">
        <v>81</v>
      </c>
      <c r="D167" s="86" t="s">
        <v>82</v>
      </c>
      <c r="E167" s="86" t="s">
        <v>83</v>
      </c>
      <c r="F167" s="69">
        <v>7500.0</v>
      </c>
      <c r="G167" s="69">
        <v>7.9</v>
      </c>
      <c r="H167" s="68">
        <f t="shared" si="1"/>
        <v>82.73</v>
      </c>
      <c r="I167" s="81">
        <f>IFERROR(__xludf.DUMMYFUNCTION("IF(G167="""", """", ROUND(G167 / MAX(FILTER($G$2:$G5067, $D$2:$D5067=$D167)) * 100, 2))"),58.52)</f>
        <v>58.52</v>
      </c>
      <c r="J167" s="81">
        <f>IFERROR(__xludf.DUMMYFUNCTION("IF(H167="""", """", ROUND(H167 / MAX(FILTER($H$2:$H5067, $D$2:$D5067=$D167)) * 100, 2))"),83.26)</f>
        <v>83.26</v>
      </c>
      <c r="K167" s="2"/>
      <c r="L167" s="48"/>
      <c r="M167" s="48"/>
      <c r="N167" s="48"/>
      <c r="O167" s="48" t="str">
        <f t="shared" si="2"/>
        <v/>
      </c>
      <c r="P167" s="48" t="str">
        <f t="shared" si="3"/>
        <v/>
      </c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 t="s">
        <v>547</v>
      </c>
    </row>
    <row r="168">
      <c r="A168" s="63">
        <v>12.0</v>
      </c>
      <c r="B168" s="63">
        <v>15.0</v>
      </c>
      <c r="C168" s="64" t="s">
        <v>84</v>
      </c>
      <c r="D168" s="64" t="s">
        <v>85</v>
      </c>
      <c r="E168" s="64" t="s">
        <v>86</v>
      </c>
      <c r="F168" s="63">
        <v>500.0</v>
      </c>
      <c r="G168" s="63">
        <v>3.35</v>
      </c>
      <c r="H168" s="66">
        <f t="shared" si="1"/>
        <v>2.34</v>
      </c>
      <c r="I168" s="81">
        <f>IFERROR(__xludf.DUMMYFUNCTION("IF(G168="""", """", ROUND(G168 / MAX(FILTER($G$2:$G5067, $D$2:$D5067=$D168)) * 100, 2))"),32.52)</f>
        <v>32.52</v>
      </c>
      <c r="J168" s="81">
        <f>IFERROR(__xludf.DUMMYFUNCTION("IF(H168="""", """", ROUND(H168 / MAX(FILTER($H$2:$H5067, $D$2:$D5067=$D168)) * 100, 2))"),3.07)</f>
        <v>3.07</v>
      </c>
      <c r="K168" s="2"/>
      <c r="L168" s="49"/>
      <c r="M168" s="49"/>
      <c r="N168" s="49"/>
      <c r="O168" s="49" t="str">
        <f t="shared" si="2"/>
        <v/>
      </c>
      <c r="P168" s="49" t="str">
        <f t="shared" si="3"/>
        <v/>
      </c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 t="s">
        <v>550</v>
      </c>
    </row>
    <row r="169">
      <c r="A169" s="69">
        <v>12.0</v>
      </c>
      <c r="B169" s="69">
        <v>15.0</v>
      </c>
      <c r="C169" s="86" t="s">
        <v>84</v>
      </c>
      <c r="D169" s="86" t="s">
        <v>85</v>
      </c>
      <c r="E169" s="86" t="s">
        <v>86</v>
      </c>
      <c r="F169" s="69">
        <v>1000.0</v>
      </c>
      <c r="G169" s="69">
        <v>5.77</v>
      </c>
      <c r="H169" s="68">
        <f t="shared" si="1"/>
        <v>8.06</v>
      </c>
      <c r="I169" s="81">
        <f>IFERROR(__xludf.DUMMYFUNCTION("IF(G169="""", """", ROUND(G169 / MAX(FILTER($G$2:$G5067, $D$2:$D5067=$D169)) * 100, 2))"),56.02)</f>
        <v>56.02</v>
      </c>
      <c r="J169" s="81">
        <f>IFERROR(__xludf.DUMMYFUNCTION("IF(H169="""", """", ROUND(H169 / MAX(FILTER($H$2:$H5067, $D$2:$D5067=$D169)) * 100, 2))"),10.57)</f>
        <v>10.57</v>
      </c>
      <c r="K169" s="2"/>
      <c r="L169" s="48"/>
      <c r="M169" s="48"/>
      <c r="N169" s="48"/>
      <c r="O169" s="48" t="str">
        <f t="shared" si="2"/>
        <v/>
      </c>
      <c r="P169" s="48" t="str">
        <f t="shared" si="3"/>
        <v/>
      </c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 t="s">
        <v>553</v>
      </c>
    </row>
    <row r="170">
      <c r="A170" s="63">
        <v>12.0</v>
      </c>
      <c r="B170" s="63">
        <v>15.0</v>
      </c>
      <c r="C170" s="64" t="s">
        <v>84</v>
      </c>
      <c r="D170" s="64" t="s">
        <v>85</v>
      </c>
      <c r="E170" s="64" t="s">
        <v>86</v>
      </c>
      <c r="F170" s="63">
        <v>1500.0</v>
      </c>
      <c r="G170" s="63">
        <v>7.43</v>
      </c>
      <c r="H170" s="66">
        <f t="shared" si="1"/>
        <v>15.56</v>
      </c>
      <c r="I170" s="81">
        <f>IFERROR(__xludf.DUMMYFUNCTION("IF(G170="""", """", ROUND(G170 / MAX(FILTER($G$2:$G5067, $D$2:$D5067=$D170)) * 100, 2))"),72.14)</f>
        <v>72.14</v>
      </c>
      <c r="J170" s="81">
        <f>IFERROR(__xludf.DUMMYFUNCTION("IF(H170="""", """", ROUND(H170 / MAX(FILTER($H$2:$H5067, $D$2:$D5067=$D170)) * 100, 2))"),20.41)</f>
        <v>20.41</v>
      </c>
      <c r="K170" s="2"/>
      <c r="L170" s="49"/>
      <c r="M170" s="49"/>
      <c r="N170" s="49"/>
      <c r="O170" s="49" t="str">
        <f t="shared" si="2"/>
        <v/>
      </c>
      <c r="P170" s="49" t="str">
        <f t="shared" si="3"/>
        <v/>
      </c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 t="s">
        <v>556</v>
      </c>
    </row>
    <row r="171">
      <c r="A171" s="69">
        <v>12.0</v>
      </c>
      <c r="B171" s="69">
        <v>15.0</v>
      </c>
      <c r="C171" s="86" t="s">
        <v>84</v>
      </c>
      <c r="D171" s="86" t="s">
        <v>85</v>
      </c>
      <c r="E171" s="86" t="s">
        <v>86</v>
      </c>
      <c r="F171" s="69">
        <v>2000.0</v>
      </c>
      <c r="G171" s="69">
        <v>9.1</v>
      </c>
      <c r="H171" s="68">
        <f t="shared" si="1"/>
        <v>25.41</v>
      </c>
      <c r="I171" s="81">
        <f>IFERROR(__xludf.DUMMYFUNCTION("IF(G171="""", """", ROUND(G171 / MAX(FILTER($G$2:$G5067, $D$2:$D5067=$D171)) * 100, 2))"),88.35)</f>
        <v>88.35</v>
      </c>
      <c r="J171" s="81">
        <f>IFERROR(__xludf.DUMMYFUNCTION("IF(H171="""", """", ROUND(H171 / MAX(FILTER($H$2:$H5067, $D$2:$D5067=$D171)) * 100, 2))"),33.33)</f>
        <v>33.33</v>
      </c>
      <c r="K171" s="2"/>
      <c r="L171" s="48"/>
      <c r="M171" s="48"/>
      <c r="N171" s="48"/>
      <c r="O171" s="48" t="str">
        <f t="shared" si="2"/>
        <v/>
      </c>
      <c r="P171" s="48" t="str">
        <f t="shared" si="3"/>
        <v/>
      </c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 t="s">
        <v>559</v>
      </c>
    </row>
    <row r="172">
      <c r="A172" s="63">
        <v>12.0</v>
      </c>
      <c r="B172" s="63">
        <v>15.0</v>
      </c>
      <c r="C172" s="64" t="s">
        <v>84</v>
      </c>
      <c r="D172" s="64" t="s">
        <v>85</v>
      </c>
      <c r="E172" s="64" t="s">
        <v>86</v>
      </c>
      <c r="F172" s="63">
        <v>2500.0</v>
      </c>
      <c r="G172" s="63">
        <v>9.8</v>
      </c>
      <c r="H172" s="66">
        <f t="shared" si="1"/>
        <v>34.21</v>
      </c>
      <c r="I172" s="81">
        <f>IFERROR(__xludf.DUMMYFUNCTION("IF(G172="""", """", ROUND(G172 / MAX(FILTER($G$2:$G5067, $D$2:$D5067=$D172)) * 100, 2))"),95.15)</f>
        <v>95.15</v>
      </c>
      <c r="J172" s="81">
        <f>IFERROR(__xludf.DUMMYFUNCTION("IF(H172="""", """", ROUND(H172 / MAX(FILTER($H$2:$H5067, $D$2:$D5067=$D172)) * 100, 2))"),44.87)</f>
        <v>44.87</v>
      </c>
      <c r="K172" s="2"/>
      <c r="L172" s="49"/>
      <c r="M172" s="49"/>
      <c r="N172" s="49"/>
      <c r="O172" s="49" t="str">
        <f t="shared" si="2"/>
        <v/>
      </c>
      <c r="P172" s="49" t="str">
        <f t="shared" si="3"/>
        <v/>
      </c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 t="s">
        <v>562</v>
      </c>
    </row>
    <row r="173">
      <c r="A173" s="69">
        <v>12.0</v>
      </c>
      <c r="B173" s="69">
        <v>15.0</v>
      </c>
      <c r="C173" s="86" t="s">
        <v>84</v>
      </c>
      <c r="D173" s="86" t="s">
        <v>85</v>
      </c>
      <c r="E173" s="86" t="s">
        <v>86</v>
      </c>
      <c r="F173" s="69">
        <v>3000.0</v>
      </c>
      <c r="G173" s="69">
        <v>10.1</v>
      </c>
      <c r="H173" s="68">
        <f t="shared" si="1"/>
        <v>42.31</v>
      </c>
      <c r="I173" s="81">
        <f>IFERROR(__xludf.DUMMYFUNCTION("IF(G173="""", """", ROUND(G173 / MAX(FILTER($G$2:$G5067, $D$2:$D5067=$D173)) * 100, 2))"),98.06)</f>
        <v>98.06</v>
      </c>
      <c r="J173" s="81">
        <f>IFERROR(__xludf.DUMMYFUNCTION("IF(H173="""", """", ROUND(H173 / MAX(FILTER($H$2:$H5067, $D$2:$D5067=$D173)) * 100, 2))"),55.5)</f>
        <v>55.5</v>
      </c>
      <c r="K173" s="2"/>
      <c r="L173" s="48"/>
      <c r="M173" s="48"/>
      <c r="N173" s="48"/>
      <c r="O173" s="48" t="str">
        <f t="shared" si="2"/>
        <v/>
      </c>
      <c r="P173" s="48" t="str">
        <f t="shared" si="3"/>
        <v/>
      </c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 t="s">
        <v>565</v>
      </c>
    </row>
    <row r="174">
      <c r="A174" s="63">
        <v>12.0</v>
      </c>
      <c r="B174" s="63">
        <v>15.0</v>
      </c>
      <c r="C174" s="64" t="s">
        <v>84</v>
      </c>
      <c r="D174" s="64" t="s">
        <v>85</v>
      </c>
      <c r="E174" s="64" t="s">
        <v>86</v>
      </c>
      <c r="F174" s="63">
        <v>3500.0</v>
      </c>
      <c r="G174" s="63">
        <v>10.2</v>
      </c>
      <c r="H174" s="66">
        <f t="shared" si="1"/>
        <v>49.85</v>
      </c>
      <c r="I174" s="81">
        <f>IFERROR(__xludf.DUMMYFUNCTION("IF(G174="""", """", ROUND(G174 / MAX(FILTER($G$2:$G5067, $D$2:$D5067=$D174)) * 100, 2))"),99.03)</f>
        <v>99.03</v>
      </c>
      <c r="J174" s="81">
        <f>IFERROR(__xludf.DUMMYFUNCTION("IF(H174="""", """", ROUND(H174 / MAX(FILTER($H$2:$H5067, $D$2:$D5067=$D174)) * 100, 2))"),65.39)</f>
        <v>65.39</v>
      </c>
      <c r="K174" s="2"/>
      <c r="L174" s="49"/>
      <c r="M174" s="49"/>
      <c r="N174" s="49"/>
      <c r="O174" s="49" t="str">
        <f t="shared" si="2"/>
        <v/>
      </c>
      <c r="P174" s="49" t="str">
        <f t="shared" si="3"/>
        <v/>
      </c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 t="s">
        <v>568</v>
      </c>
    </row>
    <row r="175">
      <c r="A175" s="69">
        <v>12.0</v>
      </c>
      <c r="B175" s="69">
        <v>15.0</v>
      </c>
      <c r="C175" s="86" t="s">
        <v>84</v>
      </c>
      <c r="D175" s="86" t="s">
        <v>85</v>
      </c>
      <c r="E175" s="86" t="s">
        <v>86</v>
      </c>
      <c r="F175" s="69">
        <v>4000.0</v>
      </c>
      <c r="G175" s="69">
        <v>10.3</v>
      </c>
      <c r="H175" s="68">
        <f t="shared" si="1"/>
        <v>57.53</v>
      </c>
      <c r="I175" s="81">
        <f>IFERROR(__xludf.DUMMYFUNCTION("IF(G175="""", """", ROUND(G175 / MAX(FILTER($G$2:$G5067, $D$2:$D5067=$D175)) * 100, 2))"),100.0)</f>
        <v>100</v>
      </c>
      <c r="J175" s="81">
        <f>IFERROR(__xludf.DUMMYFUNCTION("IF(H175="""", """", ROUND(H175 / MAX(FILTER($H$2:$H5067, $D$2:$D5067=$D175)) * 100, 2))"),75.46)</f>
        <v>75.46</v>
      </c>
      <c r="K175" s="2"/>
      <c r="L175" s="48"/>
      <c r="M175" s="48"/>
      <c r="N175" s="48"/>
      <c r="O175" s="48" t="str">
        <f t="shared" si="2"/>
        <v/>
      </c>
      <c r="P175" s="48" t="str">
        <f t="shared" si="3"/>
        <v/>
      </c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 t="s">
        <v>571</v>
      </c>
    </row>
    <row r="176">
      <c r="A176" s="63">
        <v>12.0</v>
      </c>
      <c r="B176" s="63">
        <v>15.0</v>
      </c>
      <c r="C176" s="64" t="s">
        <v>84</v>
      </c>
      <c r="D176" s="64" t="s">
        <v>85</v>
      </c>
      <c r="E176" s="64" t="s">
        <v>86</v>
      </c>
      <c r="F176" s="63">
        <v>4500.0</v>
      </c>
      <c r="G176" s="63">
        <v>10.2</v>
      </c>
      <c r="H176" s="66">
        <f t="shared" si="1"/>
        <v>64.09</v>
      </c>
      <c r="I176" s="81">
        <f>IFERROR(__xludf.DUMMYFUNCTION("IF(G176="""", """", ROUND(G176 / MAX(FILTER($G$2:$G5067, $D$2:$D5067=$D176)) * 100, 2))"),99.03)</f>
        <v>99.03</v>
      </c>
      <c r="J176" s="81">
        <f>IFERROR(__xludf.DUMMYFUNCTION("IF(H176="""", """", ROUND(H176 / MAX(FILTER($H$2:$H5067, $D$2:$D5067=$D176)) * 100, 2))"),84.06)</f>
        <v>84.06</v>
      </c>
      <c r="K176" s="2"/>
      <c r="L176" s="49"/>
      <c r="M176" s="49"/>
      <c r="N176" s="49"/>
      <c r="O176" s="49" t="str">
        <f t="shared" si="2"/>
        <v/>
      </c>
      <c r="P176" s="49" t="str">
        <f t="shared" si="3"/>
        <v/>
      </c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 t="s">
        <v>574</v>
      </c>
    </row>
    <row r="177">
      <c r="A177" s="69">
        <v>12.0</v>
      </c>
      <c r="B177" s="69">
        <v>15.0</v>
      </c>
      <c r="C177" s="86" t="s">
        <v>84</v>
      </c>
      <c r="D177" s="86" t="s">
        <v>85</v>
      </c>
      <c r="E177" s="86" t="s">
        <v>86</v>
      </c>
      <c r="F177" s="69">
        <v>5000.0</v>
      </c>
      <c r="G177" s="69">
        <v>10.05</v>
      </c>
      <c r="H177" s="68">
        <f t="shared" si="1"/>
        <v>70.16</v>
      </c>
      <c r="I177" s="81">
        <f>IFERROR(__xludf.DUMMYFUNCTION("IF(G177="""", """", ROUND(G177 / MAX(FILTER($G$2:$G5067, $D$2:$D5067=$D177)) * 100, 2))"),97.57)</f>
        <v>97.57</v>
      </c>
      <c r="J177" s="81">
        <f>IFERROR(__xludf.DUMMYFUNCTION("IF(H177="""", """", ROUND(H177 / MAX(FILTER($H$2:$H5067, $D$2:$D5067=$D177)) * 100, 2))"),92.03)</f>
        <v>92.03</v>
      </c>
      <c r="K177" s="2"/>
      <c r="L177" s="48"/>
      <c r="M177" s="48"/>
      <c r="N177" s="48"/>
      <c r="O177" s="48" t="str">
        <f t="shared" si="2"/>
        <v/>
      </c>
      <c r="P177" s="48" t="str">
        <f t="shared" si="3"/>
        <v/>
      </c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 t="s">
        <v>577</v>
      </c>
    </row>
    <row r="178">
      <c r="A178" s="63">
        <v>12.0</v>
      </c>
      <c r="B178" s="63">
        <v>15.0</v>
      </c>
      <c r="C178" s="64" t="s">
        <v>84</v>
      </c>
      <c r="D178" s="64" t="s">
        <v>85</v>
      </c>
      <c r="E178" s="64" t="s">
        <v>86</v>
      </c>
      <c r="F178" s="63">
        <v>5500.0</v>
      </c>
      <c r="G178" s="63">
        <v>9.6</v>
      </c>
      <c r="H178" s="66">
        <f t="shared" si="1"/>
        <v>73.72</v>
      </c>
      <c r="I178" s="81">
        <f>IFERROR(__xludf.DUMMYFUNCTION("IF(G178="""", """", ROUND(G178 / MAX(FILTER($G$2:$G5067, $D$2:$D5067=$D178)) * 100, 2))"),93.2)</f>
        <v>93.2</v>
      </c>
      <c r="J178" s="81">
        <f>IFERROR(__xludf.DUMMYFUNCTION("IF(H178="""", """", ROUND(H178 / MAX(FILTER($H$2:$H5067, $D$2:$D5067=$D178)) * 100, 2))"),96.69)</f>
        <v>96.69</v>
      </c>
      <c r="K178" s="2"/>
      <c r="L178" s="49"/>
      <c r="M178" s="49"/>
      <c r="N178" s="49"/>
      <c r="O178" s="49" t="str">
        <f t="shared" si="2"/>
        <v/>
      </c>
      <c r="P178" s="49" t="str">
        <f t="shared" si="3"/>
        <v/>
      </c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 t="s">
        <v>580</v>
      </c>
    </row>
    <row r="179">
      <c r="A179" s="69">
        <v>12.0</v>
      </c>
      <c r="B179" s="69">
        <v>15.0</v>
      </c>
      <c r="C179" s="86" t="s">
        <v>84</v>
      </c>
      <c r="D179" s="86" t="s">
        <v>85</v>
      </c>
      <c r="E179" s="86" t="s">
        <v>86</v>
      </c>
      <c r="F179" s="69">
        <v>6000.0</v>
      </c>
      <c r="G179" s="69">
        <v>9.1</v>
      </c>
      <c r="H179" s="68">
        <f t="shared" si="1"/>
        <v>76.24</v>
      </c>
      <c r="I179" s="81">
        <f>IFERROR(__xludf.DUMMYFUNCTION("IF(G179="""", """", ROUND(G179 / MAX(FILTER($G$2:$G5067, $D$2:$D5067=$D179)) * 100, 2))"),88.35)</f>
        <v>88.35</v>
      </c>
      <c r="J179" s="81">
        <f>IFERROR(__xludf.DUMMYFUNCTION("IF(H179="""", """", ROUND(H179 / MAX(FILTER($H$2:$H5067, $D$2:$D5067=$D179)) * 100, 2))"),100.0)</f>
        <v>100</v>
      </c>
      <c r="K179" s="2"/>
      <c r="L179" s="48"/>
      <c r="M179" s="48"/>
      <c r="N179" s="48"/>
      <c r="O179" s="48" t="str">
        <f t="shared" si="2"/>
        <v/>
      </c>
      <c r="P179" s="48" t="str">
        <f t="shared" si="3"/>
        <v/>
      </c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 t="s">
        <v>583</v>
      </c>
    </row>
    <row r="180">
      <c r="A180" s="63">
        <v>12.0</v>
      </c>
      <c r="B180" s="63">
        <v>15.0</v>
      </c>
      <c r="C180" s="64" t="s">
        <v>84</v>
      </c>
      <c r="D180" s="64" t="s">
        <v>85</v>
      </c>
      <c r="E180" s="64" t="s">
        <v>86</v>
      </c>
      <c r="F180" s="63">
        <v>6500.0</v>
      </c>
      <c r="G180" s="63">
        <v>7.68</v>
      </c>
      <c r="H180" s="66">
        <f t="shared" si="1"/>
        <v>69.7</v>
      </c>
      <c r="I180" s="81">
        <f>IFERROR(__xludf.DUMMYFUNCTION("IF(G180="""", """", ROUND(G180 / MAX(FILTER($G$2:$G5067, $D$2:$D5067=$D180)) * 100, 2))"),74.56)</f>
        <v>74.56</v>
      </c>
      <c r="J180" s="81">
        <f>IFERROR(__xludf.DUMMYFUNCTION("IF(H180="""", """", ROUND(H180 / MAX(FILTER($H$2:$H5067, $D$2:$D5067=$D180)) * 100, 2))"),91.42)</f>
        <v>91.42</v>
      </c>
      <c r="K180" s="2"/>
      <c r="L180" s="49"/>
      <c r="M180" s="49"/>
      <c r="N180" s="49"/>
      <c r="O180" s="49" t="str">
        <f t="shared" si="2"/>
        <v/>
      </c>
      <c r="P180" s="49" t="str">
        <f t="shared" si="3"/>
        <v/>
      </c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 t="s">
        <v>586</v>
      </c>
    </row>
    <row r="181">
      <c r="A181" s="69">
        <v>12.0</v>
      </c>
      <c r="B181" s="69">
        <v>15.0</v>
      </c>
      <c r="C181" s="86" t="s">
        <v>84</v>
      </c>
      <c r="D181" s="86" t="s">
        <v>85</v>
      </c>
      <c r="E181" s="86" t="s">
        <v>86</v>
      </c>
      <c r="F181" s="69">
        <v>7000.0</v>
      </c>
      <c r="G181" s="69">
        <v>6.0</v>
      </c>
      <c r="H181" s="68">
        <f t="shared" si="1"/>
        <v>58.64</v>
      </c>
      <c r="I181" s="81">
        <f>IFERROR(__xludf.DUMMYFUNCTION("IF(G181="""", """", ROUND(G181 / MAX(FILTER($G$2:$G5067, $D$2:$D5067=$D181)) * 100, 2))"),58.25)</f>
        <v>58.25</v>
      </c>
      <c r="J181" s="81">
        <f>IFERROR(__xludf.DUMMYFUNCTION("IF(H181="""", """", ROUND(H181 / MAX(FILTER($H$2:$H5067, $D$2:$D5067=$D181)) * 100, 2))"),76.92)</f>
        <v>76.92</v>
      </c>
      <c r="K181" s="2"/>
      <c r="L181" s="48"/>
      <c r="M181" s="48"/>
      <c r="N181" s="48"/>
      <c r="O181" s="48" t="str">
        <f t="shared" si="2"/>
        <v/>
      </c>
      <c r="P181" s="48" t="str">
        <f t="shared" si="3"/>
        <v/>
      </c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 t="s">
        <v>589</v>
      </c>
    </row>
    <row r="182">
      <c r="A182" s="63">
        <v>13.0</v>
      </c>
      <c r="B182" s="63">
        <v>16.0</v>
      </c>
      <c r="C182" s="64" t="s">
        <v>87</v>
      </c>
      <c r="D182" s="64" t="s">
        <v>88</v>
      </c>
      <c r="E182" s="64" t="s">
        <v>89</v>
      </c>
      <c r="F182" s="63">
        <v>500.0</v>
      </c>
      <c r="G182" s="63">
        <v>4.46</v>
      </c>
      <c r="H182" s="66">
        <f t="shared" si="1"/>
        <v>3.11</v>
      </c>
      <c r="I182" s="81">
        <f>IFERROR(__xludf.DUMMYFUNCTION("IF(G182="""", """", ROUND(G182 / MAX(FILTER($G$2:$G5067, $D$2:$D5067=$D182)) * 100, 2))"),65.4)</f>
        <v>65.4</v>
      </c>
      <c r="J182" s="81">
        <f>IFERROR(__xludf.DUMMYFUNCTION("IF(H182="""", """", ROUND(H182 / MAX(FILTER($H$2:$H5067, $D$2:$D5067=$D182)) * 100, 2))"),4.43)</f>
        <v>4.43</v>
      </c>
      <c r="K182" s="2"/>
      <c r="L182" s="49"/>
      <c r="M182" s="49"/>
      <c r="N182" s="49"/>
      <c r="O182" s="49" t="str">
        <f t="shared" si="2"/>
        <v/>
      </c>
      <c r="P182" s="49" t="str">
        <f t="shared" si="3"/>
        <v/>
      </c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 t="s">
        <v>592</v>
      </c>
    </row>
    <row r="183">
      <c r="A183" s="69">
        <v>13.0</v>
      </c>
      <c r="B183" s="69">
        <v>16.0</v>
      </c>
      <c r="C183" s="86" t="s">
        <v>87</v>
      </c>
      <c r="D183" s="86" t="s">
        <v>88</v>
      </c>
      <c r="E183" s="86" t="s">
        <v>89</v>
      </c>
      <c r="F183" s="69">
        <v>1000.0</v>
      </c>
      <c r="G183" s="69">
        <v>5.05</v>
      </c>
      <c r="H183" s="68">
        <f t="shared" si="1"/>
        <v>7.05</v>
      </c>
      <c r="I183" s="81">
        <f>IFERROR(__xludf.DUMMYFUNCTION("IF(G183="""", """", ROUND(G183 / MAX(FILTER($G$2:$G5067, $D$2:$D5067=$D183)) * 100, 2))"),74.05)</f>
        <v>74.05</v>
      </c>
      <c r="J183" s="81">
        <f>IFERROR(__xludf.DUMMYFUNCTION("IF(H183="""", """", ROUND(H183 / MAX(FILTER($H$2:$H5067, $D$2:$D5067=$D183)) * 100, 2))"),10.05)</f>
        <v>10.05</v>
      </c>
      <c r="K183" s="2"/>
      <c r="L183" s="48"/>
      <c r="M183" s="48"/>
      <c r="N183" s="48"/>
      <c r="O183" s="48" t="str">
        <f t="shared" si="2"/>
        <v/>
      </c>
      <c r="P183" s="48" t="str">
        <f t="shared" si="3"/>
        <v/>
      </c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 t="s">
        <v>595</v>
      </c>
    </row>
    <row r="184">
      <c r="A184" s="63">
        <v>13.0</v>
      </c>
      <c r="B184" s="63">
        <v>16.0</v>
      </c>
      <c r="C184" s="64" t="s">
        <v>87</v>
      </c>
      <c r="D184" s="64" t="s">
        <v>88</v>
      </c>
      <c r="E184" s="64" t="s">
        <v>89</v>
      </c>
      <c r="F184" s="63">
        <v>1500.0</v>
      </c>
      <c r="G184" s="63">
        <v>5.54</v>
      </c>
      <c r="H184" s="66">
        <f t="shared" si="1"/>
        <v>11.6</v>
      </c>
      <c r="I184" s="81">
        <f>IFERROR(__xludf.DUMMYFUNCTION("IF(G184="""", """", ROUND(G184 / MAX(FILTER($G$2:$G5067, $D$2:$D5067=$D184)) * 100, 2))"),81.23)</f>
        <v>81.23</v>
      </c>
      <c r="J184" s="81">
        <f>IFERROR(__xludf.DUMMYFUNCTION("IF(H184="""", """", ROUND(H184 / MAX(FILTER($H$2:$H5067, $D$2:$D5067=$D184)) * 100, 2))"),16.54)</f>
        <v>16.54</v>
      </c>
      <c r="K184" s="2"/>
      <c r="L184" s="49"/>
      <c r="M184" s="49"/>
      <c r="N184" s="49"/>
      <c r="O184" s="49" t="str">
        <f t="shared" si="2"/>
        <v/>
      </c>
      <c r="P184" s="49" t="str">
        <f t="shared" si="3"/>
        <v/>
      </c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 t="s">
        <v>598</v>
      </c>
    </row>
    <row r="185">
      <c r="A185" s="69">
        <v>13.0</v>
      </c>
      <c r="B185" s="69">
        <v>16.0</v>
      </c>
      <c r="C185" s="86" t="s">
        <v>87</v>
      </c>
      <c r="D185" s="86" t="s">
        <v>88</v>
      </c>
      <c r="E185" s="86" t="s">
        <v>89</v>
      </c>
      <c r="F185" s="69">
        <v>2000.0</v>
      </c>
      <c r="G185" s="69">
        <v>5.9</v>
      </c>
      <c r="H185" s="68">
        <f t="shared" si="1"/>
        <v>16.48</v>
      </c>
      <c r="I185" s="81">
        <f>IFERROR(__xludf.DUMMYFUNCTION("IF(G185="""", """", ROUND(G185 / MAX(FILTER($G$2:$G5067, $D$2:$D5067=$D185)) * 100, 2))"),86.51)</f>
        <v>86.51</v>
      </c>
      <c r="J185" s="81">
        <f>IFERROR(__xludf.DUMMYFUNCTION("IF(H185="""", """", ROUND(H185 / MAX(FILTER($H$2:$H5067, $D$2:$D5067=$D185)) * 100, 2))"),23.49)</f>
        <v>23.49</v>
      </c>
      <c r="K185" s="2"/>
      <c r="L185" s="48"/>
      <c r="M185" s="48"/>
      <c r="N185" s="48"/>
      <c r="O185" s="48" t="str">
        <f t="shared" si="2"/>
        <v/>
      </c>
      <c r="P185" s="48" t="str">
        <f t="shared" si="3"/>
        <v/>
      </c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 t="s">
        <v>601</v>
      </c>
    </row>
    <row r="186">
      <c r="A186" s="63">
        <v>13.0</v>
      </c>
      <c r="B186" s="63">
        <v>16.0</v>
      </c>
      <c r="C186" s="64" t="s">
        <v>87</v>
      </c>
      <c r="D186" s="64" t="s">
        <v>88</v>
      </c>
      <c r="E186" s="64" t="s">
        <v>89</v>
      </c>
      <c r="F186" s="63">
        <v>2500.0</v>
      </c>
      <c r="G186" s="63">
        <v>6.2</v>
      </c>
      <c r="H186" s="66">
        <f t="shared" si="1"/>
        <v>21.64</v>
      </c>
      <c r="I186" s="81">
        <f>IFERROR(__xludf.DUMMYFUNCTION("IF(G186="""", """", ROUND(G186 / MAX(FILTER($G$2:$G5067, $D$2:$D5067=$D186)) * 100, 2))"),90.91)</f>
        <v>90.91</v>
      </c>
      <c r="J186" s="81">
        <f>IFERROR(__xludf.DUMMYFUNCTION("IF(H186="""", """", ROUND(H186 / MAX(FILTER($H$2:$H5067, $D$2:$D5067=$D186)) * 100, 2))"),30.85)</f>
        <v>30.85</v>
      </c>
      <c r="K186" s="2"/>
      <c r="L186" s="49"/>
      <c r="M186" s="49"/>
      <c r="N186" s="49"/>
      <c r="O186" s="49" t="str">
        <f t="shared" si="2"/>
        <v/>
      </c>
      <c r="P186" s="49" t="str">
        <f t="shared" si="3"/>
        <v/>
      </c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 t="s">
        <v>604</v>
      </c>
    </row>
    <row r="187">
      <c r="A187" s="69">
        <v>13.0</v>
      </c>
      <c r="B187" s="69">
        <v>16.0</v>
      </c>
      <c r="C187" s="86" t="s">
        <v>87</v>
      </c>
      <c r="D187" s="86" t="s">
        <v>88</v>
      </c>
      <c r="E187" s="86" t="s">
        <v>89</v>
      </c>
      <c r="F187" s="69">
        <v>3000.0</v>
      </c>
      <c r="G187" s="69">
        <v>6.4</v>
      </c>
      <c r="H187" s="68">
        <f t="shared" si="1"/>
        <v>26.81</v>
      </c>
      <c r="I187" s="81">
        <f>IFERROR(__xludf.DUMMYFUNCTION("IF(G187="""", """", ROUND(G187 / MAX(FILTER($G$2:$G5067, $D$2:$D5067=$D187)) * 100, 2))"),93.84)</f>
        <v>93.84</v>
      </c>
      <c r="J187" s="81">
        <f>IFERROR(__xludf.DUMMYFUNCTION("IF(H187="""", """", ROUND(H187 / MAX(FILTER($H$2:$H5067, $D$2:$D5067=$D187)) * 100, 2))"),38.22)</f>
        <v>38.22</v>
      </c>
      <c r="K187" s="2"/>
      <c r="L187" s="48"/>
      <c r="M187" s="48"/>
      <c r="N187" s="48"/>
      <c r="O187" s="48" t="str">
        <f t="shared" si="2"/>
        <v/>
      </c>
      <c r="P187" s="48" t="str">
        <f t="shared" si="3"/>
        <v/>
      </c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 t="s">
        <v>607</v>
      </c>
    </row>
    <row r="188">
      <c r="A188" s="63">
        <v>13.0</v>
      </c>
      <c r="B188" s="63">
        <v>16.0</v>
      </c>
      <c r="C188" s="64" t="s">
        <v>87</v>
      </c>
      <c r="D188" s="64" t="s">
        <v>88</v>
      </c>
      <c r="E188" s="64" t="s">
        <v>89</v>
      </c>
      <c r="F188" s="63">
        <v>3500.0</v>
      </c>
      <c r="G188" s="63">
        <v>6.6</v>
      </c>
      <c r="H188" s="66">
        <f t="shared" si="1"/>
        <v>32.25</v>
      </c>
      <c r="I188" s="81">
        <f>IFERROR(__xludf.DUMMYFUNCTION("IF(G188="""", """", ROUND(G188 / MAX(FILTER($G$2:$G5067, $D$2:$D5067=$D188)) * 100, 2))"),96.77)</f>
        <v>96.77</v>
      </c>
      <c r="J188" s="81">
        <f>IFERROR(__xludf.DUMMYFUNCTION("IF(H188="""", """", ROUND(H188 / MAX(FILTER($H$2:$H5067, $D$2:$D5067=$D188)) * 100, 2))"),45.97)</f>
        <v>45.97</v>
      </c>
      <c r="K188" s="2"/>
      <c r="L188" s="49"/>
      <c r="M188" s="49"/>
      <c r="N188" s="49"/>
      <c r="O188" s="49" t="str">
        <f t="shared" si="2"/>
        <v/>
      </c>
      <c r="P188" s="49" t="str">
        <f t="shared" si="3"/>
        <v/>
      </c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 t="s">
        <v>609</v>
      </c>
    </row>
    <row r="189">
      <c r="A189" s="69">
        <v>13.0</v>
      </c>
      <c r="B189" s="69">
        <v>16.0</v>
      </c>
      <c r="C189" s="86" t="s">
        <v>87</v>
      </c>
      <c r="D189" s="86" t="s">
        <v>88</v>
      </c>
      <c r="E189" s="86" t="s">
        <v>89</v>
      </c>
      <c r="F189" s="69">
        <v>4000.0</v>
      </c>
      <c r="G189" s="69">
        <v>6.69</v>
      </c>
      <c r="H189" s="68">
        <f t="shared" si="1"/>
        <v>37.36</v>
      </c>
      <c r="I189" s="81">
        <f>IFERROR(__xludf.DUMMYFUNCTION("IF(G189="""", """", ROUND(G189 / MAX(FILTER($G$2:$G5067, $D$2:$D5067=$D189)) * 100, 2))"),98.09)</f>
        <v>98.09</v>
      </c>
      <c r="J189" s="81">
        <f>IFERROR(__xludf.DUMMYFUNCTION("IF(H189="""", """", ROUND(H189 / MAX(FILTER($H$2:$H5067, $D$2:$D5067=$D189)) * 100, 2))"),53.26)</f>
        <v>53.26</v>
      </c>
      <c r="K189" s="2"/>
      <c r="L189" s="48"/>
      <c r="M189" s="48"/>
      <c r="N189" s="48"/>
      <c r="O189" s="48" t="str">
        <f t="shared" si="2"/>
        <v/>
      </c>
      <c r="P189" s="48" t="str">
        <f t="shared" si="3"/>
        <v/>
      </c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 t="s">
        <v>612</v>
      </c>
    </row>
    <row r="190">
      <c r="A190" s="63">
        <v>13.0</v>
      </c>
      <c r="B190" s="63">
        <v>16.0</v>
      </c>
      <c r="C190" s="64" t="s">
        <v>87</v>
      </c>
      <c r="D190" s="64" t="s">
        <v>88</v>
      </c>
      <c r="E190" s="64" t="s">
        <v>89</v>
      </c>
      <c r="F190" s="63">
        <v>4500.0</v>
      </c>
      <c r="G190" s="63">
        <v>6.72</v>
      </c>
      <c r="H190" s="66">
        <f t="shared" si="1"/>
        <v>42.22</v>
      </c>
      <c r="I190" s="81">
        <f>IFERROR(__xludf.DUMMYFUNCTION("IF(G190="""", """", ROUND(G190 / MAX(FILTER($G$2:$G5067, $D$2:$D5067=$D190)) * 100, 2))"),98.53)</f>
        <v>98.53</v>
      </c>
      <c r="J190" s="81">
        <f>IFERROR(__xludf.DUMMYFUNCTION("IF(H190="""", """", ROUND(H190 / MAX(FILTER($H$2:$H5067, $D$2:$D5067=$D190)) * 100, 2))"),60.19)</f>
        <v>60.19</v>
      </c>
      <c r="K190" s="2"/>
      <c r="L190" s="49"/>
      <c r="M190" s="49"/>
      <c r="N190" s="49"/>
      <c r="O190" s="49" t="str">
        <f t="shared" si="2"/>
        <v/>
      </c>
      <c r="P190" s="49" t="str">
        <f t="shared" si="3"/>
        <v/>
      </c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 t="s">
        <v>615</v>
      </c>
    </row>
    <row r="191">
      <c r="A191" s="69">
        <v>13.0</v>
      </c>
      <c r="B191" s="69">
        <v>16.0</v>
      </c>
      <c r="C191" s="86" t="s">
        <v>87</v>
      </c>
      <c r="D191" s="86" t="s">
        <v>88</v>
      </c>
      <c r="E191" s="86" t="s">
        <v>89</v>
      </c>
      <c r="F191" s="69">
        <v>5000.0</v>
      </c>
      <c r="G191" s="69">
        <v>6.76</v>
      </c>
      <c r="H191" s="68">
        <f t="shared" si="1"/>
        <v>47.19</v>
      </c>
      <c r="I191" s="81">
        <f>IFERROR(__xludf.DUMMYFUNCTION("IF(G191="""", """", ROUND(G191 / MAX(FILTER($G$2:$G5067, $D$2:$D5067=$D191)) * 100, 2))"),99.12)</f>
        <v>99.12</v>
      </c>
      <c r="J191" s="81">
        <f>IFERROR(__xludf.DUMMYFUNCTION("IF(H191="""", """", ROUND(H191 / MAX(FILTER($H$2:$H5067, $D$2:$D5067=$D191)) * 100, 2))"),67.27)</f>
        <v>67.27</v>
      </c>
      <c r="K191" s="2"/>
      <c r="L191" s="48"/>
      <c r="M191" s="48"/>
      <c r="N191" s="48"/>
      <c r="O191" s="48" t="str">
        <f t="shared" si="2"/>
        <v/>
      </c>
      <c r="P191" s="48" t="str">
        <f t="shared" si="3"/>
        <v/>
      </c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 t="s">
        <v>618</v>
      </c>
    </row>
    <row r="192">
      <c r="A192" s="63">
        <v>13.0</v>
      </c>
      <c r="B192" s="63">
        <v>16.0</v>
      </c>
      <c r="C192" s="64" t="s">
        <v>87</v>
      </c>
      <c r="D192" s="64" t="s">
        <v>88</v>
      </c>
      <c r="E192" s="64" t="s">
        <v>89</v>
      </c>
      <c r="F192" s="63">
        <v>5500.0</v>
      </c>
      <c r="G192" s="63">
        <v>6.8</v>
      </c>
      <c r="H192" s="66">
        <f t="shared" si="1"/>
        <v>52.22</v>
      </c>
      <c r="I192" s="81">
        <f>IFERROR(__xludf.DUMMYFUNCTION("IF(G192="""", """", ROUND(G192 / MAX(FILTER($G$2:$G5067, $D$2:$D5067=$D192)) * 100, 2))"),99.71)</f>
        <v>99.71</v>
      </c>
      <c r="J192" s="81">
        <f>IFERROR(__xludf.DUMMYFUNCTION("IF(H192="""", """", ROUND(H192 / MAX(FILTER($H$2:$H5067, $D$2:$D5067=$D192)) * 100, 2))"),74.44)</f>
        <v>74.44</v>
      </c>
      <c r="K192" s="2"/>
      <c r="L192" s="49"/>
      <c r="M192" s="49"/>
      <c r="N192" s="49"/>
      <c r="O192" s="49" t="str">
        <f t="shared" si="2"/>
        <v/>
      </c>
      <c r="P192" s="49" t="str">
        <f t="shared" si="3"/>
        <v/>
      </c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 t="s">
        <v>621</v>
      </c>
    </row>
    <row r="193">
      <c r="A193" s="69">
        <v>13.0</v>
      </c>
      <c r="B193" s="69">
        <v>16.0</v>
      </c>
      <c r="C193" s="86" t="s">
        <v>87</v>
      </c>
      <c r="D193" s="86" t="s">
        <v>88</v>
      </c>
      <c r="E193" s="86" t="s">
        <v>89</v>
      </c>
      <c r="F193" s="69">
        <v>6000.0</v>
      </c>
      <c r="G193" s="69">
        <v>6.82</v>
      </c>
      <c r="H193" s="68">
        <f t="shared" si="1"/>
        <v>57.13</v>
      </c>
      <c r="I193" s="81">
        <f>IFERROR(__xludf.DUMMYFUNCTION("IF(G193="""", """", ROUND(G193 / MAX(FILTER($G$2:$G5067, $D$2:$D5067=$D193)) * 100, 2))"),100.0)</f>
        <v>100</v>
      </c>
      <c r="J193" s="81">
        <f>IFERROR(__xludf.DUMMYFUNCTION("IF(H193="""", """", ROUND(H193 / MAX(FILTER($H$2:$H5067, $D$2:$D5067=$D193)) * 100, 2))"),81.44)</f>
        <v>81.44</v>
      </c>
      <c r="K193" s="2"/>
      <c r="L193" s="48"/>
      <c r="M193" s="48"/>
      <c r="N193" s="48"/>
      <c r="O193" s="48" t="str">
        <f t="shared" si="2"/>
        <v/>
      </c>
      <c r="P193" s="48" t="str">
        <f t="shared" si="3"/>
        <v/>
      </c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 t="s">
        <v>624</v>
      </c>
    </row>
    <row r="194">
      <c r="A194" s="63">
        <v>13.0</v>
      </c>
      <c r="B194" s="63">
        <v>16.0</v>
      </c>
      <c r="C194" s="64" t="s">
        <v>87</v>
      </c>
      <c r="D194" s="64" t="s">
        <v>88</v>
      </c>
      <c r="E194" s="64" t="s">
        <v>89</v>
      </c>
      <c r="F194" s="63">
        <v>6500.0</v>
      </c>
      <c r="G194" s="63">
        <v>6.78</v>
      </c>
      <c r="H194" s="66">
        <f t="shared" si="1"/>
        <v>61.53</v>
      </c>
      <c r="I194" s="81">
        <f>IFERROR(__xludf.DUMMYFUNCTION("IF(G194="""", """", ROUND(G194 / MAX(FILTER($G$2:$G5067, $D$2:$D5067=$D194)) * 100, 2))"),99.41)</f>
        <v>99.41</v>
      </c>
      <c r="J194" s="81">
        <f>IFERROR(__xludf.DUMMYFUNCTION("IF(H194="""", """", ROUND(H194 / MAX(FILTER($H$2:$H5067, $D$2:$D5067=$D194)) * 100, 2))"),87.71)</f>
        <v>87.71</v>
      </c>
      <c r="K194" s="2"/>
      <c r="L194" s="49"/>
      <c r="M194" s="49"/>
      <c r="N194" s="49"/>
      <c r="O194" s="49" t="str">
        <f t="shared" si="2"/>
        <v/>
      </c>
      <c r="P194" s="49" t="str">
        <f t="shared" si="3"/>
        <v/>
      </c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 t="s">
        <v>627</v>
      </c>
    </row>
    <row r="195">
      <c r="A195" s="69">
        <v>13.0</v>
      </c>
      <c r="B195" s="69">
        <v>16.0</v>
      </c>
      <c r="C195" s="86" t="s">
        <v>87</v>
      </c>
      <c r="D195" s="86" t="s">
        <v>88</v>
      </c>
      <c r="E195" s="86" t="s">
        <v>89</v>
      </c>
      <c r="F195" s="69">
        <v>7000.0</v>
      </c>
      <c r="G195" s="69">
        <v>6.68</v>
      </c>
      <c r="H195" s="68">
        <f t="shared" si="1"/>
        <v>65.29</v>
      </c>
      <c r="I195" s="81">
        <f>IFERROR(__xludf.DUMMYFUNCTION("IF(G195="""", """", ROUND(G195 / MAX(FILTER($G$2:$G5067, $D$2:$D5067=$D195)) * 100, 2))"),97.95)</f>
        <v>97.95</v>
      </c>
      <c r="J195" s="81">
        <f>IFERROR(__xludf.DUMMYFUNCTION("IF(H195="""", """", ROUND(H195 / MAX(FILTER($H$2:$H5067, $D$2:$D5067=$D195)) * 100, 2))"),93.07)</f>
        <v>93.07</v>
      </c>
      <c r="K195" s="2"/>
      <c r="L195" s="48"/>
      <c r="M195" s="48"/>
      <c r="N195" s="48"/>
      <c r="O195" s="48" t="str">
        <f t="shared" si="2"/>
        <v/>
      </c>
      <c r="P195" s="48" t="str">
        <f t="shared" si="3"/>
        <v/>
      </c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 t="s">
        <v>630</v>
      </c>
    </row>
    <row r="196">
      <c r="A196" s="63">
        <v>13.0</v>
      </c>
      <c r="B196" s="63">
        <v>16.0</v>
      </c>
      <c r="C196" s="64" t="s">
        <v>87</v>
      </c>
      <c r="D196" s="64" t="s">
        <v>88</v>
      </c>
      <c r="E196" s="64" t="s">
        <v>89</v>
      </c>
      <c r="F196" s="63">
        <v>7500.0</v>
      </c>
      <c r="G196" s="63">
        <v>6.52</v>
      </c>
      <c r="H196" s="66">
        <f t="shared" si="1"/>
        <v>68.28</v>
      </c>
      <c r="I196" s="81">
        <f>IFERROR(__xludf.DUMMYFUNCTION("IF(G196="""", """", ROUND(G196 / MAX(FILTER($G$2:$G5067, $D$2:$D5067=$D196)) * 100, 2))"),95.6)</f>
        <v>95.6</v>
      </c>
      <c r="J196" s="81">
        <f>IFERROR(__xludf.DUMMYFUNCTION("IF(H196="""", """", ROUND(H196 / MAX(FILTER($H$2:$H5067, $D$2:$D5067=$D196)) * 100, 2))"),97.33)</f>
        <v>97.33</v>
      </c>
      <c r="K196" s="2"/>
      <c r="L196" s="49"/>
      <c r="M196" s="49"/>
      <c r="N196" s="49"/>
      <c r="O196" s="49" t="str">
        <f t="shared" si="2"/>
        <v/>
      </c>
      <c r="P196" s="49" t="str">
        <f t="shared" si="3"/>
        <v/>
      </c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 t="s">
        <v>633</v>
      </c>
    </row>
    <row r="197">
      <c r="A197" s="69">
        <v>13.0</v>
      </c>
      <c r="B197" s="69">
        <v>16.0</v>
      </c>
      <c r="C197" s="86" t="s">
        <v>87</v>
      </c>
      <c r="D197" s="86" t="s">
        <v>88</v>
      </c>
      <c r="E197" s="86" t="s">
        <v>89</v>
      </c>
      <c r="F197" s="69">
        <v>8000.0</v>
      </c>
      <c r="G197" s="69">
        <v>6.28</v>
      </c>
      <c r="H197" s="68">
        <f t="shared" si="1"/>
        <v>70.15</v>
      </c>
      <c r="I197" s="81">
        <f>IFERROR(__xludf.DUMMYFUNCTION("IF(G197="""", """", ROUND(G197 / MAX(FILTER($G$2:$G5067, $D$2:$D5067=$D197)) * 100, 2))"),92.08)</f>
        <v>92.08</v>
      </c>
      <c r="J197" s="81">
        <f>IFERROR(__xludf.DUMMYFUNCTION("IF(H197="""", """", ROUND(H197 / MAX(FILTER($H$2:$H5067, $D$2:$D5067=$D197)) * 100, 2))"),100.0)</f>
        <v>100</v>
      </c>
      <c r="K197" s="2"/>
      <c r="L197" s="48"/>
      <c r="M197" s="48"/>
      <c r="N197" s="48"/>
      <c r="O197" s="48" t="str">
        <f t="shared" si="2"/>
        <v/>
      </c>
      <c r="P197" s="48" t="str">
        <f t="shared" si="3"/>
        <v/>
      </c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 t="s">
        <v>636</v>
      </c>
    </row>
    <row r="198">
      <c r="A198" s="63">
        <v>13.0</v>
      </c>
      <c r="B198" s="63">
        <v>16.0</v>
      </c>
      <c r="C198" s="64" t="s">
        <v>87</v>
      </c>
      <c r="D198" s="64" t="s">
        <v>88</v>
      </c>
      <c r="E198" s="64" t="s">
        <v>89</v>
      </c>
      <c r="F198" s="63">
        <v>8500.0</v>
      </c>
      <c r="G198" s="63">
        <v>5.8</v>
      </c>
      <c r="H198" s="66">
        <f t="shared" si="1"/>
        <v>68.84</v>
      </c>
      <c r="I198" s="81">
        <f>IFERROR(__xludf.DUMMYFUNCTION("IF(G198="""", """", ROUND(G198 / MAX(FILTER($G$2:$G5067, $D$2:$D5067=$D198)) * 100, 2))"),85.04)</f>
        <v>85.04</v>
      </c>
      <c r="J198" s="81">
        <f>IFERROR(__xludf.DUMMYFUNCTION("IF(H198="""", """", ROUND(H198 / MAX(FILTER($H$2:$H5067, $D$2:$D5067=$D198)) * 100, 2))"),98.13)</f>
        <v>98.13</v>
      </c>
      <c r="K198" s="2"/>
      <c r="L198" s="49"/>
      <c r="M198" s="49"/>
      <c r="N198" s="49"/>
      <c r="O198" s="49" t="str">
        <f t="shared" si="2"/>
        <v/>
      </c>
      <c r="P198" s="49" t="str">
        <f t="shared" si="3"/>
        <v/>
      </c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 t="s">
        <v>639</v>
      </c>
    </row>
    <row r="199">
      <c r="A199" s="69">
        <v>13.0</v>
      </c>
      <c r="B199" s="69">
        <v>16.0</v>
      </c>
      <c r="C199" s="86" t="s">
        <v>87</v>
      </c>
      <c r="D199" s="86" t="s">
        <v>88</v>
      </c>
      <c r="E199" s="86" t="s">
        <v>89</v>
      </c>
      <c r="F199" s="69">
        <v>9000.0</v>
      </c>
      <c r="G199" s="69">
        <v>5.2</v>
      </c>
      <c r="H199" s="68">
        <f t="shared" si="1"/>
        <v>65.34</v>
      </c>
      <c r="I199" s="81">
        <f>IFERROR(__xludf.DUMMYFUNCTION("IF(G199="""", """", ROUND(G199 / MAX(FILTER($G$2:$G5067, $D$2:$D5067=$D199)) * 100, 2))"),76.25)</f>
        <v>76.25</v>
      </c>
      <c r="J199" s="81">
        <f>IFERROR(__xludf.DUMMYFUNCTION("IF(H199="""", """", ROUND(H199 / MAX(FILTER($H$2:$H5067, $D$2:$D5067=$D199)) * 100, 2))"),93.14)</f>
        <v>93.14</v>
      </c>
      <c r="K199" s="2"/>
      <c r="L199" s="48"/>
      <c r="M199" s="48"/>
      <c r="N199" s="48"/>
      <c r="O199" s="48" t="str">
        <f t="shared" si="2"/>
        <v/>
      </c>
      <c r="P199" s="48" t="str">
        <f t="shared" si="3"/>
        <v/>
      </c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 t="s">
        <v>642</v>
      </c>
    </row>
    <row r="200">
      <c r="A200" s="63">
        <v>14.0</v>
      </c>
      <c r="B200" s="63">
        <v>17.0</v>
      </c>
      <c r="C200" s="64" t="s">
        <v>90</v>
      </c>
      <c r="D200" s="64" t="s">
        <v>91</v>
      </c>
      <c r="E200" s="64" t="s">
        <v>92</v>
      </c>
      <c r="F200" s="63">
        <v>500.0</v>
      </c>
      <c r="G200" s="63">
        <v>25.73</v>
      </c>
      <c r="H200" s="66">
        <f t="shared" si="1"/>
        <v>17.96</v>
      </c>
      <c r="I200" s="81">
        <f>IFERROR(__xludf.DUMMYFUNCTION("IF(G200="""", """", ROUND(G200 / MAX(FILTER($G$2:$G5067, $D$2:$D5067=$D200)) * 100, 2))"),41.53)</f>
        <v>41.53</v>
      </c>
      <c r="J200" s="81">
        <f>IFERROR(__xludf.DUMMYFUNCTION("IF(H200="""", """", ROUND(H200 / MAX(FILTER($H$2:$H5067, $D$2:$D5067=$D200)) * 100, 2))"),2.76)</f>
        <v>2.76</v>
      </c>
      <c r="K200" s="2"/>
      <c r="L200" s="49"/>
      <c r="M200" s="49"/>
      <c r="N200" s="49"/>
      <c r="O200" s="49" t="str">
        <f t="shared" si="2"/>
        <v/>
      </c>
      <c r="P200" s="49" t="str">
        <f t="shared" si="3"/>
        <v/>
      </c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 t="s">
        <v>645</v>
      </c>
    </row>
    <row r="201">
      <c r="A201" s="69">
        <v>14.0</v>
      </c>
      <c r="B201" s="69">
        <v>17.0</v>
      </c>
      <c r="C201" s="86" t="s">
        <v>90</v>
      </c>
      <c r="D201" s="86" t="s">
        <v>91</v>
      </c>
      <c r="E201" s="86" t="s">
        <v>92</v>
      </c>
      <c r="F201" s="69">
        <v>1000.0</v>
      </c>
      <c r="G201" s="69">
        <v>37.8</v>
      </c>
      <c r="H201" s="68">
        <f t="shared" si="1"/>
        <v>52.78</v>
      </c>
      <c r="I201" s="81">
        <f>IFERROR(__xludf.DUMMYFUNCTION("IF(G201="""", """", ROUND(G201 / MAX(FILTER($G$2:$G5067, $D$2:$D5067=$D201)) * 100, 2))"),61.02)</f>
        <v>61.02</v>
      </c>
      <c r="J201" s="81">
        <f>IFERROR(__xludf.DUMMYFUNCTION("IF(H201="""", """", ROUND(H201 / MAX(FILTER($H$2:$H5067, $D$2:$D5067=$D201)) * 100, 2))"),8.12)</f>
        <v>8.12</v>
      </c>
      <c r="K201" s="2"/>
      <c r="L201" s="48"/>
      <c r="M201" s="48"/>
      <c r="N201" s="48"/>
      <c r="O201" s="48" t="str">
        <f t="shared" si="2"/>
        <v/>
      </c>
      <c r="P201" s="48" t="str">
        <f t="shared" si="3"/>
        <v/>
      </c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 t="s">
        <v>648</v>
      </c>
    </row>
    <row r="202">
      <c r="A202" s="63">
        <v>14.0</v>
      </c>
      <c r="B202" s="63">
        <v>17.0</v>
      </c>
      <c r="C202" s="64" t="s">
        <v>90</v>
      </c>
      <c r="D202" s="64" t="s">
        <v>91</v>
      </c>
      <c r="E202" s="64" t="s">
        <v>92</v>
      </c>
      <c r="F202" s="63">
        <v>1500.0</v>
      </c>
      <c r="G202" s="63">
        <v>44.28</v>
      </c>
      <c r="H202" s="66">
        <f t="shared" si="1"/>
        <v>92.74</v>
      </c>
      <c r="I202" s="81">
        <f>IFERROR(__xludf.DUMMYFUNCTION("IF(G202="""", """", ROUND(G202 / MAX(FILTER($G$2:$G5067, $D$2:$D5067=$D202)) * 100, 2))"),71.48)</f>
        <v>71.48</v>
      </c>
      <c r="J202" s="81">
        <f>IFERROR(__xludf.DUMMYFUNCTION("IF(H202="""", """", ROUND(H202 / MAX(FILTER($H$2:$H5067, $D$2:$D5067=$D202)) * 100, 2))"),14.26)</f>
        <v>14.26</v>
      </c>
      <c r="K202" s="2"/>
      <c r="L202" s="49"/>
      <c r="M202" s="49"/>
      <c r="N202" s="49"/>
      <c r="O202" s="49" t="str">
        <f t="shared" si="2"/>
        <v/>
      </c>
      <c r="P202" s="49" t="str">
        <f t="shared" si="3"/>
        <v/>
      </c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 t="s">
        <v>651</v>
      </c>
    </row>
    <row r="203">
      <c r="A203" s="69">
        <v>14.0</v>
      </c>
      <c r="B203" s="69">
        <v>17.0</v>
      </c>
      <c r="C203" s="86" t="s">
        <v>90</v>
      </c>
      <c r="D203" s="86" t="s">
        <v>91</v>
      </c>
      <c r="E203" s="86" t="s">
        <v>92</v>
      </c>
      <c r="F203" s="69">
        <v>2000.0</v>
      </c>
      <c r="G203" s="69">
        <v>49.35</v>
      </c>
      <c r="H203" s="68">
        <f t="shared" si="1"/>
        <v>137.81</v>
      </c>
      <c r="I203" s="81">
        <f>IFERROR(__xludf.DUMMYFUNCTION("IF(G203="""", """", ROUND(G203 / MAX(FILTER($G$2:$G5067, $D$2:$D5067=$D203)) * 100, 2))"),79.66)</f>
        <v>79.66</v>
      </c>
      <c r="J203" s="81">
        <f>IFERROR(__xludf.DUMMYFUNCTION("IF(H203="""", """", ROUND(H203 / MAX(FILTER($H$2:$H5067, $D$2:$D5067=$D203)) * 100, 2))"),21.19)</f>
        <v>21.19</v>
      </c>
      <c r="K203" s="2"/>
      <c r="L203" s="48"/>
      <c r="M203" s="48"/>
      <c r="N203" s="48"/>
      <c r="O203" s="48" t="str">
        <f t="shared" si="2"/>
        <v/>
      </c>
      <c r="P203" s="48" t="str">
        <f t="shared" si="3"/>
        <v/>
      </c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 t="s">
        <v>654</v>
      </c>
    </row>
    <row r="204">
      <c r="A204" s="63">
        <v>14.0</v>
      </c>
      <c r="B204" s="63">
        <v>17.0</v>
      </c>
      <c r="C204" s="64" t="s">
        <v>90</v>
      </c>
      <c r="D204" s="64" t="s">
        <v>91</v>
      </c>
      <c r="E204" s="64" t="s">
        <v>92</v>
      </c>
      <c r="F204" s="63">
        <v>2500.0</v>
      </c>
      <c r="G204" s="63">
        <v>52.33</v>
      </c>
      <c r="H204" s="66">
        <f t="shared" si="1"/>
        <v>182.67</v>
      </c>
      <c r="I204" s="81">
        <f>IFERROR(__xludf.DUMMYFUNCTION("IF(G204="""", """", ROUND(G204 / MAX(FILTER($G$2:$G5067, $D$2:$D5067=$D204)) * 100, 2))"),84.47)</f>
        <v>84.47</v>
      </c>
      <c r="J204" s="81">
        <f>IFERROR(__xludf.DUMMYFUNCTION("IF(H204="""", """", ROUND(H204 / MAX(FILTER($H$2:$H5067, $D$2:$D5067=$D204)) * 100, 2))"),28.09)</f>
        <v>28.09</v>
      </c>
      <c r="K204" s="2"/>
      <c r="L204" s="49"/>
      <c r="M204" s="49"/>
      <c r="N204" s="49"/>
      <c r="O204" s="49" t="str">
        <f t="shared" si="2"/>
        <v/>
      </c>
      <c r="P204" s="49" t="str">
        <f t="shared" si="3"/>
        <v/>
      </c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 t="s">
        <v>657</v>
      </c>
    </row>
    <row r="205">
      <c r="A205" s="69">
        <v>14.0</v>
      </c>
      <c r="B205" s="69">
        <v>17.0</v>
      </c>
      <c r="C205" s="86" t="s">
        <v>90</v>
      </c>
      <c r="D205" s="86" t="s">
        <v>91</v>
      </c>
      <c r="E205" s="86" t="s">
        <v>92</v>
      </c>
      <c r="F205" s="69">
        <v>3000.0</v>
      </c>
      <c r="G205" s="69">
        <v>54.08</v>
      </c>
      <c r="H205" s="68">
        <f t="shared" si="1"/>
        <v>226.53</v>
      </c>
      <c r="I205" s="81">
        <f>IFERROR(__xludf.DUMMYFUNCTION("IF(G205="""", """", ROUND(G205 / MAX(FILTER($G$2:$G5067, $D$2:$D5067=$D205)) * 100, 2))"),87.3)</f>
        <v>87.3</v>
      </c>
      <c r="J205" s="81">
        <f>IFERROR(__xludf.DUMMYFUNCTION("IF(H205="""", """", ROUND(H205 / MAX(FILTER($H$2:$H5067, $D$2:$D5067=$D205)) * 100, 2))"),34.83)</f>
        <v>34.83</v>
      </c>
      <c r="K205" s="2"/>
      <c r="L205" s="48"/>
      <c r="M205" s="48"/>
      <c r="N205" s="48"/>
      <c r="O205" s="48" t="str">
        <f t="shared" si="2"/>
        <v/>
      </c>
      <c r="P205" s="48" t="str">
        <f t="shared" si="3"/>
        <v/>
      </c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 t="s">
        <v>660</v>
      </c>
    </row>
    <row r="206">
      <c r="A206" s="63">
        <v>14.0</v>
      </c>
      <c r="B206" s="63">
        <v>17.0</v>
      </c>
      <c r="C206" s="64" t="s">
        <v>90</v>
      </c>
      <c r="D206" s="64" t="s">
        <v>91</v>
      </c>
      <c r="E206" s="64" t="s">
        <v>92</v>
      </c>
      <c r="F206" s="63">
        <v>3500.0</v>
      </c>
      <c r="G206" s="63">
        <v>55.13</v>
      </c>
      <c r="H206" s="66">
        <f t="shared" si="1"/>
        <v>269.41</v>
      </c>
      <c r="I206" s="81">
        <f>IFERROR(__xludf.DUMMYFUNCTION("IF(G206="""", """", ROUND(G206 / MAX(FILTER($G$2:$G5067, $D$2:$D5067=$D206)) * 100, 2))"),88.99)</f>
        <v>88.99</v>
      </c>
      <c r="J206" s="81">
        <f>IFERROR(__xludf.DUMMYFUNCTION("IF(H206="""", """", ROUND(H206 / MAX(FILTER($H$2:$H5067, $D$2:$D5067=$D206)) * 100, 2))"),41.43)</f>
        <v>41.43</v>
      </c>
      <c r="K206" s="2"/>
      <c r="L206" s="49"/>
      <c r="M206" s="49"/>
      <c r="N206" s="49"/>
      <c r="O206" s="49" t="str">
        <f t="shared" si="2"/>
        <v/>
      </c>
      <c r="P206" s="49" t="str">
        <f t="shared" si="3"/>
        <v/>
      </c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 t="s">
        <v>663</v>
      </c>
    </row>
    <row r="207">
      <c r="A207" s="69">
        <v>14.0</v>
      </c>
      <c r="B207" s="69">
        <v>17.0</v>
      </c>
      <c r="C207" s="86" t="s">
        <v>90</v>
      </c>
      <c r="D207" s="86" t="s">
        <v>91</v>
      </c>
      <c r="E207" s="86" t="s">
        <v>92</v>
      </c>
      <c r="F207" s="69">
        <v>4000.0</v>
      </c>
      <c r="G207" s="69">
        <v>56.35</v>
      </c>
      <c r="H207" s="68">
        <f t="shared" si="1"/>
        <v>314.72</v>
      </c>
      <c r="I207" s="81">
        <f>IFERROR(__xludf.DUMMYFUNCTION("IF(G207="""", """", ROUND(G207 / MAX(FILTER($G$2:$G5067, $D$2:$D5067=$D207)) * 100, 2))"),90.96)</f>
        <v>90.96</v>
      </c>
      <c r="J207" s="81">
        <f>IFERROR(__xludf.DUMMYFUNCTION("IF(H207="""", """", ROUND(H207 / MAX(FILTER($H$2:$H5067, $D$2:$D5067=$D207)) * 100, 2))"),48.4)</f>
        <v>48.4</v>
      </c>
      <c r="K207" s="2"/>
      <c r="L207" s="48"/>
      <c r="M207" s="48"/>
      <c r="N207" s="48"/>
      <c r="O207" s="48" t="str">
        <f t="shared" si="2"/>
        <v/>
      </c>
      <c r="P207" s="48" t="str">
        <f t="shared" si="3"/>
        <v/>
      </c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 t="s">
        <v>666</v>
      </c>
    </row>
    <row r="208">
      <c r="A208" s="63">
        <v>14.0</v>
      </c>
      <c r="B208" s="63">
        <v>17.0</v>
      </c>
      <c r="C208" s="64" t="s">
        <v>90</v>
      </c>
      <c r="D208" s="64" t="s">
        <v>91</v>
      </c>
      <c r="E208" s="64" t="s">
        <v>92</v>
      </c>
      <c r="F208" s="63">
        <v>4500.0</v>
      </c>
      <c r="G208" s="63">
        <v>57.58</v>
      </c>
      <c r="H208" s="66">
        <f t="shared" si="1"/>
        <v>361.78</v>
      </c>
      <c r="I208" s="81">
        <f>IFERROR(__xludf.DUMMYFUNCTION("IF(G208="""", """", ROUND(G208 / MAX(FILTER($G$2:$G5067, $D$2:$D5067=$D208)) * 100, 2))"),92.95)</f>
        <v>92.95</v>
      </c>
      <c r="J208" s="81">
        <f>IFERROR(__xludf.DUMMYFUNCTION("IF(H208="""", """", ROUND(H208 / MAX(FILTER($H$2:$H5067, $D$2:$D5067=$D208)) * 100, 2))"),55.63)</f>
        <v>55.63</v>
      </c>
      <c r="K208" s="2"/>
      <c r="L208" s="49"/>
      <c r="M208" s="49"/>
      <c r="N208" s="49"/>
      <c r="O208" s="49" t="str">
        <f t="shared" si="2"/>
        <v/>
      </c>
      <c r="P208" s="49" t="str">
        <f t="shared" si="3"/>
        <v/>
      </c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 t="s">
        <v>669</v>
      </c>
    </row>
    <row r="209">
      <c r="A209" s="69">
        <v>14.0</v>
      </c>
      <c r="B209" s="69">
        <v>17.0</v>
      </c>
      <c r="C209" s="86" t="s">
        <v>90</v>
      </c>
      <c r="D209" s="86" t="s">
        <v>91</v>
      </c>
      <c r="E209" s="86" t="s">
        <v>92</v>
      </c>
      <c r="F209" s="69">
        <v>5000.0</v>
      </c>
      <c r="G209" s="69">
        <v>59.5</v>
      </c>
      <c r="H209" s="68">
        <f t="shared" si="1"/>
        <v>415.39</v>
      </c>
      <c r="I209" s="81">
        <f>IFERROR(__xludf.DUMMYFUNCTION("IF(G209="""", """", ROUND(G209 / MAX(FILTER($G$2:$G5067, $D$2:$D5067=$D209)) * 100, 2))"),96.05)</f>
        <v>96.05</v>
      </c>
      <c r="J209" s="81">
        <f>IFERROR(__xludf.DUMMYFUNCTION("IF(H209="""", """", ROUND(H209 / MAX(FILTER($H$2:$H5067, $D$2:$D5067=$D209)) * 100, 2))"),63.88)</f>
        <v>63.88</v>
      </c>
      <c r="K209" s="2"/>
      <c r="L209" s="48"/>
      <c r="M209" s="48"/>
      <c r="N209" s="48"/>
      <c r="O209" s="48" t="str">
        <f t="shared" si="2"/>
        <v/>
      </c>
      <c r="P209" s="48" t="str">
        <f t="shared" si="3"/>
        <v/>
      </c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 t="s">
        <v>672</v>
      </c>
    </row>
    <row r="210">
      <c r="A210" s="63">
        <v>14.0</v>
      </c>
      <c r="B210" s="63">
        <v>17.0</v>
      </c>
      <c r="C210" s="64" t="s">
        <v>90</v>
      </c>
      <c r="D210" s="64" t="s">
        <v>91</v>
      </c>
      <c r="E210" s="64" t="s">
        <v>92</v>
      </c>
      <c r="F210" s="63">
        <v>5500.0</v>
      </c>
      <c r="G210" s="63">
        <v>61.43</v>
      </c>
      <c r="H210" s="66">
        <f t="shared" si="1"/>
        <v>471.75</v>
      </c>
      <c r="I210" s="81">
        <f>IFERROR(__xludf.DUMMYFUNCTION("IF(G210="""", """", ROUND(G210 / MAX(FILTER($G$2:$G5067, $D$2:$D5067=$D210)) * 100, 2))"),99.16)</f>
        <v>99.16</v>
      </c>
      <c r="J210" s="81">
        <f>IFERROR(__xludf.DUMMYFUNCTION("IF(H210="""", """", ROUND(H210 / MAX(FILTER($H$2:$H5067, $D$2:$D5067=$D210)) * 100, 2))"),72.54)</f>
        <v>72.54</v>
      </c>
      <c r="K210" s="2"/>
      <c r="L210" s="49"/>
      <c r="M210" s="49"/>
      <c r="N210" s="49"/>
      <c r="O210" s="49" t="str">
        <f t="shared" si="2"/>
        <v/>
      </c>
      <c r="P210" s="49" t="str">
        <f t="shared" si="3"/>
        <v/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 t="s">
        <v>675</v>
      </c>
    </row>
    <row r="211">
      <c r="A211" s="69">
        <v>14.0</v>
      </c>
      <c r="B211" s="69">
        <v>17.0</v>
      </c>
      <c r="C211" s="86" t="s">
        <v>90</v>
      </c>
      <c r="D211" s="86" t="s">
        <v>91</v>
      </c>
      <c r="E211" s="86" t="s">
        <v>92</v>
      </c>
      <c r="F211" s="69">
        <v>6000.0</v>
      </c>
      <c r="G211" s="69">
        <v>61.95</v>
      </c>
      <c r="H211" s="68">
        <f t="shared" si="1"/>
        <v>518.99</v>
      </c>
      <c r="I211" s="81">
        <f>IFERROR(__xludf.DUMMYFUNCTION("IF(G211="""", """", ROUND(G211 / MAX(FILTER($G$2:$G5067, $D$2:$D5067=$D211)) * 100, 2))"),100.0)</f>
        <v>100</v>
      </c>
      <c r="J211" s="81">
        <f>IFERROR(__xludf.DUMMYFUNCTION("IF(H211="""", """", ROUND(H211 / MAX(FILTER($H$2:$H5067, $D$2:$D5067=$D211)) * 100, 2))"),79.81)</f>
        <v>79.81</v>
      </c>
      <c r="K211" s="2"/>
      <c r="L211" s="48"/>
      <c r="M211" s="48"/>
      <c r="N211" s="48"/>
      <c r="O211" s="48" t="str">
        <f t="shared" si="2"/>
        <v/>
      </c>
      <c r="P211" s="48" t="str">
        <f t="shared" si="3"/>
        <v/>
      </c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 t="s">
        <v>678</v>
      </c>
    </row>
    <row r="212">
      <c r="A212" s="63">
        <v>14.0</v>
      </c>
      <c r="B212" s="63">
        <v>17.0</v>
      </c>
      <c r="C212" s="64" t="s">
        <v>90</v>
      </c>
      <c r="D212" s="64" t="s">
        <v>91</v>
      </c>
      <c r="E212" s="64" t="s">
        <v>92</v>
      </c>
      <c r="F212" s="63">
        <v>6500.0</v>
      </c>
      <c r="G212" s="63">
        <v>61.3</v>
      </c>
      <c r="H212" s="66">
        <f t="shared" si="1"/>
        <v>556.34</v>
      </c>
      <c r="I212" s="81">
        <f>IFERROR(__xludf.DUMMYFUNCTION("IF(G212="""", """", ROUND(G212 / MAX(FILTER($G$2:$G5067, $D$2:$D5067=$D212)) * 100, 2))"),98.95)</f>
        <v>98.95</v>
      </c>
      <c r="J212" s="81">
        <f>IFERROR(__xludf.DUMMYFUNCTION("IF(H212="""", """", ROUND(H212 / MAX(FILTER($H$2:$H5067, $D$2:$D5067=$D212)) * 100, 2))"),85.55)</f>
        <v>85.55</v>
      </c>
      <c r="K212" s="2"/>
      <c r="L212" s="49"/>
      <c r="M212" s="49"/>
      <c r="N212" s="49"/>
      <c r="O212" s="49" t="str">
        <f t="shared" si="2"/>
        <v/>
      </c>
      <c r="P212" s="49" t="str">
        <f t="shared" si="3"/>
        <v/>
      </c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681</v>
      </c>
    </row>
    <row r="213">
      <c r="A213" s="69">
        <v>14.0</v>
      </c>
      <c r="B213" s="69">
        <v>17.0</v>
      </c>
      <c r="C213" s="86" t="s">
        <v>90</v>
      </c>
      <c r="D213" s="86" t="s">
        <v>91</v>
      </c>
      <c r="E213" s="86" t="s">
        <v>92</v>
      </c>
      <c r="F213" s="69">
        <v>7000.0</v>
      </c>
      <c r="G213" s="69">
        <v>60.38</v>
      </c>
      <c r="H213" s="68">
        <f t="shared" si="1"/>
        <v>590.14</v>
      </c>
      <c r="I213" s="81">
        <f>IFERROR(__xludf.DUMMYFUNCTION("IF(G213="""", """", ROUND(G213 / MAX(FILTER($G$2:$G5067, $D$2:$D5067=$D213)) * 100, 2))"),97.47)</f>
        <v>97.47</v>
      </c>
      <c r="J213" s="81">
        <f>IFERROR(__xludf.DUMMYFUNCTION("IF(H213="""", """", ROUND(H213 / MAX(FILTER($H$2:$H5067, $D$2:$D5067=$D213)) * 100, 2))"),90.75)</f>
        <v>90.75</v>
      </c>
      <c r="K213" s="2"/>
      <c r="L213" s="48"/>
      <c r="M213" s="48"/>
      <c r="N213" s="48"/>
      <c r="O213" s="48" t="str">
        <f t="shared" si="2"/>
        <v/>
      </c>
      <c r="P213" s="48" t="str">
        <f t="shared" si="3"/>
        <v/>
      </c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</row>
    <row r="214">
      <c r="A214" s="63">
        <v>14.0</v>
      </c>
      <c r="B214" s="63">
        <v>17.0</v>
      </c>
      <c r="C214" s="64" t="s">
        <v>90</v>
      </c>
      <c r="D214" s="64" t="s">
        <v>91</v>
      </c>
      <c r="E214" s="64" t="s">
        <v>92</v>
      </c>
      <c r="F214" s="63">
        <v>7500.0</v>
      </c>
      <c r="G214" s="63">
        <v>58.46</v>
      </c>
      <c r="H214" s="66">
        <f t="shared" si="1"/>
        <v>612.19</v>
      </c>
      <c r="I214" s="81">
        <f>IFERROR(__xludf.DUMMYFUNCTION("IF(G214="""", """", ROUND(G214 / MAX(FILTER($G$2:$G5067, $D$2:$D5067=$D214)) * 100, 2))"),94.37)</f>
        <v>94.37</v>
      </c>
      <c r="J214" s="81">
        <f>IFERROR(__xludf.DUMMYFUNCTION("IF(H214="""", """", ROUND(H214 / MAX(FILTER($H$2:$H5067, $D$2:$D5067=$D214)) * 100, 2))"),94.14)</f>
        <v>94.14</v>
      </c>
      <c r="K214" s="2"/>
      <c r="L214" s="49"/>
      <c r="M214" s="49"/>
      <c r="N214" s="49"/>
      <c r="O214" s="49" t="str">
        <f t="shared" si="2"/>
        <v/>
      </c>
      <c r="P214" s="49" t="str">
        <f t="shared" si="3"/>
        <v/>
      </c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</row>
    <row r="215">
      <c r="A215" s="69">
        <v>14.0</v>
      </c>
      <c r="B215" s="69">
        <v>17.0</v>
      </c>
      <c r="C215" s="86" t="s">
        <v>90</v>
      </c>
      <c r="D215" s="86" t="s">
        <v>91</v>
      </c>
      <c r="E215" s="86" t="s">
        <v>92</v>
      </c>
      <c r="F215" s="69">
        <v>8000.0</v>
      </c>
      <c r="G215" s="69">
        <v>56.71</v>
      </c>
      <c r="H215" s="68">
        <f t="shared" si="1"/>
        <v>633.45</v>
      </c>
      <c r="I215" s="81">
        <f>IFERROR(__xludf.DUMMYFUNCTION("IF(G215="""", """", ROUND(G215 / MAX(FILTER($G$2:$G5067, $D$2:$D5067=$D215)) * 100, 2))"),91.54)</f>
        <v>91.54</v>
      </c>
      <c r="J215" s="81">
        <f>IFERROR(__xludf.DUMMYFUNCTION("IF(H215="""", """", ROUND(H215 / MAX(FILTER($H$2:$H5067, $D$2:$D5067=$D215)) * 100, 2))"),97.41)</f>
        <v>97.41</v>
      </c>
      <c r="K215" s="2"/>
      <c r="L215" s="48"/>
      <c r="M215" s="48"/>
      <c r="N215" s="48"/>
      <c r="O215" s="48" t="str">
        <f t="shared" si="2"/>
        <v/>
      </c>
      <c r="P215" s="48" t="str">
        <f t="shared" si="3"/>
        <v/>
      </c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</row>
    <row r="216">
      <c r="A216" s="63">
        <v>14.0</v>
      </c>
      <c r="B216" s="63">
        <v>17.0</v>
      </c>
      <c r="C216" s="64" t="s">
        <v>90</v>
      </c>
      <c r="D216" s="64" t="s">
        <v>91</v>
      </c>
      <c r="E216" s="64" t="s">
        <v>92</v>
      </c>
      <c r="F216" s="63">
        <v>8500.0</v>
      </c>
      <c r="G216" s="63">
        <v>54.42</v>
      </c>
      <c r="H216" s="66">
        <f t="shared" si="1"/>
        <v>645.87</v>
      </c>
      <c r="I216" s="81">
        <f>IFERROR(__xludf.DUMMYFUNCTION("IF(G216="""", """", ROUND(G216 / MAX(FILTER($G$2:$G5067, $D$2:$D5067=$D216)) * 100, 2))"),87.85)</f>
        <v>87.85</v>
      </c>
      <c r="J216" s="81">
        <f>IFERROR(__xludf.DUMMYFUNCTION("IF(H216="""", """", ROUND(H216 / MAX(FILTER($H$2:$H5067, $D$2:$D5067=$D216)) * 100, 2))"),99.32)</f>
        <v>99.32</v>
      </c>
      <c r="K216" s="2"/>
      <c r="L216" s="49"/>
      <c r="M216" s="49"/>
      <c r="N216" s="49"/>
      <c r="O216" s="49" t="str">
        <f t="shared" si="2"/>
        <v/>
      </c>
      <c r="P216" s="49" t="str">
        <f t="shared" si="3"/>
        <v/>
      </c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</row>
    <row r="217">
      <c r="A217" s="69">
        <v>14.0</v>
      </c>
      <c r="B217" s="69">
        <v>17.0</v>
      </c>
      <c r="C217" s="86" t="s">
        <v>90</v>
      </c>
      <c r="D217" s="86" t="s">
        <v>91</v>
      </c>
      <c r="E217" s="86" t="s">
        <v>92</v>
      </c>
      <c r="F217" s="69">
        <v>9000.0</v>
      </c>
      <c r="G217" s="69">
        <v>51.75</v>
      </c>
      <c r="H217" s="68">
        <f t="shared" si="1"/>
        <v>650.31</v>
      </c>
      <c r="I217" s="81">
        <f>IFERROR(__xludf.DUMMYFUNCTION("IF(G217="""", """", ROUND(G217 / MAX(FILTER($G$2:$G5067, $D$2:$D5067=$D217)) * 100, 2))"),83.54)</f>
        <v>83.54</v>
      </c>
      <c r="J217" s="81">
        <f>IFERROR(__xludf.DUMMYFUNCTION("IF(H217="""", """", ROUND(H217 / MAX(FILTER($H$2:$H5067, $D$2:$D5067=$D217)) * 100, 2))"),100.0)</f>
        <v>100</v>
      </c>
      <c r="K217" s="2"/>
      <c r="L217" s="48"/>
      <c r="M217" s="48"/>
      <c r="N217" s="48"/>
      <c r="O217" s="48" t="str">
        <f t="shared" si="2"/>
        <v/>
      </c>
      <c r="P217" s="48" t="str">
        <f t="shared" si="3"/>
        <v/>
      </c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</row>
    <row r="218">
      <c r="A218" s="63">
        <v>14.0</v>
      </c>
      <c r="B218" s="63">
        <v>17.0</v>
      </c>
      <c r="C218" s="64" t="s">
        <v>90</v>
      </c>
      <c r="D218" s="64" t="s">
        <v>91</v>
      </c>
      <c r="E218" s="64" t="s">
        <v>92</v>
      </c>
      <c r="F218" s="63">
        <v>9500.0</v>
      </c>
      <c r="G218" s="63">
        <v>47.95</v>
      </c>
      <c r="H218" s="66">
        <f t="shared" si="1"/>
        <v>636.03</v>
      </c>
      <c r="I218" s="81">
        <f>IFERROR(__xludf.DUMMYFUNCTION("IF(G218="""", """", ROUND(G218 / MAX(FILTER($G$2:$G5067, $D$2:$D5067=$D218)) * 100, 2))"),77.4)</f>
        <v>77.4</v>
      </c>
      <c r="J218" s="81">
        <f>IFERROR(__xludf.DUMMYFUNCTION("IF(H218="""", """", ROUND(H218 / MAX(FILTER($H$2:$H5067, $D$2:$D5067=$D218)) * 100, 2))"),97.8)</f>
        <v>97.8</v>
      </c>
      <c r="K218" s="2"/>
      <c r="L218" s="49"/>
      <c r="M218" s="49"/>
      <c r="N218" s="49"/>
      <c r="O218" s="49" t="str">
        <f t="shared" si="2"/>
        <v/>
      </c>
      <c r="P218" s="49" t="str">
        <f t="shared" si="3"/>
        <v/>
      </c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</row>
    <row r="219">
      <c r="A219" s="69">
        <v>14.0</v>
      </c>
      <c r="B219" s="69">
        <v>17.0</v>
      </c>
      <c r="C219" s="86" t="s">
        <v>90</v>
      </c>
      <c r="D219" s="86" t="s">
        <v>91</v>
      </c>
      <c r="E219" s="86" t="s">
        <v>92</v>
      </c>
      <c r="F219" s="69">
        <v>10000.0</v>
      </c>
      <c r="G219" s="69">
        <v>43.23</v>
      </c>
      <c r="H219" s="68">
        <f t="shared" si="1"/>
        <v>603.6</v>
      </c>
      <c r="I219" s="81">
        <f>IFERROR(__xludf.DUMMYFUNCTION("IF(G219="""", """", ROUND(G219 / MAX(FILTER($G$2:$G5067, $D$2:$D5067=$D219)) * 100, 2))"),69.78)</f>
        <v>69.78</v>
      </c>
      <c r="J219" s="81">
        <f>IFERROR(__xludf.DUMMYFUNCTION("IF(H219="""", """", ROUND(H219 / MAX(FILTER($H$2:$H5067, $D$2:$D5067=$D219)) * 100, 2))"),92.82)</f>
        <v>92.82</v>
      </c>
      <c r="K219" s="2"/>
      <c r="L219" s="48"/>
      <c r="M219" s="48"/>
      <c r="N219" s="48"/>
      <c r="O219" s="48" t="str">
        <f t="shared" si="2"/>
        <v/>
      </c>
      <c r="P219" s="48" t="str">
        <f t="shared" si="3"/>
        <v/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</row>
    <row r="220">
      <c r="A220" s="63">
        <v>15.0</v>
      </c>
      <c r="B220" s="63">
        <v>18.0</v>
      </c>
      <c r="C220" s="64" t="s">
        <v>93</v>
      </c>
      <c r="D220" s="64" t="s">
        <v>94</v>
      </c>
      <c r="E220" s="64" t="s">
        <v>95</v>
      </c>
      <c r="F220" s="63">
        <v>500.0</v>
      </c>
      <c r="G220" s="63">
        <v>6.03</v>
      </c>
      <c r="H220" s="66">
        <f t="shared" si="1"/>
        <v>4.21</v>
      </c>
      <c r="I220" s="81">
        <f>IFERROR(__xludf.DUMMYFUNCTION("IF(G220="""", """", ROUND(G220 / MAX(FILTER($G$2:$G5067, $D$2:$D5067=$D220)) * 100, 2))"),45.0)</f>
        <v>45</v>
      </c>
      <c r="J220" s="81">
        <f>IFERROR(__xludf.DUMMYFUNCTION("IF(H220="""", """", ROUND(H220 / MAX(FILTER($H$2:$H5067, $D$2:$D5067=$D220)) * 100, 2))"),3.5)</f>
        <v>3.5</v>
      </c>
      <c r="K220" s="2"/>
      <c r="L220" s="49"/>
      <c r="M220" s="49"/>
      <c r="N220" s="49"/>
      <c r="O220" s="49" t="str">
        <f t="shared" si="2"/>
        <v/>
      </c>
      <c r="P220" s="49" t="str">
        <f t="shared" si="3"/>
        <v/>
      </c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</row>
    <row r="221">
      <c r="A221" s="69">
        <v>15.0</v>
      </c>
      <c r="B221" s="69">
        <v>18.0</v>
      </c>
      <c r="C221" s="86" t="s">
        <v>93</v>
      </c>
      <c r="D221" s="86" t="s">
        <v>94</v>
      </c>
      <c r="E221" s="86" t="s">
        <v>95</v>
      </c>
      <c r="F221" s="69">
        <v>1000.0</v>
      </c>
      <c r="G221" s="69">
        <v>7.87</v>
      </c>
      <c r="H221" s="68">
        <f t="shared" si="1"/>
        <v>10.99</v>
      </c>
      <c r="I221" s="81">
        <f>IFERROR(__xludf.DUMMYFUNCTION("IF(G221="""", """", ROUND(G221 / MAX(FILTER($G$2:$G5067, $D$2:$D5067=$D221)) * 100, 2))"),58.73)</f>
        <v>58.73</v>
      </c>
      <c r="J221" s="81">
        <f>IFERROR(__xludf.DUMMYFUNCTION("IF(H221="""", """", ROUND(H221 / MAX(FILTER($H$2:$H5067, $D$2:$D5067=$D221)) * 100, 2))"),9.14)</f>
        <v>9.14</v>
      </c>
      <c r="K221" s="2"/>
      <c r="L221" s="48"/>
      <c r="M221" s="48"/>
      <c r="N221" s="48"/>
      <c r="O221" s="48" t="str">
        <f t="shared" si="2"/>
        <v/>
      </c>
      <c r="P221" s="48" t="str">
        <f t="shared" si="3"/>
        <v/>
      </c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</row>
    <row r="222">
      <c r="A222" s="63">
        <v>15.0</v>
      </c>
      <c r="B222" s="63">
        <v>18.0</v>
      </c>
      <c r="C222" s="64" t="s">
        <v>93</v>
      </c>
      <c r="D222" s="64" t="s">
        <v>94</v>
      </c>
      <c r="E222" s="64" t="s">
        <v>95</v>
      </c>
      <c r="F222" s="63">
        <v>1500.0</v>
      </c>
      <c r="G222" s="63">
        <v>9.2</v>
      </c>
      <c r="H222" s="66">
        <f t="shared" si="1"/>
        <v>19.27</v>
      </c>
      <c r="I222" s="81">
        <f>IFERROR(__xludf.DUMMYFUNCTION("IF(G222="""", """", ROUND(G222 / MAX(FILTER($G$2:$G5067, $D$2:$D5067=$D222)) * 100, 2))"),68.66)</f>
        <v>68.66</v>
      </c>
      <c r="J222" s="81">
        <f>IFERROR(__xludf.DUMMYFUNCTION("IF(H222="""", """", ROUND(H222 / MAX(FILTER($H$2:$H5067, $D$2:$D5067=$D222)) * 100, 2))"),16.03)</f>
        <v>16.03</v>
      </c>
      <c r="K222" s="2"/>
      <c r="L222" s="49"/>
      <c r="M222" s="49"/>
      <c r="N222" s="49"/>
      <c r="O222" s="49" t="str">
        <f t="shared" si="2"/>
        <v/>
      </c>
      <c r="P222" s="49" t="str">
        <f t="shared" si="3"/>
        <v/>
      </c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</row>
    <row r="223">
      <c r="A223" s="69">
        <v>15.0</v>
      </c>
      <c r="B223" s="69">
        <v>18.0</v>
      </c>
      <c r="C223" s="86" t="s">
        <v>93</v>
      </c>
      <c r="D223" s="86" t="s">
        <v>94</v>
      </c>
      <c r="E223" s="86" t="s">
        <v>95</v>
      </c>
      <c r="F223" s="69">
        <v>2000.0</v>
      </c>
      <c r="G223" s="69">
        <v>10.35</v>
      </c>
      <c r="H223" s="68">
        <f t="shared" si="1"/>
        <v>28.9</v>
      </c>
      <c r="I223" s="81">
        <f>IFERROR(__xludf.DUMMYFUNCTION("IF(G223="""", """", ROUND(G223 / MAX(FILTER($G$2:$G5067, $D$2:$D5067=$D223)) * 100, 2))"),77.24)</f>
        <v>77.24</v>
      </c>
      <c r="J223" s="81">
        <f>IFERROR(__xludf.DUMMYFUNCTION("IF(H223="""", """", ROUND(H223 / MAX(FILTER($H$2:$H5067, $D$2:$D5067=$D223)) * 100, 2))"),24.04)</f>
        <v>24.04</v>
      </c>
      <c r="K223" s="2"/>
      <c r="L223" s="48"/>
      <c r="M223" s="48"/>
      <c r="N223" s="48"/>
      <c r="O223" s="48" t="str">
        <f t="shared" si="2"/>
        <v/>
      </c>
      <c r="P223" s="48" t="str">
        <f t="shared" si="3"/>
        <v/>
      </c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</row>
    <row r="224">
      <c r="A224" s="63">
        <v>15.0</v>
      </c>
      <c r="B224" s="63">
        <v>18.0</v>
      </c>
      <c r="C224" s="64" t="s">
        <v>93</v>
      </c>
      <c r="D224" s="64" t="s">
        <v>94</v>
      </c>
      <c r="E224" s="64" t="s">
        <v>95</v>
      </c>
      <c r="F224" s="63">
        <v>2500.0</v>
      </c>
      <c r="G224" s="63">
        <v>11.22</v>
      </c>
      <c r="H224" s="66">
        <f t="shared" si="1"/>
        <v>39.17</v>
      </c>
      <c r="I224" s="81">
        <f>IFERROR(__xludf.DUMMYFUNCTION("IF(G224="""", """", ROUND(G224 / MAX(FILTER($G$2:$G5067, $D$2:$D5067=$D224)) * 100, 2))"),83.73)</f>
        <v>83.73</v>
      </c>
      <c r="J224" s="81">
        <f>IFERROR(__xludf.DUMMYFUNCTION("IF(H224="""", """", ROUND(H224 / MAX(FILTER($H$2:$H5067, $D$2:$D5067=$D224)) * 100, 2))"),32.58)</f>
        <v>32.58</v>
      </c>
      <c r="K224" s="2"/>
      <c r="L224" s="49"/>
      <c r="M224" s="49"/>
      <c r="N224" s="49"/>
      <c r="O224" s="49" t="str">
        <f t="shared" si="2"/>
        <v/>
      </c>
      <c r="P224" s="49" t="str">
        <f t="shared" si="3"/>
        <v/>
      </c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</row>
    <row r="225">
      <c r="A225" s="69">
        <v>15.0</v>
      </c>
      <c r="B225" s="69">
        <v>18.0</v>
      </c>
      <c r="C225" s="86" t="s">
        <v>93</v>
      </c>
      <c r="D225" s="86" t="s">
        <v>94</v>
      </c>
      <c r="E225" s="86" t="s">
        <v>95</v>
      </c>
      <c r="F225" s="69">
        <v>3000.0</v>
      </c>
      <c r="G225" s="69">
        <v>11.95</v>
      </c>
      <c r="H225" s="68">
        <f t="shared" si="1"/>
        <v>50.06</v>
      </c>
      <c r="I225" s="81">
        <f>IFERROR(__xludf.DUMMYFUNCTION("IF(G225="""", """", ROUND(G225 / MAX(FILTER($G$2:$G5067, $D$2:$D5067=$D225)) * 100, 2))"),89.18)</f>
        <v>89.18</v>
      </c>
      <c r="J225" s="81">
        <f>IFERROR(__xludf.DUMMYFUNCTION("IF(H225="""", """", ROUND(H225 / MAX(FILTER($H$2:$H5067, $D$2:$D5067=$D225)) * 100, 2))"),41.64)</f>
        <v>41.64</v>
      </c>
      <c r="K225" s="2"/>
      <c r="L225" s="48"/>
      <c r="M225" s="48"/>
      <c r="N225" s="48"/>
      <c r="O225" s="48" t="str">
        <f t="shared" si="2"/>
        <v/>
      </c>
      <c r="P225" s="48" t="str">
        <f t="shared" si="3"/>
        <v/>
      </c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</row>
    <row r="226">
      <c r="A226" s="63">
        <v>15.0</v>
      </c>
      <c r="B226" s="63">
        <v>18.0</v>
      </c>
      <c r="C226" s="64" t="s">
        <v>93</v>
      </c>
      <c r="D226" s="64" t="s">
        <v>94</v>
      </c>
      <c r="E226" s="64" t="s">
        <v>95</v>
      </c>
      <c r="F226" s="63">
        <v>3500.0</v>
      </c>
      <c r="G226" s="63">
        <v>12.57</v>
      </c>
      <c r="H226" s="66">
        <f t="shared" si="1"/>
        <v>61.43</v>
      </c>
      <c r="I226" s="81">
        <f>IFERROR(__xludf.DUMMYFUNCTION("IF(G226="""", """", ROUND(G226 / MAX(FILTER($G$2:$G5067, $D$2:$D5067=$D226)) * 100, 2))"),93.81)</f>
        <v>93.81</v>
      </c>
      <c r="J226" s="81">
        <f>IFERROR(__xludf.DUMMYFUNCTION("IF(H226="""", """", ROUND(H226 / MAX(FILTER($H$2:$H5067, $D$2:$D5067=$D226)) * 100, 2))"),51.1)</f>
        <v>51.1</v>
      </c>
      <c r="K226" s="2"/>
      <c r="L226" s="49"/>
      <c r="M226" s="49"/>
      <c r="N226" s="49"/>
      <c r="O226" s="49" t="str">
        <f t="shared" si="2"/>
        <v/>
      </c>
      <c r="P226" s="49" t="str">
        <f t="shared" si="3"/>
        <v/>
      </c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</row>
    <row r="227">
      <c r="A227" s="69">
        <v>15.0</v>
      </c>
      <c r="B227" s="69">
        <v>18.0</v>
      </c>
      <c r="C227" s="86" t="s">
        <v>93</v>
      </c>
      <c r="D227" s="86" t="s">
        <v>94</v>
      </c>
      <c r="E227" s="86" t="s">
        <v>95</v>
      </c>
      <c r="F227" s="69">
        <v>4000.0</v>
      </c>
      <c r="G227" s="69">
        <v>12.95</v>
      </c>
      <c r="H227" s="68">
        <f t="shared" si="1"/>
        <v>72.33</v>
      </c>
      <c r="I227" s="81">
        <f>IFERROR(__xludf.DUMMYFUNCTION("IF(G227="""", """", ROUND(G227 / MAX(FILTER($G$2:$G5067, $D$2:$D5067=$D227)) * 100, 2))"),96.64)</f>
        <v>96.64</v>
      </c>
      <c r="J227" s="81">
        <f>IFERROR(__xludf.DUMMYFUNCTION("IF(H227="""", """", ROUND(H227 / MAX(FILTER($H$2:$H5067, $D$2:$D5067=$D227)) * 100, 2))"),60.16)</f>
        <v>60.16</v>
      </c>
      <c r="K227" s="2"/>
      <c r="L227" s="48"/>
      <c r="M227" s="48"/>
      <c r="N227" s="48"/>
      <c r="O227" s="48" t="str">
        <f t="shared" si="2"/>
        <v/>
      </c>
      <c r="P227" s="48" t="str">
        <f t="shared" si="3"/>
        <v/>
      </c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</row>
    <row r="228">
      <c r="A228" s="63">
        <v>15.0</v>
      </c>
      <c r="B228" s="63">
        <v>18.0</v>
      </c>
      <c r="C228" s="64" t="s">
        <v>93</v>
      </c>
      <c r="D228" s="64" t="s">
        <v>94</v>
      </c>
      <c r="E228" s="64" t="s">
        <v>95</v>
      </c>
      <c r="F228" s="63">
        <v>4500.0</v>
      </c>
      <c r="G228" s="63">
        <v>13.28</v>
      </c>
      <c r="H228" s="66">
        <f t="shared" si="1"/>
        <v>83.44</v>
      </c>
      <c r="I228" s="81">
        <f>IFERROR(__xludf.DUMMYFUNCTION("IF(G228="""", """", ROUND(G228 / MAX(FILTER($G$2:$G5067, $D$2:$D5067=$D228)) * 100, 2))"),99.1)</f>
        <v>99.1</v>
      </c>
      <c r="J228" s="81">
        <f>IFERROR(__xludf.DUMMYFUNCTION("IF(H228="""", """", ROUND(H228 / MAX(FILTER($H$2:$H5067, $D$2:$D5067=$D228)) * 100, 2))"),69.41)</f>
        <v>69.41</v>
      </c>
      <c r="K228" s="2"/>
      <c r="L228" s="49"/>
      <c r="M228" s="49"/>
      <c r="N228" s="49"/>
      <c r="O228" s="49" t="str">
        <f t="shared" si="2"/>
        <v/>
      </c>
      <c r="P228" s="49" t="str">
        <f t="shared" si="3"/>
        <v/>
      </c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</row>
    <row r="229">
      <c r="A229" s="69">
        <v>15.0</v>
      </c>
      <c r="B229" s="69">
        <v>18.0</v>
      </c>
      <c r="C229" s="86" t="s">
        <v>93</v>
      </c>
      <c r="D229" s="86" t="s">
        <v>94</v>
      </c>
      <c r="E229" s="86" t="s">
        <v>95</v>
      </c>
      <c r="F229" s="69">
        <v>5000.0</v>
      </c>
      <c r="G229" s="69">
        <v>13.4</v>
      </c>
      <c r="H229" s="68">
        <f t="shared" si="1"/>
        <v>93.55</v>
      </c>
      <c r="I229" s="81">
        <f>IFERROR(__xludf.DUMMYFUNCTION("IF(G229="""", """", ROUND(G229 / MAX(FILTER($G$2:$G5067, $D$2:$D5067=$D229)) * 100, 2))"),100.0)</f>
        <v>100</v>
      </c>
      <c r="J229" s="81">
        <f>IFERROR(__xludf.DUMMYFUNCTION("IF(H229="""", """", ROUND(H229 / MAX(FILTER($H$2:$H5067, $D$2:$D5067=$D229)) * 100, 2))"),77.82)</f>
        <v>77.82</v>
      </c>
      <c r="K229" s="2"/>
      <c r="L229" s="48"/>
      <c r="M229" s="48"/>
      <c r="N229" s="48"/>
      <c r="O229" s="48" t="str">
        <f t="shared" si="2"/>
        <v/>
      </c>
      <c r="P229" s="48" t="str">
        <f t="shared" si="3"/>
        <v/>
      </c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</row>
    <row r="230">
      <c r="A230" s="63">
        <v>15.0</v>
      </c>
      <c r="B230" s="63">
        <v>18.0</v>
      </c>
      <c r="C230" s="64" t="s">
        <v>93</v>
      </c>
      <c r="D230" s="64" t="s">
        <v>94</v>
      </c>
      <c r="E230" s="64" t="s">
        <v>95</v>
      </c>
      <c r="F230" s="63">
        <v>5500.0</v>
      </c>
      <c r="G230" s="63">
        <v>13.38</v>
      </c>
      <c r="H230" s="66">
        <f t="shared" si="1"/>
        <v>102.75</v>
      </c>
      <c r="I230" s="81">
        <f>IFERROR(__xludf.DUMMYFUNCTION("IF(G230="""", """", ROUND(G230 / MAX(FILTER($G$2:$G5067, $D$2:$D5067=$D230)) * 100, 2))"),99.85)</f>
        <v>99.85</v>
      </c>
      <c r="J230" s="81">
        <f>IFERROR(__xludf.DUMMYFUNCTION("IF(H230="""", """", ROUND(H230 / MAX(FILTER($H$2:$H5067, $D$2:$D5067=$D230)) * 100, 2))"),85.47)</f>
        <v>85.47</v>
      </c>
      <c r="K230" s="2"/>
      <c r="L230" s="49"/>
      <c r="M230" s="49"/>
      <c r="N230" s="49"/>
      <c r="O230" s="49" t="str">
        <f t="shared" si="2"/>
        <v/>
      </c>
      <c r="P230" s="49" t="str">
        <f t="shared" si="3"/>
        <v/>
      </c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</row>
    <row r="231">
      <c r="A231" s="69">
        <v>15.0</v>
      </c>
      <c r="B231" s="69">
        <v>18.0</v>
      </c>
      <c r="C231" s="86" t="s">
        <v>93</v>
      </c>
      <c r="D231" s="86" t="s">
        <v>94</v>
      </c>
      <c r="E231" s="86" t="s">
        <v>95</v>
      </c>
      <c r="F231" s="69">
        <v>6000.0</v>
      </c>
      <c r="G231" s="69">
        <v>13.3</v>
      </c>
      <c r="H231" s="68">
        <f t="shared" si="1"/>
        <v>111.42</v>
      </c>
      <c r="I231" s="81">
        <f>IFERROR(__xludf.DUMMYFUNCTION("IF(G231="""", """", ROUND(G231 / MAX(FILTER($G$2:$G5067, $D$2:$D5067=$D231)) * 100, 2))"),99.25)</f>
        <v>99.25</v>
      </c>
      <c r="J231" s="81">
        <f>IFERROR(__xludf.DUMMYFUNCTION("IF(H231="""", """", ROUND(H231 / MAX(FILTER($H$2:$H5067, $D$2:$D5067=$D231)) * 100, 2))"),92.68)</f>
        <v>92.68</v>
      </c>
      <c r="K231" s="2"/>
      <c r="L231" s="48"/>
      <c r="M231" s="48"/>
      <c r="N231" s="48"/>
      <c r="O231" s="48" t="str">
        <f t="shared" si="2"/>
        <v/>
      </c>
      <c r="P231" s="48" t="str">
        <f t="shared" si="3"/>
        <v/>
      </c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</row>
    <row r="232">
      <c r="A232" s="63">
        <v>15.0</v>
      </c>
      <c r="B232" s="63">
        <v>18.0</v>
      </c>
      <c r="C232" s="64" t="s">
        <v>93</v>
      </c>
      <c r="D232" s="64" t="s">
        <v>94</v>
      </c>
      <c r="E232" s="64" t="s">
        <v>95</v>
      </c>
      <c r="F232" s="63">
        <v>6500.0</v>
      </c>
      <c r="G232" s="63">
        <v>13.05</v>
      </c>
      <c r="H232" s="66">
        <f t="shared" si="1"/>
        <v>118.44</v>
      </c>
      <c r="I232" s="81">
        <f>IFERROR(__xludf.DUMMYFUNCTION("IF(G232="""", """", ROUND(G232 / MAX(FILTER($G$2:$G5067, $D$2:$D5067=$D232)) * 100, 2))"),97.39)</f>
        <v>97.39</v>
      </c>
      <c r="J232" s="81">
        <f>IFERROR(__xludf.DUMMYFUNCTION("IF(H232="""", """", ROUND(H232 / MAX(FILTER($H$2:$H5067, $D$2:$D5067=$D232)) * 100, 2))"),98.52)</f>
        <v>98.52</v>
      </c>
      <c r="K232" s="2"/>
      <c r="L232" s="49"/>
      <c r="M232" s="49"/>
      <c r="N232" s="49"/>
      <c r="O232" s="49" t="str">
        <f t="shared" si="2"/>
        <v/>
      </c>
      <c r="P232" s="49" t="str">
        <f t="shared" si="3"/>
        <v/>
      </c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</row>
    <row r="233">
      <c r="A233" s="69">
        <v>15.0</v>
      </c>
      <c r="B233" s="69">
        <v>18.0</v>
      </c>
      <c r="C233" s="86" t="s">
        <v>93</v>
      </c>
      <c r="D233" s="86" t="s">
        <v>94</v>
      </c>
      <c r="E233" s="86" t="s">
        <v>95</v>
      </c>
      <c r="F233" s="69">
        <v>7000.0</v>
      </c>
      <c r="G233" s="69">
        <v>12.3</v>
      </c>
      <c r="H233" s="68">
        <f t="shared" si="1"/>
        <v>120.22</v>
      </c>
      <c r="I233" s="81">
        <f>IFERROR(__xludf.DUMMYFUNCTION("IF(G233="""", """", ROUND(G233 / MAX(FILTER($G$2:$G5067, $D$2:$D5067=$D233)) * 100, 2))"),91.79)</f>
        <v>91.79</v>
      </c>
      <c r="J233" s="81">
        <f>IFERROR(__xludf.DUMMYFUNCTION("IF(H233="""", """", ROUND(H233 / MAX(FILTER($H$2:$H5067, $D$2:$D5067=$D233)) * 100, 2))"),100.0)</f>
        <v>100</v>
      </c>
      <c r="K233" s="2"/>
      <c r="L233" s="48"/>
      <c r="M233" s="48"/>
      <c r="N233" s="48"/>
      <c r="O233" s="48" t="str">
        <f t="shared" si="2"/>
        <v/>
      </c>
      <c r="P233" s="48" t="str">
        <f t="shared" si="3"/>
        <v/>
      </c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</row>
    <row r="234">
      <c r="A234" s="63">
        <v>15.0</v>
      </c>
      <c r="B234" s="63">
        <v>18.0</v>
      </c>
      <c r="C234" s="64" t="s">
        <v>93</v>
      </c>
      <c r="D234" s="64" t="s">
        <v>94</v>
      </c>
      <c r="E234" s="64" t="s">
        <v>95</v>
      </c>
      <c r="F234" s="63">
        <v>7500.0</v>
      </c>
      <c r="G234" s="63">
        <v>11.1</v>
      </c>
      <c r="H234" s="66">
        <f t="shared" si="1"/>
        <v>116.24</v>
      </c>
      <c r="I234" s="81">
        <f>IFERROR(__xludf.DUMMYFUNCTION("IF(G234="""", """", ROUND(G234 / MAX(FILTER($G$2:$G5067, $D$2:$D5067=$D234)) * 100, 2))"),82.84)</f>
        <v>82.84</v>
      </c>
      <c r="J234" s="81">
        <f>IFERROR(__xludf.DUMMYFUNCTION("IF(H234="""", """", ROUND(H234 / MAX(FILTER($H$2:$H5067, $D$2:$D5067=$D234)) * 100, 2))"),96.69)</f>
        <v>96.69</v>
      </c>
      <c r="K234" s="2"/>
      <c r="L234" s="49"/>
      <c r="M234" s="49"/>
      <c r="N234" s="49"/>
      <c r="O234" s="49" t="str">
        <f t="shared" si="2"/>
        <v/>
      </c>
      <c r="P234" s="49" t="str">
        <f t="shared" si="3"/>
        <v/>
      </c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</row>
    <row r="235">
      <c r="A235" s="69">
        <v>15.0</v>
      </c>
      <c r="B235" s="69">
        <v>18.0</v>
      </c>
      <c r="C235" s="86" t="s">
        <v>93</v>
      </c>
      <c r="D235" s="86" t="s">
        <v>94</v>
      </c>
      <c r="E235" s="86" t="s">
        <v>95</v>
      </c>
      <c r="F235" s="69">
        <v>8000.0</v>
      </c>
      <c r="G235" s="69">
        <v>9.35</v>
      </c>
      <c r="H235" s="68">
        <f t="shared" si="1"/>
        <v>104.44</v>
      </c>
      <c r="I235" s="81">
        <f>IFERROR(__xludf.DUMMYFUNCTION("IF(G235="""", """", ROUND(G235 / MAX(FILTER($G$2:$G5067, $D$2:$D5067=$D235)) * 100, 2))"),69.78)</f>
        <v>69.78</v>
      </c>
      <c r="J235" s="81">
        <f>IFERROR(__xludf.DUMMYFUNCTION("IF(H235="""", """", ROUND(H235 / MAX(FILTER($H$2:$H5067, $D$2:$D5067=$D235)) * 100, 2))"),86.87)</f>
        <v>86.87</v>
      </c>
      <c r="K235" s="2"/>
      <c r="L235" s="48"/>
      <c r="M235" s="48"/>
      <c r="N235" s="48"/>
      <c r="O235" s="48" t="str">
        <f t="shared" si="2"/>
        <v/>
      </c>
      <c r="P235" s="48" t="str">
        <f t="shared" si="3"/>
        <v/>
      </c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</row>
    <row r="236">
      <c r="A236" s="63">
        <v>16.0</v>
      </c>
      <c r="B236" s="63">
        <v>19.0</v>
      </c>
      <c r="C236" s="64" t="s">
        <v>96</v>
      </c>
      <c r="D236" s="64" t="s">
        <v>97</v>
      </c>
      <c r="E236" s="64" t="s">
        <v>98</v>
      </c>
      <c r="F236" s="63">
        <v>500.0</v>
      </c>
      <c r="G236" s="63">
        <v>7.9</v>
      </c>
      <c r="H236" s="66">
        <f t="shared" si="1"/>
        <v>5.52</v>
      </c>
      <c r="I236" s="81">
        <f>IFERROR(__xludf.DUMMYFUNCTION("IF(G236="""", """", ROUND(G236 / MAX(FILTER($G$2:$G5067, $D$2:$D5067=$D236)) * 100, 2))"),58.52)</f>
        <v>58.52</v>
      </c>
      <c r="J236" s="81">
        <f>IFERROR(__xludf.DUMMYFUNCTION("IF(H236="""", """", ROUND(H236 / MAX(FILTER($H$2:$H5067, $D$2:$D5067=$D236)) * 100, 2))"),5.01)</f>
        <v>5.01</v>
      </c>
      <c r="K236" s="2"/>
      <c r="L236" s="49"/>
      <c r="M236" s="49"/>
      <c r="N236" s="49"/>
      <c r="O236" s="49" t="str">
        <f t="shared" si="2"/>
        <v/>
      </c>
      <c r="P236" s="49" t="str">
        <f t="shared" si="3"/>
        <v/>
      </c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</row>
    <row r="237">
      <c r="A237" s="69">
        <v>16.0</v>
      </c>
      <c r="B237" s="69">
        <v>19.0</v>
      </c>
      <c r="C237" s="86" t="s">
        <v>96</v>
      </c>
      <c r="D237" s="86" t="s">
        <v>97</v>
      </c>
      <c r="E237" s="86" t="s">
        <v>98</v>
      </c>
      <c r="F237" s="69">
        <v>1000.0</v>
      </c>
      <c r="G237" s="69">
        <v>9.3</v>
      </c>
      <c r="H237" s="68">
        <f t="shared" si="1"/>
        <v>12.99</v>
      </c>
      <c r="I237" s="81">
        <f>IFERROR(__xludf.DUMMYFUNCTION("IF(G237="""", """", ROUND(G237 / MAX(FILTER($G$2:$G5067, $D$2:$D5067=$D237)) * 100, 2))"),68.89)</f>
        <v>68.89</v>
      </c>
      <c r="J237" s="81">
        <f>IFERROR(__xludf.DUMMYFUNCTION("IF(H237="""", """", ROUND(H237 / MAX(FILTER($H$2:$H5067, $D$2:$D5067=$D237)) * 100, 2))"),11.78)</f>
        <v>11.78</v>
      </c>
      <c r="K237" s="2"/>
      <c r="L237" s="48"/>
      <c r="M237" s="48"/>
      <c r="N237" s="48"/>
      <c r="O237" s="48" t="str">
        <f t="shared" si="2"/>
        <v/>
      </c>
      <c r="P237" s="48" t="str">
        <f t="shared" si="3"/>
        <v/>
      </c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</row>
    <row r="238">
      <c r="A238" s="63">
        <v>16.0</v>
      </c>
      <c r="B238" s="63">
        <v>19.0</v>
      </c>
      <c r="C238" s="64" t="s">
        <v>96</v>
      </c>
      <c r="D238" s="64" t="s">
        <v>97</v>
      </c>
      <c r="E238" s="64" t="s">
        <v>98</v>
      </c>
      <c r="F238" s="63">
        <v>1500.0</v>
      </c>
      <c r="G238" s="63">
        <v>10.15</v>
      </c>
      <c r="H238" s="66">
        <f t="shared" si="1"/>
        <v>21.26</v>
      </c>
      <c r="I238" s="81">
        <f>IFERROR(__xludf.DUMMYFUNCTION("IF(G238="""", """", ROUND(G238 / MAX(FILTER($G$2:$G5067, $D$2:$D5067=$D238)) * 100, 2))"),75.19)</f>
        <v>75.19</v>
      </c>
      <c r="J238" s="81">
        <f>IFERROR(__xludf.DUMMYFUNCTION("IF(H238="""", """", ROUND(H238 / MAX(FILTER($H$2:$H5067, $D$2:$D5067=$D238)) * 100, 2))"),19.28)</f>
        <v>19.28</v>
      </c>
      <c r="K238" s="2"/>
      <c r="L238" s="49"/>
      <c r="M238" s="49"/>
      <c r="N238" s="49"/>
      <c r="O238" s="49" t="str">
        <f t="shared" si="2"/>
        <v/>
      </c>
      <c r="P238" s="49" t="str">
        <f t="shared" si="3"/>
        <v/>
      </c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</row>
    <row r="239">
      <c r="A239" s="69">
        <v>16.0</v>
      </c>
      <c r="B239" s="69">
        <v>19.0</v>
      </c>
      <c r="C239" s="86" t="s">
        <v>96</v>
      </c>
      <c r="D239" s="86" t="s">
        <v>97</v>
      </c>
      <c r="E239" s="86" t="s">
        <v>98</v>
      </c>
      <c r="F239" s="69">
        <v>2000.0</v>
      </c>
      <c r="G239" s="69">
        <v>11.0</v>
      </c>
      <c r="H239" s="68">
        <f t="shared" si="1"/>
        <v>30.72</v>
      </c>
      <c r="I239" s="81">
        <f>IFERROR(__xludf.DUMMYFUNCTION("IF(G239="""", """", ROUND(G239 / MAX(FILTER($G$2:$G5067, $D$2:$D5067=$D239)) * 100, 2))"),81.48)</f>
        <v>81.48</v>
      </c>
      <c r="J239" s="81">
        <f>IFERROR(__xludf.DUMMYFUNCTION("IF(H239="""", """", ROUND(H239 / MAX(FILTER($H$2:$H5067, $D$2:$D5067=$D239)) * 100, 2))"),27.86)</f>
        <v>27.86</v>
      </c>
      <c r="K239" s="2"/>
      <c r="L239" s="48"/>
      <c r="M239" s="48"/>
      <c r="N239" s="48"/>
      <c r="O239" s="48" t="str">
        <f t="shared" si="2"/>
        <v/>
      </c>
      <c r="P239" s="48" t="str">
        <f t="shared" si="3"/>
        <v/>
      </c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</row>
    <row r="240">
      <c r="A240" s="63">
        <v>16.0</v>
      </c>
      <c r="B240" s="63">
        <v>19.0</v>
      </c>
      <c r="C240" s="64" t="s">
        <v>96</v>
      </c>
      <c r="D240" s="64" t="s">
        <v>97</v>
      </c>
      <c r="E240" s="64" t="s">
        <v>98</v>
      </c>
      <c r="F240" s="63">
        <v>2500.0</v>
      </c>
      <c r="G240" s="63">
        <v>11.7</v>
      </c>
      <c r="H240" s="66">
        <f t="shared" si="1"/>
        <v>40.84</v>
      </c>
      <c r="I240" s="81">
        <f>IFERROR(__xludf.DUMMYFUNCTION("IF(G240="""", """", ROUND(G240 / MAX(FILTER($G$2:$G5067, $D$2:$D5067=$D240)) * 100, 2))"),86.67)</f>
        <v>86.67</v>
      </c>
      <c r="J240" s="81">
        <f>IFERROR(__xludf.DUMMYFUNCTION("IF(H240="""", """", ROUND(H240 / MAX(FILTER($H$2:$H5067, $D$2:$D5067=$D240)) * 100, 2))"),37.04)</f>
        <v>37.04</v>
      </c>
      <c r="K240" s="2"/>
      <c r="L240" s="49"/>
      <c r="M240" s="49"/>
      <c r="N240" s="49"/>
      <c r="O240" s="49" t="str">
        <f t="shared" si="2"/>
        <v/>
      </c>
      <c r="P240" s="49" t="str">
        <f t="shared" si="3"/>
        <v/>
      </c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</row>
    <row r="241">
      <c r="A241" s="69">
        <v>16.0</v>
      </c>
      <c r="B241" s="69">
        <v>19.0</v>
      </c>
      <c r="C241" s="86" t="s">
        <v>96</v>
      </c>
      <c r="D241" s="86" t="s">
        <v>97</v>
      </c>
      <c r="E241" s="86" t="s">
        <v>98</v>
      </c>
      <c r="F241" s="69">
        <v>3000.0</v>
      </c>
      <c r="G241" s="69">
        <v>12.25</v>
      </c>
      <c r="H241" s="68">
        <f t="shared" si="1"/>
        <v>51.31</v>
      </c>
      <c r="I241" s="81">
        <f>IFERROR(__xludf.DUMMYFUNCTION("IF(G241="""", """", ROUND(G241 / MAX(FILTER($G$2:$G5067, $D$2:$D5067=$D241)) * 100, 2))"),90.74)</f>
        <v>90.74</v>
      </c>
      <c r="J241" s="81">
        <f>IFERROR(__xludf.DUMMYFUNCTION("IF(H241="""", """", ROUND(H241 / MAX(FILTER($H$2:$H5067, $D$2:$D5067=$D241)) * 100, 2))"),46.53)</f>
        <v>46.53</v>
      </c>
      <c r="K241" s="2"/>
      <c r="L241" s="48"/>
      <c r="M241" s="48"/>
      <c r="N241" s="48"/>
      <c r="O241" s="48" t="str">
        <f t="shared" si="2"/>
        <v/>
      </c>
      <c r="P241" s="48" t="str">
        <f t="shared" si="3"/>
        <v/>
      </c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</row>
    <row r="242">
      <c r="A242" s="63">
        <v>16.0</v>
      </c>
      <c r="B242" s="63">
        <v>19.0</v>
      </c>
      <c r="C242" s="64" t="s">
        <v>96</v>
      </c>
      <c r="D242" s="64" t="s">
        <v>97</v>
      </c>
      <c r="E242" s="64" t="s">
        <v>98</v>
      </c>
      <c r="F242" s="63">
        <v>3500.0</v>
      </c>
      <c r="G242" s="63">
        <v>12.5</v>
      </c>
      <c r="H242" s="66">
        <f t="shared" si="1"/>
        <v>61.09</v>
      </c>
      <c r="I242" s="81">
        <f>IFERROR(__xludf.DUMMYFUNCTION("IF(G242="""", """", ROUND(G242 / MAX(FILTER($G$2:$G5067, $D$2:$D5067=$D242)) * 100, 2))"),92.59)</f>
        <v>92.59</v>
      </c>
      <c r="J242" s="81">
        <f>IFERROR(__xludf.DUMMYFUNCTION("IF(H242="""", """", ROUND(H242 / MAX(FILTER($H$2:$H5067, $D$2:$D5067=$D242)) * 100, 2))"),55.4)</f>
        <v>55.4</v>
      </c>
      <c r="K242" s="2"/>
      <c r="L242" s="49"/>
      <c r="M242" s="49"/>
      <c r="N242" s="49"/>
      <c r="O242" s="49" t="str">
        <f t="shared" si="2"/>
        <v/>
      </c>
      <c r="P242" s="49" t="str">
        <f t="shared" si="3"/>
        <v/>
      </c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</row>
    <row r="243">
      <c r="A243" s="69">
        <v>16.0</v>
      </c>
      <c r="B243" s="69">
        <v>19.0</v>
      </c>
      <c r="C243" s="86" t="s">
        <v>96</v>
      </c>
      <c r="D243" s="86" t="s">
        <v>97</v>
      </c>
      <c r="E243" s="86" t="s">
        <v>98</v>
      </c>
      <c r="F243" s="69">
        <v>4000.0</v>
      </c>
      <c r="G243" s="69">
        <v>12.65</v>
      </c>
      <c r="H243" s="68">
        <f t="shared" si="1"/>
        <v>70.65</v>
      </c>
      <c r="I243" s="81">
        <f>IFERROR(__xludf.DUMMYFUNCTION("IF(G243="""", """", ROUND(G243 / MAX(FILTER($G$2:$G5067, $D$2:$D5067=$D243)) * 100, 2))"),93.7)</f>
        <v>93.7</v>
      </c>
      <c r="J243" s="81">
        <f>IFERROR(__xludf.DUMMYFUNCTION("IF(H243="""", """", ROUND(H243 / MAX(FILTER($H$2:$H5067, $D$2:$D5067=$D243)) * 100, 2))"),64.07)</f>
        <v>64.07</v>
      </c>
      <c r="K243" s="2"/>
      <c r="L243" s="48"/>
      <c r="M243" s="48"/>
      <c r="N243" s="48"/>
      <c r="O243" s="48" t="str">
        <f t="shared" si="2"/>
        <v/>
      </c>
      <c r="P243" s="48" t="str">
        <f t="shared" si="3"/>
        <v/>
      </c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</row>
    <row r="244">
      <c r="A244" s="63">
        <v>16.0</v>
      </c>
      <c r="B244" s="63">
        <v>19.0</v>
      </c>
      <c r="C244" s="64" t="s">
        <v>96</v>
      </c>
      <c r="D244" s="64" t="s">
        <v>97</v>
      </c>
      <c r="E244" s="64" t="s">
        <v>98</v>
      </c>
      <c r="F244" s="63">
        <v>4500.0</v>
      </c>
      <c r="G244" s="63">
        <v>13.15</v>
      </c>
      <c r="H244" s="66">
        <f t="shared" si="1"/>
        <v>82.62</v>
      </c>
      <c r="I244" s="81">
        <f>IFERROR(__xludf.DUMMYFUNCTION("IF(G244="""", """", ROUND(G244 / MAX(FILTER($G$2:$G5067, $D$2:$D5067=$D244)) * 100, 2))"),97.41)</f>
        <v>97.41</v>
      </c>
      <c r="J244" s="81">
        <f>IFERROR(__xludf.DUMMYFUNCTION("IF(H244="""", """", ROUND(H244 / MAX(FILTER($H$2:$H5067, $D$2:$D5067=$D244)) * 100, 2))"),74.93)</f>
        <v>74.93</v>
      </c>
      <c r="K244" s="2"/>
      <c r="L244" s="49"/>
      <c r="M244" s="49"/>
      <c r="N244" s="49"/>
      <c r="O244" s="49" t="str">
        <f t="shared" si="2"/>
        <v/>
      </c>
      <c r="P244" s="49" t="str">
        <f t="shared" si="3"/>
        <v/>
      </c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</row>
    <row r="245">
      <c r="A245" s="69">
        <v>16.0</v>
      </c>
      <c r="B245" s="69">
        <v>19.0</v>
      </c>
      <c r="C245" s="86" t="s">
        <v>96</v>
      </c>
      <c r="D245" s="86" t="s">
        <v>97</v>
      </c>
      <c r="E245" s="86" t="s">
        <v>98</v>
      </c>
      <c r="F245" s="69">
        <v>5000.0</v>
      </c>
      <c r="G245" s="69">
        <v>13.5</v>
      </c>
      <c r="H245" s="68">
        <f t="shared" si="1"/>
        <v>94.25</v>
      </c>
      <c r="I245" s="81">
        <f>IFERROR(__xludf.DUMMYFUNCTION("IF(G245="""", """", ROUND(G245 / MAX(FILTER($G$2:$G5067, $D$2:$D5067=$D245)) * 100, 2))"),100.0)</f>
        <v>100</v>
      </c>
      <c r="J245" s="81">
        <f>IFERROR(__xludf.DUMMYFUNCTION("IF(H245="""", """", ROUND(H245 / MAX(FILTER($H$2:$H5067, $D$2:$D5067=$D245)) * 100, 2))"),85.47)</f>
        <v>85.47</v>
      </c>
      <c r="K245" s="2"/>
      <c r="L245" s="48"/>
      <c r="M245" s="48"/>
      <c r="N245" s="48"/>
      <c r="O245" s="48" t="str">
        <f t="shared" si="2"/>
        <v/>
      </c>
      <c r="P245" s="48" t="str">
        <f t="shared" si="3"/>
        <v/>
      </c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</row>
    <row r="246">
      <c r="A246" s="63">
        <v>16.0</v>
      </c>
      <c r="B246" s="63">
        <v>19.0</v>
      </c>
      <c r="C246" s="64" t="s">
        <v>96</v>
      </c>
      <c r="D246" s="64" t="s">
        <v>97</v>
      </c>
      <c r="E246" s="64" t="s">
        <v>98</v>
      </c>
      <c r="F246" s="63">
        <v>5500.0</v>
      </c>
      <c r="G246" s="63">
        <v>13.3</v>
      </c>
      <c r="H246" s="66">
        <f t="shared" si="1"/>
        <v>102.14</v>
      </c>
      <c r="I246" s="81">
        <f>IFERROR(__xludf.DUMMYFUNCTION("IF(G246="""", """", ROUND(G246 / MAX(FILTER($G$2:$G5067, $D$2:$D5067=$D246)) * 100, 2))"),98.52)</f>
        <v>98.52</v>
      </c>
      <c r="J246" s="81">
        <f>IFERROR(__xludf.DUMMYFUNCTION("IF(H246="""", """", ROUND(H246 / MAX(FILTER($H$2:$H5067, $D$2:$D5067=$D246)) * 100, 2))"),92.63)</f>
        <v>92.63</v>
      </c>
      <c r="K246" s="2"/>
      <c r="L246" s="49"/>
      <c r="M246" s="49"/>
      <c r="N246" s="49"/>
      <c r="O246" s="49" t="str">
        <f t="shared" si="2"/>
        <v/>
      </c>
      <c r="P246" s="49" t="str">
        <f t="shared" si="3"/>
        <v/>
      </c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</row>
    <row r="247">
      <c r="A247" s="69">
        <v>16.0</v>
      </c>
      <c r="B247" s="69">
        <v>19.0</v>
      </c>
      <c r="C247" s="86" t="s">
        <v>96</v>
      </c>
      <c r="D247" s="86" t="s">
        <v>97</v>
      </c>
      <c r="E247" s="86" t="s">
        <v>98</v>
      </c>
      <c r="F247" s="69">
        <v>6000.0</v>
      </c>
      <c r="G247" s="69">
        <v>12.85</v>
      </c>
      <c r="H247" s="68">
        <f t="shared" si="1"/>
        <v>107.65</v>
      </c>
      <c r="I247" s="81">
        <f>IFERROR(__xludf.DUMMYFUNCTION("IF(G247="""", """", ROUND(G247 / MAX(FILTER($G$2:$G5067, $D$2:$D5067=$D247)) * 100, 2))"),95.19)</f>
        <v>95.19</v>
      </c>
      <c r="J247" s="81">
        <f>IFERROR(__xludf.DUMMYFUNCTION("IF(H247="""", """", ROUND(H247 / MAX(FILTER($H$2:$H5067, $D$2:$D5067=$D247)) * 100, 2))"),97.62)</f>
        <v>97.62</v>
      </c>
      <c r="K247" s="2"/>
      <c r="L247" s="48"/>
      <c r="M247" s="48"/>
      <c r="N247" s="48"/>
      <c r="O247" s="48" t="str">
        <f t="shared" si="2"/>
        <v/>
      </c>
      <c r="P247" s="48" t="str">
        <f t="shared" si="3"/>
        <v/>
      </c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</row>
    <row r="248">
      <c r="A248" s="63">
        <v>16.0</v>
      </c>
      <c r="B248" s="63">
        <v>19.0</v>
      </c>
      <c r="C248" s="64" t="s">
        <v>96</v>
      </c>
      <c r="D248" s="64" t="s">
        <v>97</v>
      </c>
      <c r="E248" s="64" t="s">
        <v>98</v>
      </c>
      <c r="F248" s="63">
        <v>6500.0</v>
      </c>
      <c r="G248" s="63">
        <v>12.15</v>
      </c>
      <c r="H248" s="66">
        <f t="shared" si="1"/>
        <v>110.27</v>
      </c>
      <c r="I248" s="81">
        <f>IFERROR(__xludf.DUMMYFUNCTION("IF(G248="""", """", ROUND(G248 / MAX(FILTER($G$2:$G5067, $D$2:$D5067=$D248)) * 100, 2))"),90.0)</f>
        <v>90</v>
      </c>
      <c r="J248" s="81">
        <f>IFERROR(__xludf.DUMMYFUNCTION("IF(H248="""", """", ROUND(H248 / MAX(FILTER($H$2:$H5067, $D$2:$D5067=$D248)) * 100, 2))"),100.0)</f>
        <v>100</v>
      </c>
      <c r="K248" s="2"/>
      <c r="L248" s="49"/>
      <c r="M248" s="49"/>
      <c r="N248" s="49"/>
      <c r="O248" s="49" t="str">
        <f t="shared" si="2"/>
        <v/>
      </c>
      <c r="P248" s="49" t="str">
        <f t="shared" si="3"/>
        <v/>
      </c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</row>
    <row r="249">
      <c r="A249" s="69">
        <v>16.0</v>
      </c>
      <c r="B249" s="69">
        <v>19.0</v>
      </c>
      <c r="C249" s="86" t="s">
        <v>96</v>
      </c>
      <c r="D249" s="86" t="s">
        <v>97</v>
      </c>
      <c r="E249" s="86" t="s">
        <v>98</v>
      </c>
      <c r="F249" s="69">
        <v>6800.0</v>
      </c>
      <c r="G249" s="69">
        <v>11.1</v>
      </c>
      <c r="H249" s="68">
        <f t="shared" si="1"/>
        <v>105.39</v>
      </c>
      <c r="I249" s="81">
        <f>IFERROR(__xludf.DUMMYFUNCTION("IF(G249="""", """", ROUND(G249 / MAX(FILTER($G$2:$G5067, $D$2:$D5067=$D249)) * 100, 2))"),82.22)</f>
        <v>82.22</v>
      </c>
      <c r="J249" s="81">
        <f>IFERROR(__xludf.DUMMYFUNCTION("IF(H249="""", """", ROUND(H249 / MAX(FILTER($H$2:$H5067, $D$2:$D5067=$D249)) * 100, 2))"),95.57)</f>
        <v>95.57</v>
      </c>
      <c r="K249" s="2"/>
      <c r="L249" s="48"/>
      <c r="M249" s="48"/>
      <c r="N249" s="48"/>
      <c r="O249" s="48" t="str">
        <f t="shared" si="2"/>
        <v/>
      </c>
      <c r="P249" s="48" t="str">
        <f t="shared" si="3"/>
        <v/>
      </c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</row>
    <row r="250">
      <c r="A250" s="63">
        <v>16.0</v>
      </c>
      <c r="B250" s="63">
        <v>19.0</v>
      </c>
      <c r="C250" s="64" t="s">
        <v>96</v>
      </c>
      <c r="D250" s="64" t="s">
        <v>97</v>
      </c>
      <c r="E250" s="64" t="s">
        <v>98</v>
      </c>
      <c r="F250" s="63">
        <v>7500.0</v>
      </c>
      <c r="G250" s="63">
        <v>8.7</v>
      </c>
      <c r="H250" s="66">
        <f t="shared" si="1"/>
        <v>91.11</v>
      </c>
      <c r="I250" s="81">
        <f>IFERROR(__xludf.DUMMYFUNCTION("IF(G250="""", """", ROUND(G250 / MAX(FILTER($G$2:$G5067, $D$2:$D5067=$D250)) * 100, 2))"),64.44)</f>
        <v>64.44</v>
      </c>
      <c r="J250" s="81">
        <f>IFERROR(__xludf.DUMMYFUNCTION("IF(H250="""", """", ROUND(H250 / MAX(FILTER($H$2:$H5067, $D$2:$D5067=$D250)) * 100, 2))"),82.62)</f>
        <v>82.62</v>
      </c>
      <c r="K250" s="2"/>
      <c r="L250" s="49"/>
      <c r="M250" s="49"/>
      <c r="N250" s="49"/>
      <c r="O250" s="49" t="str">
        <f t="shared" si="2"/>
        <v/>
      </c>
      <c r="P250" s="49" t="str">
        <f t="shared" si="3"/>
        <v/>
      </c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</row>
    <row r="251">
      <c r="A251" s="69">
        <v>17.0</v>
      </c>
      <c r="B251" s="69">
        <v>20.0</v>
      </c>
      <c r="C251" s="86" t="s">
        <v>99</v>
      </c>
      <c r="D251" s="86" t="s">
        <v>100</v>
      </c>
      <c r="E251" s="86" t="s">
        <v>101</v>
      </c>
      <c r="F251" s="69">
        <v>500.0</v>
      </c>
      <c r="G251" s="69">
        <v>3.56</v>
      </c>
      <c r="H251" s="68">
        <f t="shared" si="1"/>
        <v>2.49</v>
      </c>
      <c r="I251" s="81">
        <f>IFERROR(__xludf.DUMMYFUNCTION("IF(G251="""", """", ROUND(G251 / MAX(FILTER($G$2:$G5067, $D$2:$D5067=$D251)) * 100, 2))"),56.33)</f>
        <v>56.33</v>
      </c>
      <c r="J251" s="81">
        <f>IFERROR(__xludf.DUMMYFUNCTION("IF(H251="""", """", ROUND(H251 / MAX(FILTER($H$2:$H5067, $D$2:$D5067=$D251)) * 100, 2))"),4.98)</f>
        <v>4.98</v>
      </c>
      <c r="K251" s="2"/>
      <c r="L251" s="48"/>
      <c r="M251" s="48"/>
      <c r="N251" s="48"/>
      <c r="O251" s="48" t="str">
        <f t="shared" si="2"/>
        <v/>
      </c>
      <c r="P251" s="48" t="str">
        <f t="shared" si="3"/>
        <v/>
      </c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</row>
    <row r="252">
      <c r="A252" s="63">
        <v>17.0</v>
      </c>
      <c r="B252" s="63">
        <v>20.0</v>
      </c>
      <c r="C252" s="64" t="s">
        <v>99</v>
      </c>
      <c r="D252" s="64" t="s">
        <v>100</v>
      </c>
      <c r="E252" s="64" t="s">
        <v>101</v>
      </c>
      <c r="F252" s="63">
        <v>1000.0</v>
      </c>
      <c r="G252" s="63">
        <v>4.31</v>
      </c>
      <c r="H252" s="66">
        <f t="shared" si="1"/>
        <v>6.02</v>
      </c>
      <c r="I252" s="81">
        <f>IFERROR(__xludf.DUMMYFUNCTION("IF(G252="""", """", ROUND(G252 / MAX(FILTER($G$2:$G5067, $D$2:$D5067=$D252)) * 100, 2))"),68.2)</f>
        <v>68.2</v>
      </c>
      <c r="J252" s="81">
        <f>IFERROR(__xludf.DUMMYFUNCTION("IF(H252="""", """", ROUND(H252 / MAX(FILTER($H$2:$H5067, $D$2:$D5067=$D252)) * 100, 2))"),12.04)</f>
        <v>12.04</v>
      </c>
      <c r="K252" s="2"/>
      <c r="L252" s="49"/>
      <c r="M252" s="49"/>
      <c r="N252" s="49"/>
      <c r="O252" s="49" t="str">
        <f t="shared" si="2"/>
        <v/>
      </c>
      <c r="P252" s="49" t="str">
        <f t="shared" si="3"/>
        <v/>
      </c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</row>
    <row r="253">
      <c r="A253" s="69">
        <v>17.0</v>
      </c>
      <c r="B253" s="69">
        <v>20.0</v>
      </c>
      <c r="C253" s="86" t="s">
        <v>99</v>
      </c>
      <c r="D253" s="86" t="s">
        <v>100</v>
      </c>
      <c r="E253" s="86" t="s">
        <v>101</v>
      </c>
      <c r="F253" s="69">
        <v>1500.0</v>
      </c>
      <c r="G253" s="69">
        <v>4.89</v>
      </c>
      <c r="H253" s="68">
        <f t="shared" si="1"/>
        <v>10.24</v>
      </c>
      <c r="I253" s="81">
        <f>IFERROR(__xludf.DUMMYFUNCTION("IF(G253="""", """", ROUND(G253 / MAX(FILTER($G$2:$G5067, $D$2:$D5067=$D253)) * 100, 2))"),77.37)</f>
        <v>77.37</v>
      </c>
      <c r="J253" s="81">
        <f>IFERROR(__xludf.DUMMYFUNCTION("IF(H253="""", """", ROUND(H253 / MAX(FILTER($H$2:$H5067, $D$2:$D5067=$D253)) * 100, 2))"),20.48)</f>
        <v>20.48</v>
      </c>
      <c r="K253" s="2"/>
      <c r="L253" s="48"/>
      <c r="M253" s="48"/>
      <c r="N253" s="48"/>
      <c r="O253" s="48" t="str">
        <f t="shared" si="2"/>
        <v/>
      </c>
      <c r="P253" s="48" t="str">
        <f t="shared" si="3"/>
        <v/>
      </c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</row>
    <row r="254">
      <c r="A254" s="63">
        <v>17.0</v>
      </c>
      <c r="B254" s="63">
        <v>20.0</v>
      </c>
      <c r="C254" s="64" t="s">
        <v>99</v>
      </c>
      <c r="D254" s="64" t="s">
        <v>100</v>
      </c>
      <c r="E254" s="64" t="s">
        <v>101</v>
      </c>
      <c r="F254" s="63">
        <v>2000.0</v>
      </c>
      <c r="G254" s="63">
        <v>5.2</v>
      </c>
      <c r="H254" s="66">
        <f t="shared" si="1"/>
        <v>14.52</v>
      </c>
      <c r="I254" s="81">
        <f>IFERROR(__xludf.DUMMYFUNCTION("IF(G254="""", """", ROUND(G254 / MAX(FILTER($G$2:$G5067, $D$2:$D5067=$D254)) * 100, 2))"),82.28)</f>
        <v>82.28</v>
      </c>
      <c r="J254" s="81">
        <f>IFERROR(__xludf.DUMMYFUNCTION("IF(H254="""", """", ROUND(H254 / MAX(FILTER($H$2:$H5067, $D$2:$D5067=$D254)) * 100, 2))"),29.03)</f>
        <v>29.03</v>
      </c>
      <c r="K254" s="2"/>
      <c r="L254" s="49"/>
      <c r="M254" s="49"/>
      <c r="N254" s="49"/>
      <c r="O254" s="49" t="str">
        <f t="shared" si="2"/>
        <v/>
      </c>
      <c r="P254" s="49" t="str">
        <f t="shared" si="3"/>
        <v/>
      </c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</row>
    <row r="255">
      <c r="A255" s="69">
        <v>17.0</v>
      </c>
      <c r="B255" s="69">
        <v>20.0</v>
      </c>
      <c r="C255" s="86" t="s">
        <v>99</v>
      </c>
      <c r="D255" s="86" t="s">
        <v>100</v>
      </c>
      <c r="E255" s="86" t="s">
        <v>101</v>
      </c>
      <c r="F255" s="69">
        <v>2500.0</v>
      </c>
      <c r="G255" s="69">
        <v>5.56</v>
      </c>
      <c r="H255" s="68">
        <f t="shared" si="1"/>
        <v>19.41</v>
      </c>
      <c r="I255" s="81">
        <f>IFERROR(__xludf.DUMMYFUNCTION("IF(G255="""", """", ROUND(G255 / MAX(FILTER($G$2:$G5067, $D$2:$D5067=$D255)) * 100, 2))"),87.97)</f>
        <v>87.97</v>
      </c>
      <c r="J255" s="81">
        <f>IFERROR(__xludf.DUMMYFUNCTION("IF(H255="""", """", ROUND(H255 / MAX(FILTER($H$2:$H5067, $D$2:$D5067=$D255)) * 100, 2))"),38.81)</f>
        <v>38.81</v>
      </c>
      <c r="K255" s="2"/>
      <c r="L255" s="48"/>
      <c r="M255" s="48"/>
      <c r="N255" s="48"/>
      <c r="O255" s="48" t="str">
        <f t="shared" si="2"/>
        <v/>
      </c>
      <c r="P255" s="48" t="str">
        <f t="shared" si="3"/>
        <v/>
      </c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</row>
    <row r="256">
      <c r="A256" s="63">
        <v>17.0</v>
      </c>
      <c r="B256" s="63">
        <v>20.0</v>
      </c>
      <c r="C256" s="64" t="s">
        <v>99</v>
      </c>
      <c r="D256" s="64" t="s">
        <v>100</v>
      </c>
      <c r="E256" s="64" t="s">
        <v>101</v>
      </c>
      <c r="F256" s="63">
        <v>3000.0</v>
      </c>
      <c r="G256" s="63">
        <v>5.81</v>
      </c>
      <c r="H256" s="66">
        <f t="shared" si="1"/>
        <v>24.34</v>
      </c>
      <c r="I256" s="81">
        <f>IFERROR(__xludf.DUMMYFUNCTION("IF(G256="""", """", ROUND(G256 / MAX(FILTER($G$2:$G5067, $D$2:$D5067=$D256)) * 100, 2))"),91.93)</f>
        <v>91.93</v>
      </c>
      <c r="J256" s="81">
        <f>IFERROR(__xludf.DUMMYFUNCTION("IF(H256="""", """", ROUND(H256 / MAX(FILTER($H$2:$H5067, $D$2:$D5067=$D256)) * 100, 2))"),48.67)</f>
        <v>48.67</v>
      </c>
      <c r="K256" s="2"/>
      <c r="L256" s="49"/>
      <c r="M256" s="49"/>
      <c r="N256" s="49"/>
      <c r="O256" s="49" t="str">
        <f t="shared" si="2"/>
        <v/>
      </c>
      <c r="P256" s="49" t="str">
        <f t="shared" si="3"/>
        <v/>
      </c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</row>
    <row r="257">
      <c r="A257" s="69">
        <v>17.0</v>
      </c>
      <c r="B257" s="69">
        <v>20.0</v>
      </c>
      <c r="C257" s="86" t="s">
        <v>99</v>
      </c>
      <c r="D257" s="86" t="s">
        <v>100</v>
      </c>
      <c r="E257" s="86" t="s">
        <v>101</v>
      </c>
      <c r="F257" s="69">
        <v>3500.0</v>
      </c>
      <c r="G257" s="69">
        <v>6.02</v>
      </c>
      <c r="H257" s="68">
        <f t="shared" si="1"/>
        <v>29.42</v>
      </c>
      <c r="I257" s="81">
        <f>IFERROR(__xludf.DUMMYFUNCTION("IF(G257="""", """", ROUND(G257 / MAX(FILTER($G$2:$G5067, $D$2:$D5067=$D257)) * 100, 2))"),95.25)</f>
        <v>95.25</v>
      </c>
      <c r="J257" s="81">
        <f>IFERROR(__xludf.DUMMYFUNCTION("IF(H257="""", """", ROUND(H257 / MAX(FILTER($H$2:$H5067, $D$2:$D5067=$D257)) * 100, 2))"),58.83)</f>
        <v>58.83</v>
      </c>
      <c r="K257" s="2"/>
      <c r="L257" s="48"/>
      <c r="M257" s="48"/>
      <c r="N257" s="48"/>
      <c r="O257" s="48" t="str">
        <f t="shared" si="2"/>
        <v/>
      </c>
      <c r="P257" s="48" t="str">
        <f t="shared" si="3"/>
        <v/>
      </c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</row>
    <row r="258">
      <c r="A258" s="63">
        <v>17.0</v>
      </c>
      <c r="B258" s="63">
        <v>20.0</v>
      </c>
      <c r="C258" s="64" t="s">
        <v>99</v>
      </c>
      <c r="D258" s="64" t="s">
        <v>100</v>
      </c>
      <c r="E258" s="64" t="s">
        <v>101</v>
      </c>
      <c r="F258" s="63">
        <v>4000.0</v>
      </c>
      <c r="G258" s="63">
        <v>6.32</v>
      </c>
      <c r="H258" s="66">
        <f t="shared" si="1"/>
        <v>35.3</v>
      </c>
      <c r="I258" s="81">
        <f>IFERROR(__xludf.DUMMYFUNCTION("IF(G258="""", """", ROUND(G258 / MAX(FILTER($G$2:$G5067, $D$2:$D5067=$D258)) * 100, 2))"),100.0)</f>
        <v>100</v>
      </c>
      <c r="J258" s="81">
        <f>IFERROR(__xludf.DUMMYFUNCTION("IF(H258="""", """", ROUND(H258 / MAX(FILTER($H$2:$H5067, $D$2:$D5067=$D258)) * 100, 2))"),70.59)</f>
        <v>70.59</v>
      </c>
      <c r="K258" s="2"/>
      <c r="L258" s="49"/>
      <c r="M258" s="49"/>
      <c r="N258" s="49"/>
      <c r="O258" s="49" t="str">
        <f t="shared" si="2"/>
        <v/>
      </c>
      <c r="P258" s="49" t="str">
        <f t="shared" si="3"/>
        <v/>
      </c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</row>
    <row r="259">
      <c r="A259" s="69">
        <v>17.0</v>
      </c>
      <c r="B259" s="69">
        <v>20.0</v>
      </c>
      <c r="C259" s="86" t="s">
        <v>99</v>
      </c>
      <c r="D259" s="86" t="s">
        <v>100</v>
      </c>
      <c r="E259" s="86" t="s">
        <v>101</v>
      </c>
      <c r="F259" s="69">
        <v>4500.0</v>
      </c>
      <c r="G259" s="69">
        <v>6.22</v>
      </c>
      <c r="H259" s="68">
        <f t="shared" si="1"/>
        <v>39.08</v>
      </c>
      <c r="I259" s="81">
        <f>IFERROR(__xludf.DUMMYFUNCTION("IF(G259="""", """", ROUND(G259 / MAX(FILTER($G$2:$G5067, $D$2:$D5067=$D259)) * 100, 2))"),98.42)</f>
        <v>98.42</v>
      </c>
      <c r="J259" s="81">
        <f>IFERROR(__xludf.DUMMYFUNCTION("IF(H259="""", """", ROUND(H259 / MAX(FILTER($H$2:$H5067, $D$2:$D5067=$D259)) * 100, 2))"),78.14)</f>
        <v>78.14</v>
      </c>
      <c r="K259" s="2"/>
      <c r="L259" s="48"/>
      <c r="M259" s="48"/>
      <c r="N259" s="48"/>
      <c r="O259" s="48" t="str">
        <f t="shared" si="2"/>
        <v/>
      </c>
      <c r="P259" s="48" t="str">
        <f t="shared" si="3"/>
        <v/>
      </c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</row>
    <row r="260">
      <c r="A260" s="63">
        <v>17.0</v>
      </c>
      <c r="B260" s="63">
        <v>20.0</v>
      </c>
      <c r="C260" s="64" t="s">
        <v>99</v>
      </c>
      <c r="D260" s="64" t="s">
        <v>100</v>
      </c>
      <c r="E260" s="64" t="s">
        <v>101</v>
      </c>
      <c r="F260" s="63">
        <v>5000.0</v>
      </c>
      <c r="G260" s="63">
        <v>6.12</v>
      </c>
      <c r="H260" s="66">
        <f t="shared" si="1"/>
        <v>42.73</v>
      </c>
      <c r="I260" s="81">
        <f>IFERROR(__xludf.DUMMYFUNCTION("IF(G260="""", """", ROUND(G260 / MAX(FILTER($G$2:$G5067, $D$2:$D5067=$D260)) * 100, 2))"),96.84)</f>
        <v>96.84</v>
      </c>
      <c r="J260" s="81">
        <f>IFERROR(__xludf.DUMMYFUNCTION("IF(H260="""", """", ROUND(H260 / MAX(FILTER($H$2:$H5067, $D$2:$D5067=$D260)) * 100, 2))"),85.44)</f>
        <v>85.44</v>
      </c>
      <c r="K260" s="2"/>
      <c r="L260" s="49"/>
      <c r="M260" s="49"/>
      <c r="N260" s="49"/>
      <c r="O260" s="49" t="str">
        <f t="shared" si="2"/>
        <v/>
      </c>
      <c r="P260" s="49" t="str">
        <f t="shared" si="3"/>
        <v/>
      </c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</row>
    <row r="261">
      <c r="A261" s="69">
        <v>17.0</v>
      </c>
      <c r="B261" s="69">
        <v>20.0</v>
      </c>
      <c r="C261" s="86" t="s">
        <v>99</v>
      </c>
      <c r="D261" s="86" t="s">
        <v>100</v>
      </c>
      <c r="E261" s="86" t="s">
        <v>101</v>
      </c>
      <c r="F261" s="69">
        <v>5500.0</v>
      </c>
      <c r="G261" s="69">
        <v>6.02</v>
      </c>
      <c r="H261" s="68">
        <f t="shared" si="1"/>
        <v>46.23</v>
      </c>
      <c r="I261" s="81">
        <f>IFERROR(__xludf.DUMMYFUNCTION("IF(G261="""", """", ROUND(G261 / MAX(FILTER($G$2:$G5067, $D$2:$D5067=$D261)) * 100, 2))"),95.25)</f>
        <v>95.25</v>
      </c>
      <c r="J261" s="81">
        <f>IFERROR(__xludf.DUMMYFUNCTION("IF(H261="""", """", ROUND(H261 / MAX(FILTER($H$2:$H5067, $D$2:$D5067=$D261)) * 100, 2))"),92.44)</f>
        <v>92.44</v>
      </c>
      <c r="K261" s="2"/>
      <c r="L261" s="48"/>
      <c r="M261" s="48"/>
      <c r="N261" s="48"/>
      <c r="O261" s="48" t="str">
        <f t="shared" si="2"/>
        <v/>
      </c>
      <c r="P261" s="48" t="str">
        <f t="shared" si="3"/>
        <v/>
      </c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</row>
    <row r="262">
      <c r="A262" s="63">
        <v>17.0</v>
      </c>
      <c r="B262" s="63">
        <v>20.0</v>
      </c>
      <c r="C262" s="64" t="s">
        <v>99</v>
      </c>
      <c r="D262" s="64" t="s">
        <v>100</v>
      </c>
      <c r="E262" s="64" t="s">
        <v>101</v>
      </c>
      <c r="F262" s="63">
        <v>6000.0</v>
      </c>
      <c r="G262" s="63">
        <v>5.86</v>
      </c>
      <c r="H262" s="66">
        <f t="shared" si="1"/>
        <v>49.09</v>
      </c>
      <c r="I262" s="81">
        <f>IFERROR(__xludf.DUMMYFUNCTION("IF(G262="""", """", ROUND(G262 / MAX(FILTER($G$2:$G5067, $D$2:$D5067=$D262)) * 100, 2))"),92.72)</f>
        <v>92.72</v>
      </c>
      <c r="J262" s="81">
        <f>IFERROR(__xludf.DUMMYFUNCTION("IF(H262="""", """", ROUND(H262 / MAX(FILTER($H$2:$H5067, $D$2:$D5067=$D262)) * 100, 2))"),98.16)</f>
        <v>98.16</v>
      </c>
      <c r="K262" s="2"/>
      <c r="L262" s="49"/>
      <c r="M262" s="49"/>
      <c r="N262" s="49"/>
      <c r="O262" s="49" t="str">
        <f t="shared" si="2"/>
        <v/>
      </c>
      <c r="P262" s="49" t="str">
        <f t="shared" si="3"/>
        <v/>
      </c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</row>
    <row r="263">
      <c r="A263" s="69">
        <v>17.0</v>
      </c>
      <c r="B263" s="69">
        <v>20.0</v>
      </c>
      <c r="C263" s="86" t="s">
        <v>99</v>
      </c>
      <c r="D263" s="86" t="s">
        <v>100</v>
      </c>
      <c r="E263" s="86" t="s">
        <v>101</v>
      </c>
      <c r="F263" s="69">
        <v>6500.0</v>
      </c>
      <c r="G263" s="69">
        <v>5.51</v>
      </c>
      <c r="H263" s="68">
        <f t="shared" si="1"/>
        <v>50.01</v>
      </c>
      <c r="I263" s="81">
        <f>IFERROR(__xludf.DUMMYFUNCTION("IF(G263="""", """", ROUND(G263 / MAX(FILTER($G$2:$G5067, $D$2:$D5067=$D263)) * 100, 2))"),87.18)</f>
        <v>87.18</v>
      </c>
      <c r="J263" s="81">
        <f>IFERROR(__xludf.DUMMYFUNCTION("IF(H263="""", """", ROUND(H263 / MAX(FILTER($H$2:$H5067, $D$2:$D5067=$D263)) * 100, 2))"),100.0)</f>
        <v>100</v>
      </c>
      <c r="K263" s="2"/>
      <c r="L263" s="48"/>
      <c r="M263" s="48"/>
      <c r="N263" s="48"/>
      <c r="O263" s="48" t="str">
        <f t="shared" si="2"/>
        <v/>
      </c>
      <c r="P263" s="48" t="str">
        <f t="shared" si="3"/>
        <v/>
      </c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</row>
    <row r="264">
      <c r="A264" s="63">
        <v>17.0</v>
      </c>
      <c r="B264" s="63">
        <v>20.0</v>
      </c>
      <c r="C264" s="64" t="s">
        <v>99</v>
      </c>
      <c r="D264" s="64" t="s">
        <v>100</v>
      </c>
      <c r="E264" s="64" t="s">
        <v>101</v>
      </c>
      <c r="F264" s="63">
        <v>7000.0</v>
      </c>
      <c r="G264" s="63">
        <v>5.1</v>
      </c>
      <c r="H264" s="66">
        <f t="shared" si="1"/>
        <v>49.85</v>
      </c>
      <c r="I264" s="81">
        <f>IFERROR(__xludf.DUMMYFUNCTION("IF(G264="""", """", ROUND(G264 / MAX(FILTER($G$2:$G5067, $D$2:$D5067=$D264)) * 100, 2))"),80.7)</f>
        <v>80.7</v>
      </c>
      <c r="J264" s="81">
        <f>IFERROR(__xludf.DUMMYFUNCTION("IF(H264="""", """", ROUND(H264 / MAX(FILTER($H$2:$H5067, $D$2:$D5067=$D264)) * 100, 2))"),99.68)</f>
        <v>99.68</v>
      </c>
      <c r="K264" s="2"/>
      <c r="L264" s="49"/>
      <c r="M264" s="49"/>
      <c r="N264" s="49"/>
      <c r="O264" s="49" t="str">
        <f t="shared" si="2"/>
        <v/>
      </c>
      <c r="P264" s="49" t="str">
        <f t="shared" si="3"/>
        <v/>
      </c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</row>
    <row r="265">
      <c r="A265" s="69">
        <v>17.0</v>
      </c>
      <c r="B265" s="69">
        <v>20.0</v>
      </c>
      <c r="C265" s="86" t="s">
        <v>99</v>
      </c>
      <c r="D265" s="86" t="s">
        <v>100</v>
      </c>
      <c r="E265" s="86" t="s">
        <v>101</v>
      </c>
      <c r="F265" s="69">
        <v>7500.0</v>
      </c>
      <c r="G265" s="69">
        <v>4.23</v>
      </c>
      <c r="H265" s="68">
        <f t="shared" si="1"/>
        <v>44.3</v>
      </c>
      <c r="I265" s="81">
        <f>IFERROR(__xludf.DUMMYFUNCTION("IF(G265="""", """", ROUND(G265 / MAX(FILTER($G$2:$G5067, $D$2:$D5067=$D265)) * 100, 2))"),66.93)</f>
        <v>66.93</v>
      </c>
      <c r="J265" s="81">
        <f>IFERROR(__xludf.DUMMYFUNCTION("IF(H265="""", """", ROUND(H265 / MAX(FILTER($H$2:$H5067, $D$2:$D5067=$D265)) * 100, 2))"),88.58)</f>
        <v>88.58</v>
      </c>
      <c r="K265" s="2"/>
      <c r="L265" s="48"/>
      <c r="M265" s="48"/>
      <c r="N265" s="48"/>
      <c r="O265" s="48" t="str">
        <f t="shared" si="2"/>
        <v/>
      </c>
      <c r="P265" s="48" t="str">
        <f t="shared" si="3"/>
        <v/>
      </c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</row>
    <row r="266">
      <c r="A266" s="63">
        <v>18.0</v>
      </c>
      <c r="B266" s="63">
        <v>21.0</v>
      </c>
      <c r="C266" s="64" t="s">
        <v>102</v>
      </c>
      <c r="D266" s="64" t="s">
        <v>103</v>
      </c>
      <c r="E266" s="64" t="s">
        <v>104</v>
      </c>
      <c r="F266" s="63">
        <v>500.0</v>
      </c>
      <c r="G266" s="63">
        <v>1.63</v>
      </c>
      <c r="H266" s="66">
        <f t="shared" si="1"/>
        <v>1.14</v>
      </c>
      <c r="I266" s="81">
        <f>IFERROR(__xludf.DUMMYFUNCTION("IF(G266="""", """", ROUND(G266 / MAX(FILTER($G$2:$G5067, $D$2:$D5067=$D266)) * 100, 2))"),55.07)</f>
        <v>55.07</v>
      </c>
      <c r="J266" s="81">
        <f>IFERROR(__xludf.DUMMYFUNCTION("IF(H266="""", """", ROUND(H266 / MAX(FILTER($H$2:$H5067, $D$2:$D5067=$D266)) * 100, 2))"),4.12)</f>
        <v>4.12</v>
      </c>
      <c r="K266" s="2"/>
      <c r="L266" s="49"/>
      <c r="M266" s="49"/>
      <c r="N266" s="49"/>
      <c r="O266" s="49" t="str">
        <f t="shared" si="2"/>
        <v/>
      </c>
      <c r="P266" s="49" t="str">
        <f t="shared" si="3"/>
        <v/>
      </c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</row>
    <row r="267">
      <c r="A267" s="69">
        <v>18.0</v>
      </c>
      <c r="B267" s="69">
        <v>21.0</v>
      </c>
      <c r="C267" s="86" t="s">
        <v>102</v>
      </c>
      <c r="D267" s="86" t="s">
        <v>103</v>
      </c>
      <c r="E267" s="86" t="s">
        <v>104</v>
      </c>
      <c r="F267" s="69">
        <v>1000.0</v>
      </c>
      <c r="G267" s="69">
        <v>1.93</v>
      </c>
      <c r="H267" s="68">
        <f t="shared" si="1"/>
        <v>2.69</v>
      </c>
      <c r="I267" s="81">
        <f>IFERROR(__xludf.DUMMYFUNCTION("IF(G267="""", """", ROUND(G267 / MAX(FILTER($G$2:$G5067, $D$2:$D5067=$D267)) * 100, 2))"),65.2)</f>
        <v>65.2</v>
      </c>
      <c r="J267" s="81">
        <f>IFERROR(__xludf.DUMMYFUNCTION("IF(H267="""", """", ROUND(H267 / MAX(FILTER($H$2:$H5067, $D$2:$D5067=$D267)) * 100, 2))"),9.73)</f>
        <v>9.73</v>
      </c>
      <c r="K267" s="2"/>
      <c r="L267" s="48"/>
      <c r="M267" s="48"/>
      <c r="N267" s="48"/>
      <c r="O267" s="48" t="str">
        <f t="shared" si="2"/>
        <v/>
      </c>
      <c r="P267" s="48" t="str">
        <f t="shared" si="3"/>
        <v/>
      </c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</row>
    <row r="268">
      <c r="A268" s="63">
        <v>18.0</v>
      </c>
      <c r="B268" s="63">
        <v>21.0</v>
      </c>
      <c r="C268" s="64" t="s">
        <v>102</v>
      </c>
      <c r="D268" s="64" t="s">
        <v>103</v>
      </c>
      <c r="E268" s="64" t="s">
        <v>104</v>
      </c>
      <c r="F268" s="63">
        <v>1500.0</v>
      </c>
      <c r="G268" s="63">
        <v>1.98</v>
      </c>
      <c r="H268" s="66">
        <f t="shared" si="1"/>
        <v>4.15</v>
      </c>
      <c r="I268" s="81">
        <f>IFERROR(__xludf.DUMMYFUNCTION("IF(G268="""", """", ROUND(G268 / MAX(FILTER($G$2:$G5067, $D$2:$D5067=$D268)) * 100, 2))"),66.89)</f>
        <v>66.89</v>
      </c>
      <c r="J268" s="81">
        <f>IFERROR(__xludf.DUMMYFUNCTION("IF(H268="""", """", ROUND(H268 / MAX(FILTER($H$2:$H5067, $D$2:$D5067=$D268)) * 100, 2))"),15.0)</f>
        <v>15</v>
      </c>
      <c r="K268" s="2"/>
      <c r="L268" s="49"/>
      <c r="M268" s="49"/>
      <c r="N268" s="49"/>
      <c r="O268" s="49" t="str">
        <f t="shared" si="2"/>
        <v/>
      </c>
      <c r="P268" s="49" t="str">
        <f t="shared" si="3"/>
        <v/>
      </c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</row>
    <row r="269">
      <c r="A269" s="69">
        <v>18.0</v>
      </c>
      <c r="B269" s="69">
        <v>21.0</v>
      </c>
      <c r="C269" s="86" t="s">
        <v>102</v>
      </c>
      <c r="D269" s="86" t="s">
        <v>103</v>
      </c>
      <c r="E269" s="86" t="s">
        <v>104</v>
      </c>
      <c r="F269" s="69">
        <v>2000.0</v>
      </c>
      <c r="G269" s="69">
        <v>2.03</v>
      </c>
      <c r="H269" s="68">
        <f t="shared" si="1"/>
        <v>5.67</v>
      </c>
      <c r="I269" s="81">
        <f>IFERROR(__xludf.DUMMYFUNCTION("IF(G269="""", """", ROUND(G269 / MAX(FILTER($G$2:$G5067, $D$2:$D5067=$D269)) * 100, 2))"),68.58)</f>
        <v>68.58</v>
      </c>
      <c r="J269" s="81">
        <f>IFERROR(__xludf.DUMMYFUNCTION("IF(H269="""", """", ROUND(H269 / MAX(FILTER($H$2:$H5067, $D$2:$D5067=$D269)) * 100, 2))"),20.5)</f>
        <v>20.5</v>
      </c>
      <c r="K269" s="2"/>
      <c r="L269" s="48"/>
      <c r="M269" s="48"/>
      <c r="N269" s="48"/>
      <c r="O269" s="48" t="str">
        <f t="shared" si="2"/>
        <v/>
      </c>
      <c r="P269" s="48" t="str">
        <f t="shared" si="3"/>
        <v/>
      </c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</row>
    <row r="270">
      <c r="A270" s="63">
        <v>18.0</v>
      </c>
      <c r="B270" s="63">
        <v>21.0</v>
      </c>
      <c r="C270" s="64" t="s">
        <v>102</v>
      </c>
      <c r="D270" s="64" t="s">
        <v>103</v>
      </c>
      <c r="E270" s="64" t="s">
        <v>104</v>
      </c>
      <c r="F270" s="63">
        <v>2500.0</v>
      </c>
      <c r="G270" s="63">
        <v>2.08</v>
      </c>
      <c r="H270" s="66">
        <f t="shared" si="1"/>
        <v>7.26</v>
      </c>
      <c r="I270" s="81">
        <f>IFERROR(__xludf.DUMMYFUNCTION("IF(G270="""", """", ROUND(G270 / MAX(FILTER($G$2:$G5067, $D$2:$D5067=$D270)) * 100, 2))"),70.27)</f>
        <v>70.27</v>
      </c>
      <c r="J270" s="81">
        <f>IFERROR(__xludf.DUMMYFUNCTION("IF(H270="""", """", ROUND(H270 / MAX(FILTER($H$2:$H5067, $D$2:$D5067=$D270)) * 100, 2))"),26.25)</f>
        <v>26.25</v>
      </c>
      <c r="K270" s="2"/>
      <c r="L270" s="49"/>
      <c r="M270" s="49"/>
      <c r="N270" s="49"/>
      <c r="O270" s="49" t="str">
        <f t="shared" si="2"/>
        <v/>
      </c>
      <c r="P270" s="49" t="str">
        <f t="shared" si="3"/>
        <v/>
      </c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</row>
    <row r="271">
      <c r="A271" s="69">
        <v>18.0</v>
      </c>
      <c r="B271" s="69">
        <v>21.0</v>
      </c>
      <c r="C271" s="86" t="s">
        <v>102</v>
      </c>
      <c r="D271" s="86" t="s">
        <v>103</v>
      </c>
      <c r="E271" s="86" t="s">
        <v>104</v>
      </c>
      <c r="F271" s="69">
        <v>3000.0</v>
      </c>
      <c r="G271" s="69">
        <v>2.13</v>
      </c>
      <c r="H271" s="68">
        <f t="shared" si="1"/>
        <v>8.92</v>
      </c>
      <c r="I271" s="81">
        <f>IFERROR(__xludf.DUMMYFUNCTION("IF(G271="""", """", ROUND(G271 / MAX(FILTER($G$2:$G5067, $D$2:$D5067=$D271)) * 100, 2))"),71.96)</f>
        <v>71.96</v>
      </c>
      <c r="J271" s="81">
        <f>IFERROR(__xludf.DUMMYFUNCTION("IF(H271="""", """", ROUND(H271 / MAX(FILTER($H$2:$H5067, $D$2:$D5067=$D271)) * 100, 2))"),32.25)</f>
        <v>32.25</v>
      </c>
      <c r="K271" s="2"/>
      <c r="L271" s="48"/>
      <c r="M271" s="48"/>
      <c r="N271" s="48"/>
      <c r="O271" s="48" t="str">
        <f t="shared" si="2"/>
        <v/>
      </c>
      <c r="P271" s="48" t="str">
        <f t="shared" si="3"/>
        <v/>
      </c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</row>
    <row r="272">
      <c r="A272" s="63">
        <v>18.0</v>
      </c>
      <c r="B272" s="63">
        <v>21.0</v>
      </c>
      <c r="C272" s="64" t="s">
        <v>102</v>
      </c>
      <c r="D272" s="64" t="s">
        <v>103</v>
      </c>
      <c r="E272" s="64" t="s">
        <v>104</v>
      </c>
      <c r="F272" s="63">
        <v>3500.0</v>
      </c>
      <c r="G272" s="63">
        <v>2.15</v>
      </c>
      <c r="H272" s="66">
        <f t="shared" si="1"/>
        <v>10.51</v>
      </c>
      <c r="I272" s="81">
        <f>IFERROR(__xludf.DUMMYFUNCTION("IF(G272="""", """", ROUND(G272 / MAX(FILTER($G$2:$G5067, $D$2:$D5067=$D272)) * 100, 2))"),72.64)</f>
        <v>72.64</v>
      </c>
      <c r="J272" s="81">
        <f>IFERROR(__xludf.DUMMYFUNCTION("IF(H272="""", """", ROUND(H272 / MAX(FILTER($H$2:$H5067, $D$2:$D5067=$D272)) * 100, 2))"),38.0)</f>
        <v>38</v>
      </c>
      <c r="K272" s="2"/>
      <c r="L272" s="49"/>
      <c r="M272" s="49"/>
      <c r="N272" s="49"/>
      <c r="O272" s="49" t="str">
        <f t="shared" si="2"/>
        <v/>
      </c>
      <c r="P272" s="49" t="str">
        <f t="shared" si="3"/>
        <v/>
      </c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</row>
    <row r="273">
      <c r="A273" s="69">
        <v>18.0</v>
      </c>
      <c r="B273" s="69">
        <v>21.0</v>
      </c>
      <c r="C273" s="86" t="s">
        <v>102</v>
      </c>
      <c r="D273" s="86" t="s">
        <v>103</v>
      </c>
      <c r="E273" s="86" t="s">
        <v>104</v>
      </c>
      <c r="F273" s="69">
        <v>4000.0</v>
      </c>
      <c r="G273" s="69">
        <v>2.18</v>
      </c>
      <c r="H273" s="68">
        <f t="shared" si="1"/>
        <v>12.18</v>
      </c>
      <c r="I273" s="81">
        <f>IFERROR(__xludf.DUMMYFUNCTION("IF(G273="""", """", ROUND(G273 / MAX(FILTER($G$2:$G5067, $D$2:$D5067=$D273)) * 100, 2))"),73.65)</f>
        <v>73.65</v>
      </c>
      <c r="J273" s="81">
        <f>IFERROR(__xludf.DUMMYFUNCTION("IF(H273="""", """", ROUND(H273 / MAX(FILTER($H$2:$H5067, $D$2:$D5067=$D273)) * 100, 2))"),44.03)</f>
        <v>44.03</v>
      </c>
      <c r="K273" s="2"/>
      <c r="L273" s="48"/>
      <c r="M273" s="48"/>
      <c r="N273" s="48"/>
      <c r="O273" s="48" t="str">
        <f t="shared" si="2"/>
        <v/>
      </c>
      <c r="P273" s="48" t="str">
        <f t="shared" si="3"/>
        <v/>
      </c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</row>
    <row r="274">
      <c r="A274" s="63">
        <v>18.0</v>
      </c>
      <c r="B274" s="63">
        <v>21.0</v>
      </c>
      <c r="C274" s="64" t="s">
        <v>102</v>
      </c>
      <c r="D274" s="64" t="s">
        <v>103</v>
      </c>
      <c r="E274" s="64" t="s">
        <v>104</v>
      </c>
      <c r="F274" s="63">
        <v>4500.0</v>
      </c>
      <c r="G274" s="63">
        <v>2.26</v>
      </c>
      <c r="H274" s="66">
        <f t="shared" si="1"/>
        <v>14.2</v>
      </c>
      <c r="I274" s="81">
        <f>IFERROR(__xludf.DUMMYFUNCTION("IF(G274="""", """", ROUND(G274 / MAX(FILTER($G$2:$G5067, $D$2:$D5067=$D274)) * 100, 2))"),76.35)</f>
        <v>76.35</v>
      </c>
      <c r="J274" s="81">
        <f>IFERROR(__xludf.DUMMYFUNCTION("IF(H274="""", """", ROUND(H274 / MAX(FILTER($H$2:$H5067, $D$2:$D5067=$D274)) * 100, 2))"),51.34)</f>
        <v>51.34</v>
      </c>
      <c r="K274" s="2"/>
      <c r="L274" s="49"/>
      <c r="M274" s="49"/>
      <c r="N274" s="49"/>
      <c r="O274" s="49" t="str">
        <f t="shared" si="2"/>
        <v/>
      </c>
      <c r="P274" s="49" t="str">
        <f t="shared" si="3"/>
        <v/>
      </c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</row>
    <row r="275">
      <c r="A275" s="69">
        <v>18.0</v>
      </c>
      <c r="B275" s="69">
        <v>21.0</v>
      </c>
      <c r="C275" s="86" t="s">
        <v>102</v>
      </c>
      <c r="D275" s="86" t="s">
        <v>103</v>
      </c>
      <c r="E275" s="86" t="s">
        <v>104</v>
      </c>
      <c r="F275" s="69">
        <v>5000.0</v>
      </c>
      <c r="G275" s="69">
        <v>2.38</v>
      </c>
      <c r="H275" s="68">
        <f t="shared" si="1"/>
        <v>16.62</v>
      </c>
      <c r="I275" s="81">
        <f>IFERROR(__xludf.DUMMYFUNCTION("IF(G275="""", """", ROUND(G275 / MAX(FILTER($G$2:$G5067, $D$2:$D5067=$D275)) * 100, 2))"),80.41)</f>
        <v>80.41</v>
      </c>
      <c r="J275" s="81">
        <f>IFERROR(__xludf.DUMMYFUNCTION("IF(H275="""", """", ROUND(H275 / MAX(FILTER($H$2:$H5067, $D$2:$D5067=$D275)) * 100, 2))"),60.09)</f>
        <v>60.09</v>
      </c>
      <c r="K275" s="2"/>
      <c r="L275" s="48"/>
      <c r="M275" s="48"/>
      <c r="N275" s="48"/>
      <c r="O275" s="48" t="str">
        <f t="shared" si="2"/>
        <v/>
      </c>
      <c r="P275" s="48" t="str">
        <f t="shared" si="3"/>
        <v/>
      </c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</row>
    <row r="276">
      <c r="A276" s="63">
        <v>18.0</v>
      </c>
      <c r="B276" s="63">
        <v>21.0</v>
      </c>
      <c r="C276" s="64" t="s">
        <v>102</v>
      </c>
      <c r="D276" s="64" t="s">
        <v>103</v>
      </c>
      <c r="E276" s="64" t="s">
        <v>104</v>
      </c>
      <c r="F276" s="63">
        <v>5500.0</v>
      </c>
      <c r="G276" s="63">
        <v>2.61</v>
      </c>
      <c r="H276" s="66">
        <f t="shared" si="1"/>
        <v>20.04</v>
      </c>
      <c r="I276" s="81">
        <f>IFERROR(__xludf.DUMMYFUNCTION("IF(G276="""", """", ROUND(G276 / MAX(FILTER($G$2:$G5067, $D$2:$D5067=$D276)) * 100, 2))"),88.18)</f>
        <v>88.18</v>
      </c>
      <c r="J276" s="81">
        <f>IFERROR(__xludf.DUMMYFUNCTION("IF(H276="""", """", ROUND(H276 / MAX(FILTER($H$2:$H5067, $D$2:$D5067=$D276)) * 100, 2))"),72.45)</f>
        <v>72.45</v>
      </c>
      <c r="K276" s="2"/>
      <c r="L276" s="49"/>
      <c r="M276" s="49"/>
      <c r="N276" s="49"/>
      <c r="O276" s="49" t="str">
        <f t="shared" si="2"/>
        <v/>
      </c>
      <c r="P276" s="49" t="str">
        <f t="shared" si="3"/>
        <v/>
      </c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</row>
    <row r="277">
      <c r="A277" s="69">
        <v>18.0</v>
      </c>
      <c r="B277" s="69">
        <v>21.0</v>
      </c>
      <c r="C277" s="86" t="s">
        <v>102</v>
      </c>
      <c r="D277" s="86" t="s">
        <v>103</v>
      </c>
      <c r="E277" s="86" t="s">
        <v>104</v>
      </c>
      <c r="F277" s="69">
        <v>6000.0</v>
      </c>
      <c r="G277" s="69">
        <v>2.79</v>
      </c>
      <c r="H277" s="68">
        <f t="shared" si="1"/>
        <v>23.37</v>
      </c>
      <c r="I277" s="81">
        <f>IFERROR(__xludf.DUMMYFUNCTION("IF(G277="""", """", ROUND(G277 / MAX(FILTER($G$2:$G5067, $D$2:$D5067=$D277)) * 100, 2))"),94.26)</f>
        <v>94.26</v>
      </c>
      <c r="J277" s="81">
        <f>IFERROR(__xludf.DUMMYFUNCTION("IF(H277="""", """", ROUND(H277 / MAX(FILTER($H$2:$H5067, $D$2:$D5067=$D277)) * 100, 2))"),84.49)</f>
        <v>84.49</v>
      </c>
      <c r="K277" s="2"/>
      <c r="L277" s="48"/>
      <c r="M277" s="48"/>
      <c r="N277" s="48"/>
      <c r="O277" s="48" t="str">
        <f t="shared" si="2"/>
        <v/>
      </c>
      <c r="P277" s="48" t="str">
        <f t="shared" si="3"/>
        <v/>
      </c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</row>
    <row r="278">
      <c r="A278" s="63">
        <v>18.0</v>
      </c>
      <c r="B278" s="63">
        <v>21.0</v>
      </c>
      <c r="C278" s="64" t="s">
        <v>102</v>
      </c>
      <c r="D278" s="64" t="s">
        <v>103</v>
      </c>
      <c r="E278" s="64" t="s">
        <v>104</v>
      </c>
      <c r="F278" s="63">
        <v>6400.0</v>
      </c>
      <c r="G278" s="63">
        <v>2.96</v>
      </c>
      <c r="H278" s="66">
        <f t="shared" si="1"/>
        <v>26.45</v>
      </c>
      <c r="I278" s="81">
        <f>IFERROR(__xludf.DUMMYFUNCTION("IF(G278="""", """", ROUND(G278 / MAX(FILTER($G$2:$G5067, $D$2:$D5067=$D278)) * 100, 2))"),100.0)</f>
        <v>100</v>
      </c>
      <c r="J278" s="81">
        <f>IFERROR(__xludf.DUMMYFUNCTION("IF(H278="""", """", ROUND(H278 / MAX(FILTER($H$2:$H5067, $D$2:$D5067=$D278)) * 100, 2))"),95.63)</f>
        <v>95.63</v>
      </c>
      <c r="K278" s="2"/>
      <c r="L278" s="49"/>
      <c r="M278" s="49"/>
      <c r="N278" s="49"/>
      <c r="O278" s="49" t="str">
        <f t="shared" si="2"/>
        <v/>
      </c>
      <c r="P278" s="49" t="str">
        <f t="shared" si="3"/>
        <v/>
      </c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</row>
    <row r="279">
      <c r="A279" s="69">
        <v>18.0</v>
      </c>
      <c r="B279" s="69">
        <v>21.0</v>
      </c>
      <c r="C279" s="86" t="s">
        <v>102</v>
      </c>
      <c r="D279" s="86" t="s">
        <v>103</v>
      </c>
      <c r="E279" s="86" t="s">
        <v>104</v>
      </c>
      <c r="F279" s="69">
        <v>7000.0</v>
      </c>
      <c r="G279" s="69">
        <v>2.83</v>
      </c>
      <c r="H279" s="68">
        <f t="shared" si="1"/>
        <v>27.66</v>
      </c>
      <c r="I279" s="81">
        <f>IFERROR(__xludf.DUMMYFUNCTION("IF(G279="""", """", ROUND(G279 / MAX(FILTER($G$2:$G5067, $D$2:$D5067=$D279)) * 100, 2))"),95.61)</f>
        <v>95.61</v>
      </c>
      <c r="J279" s="81">
        <f>IFERROR(__xludf.DUMMYFUNCTION("IF(H279="""", """", ROUND(H279 / MAX(FILTER($H$2:$H5067, $D$2:$D5067=$D279)) * 100, 2))"),100.0)</f>
        <v>100</v>
      </c>
      <c r="K279" s="2"/>
      <c r="L279" s="48"/>
      <c r="M279" s="48"/>
      <c r="N279" s="48"/>
      <c r="O279" s="48" t="str">
        <f t="shared" si="2"/>
        <v/>
      </c>
      <c r="P279" s="48" t="str">
        <f t="shared" si="3"/>
        <v/>
      </c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</row>
    <row r="280">
      <c r="A280" s="63">
        <v>18.0</v>
      </c>
      <c r="B280" s="63">
        <v>21.0</v>
      </c>
      <c r="C280" s="64" t="s">
        <v>102</v>
      </c>
      <c r="D280" s="64" t="s">
        <v>103</v>
      </c>
      <c r="E280" s="64" t="s">
        <v>104</v>
      </c>
      <c r="F280" s="63">
        <v>7500.0</v>
      </c>
      <c r="G280" s="63">
        <v>2.58</v>
      </c>
      <c r="H280" s="66">
        <f t="shared" si="1"/>
        <v>27.02</v>
      </c>
      <c r="I280" s="81">
        <f>IFERROR(__xludf.DUMMYFUNCTION("IF(G280="""", """", ROUND(G280 / MAX(FILTER($G$2:$G5067, $D$2:$D5067=$D280)) * 100, 2))"),87.16)</f>
        <v>87.16</v>
      </c>
      <c r="J280" s="81">
        <f>IFERROR(__xludf.DUMMYFUNCTION("IF(H280="""", """", ROUND(H280 / MAX(FILTER($H$2:$H5067, $D$2:$D5067=$D280)) * 100, 2))"),97.69)</f>
        <v>97.69</v>
      </c>
      <c r="K280" s="2"/>
      <c r="L280" s="49"/>
      <c r="M280" s="49"/>
      <c r="N280" s="49"/>
      <c r="O280" s="49" t="str">
        <f t="shared" si="2"/>
        <v/>
      </c>
      <c r="P280" s="49" t="str">
        <f t="shared" si="3"/>
        <v/>
      </c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</row>
    <row r="281">
      <c r="A281" s="69">
        <v>18.0</v>
      </c>
      <c r="B281" s="69">
        <v>21.0</v>
      </c>
      <c r="C281" s="86" t="s">
        <v>102</v>
      </c>
      <c r="D281" s="86" t="s">
        <v>103</v>
      </c>
      <c r="E281" s="86" t="s">
        <v>104</v>
      </c>
      <c r="F281" s="69">
        <v>8000.0</v>
      </c>
      <c r="G281" s="69">
        <v>2.01</v>
      </c>
      <c r="H281" s="68">
        <f t="shared" si="1"/>
        <v>22.45</v>
      </c>
      <c r="I281" s="81">
        <f>IFERROR(__xludf.DUMMYFUNCTION("IF(G281="""", """", ROUND(G281 / MAX(FILTER($G$2:$G5067, $D$2:$D5067=$D281)) * 100, 2))"),67.91)</f>
        <v>67.91</v>
      </c>
      <c r="J281" s="81">
        <f>IFERROR(__xludf.DUMMYFUNCTION("IF(H281="""", """", ROUND(H281 / MAX(FILTER($H$2:$H5067, $D$2:$D5067=$D281)) * 100, 2))"),81.16)</f>
        <v>81.16</v>
      </c>
      <c r="K281" s="2"/>
      <c r="L281" s="48"/>
      <c r="M281" s="48"/>
      <c r="N281" s="48"/>
      <c r="O281" s="48" t="str">
        <f t="shared" si="2"/>
        <v/>
      </c>
      <c r="P281" s="48" t="str">
        <f t="shared" si="3"/>
        <v/>
      </c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</row>
    <row r="282">
      <c r="A282" s="63">
        <v>19.0</v>
      </c>
      <c r="B282" s="63">
        <v>25.0</v>
      </c>
      <c r="C282" s="64" t="s">
        <v>105</v>
      </c>
      <c r="D282" s="64" t="s">
        <v>106</v>
      </c>
      <c r="E282" s="64" t="s">
        <v>107</v>
      </c>
      <c r="F282" s="63">
        <v>500.0</v>
      </c>
      <c r="G282" s="63">
        <v>17.25</v>
      </c>
      <c r="H282" s="66">
        <f t="shared" si="1"/>
        <v>12.04</v>
      </c>
      <c r="I282" s="81">
        <f>IFERROR(__xludf.DUMMYFUNCTION("IF(G282="""", """", ROUND(G282 / MAX(FILTER($G$2:$G5067, $D$2:$D5067=$D282)) * 100, 2))"),44.79)</f>
        <v>44.79</v>
      </c>
      <c r="J282" s="81">
        <f>IFERROR(__xludf.DUMMYFUNCTION("IF(H282="""", """", ROUND(H282 / MAX(FILTER($H$2:$H5067, $D$2:$D5067=$D282)) * 100, 2))"),3.73)</f>
        <v>3.73</v>
      </c>
      <c r="K282" s="2"/>
      <c r="L282" s="49"/>
      <c r="M282" s="49"/>
      <c r="N282" s="49"/>
      <c r="O282" s="49" t="str">
        <f t="shared" si="2"/>
        <v/>
      </c>
      <c r="P282" s="49" t="str">
        <f t="shared" si="3"/>
        <v/>
      </c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</row>
    <row r="283">
      <c r="A283" s="69">
        <v>19.0</v>
      </c>
      <c r="B283" s="69">
        <v>25.0</v>
      </c>
      <c r="C283" s="86" t="s">
        <v>105</v>
      </c>
      <c r="D283" s="86" t="s">
        <v>106</v>
      </c>
      <c r="E283" s="86" t="s">
        <v>107</v>
      </c>
      <c r="F283" s="69">
        <v>1000.0</v>
      </c>
      <c r="G283" s="69">
        <v>24.0</v>
      </c>
      <c r="H283" s="68">
        <f t="shared" si="1"/>
        <v>33.51</v>
      </c>
      <c r="I283" s="81">
        <f>IFERROR(__xludf.DUMMYFUNCTION("IF(G283="""", """", ROUND(G283 / MAX(FILTER($G$2:$G5067, $D$2:$D5067=$D283)) * 100, 2))"),62.32)</f>
        <v>62.32</v>
      </c>
      <c r="J283" s="81">
        <f>IFERROR(__xludf.DUMMYFUNCTION("IF(H283="""", """", ROUND(H283 / MAX(FILTER($H$2:$H5067, $D$2:$D5067=$D283)) * 100, 2))"),10.39)</f>
        <v>10.39</v>
      </c>
      <c r="K283" s="2"/>
      <c r="L283" s="48"/>
      <c r="M283" s="48"/>
      <c r="N283" s="48"/>
      <c r="O283" s="48" t="str">
        <f t="shared" si="2"/>
        <v/>
      </c>
      <c r="P283" s="48" t="str">
        <f t="shared" si="3"/>
        <v/>
      </c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</row>
    <row r="284">
      <c r="A284" s="63">
        <v>19.0</v>
      </c>
      <c r="B284" s="63">
        <v>25.0</v>
      </c>
      <c r="C284" s="64" t="s">
        <v>105</v>
      </c>
      <c r="D284" s="64" t="s">
        <v>106</v>
      </c>
      <c r="E284" s="64" t="s">
        <v>107</v>
      </c>
      <c r="F284" s="63">
        <v>1500.0</v>
      </c>
      <c r="G284" s="63">
        <v>29.63</v>
      </c>
      <c r="H284" s="66">
        <f t="shared" si="1"/>
        <v>62.06</v>
      </c>
      <c r="I284" s="81">
        <f>IFERROR(__xludf.DUMMYFUNCTION("IF(G284="""", """", ROUND(G284 / MAX(FILTER($G$2:$G5067, $D$2:$D5067=$D284)) * 100, 2))"),76.94)</f>
        <v>76.94</v>
      </c>
      <c r="J284" s="81">
        <f>IFERROR(__xludf.DUMMYFUNCTION("IF(H284="""", """", ROUND(H284 / MAX(FILTER($H$2:$H5067, $D$2:$D5067=$D284)) * 100, 2))"),19.24)</f>
        <v>19.24</v>
      </c>
      <c r="K284" s="2"/>
      <c r="L284" s="49"/>
      <c r="M284" s="49"/>
      <c r="N284" s="49"/>
      <c r="O284" s="49" t="str">
        <f t="shared" si="2"/>
        <v/>
      </c>
      <c r="P284" s="49" t="str">
        <f t="shared" si="3"/>
        <v/>
      </c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</row>
    <row r="285">
      <c r="A285" s="69">
        <v>19.0</v>
      </c>
      <c r="B285" s="69">
        <v>25.0</v>
      </c>
      <c r="C285" s="86" t="s">
        <v>105</v>
      </c>
      <c r="D285" s="86" t="s">
        <v>106</v>
      </c>
      <c r="E285" s="86" t="s">
        <v>107</v>
      </c>
      <c r="F285" s="69">
        <v>2000.0</v>
      </c>
      <c r="G285" s="69">
        <v>33.5</v>
      </c>
      <c r="H285" s="68">
        <f t="shared" si="1"/>
        <v>93.55</v>
      </c>
      <c r="I285" s="81">
        <f>IFERROR(__xludf.DUMMYFUNCTION("IF(G285="""", """", ROUND(G285 / MAX(FILTER($G$2:$G5067, $D$2:$D5067=$D285)) * 100, 2))"),86.99)</f>
        <v>86.99</v>
      </c>
      <c r="J285" s="81">
        <f>IFERROR(__xludf.DUMMYFUNCTION("IF(H285="""", """", ROUND(H285 / MAX(FILTER($H$2:$H5067, $D$2:$D5067=$D285)) * 100, 2))"),29.0)</f>
        <v>29</v>
      </c>
      <c r="K285" s="2"/>
      <c r="L285" s="48"/>
      <c r="M285" s="48"/>
      <c r="N285" s="48"/>
      <c r="O285" s="48" t="str">
        <f t="shared" si="2"/>
        <v/>
      </c>
      <c r="P285" s="48" t="str">
        <f t="shared" si="3"/>
        <v/>
      </c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</row>
    <row r="286">
      <c r="A286" s="63">
        <v>19.0</v>
      </c>
      <c r="B286" s="63">
        <v>25.0</v>
      </c>
      <c r="C286" s="64" t="s">
        <v>105</v>
      </c>
      <c r="D286" s="64" t="s">
        <v>106</v>
      </c>
      <c r="E286" s="64" t="s">
        <v>107</v>
      </c>
      <c r="F286" s="63">
        <v>2500.0</v>
      </c>
      <c r="G286" s="63">
        <v>36.88</v>
      </c>
      <c r="H286" s="66">
        <f t="shared" si="1"/>
        <v>128.73</v>
      </c>
      <c r="I286" s="81">
        <f>IFERROR(__xludf.DUMMYFUNCTION("IF(G286="""", """", ROUND(G286 / MAX(FILTER($G$2:$G5067, $D$2:$D5067=$D286)) * 100, 2))"),95.77)</f>
        <v>95.77</v>
      </c>
      <c r="J286" s="81">
        <f>IFERROR(__xludf.DUMMYFUNCTION("IF(H286="""", """", ROUND(H286 / MAX(FILTER($H$2:$H5067, $D$2:$D5067=$D286)) * 100, 2))"),39.91)</f>
        <v>39.91</v>
      </c>
      <c r="K286" s="2"/>
      <c r="L286" s="49"/>
      <c r="M286" s="49"/>
      <c r="N286" s="49"/>
      <c r="O286" s="49" t="str">
        <f t="shared" si="2"/>
        <v/>
      </c>
      <c r="P286" s="49" t="str">
        <f t="shared" si="3"/>
        <v/>
      </c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</row>
    <row r="287">
      <c r="A287" s="69">
        <v>19.0</v>
      </c>
      <c r="B287" s="69">
        <v>25.0</v>
      </c>
      <c r="C287" s="86" t="s">
        <v>105</v>
      </c>
      <c r="D287" s="86" t="s">
        <v>106</v>
      </c>
      <c r="E287" s="86" t="s">
        <v>107</v>
      </c>
      <c r="F287" s="69">
        <v>3000.0</v>
      </c>
      <c r="G287" s="69">
        <v>38.0</v>
      </c>
      <c r="H287" s="68">
        <f t="shared" si="1"/>
        <v>159.17</v>
      </c>
      <c r="I287" s="81">
        <f>IFERROR(__xludf.DUMMYFUNCTION("IF(G287="""", """", ROUND(G287 / MAX(FILTER($G$2:$G5067, $D$2:$D5067=$D287)) * 100, 2))"),98.68)</f>
        <v>98.68</v>
      </c>
      <c r="J287" s="81">
        <f>IFERROR(__xludf.DUMMYFUNCTION("IF(H287="""", """", ROUND(H287 / MAX(FILTER($H$2:$H5067, $D$2:$D5067=$D287)) * 100, 2))"),49.35)</f>
        <v>49.35</v>
      </c>
      <c r="K287" s="2"/>
      <c r="L287" s="48"/>
      <c r="M287" s="48"/>
      <c r="N287" s="48"/>
      <c r="O287" s="48" t="str">
        <f t="shared" si="2"/>
        <v/>
      </c>
      <c r="P287" s="48" t="str">
        <f t="shared" si="3"/>
        <v/>
      </c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</row>
    <row r="288">
      <c r="A288" s="63">
        <v>19.0</v>
      </c>
      <c r="B288" s="63">
        <v>25.0</v>
      </c>
      <c r="C288" s="64" t="s">
        <v>105</v>
      </c>
      <c r="D288" s="64" t="s">
        <v>106</v>
      </c>
      <c r="E288" s="64" t="s">
        <v>107</v>
      </c>
      <c r="F288" s="63">
        <v>3500.0</v>
      </c>
      <c r="G288" s="63">
        <v>38.5</v>
      </c>
      <c r="H288" s="66">
        <f t="shared" si="1"/>
        <v>188.15</v>
      </c>
      <c r="I288" s="81">
        <f>IFERROR(__xludf.DUMMYFUNCTION("IF(G288="""", """", ROUND(G288 / MAX(FILTER($G$2:$G5067, $D$2:$D5067=$D288)) * 100, 2))"),99.97)</f>
        <v>99.97</v>
      </c>
      <c r="J288" s="81">
        <f>IFERROR(__xludf.DUMMYFUNCTION("IF(H288="""", """", ROUND(H288 / MAX(FILTER($H$2:$H5067, $D$2:$D5067=$D288)) * 100, 2))"),58.33)</f>
        <v>58.33</v>
      </c>
      <c r="K288" s="2"/>
      <c r="L288" s="49"/>
      <c r="M288" s="49"/>
      <c r="N288" s="49"/>
      <c r="O288" s="49" t="str">
        <f t="shared" si="2"/>
        <v/>
      </c>
      <c r="P288" s="49" t="str">
        <f t="shared" si="3"/>
        <v/>
      </c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</row>
    <row r="289">
      <c r="A289" s="69">
        <v>19.0</v>
      </c>
      <c r="B289" s="69">
        <v>25.0</v>
      </c>
      <c r="C289" s="86" t="s">
        <v>105</v>
      </c>
      <c r="D289" s="86" t="s">
        <v>106</v>
      </c>
      <c r="E289" s="86" t="s">
        <v>107</v>
      </c>
      <c r="F289" s="69">
        <v>4000.0</v>
      </c>
      <c r="G289" s="69">
        <v>38.51</v>
      </c>
      <c r="H289" s="68">
        <f t="shared" si="1"/>
        <v>215.08</v>
      </c>
      <c r="I289" s="81">
        <f>IFERROR(__xludf.DUMMYFUNCTION("IF(G289="""", """", ROUND(G289 / MAX(FILTER($G$2:$G5067, $D$2:$D5067=$D289)) * 100, 2))"),100.0)</f>
        <v>100</v>
      </c>
      <c r="J289" s="81">
        <f>IFERROR(__xludf.DUMMYFUNCTION("IF(H289="""", """", ROUND(H289 / MAX(FILTER($H$2:$H5067, $D$2:$D5067=$D289)) * 100, 2))"),66.68)</f>
        <v>66.68</v>
      </c>
      <c r="K289" s="2"/>
      <c r="L289" s="48"/>
      <c r="M289" s="48"/>
      <c r="N289" s="48"/>
      <c r="O289" s="48" t="str">
        <f t="shared" si="2"/>
        <v/>
      </c>
      <c r="P289" s="48" t="str">
        <f t="shared" si="3"/>
        <v/>
      </c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</row>
    <row r="290">
      <c r="A290" s="63">
        <v>19.0</v>
      </c>
      <c r="B290" s="63">
        <v>25.0</v>
      </c>
      <c r="C290" s="64" t="s">
        <v>105</v>
      </c>
      <c r="D290" s="64" t="s">
        <v>106</v>
      </c>
      <c r="E290" s="64" t="s">
        <v>107</v>
      </c>
      <c r="F290" s="63">
        <v>4500.0</v>
      </c>
      <c r="G290" s="63">
        <v>38.5</v>
      </c>
      <c r="H290" s="66">
        <f t="shared" si="1"/>
        <v>241.9</v>
      </c>
      <c r="I290" s="81">
        <f>IFERROR(__xludf.DUMMYFUNCTION("IF(G290="""", """", ROUND(G290 / MAX(FILTER($G$2:$G5067, $D$2:$D5067=$D290)) * 100, 2))"),99.97)</f>
        <v>99.97</v>
      </c>
      <c r="J290" s="81">
        <f>IFERROR(__xludf.DUMMYFUNCTION("IF(H290="""", """", ROUND(H290 / MAX(FILTER($H$2:$H5067, $D$2:$D5067=$D290)) * 100, 2))"),75.0)</f>
        <v>75</v>
      </c>
      <c r="K290" s="2"/>
      <c r="L290" s="49"/>
      <c r="M290" s="49"/>
      <c r="N290" s="49"/>
      <c r="O290" s="49" t="str">
        <f t="shared" si="2"/>
        <v/>
      </c>
      <c r="P290" s="49" t="str">
        <f t="shared" si="3"/>
        <v/>
      </c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</row>
    <row r="291">
      <c r="A291" s="69">
        <v>19.0</v>
      </c>
      <c r="B291" s="69">
        <v>25.0</v>
      </c>
      <c r="C291" s="86" t="s">
        <v>105</v>
      </c>
      <c r="D291" s="86" t="s">
        <v>106</v>
      </c>
      <c r="E291" s="86" t="s">
        <v>107</v>
      </c>
      <c r="F291" s="69">
        <v>5000.0</v>
      </c>
      <c r="G291" s="69">
        <v>38.38</v>
      </c>
      <c r="H291" s="68">
        <f t="shared" si="1"/>
        <v>267.94</v>
      </c>
      <c r="I291" s="81">
        <f>IFERROR(__xludf.DUMMYFUNCTION("IF(G291="""", """", ROUND(G291 / MAX(FILTER($G$2:$G5067, $D$2:$D5067=$D291)) * 100, 2))"),99.66)</f>
        <v>99.66</v>
      </c>
      <c r="J291" s="81">
        <f>IFERROR(__xludf.DUMMYFUNCTION("IF(H291="""", """", ROUND(H291 / MAX(FILTER($H$2:$H5067, $D$2:$D5067=$D291)) * 100, 2))"),83.07)</f>
        <v>83.07</v>
      </c>
      <c r="K291" s="2"/>
      <c r="L291" s="48"/>
      <c r="M291" s="48"/>
      <c r="N291" s="48"/>
      <c r="O291" s="48" t="str">
        <f t="shared" si="2"/>
        <v/>
      </c>
      <c r="P291" s="48" t="str">
        <f t="shared" si="3"/>
        <v/>
      </c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</row>
    <row r="292">
      <c r="A292" s="63">
        <v>19.0</v>
      </c>
      <c r="B292" s="63">
        <v>25.0</v>
      </c>
      <c r="C292" s="64" t="s">
        <v>105</v>
      </c>
      <c r="D292" s="64" t="s">
        <v>106</v>
      </c>
      <c r="E292" s="64" t="s">
        <v>107</v>
      </c>
      <c r="F292" s="63">
        <v>5500.0</v>
      </c>
      <c r="G292" s="63">
        <v>38.5</v>
      </c>
      <c r="H292" s="66">
        <f t="shared" si="1"/>
        <v>295.66</v>
      </c>
      <c r="I292" s="81">
        <f>IFERROR(__xludf.DUMMYFUNCTION("IF(G292="""", """", ROUND(G292 / MAX(FILTER($G$2:$G5067, $D$2:$D5067=$D292)) * 100, 2))"),99.97)</f>
        <v>99.97</v>
      </c>
      <c r="J292" s="81">
        <f>IFERROR(__xludf.DUMMYFUNCTION("IF(H292="""", """", ROUND(H292 / MAX(FILTER($H$2:$H5067, $D$2:$D5067=$D292)) * 100, 2))"),91.67)</f>
        <v>91.67</v>
      </c>
      <c r="K292" s="2"/>
      <c r="L292" s="49"/>
      <c r="M292" s="49"/>
      <c r="N292" s="49"/>
      <c r="O292" s="49" t="str">
        <f t="shared" si="2"/>
        <v/>
      </c>
      <c r="P292" s="49" t="str">
        <f t="shared" si="3"/>
        <v/>
      </c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</row>
    <row r="293">
      <c r="A293" s="69">
        <v>19.0</v>
      </c>
      <c r="B293" s="69">
        <v>25.0</v>
      </c>
      <c r="C293" s="86" t="s">
        <v>105</v>
      </c>
      <c r="D293" s="86" t="s">
        <v>106</v>
      </c>
      <c r="E293" s="86" t="s">
        <v>107</v>
      </c>
      <c r="F293" s="69">
        <v>6000.0</v>
      </c>
      <c r="G293" s="69">
        <v>38.5</v>
      </c>
      <c r="H293" s="68">
        <f t="shared" si="1"/>
        <v>322.54</v>
      </c>
      <c r="I293" s="81">
        <f>IFERROR(__xludf.DUMMYFUNCTION("IF(G293="""", """", ROUND(G293 / MAX(FILTER($G$2:$G5067, $D$2:$D5067=$D293)) * 100, 2))"),99.97)</f>
        <v>99.97</v>
      </c>
      <c r="J293" s="81">
        <f>IFERROR(__xludf.DUMMYFUNCTION("IF(H293="""", """", ROUND(H293 / MAX(FILTER($H$2:$H5067, $D$2:$D5067=$D293)) * 100, 2))"),100.0)</f>
        <v>100</v>
      </c>
      <c r="K293" s="2"/>
      <c r="L293" s="48"/>
      <c r="M293" s="48"/>
      <c r="N293" s="48"/>
      <c r="O293" s="48" t="str">
        <f t="shared" si="2"/>
        <v/>
      </c>
      <c r="P293" s="48" t="str">
        <f t="shared" si="3"/>
        <v/>
      </c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</row>
    <row r="294">
      <c r="A294" s="63">
        <v>19.0</v>
      </c>
      <c r="B294" s="63">
        <v>25.0</v>
      </c>
      <c r="C294" s="64" t="s">
        <v>105</v>
      </c>
      <c r="D294" s="64" t="s">
        <v>106</v>
      </c>
      <c r="E294" s="64" t="s">
        <v>107</v>
      </c>
      <c r="F294" s="63">
        <v>6500.0</v>
      </c>
      <c r="G294" s="63">
        <v>35.25</v>
      </c>
      <c r="H294" s="66">
        <f t="shared" si="1"/>
        <v>319.92</v>
      </c>
      <c r="I294" s="81">
        <f>IFERROR(__xludf.DUMMYFUNCTION("IF(G294="""", """", ROUND(G294 / MAX(FILTER($G$2:$G5067, $D$2:$D5067=$D294)) * 100, 2))"),91.53)</f>
        <v>91.53</v>
      </c>
      <c r="J294" s="81">
        <f>IFERROR(__xludf.DUMMYFUNCTION("IF(H294="""", """", ROUND(H294 / MAX(FILTER($H$2:$H5067, $D$2:$D5067=$D294)) * 100, 2))"),99.19)</f>
        <v>99.19</v>
      </c>
      <c r="K294" s="2"/>
      <c r="L294" s="49"/>
      <c r="M294" s="49"/>
      <c r="N294" s="49"/>
      <c r="O294" s="49" t="str">
        <f t="shared" si="2"/>
        <v/>
      </c>
      <c r="P294" s="49" t="str">
        <f t="shared" si="3"/>
        <v/>
      </c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</row>
    <row r="295">
      <c r="A295" s="69">
        <v>19.0</v>
      </c>
      <c r="B295" s="69">
        <v>25.0</v>
      </c>
      <c r="C295" s="86" t="s">
        <v>105</v>
      </c>
      <c r="D295" s="86" t="s">
        <v>106</v>
      </c>
      <c r="E295" s="86" t="s">
        <v>107</v>
      </c>
      <c r="F295" s="69">
        <v>7000.0</v>
      </c>
      <c r="G295" s="69">
        <v>28.63</v>
      </c>
      <c r="H295" s="68">
        <f t="shared" si="1"/>
        <v>279.82</v>
      </c>
      <c r="I295" s="81">
        <f>IFERROR(__xludf.DUMMYFUNCTION("IF(G295="""", """", ROUND(G295 / MAX(FILTER($G$2:$G5067, $D$2:$D5067=$D295)) * 100, 2))"),74.34)</f>
        <v>74.34</v>
      </c>
      <c r="J295" s="81">
        <f>IFERROR(__xludf.DUMMYFUNCTION("IF(H295="""", """", ROUND(H295 / MAX(FILTER($H$2:$H5067, $D$2:$D5067=$D295)) * 100, 2))"),86.76)</f>
        <v>86.76</v>
      </c>
      <c r="K295" s="2"/>
      <c r="L295" s="48"/>
      <c r="M295" s="48"/>
      <c r="N295" s="48"/>
      <c r="O295" s="48" t="str">
        <f t="shared" si="2"/>
        <v/>
      </c>
      <c r="P295" s="48" t="str">
        <f t="shared" si="3"/>
        <v/>
      </c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</row>
    <row r="296">
      <c r="A296" s="63">
        <v>20.0</v>
      </c>
      <c r="B296" s="63">
        <v>26.0</v>
      </c>
      <c r="C296" s="64" t="s">
        <v>108</v>
      </c>
      <c r="D296" s="64" t="s">
        <v>109</v>
      </c>
      <c r="E296" s="64" t="s">
        <v>110</v>
      </c>
      <c r="F296" s="63">
        <v>500.0</v>
      </c>
      <c r="G296" s="63">
        <v>24.5</v>
      </c>
      <c r="H296" s="66">
        <f t="shared" si="1"/>
        <v>17.1</v>
      </c>
      <c r="I296" s="81">
        <f>IFERROR(__xludf.DUMMYFUNCTION("IF(G296="""", """", ROUND(G296 / MAX(FILTER($G$2:$G5067, $D$2:$D5067=$D296)) * 100, 2))"),58.33)</f>
        <v>58.33</v>
      </c>
      <c r="J296" s="81">
        <f>IFERROR(__xludf.DUMMYFUNCTION("IF(H296="""", """", ROUND(H296 / MAX(FILTER($H$2:$H5067, $D$2:$D5067=$D296)) * 100, 2))"),6.58)</f>
        <v>6.58</v>
      </c>
      <c r="K296" s="2"/>
      <c r="L296" s="49"/>
      <c r="M296" s="49"/>
      <c r="N296" s="49"/>
      <c r="O296" s="49" t="str">
        <f t="shared" si="2"/>
        <v/>
      </c>
      <c r="P296" s="49" t="str">
        <f t="shared" si="3"/>
        <v/>
      </c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</row>
    <row r="297">
      <c r="A297" s="69">
        <v>20.0</v>
      </c>
      <c r="B297" s="69">
        <v>26.0</v>
      </c>
      <c r="C297" s="86" t="s">
        <v>108</v>
      </c>
      <c r="D297" s="86" t="s">
        <v>109</v>
      </c>
      <c r="E297" s="86" t="s">
        <v>110</v>
      </c>
      <c r="F297" s="69">
        <v>1000.0</v>
      </c>
      <c r="G297" s="69">
        <v>29.13</v>
      </c>
      <c r="H297" s="68">
        <f t="shared" si="1"/>
        <v>40.67</v>
      </c>
      <c r="I297" s="81">
        <f>IFERROR(__xludf.DUMMYFUNCTION("IF(G297="""", """", ROUND(G297 / MAX(FILTER($G$2:$G5067, $D$2:$D5067=$D297)) * 100, 2))"),69.36)</f>
        <v>69.36</v>
      </c>
      <c r="J297" s="81">
        <f>IFERROR(__xludf.DUMMYFUNCTION("IF(H297="""", """", ROUND(H297 / MAX(FILTER($H$2:$H5067, $D$2:$D5067=$D297)) * 100, 2))"),15.66)</f>
        <v>15.66</v>
      </c>
      <c r="K297" s="2"/>
      <c r="L297" s="48"/>
      <c r="M297" s="48"/>
      <c r="N297" s="48"/>
      <c r="O297" s="48" t="str">
        <f t="shared" si="2"/>
        <v/>
      </c>
      <c r="P297" s="48" t="str">
        <f t="shared" si="3"/>
        <v/>
      </c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</row>
    <row r="298">
      <c r="A298" s="63">
        <v>20.0</v>
      </c>
      <c r="B298" s="63">
        <v>26.0</v>
      </c>
      <c r="C298" s="64" t="s">
        <v>108</v>
      </c>
      <c r="D298" s="64" t="s">
        <v>109</v>
      </c>
      <c r="E298" s="64" t="s">
        <v>110</v>
      </c>
      <c r="F298" s="63">
        <v>1500.0</v>
      </c>
      <c r="G298" s="63">
        <v>33.75</v>
      </c>
      <c r="H298" s="66">
        <f t="shared" si="1"/>
        <v>70.69</v>
      </c>
      <c r="I298" s="81">
        <f>IFERROR(__xludf.DUMMYFUNCTION("IF(G298="""", """", ROUND(G298 / MAX(FILTER($G$2:$G5067, $D$2:$D5067=$D298)) * 100, 2))"),80.36)</f>
        <v>80.36</v>
      </c>
      <c r="J298" s="81">
        <f>IFERROR(__xludf.DUMMYFUNCTION("IF(H298="""", """", ROUND(H298 / MAX(FILTER($H$2:$H5067, $D$2:$D5067=$D298)) * 100, 2))"),27.22)</f>
        <v>27.22</v>
      </c>
      <c r="K298" s="2"/>
      <c r="L298" s="49"/>
      <c r="M298" s="49"/>
      <c r="N298" s="49"/>
      <c r="O298" s="49" t="str">
        <f t="shared" si="2"/>
        <v/>
      </c>
      <c r="P298" s="49" t="str">
        <f t="shared" si="3"/>
        <v/>
      </c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</row>
    <row r="299">
      <c r="A299" s="69">
        <v>20.0</v>
      </c>
      <c r="B299" s="69">
        <v>26.0</v>
      </c>
      <c r="C299" s="86" t="s">
        <v>108</v>
      </c>
      <c r="D299" s="86" t="s">
        <v>109</v>
      </c>
      <c r="E299" s="86" t="s">
        <v>110</v>
      </c>
      <c r="F299" s="69">
        <v>2000.0</v>
      </c>
      <c r="G299" s="69">
        <v>37.63</v>
      </c>
      <c r="H299" s="68">
        <f t="shared" si="1"/>
        <v>105.08</v>
      </c>
      <c r="I299" s="81">
        <f>IFERROR(__xludf.DUMMYFUNCTION("IF(G299="""", """", ROUND(G299 / MAX(FILTER($G$2:$G5067, $D$2:$D5067=$D299)) * 100, 2))"),89.6)</f>
        <v>89.6</v>
      </c>
      <c r="J299" s="81">
        <f>IFERROR(__xludf.DUMMYFUNCTION("IF(H299="""", """", ROUND(H299 / MAX(FILTER($H$2:$H5067, $D$2:$D5067=$D299)) * 100, 2))"),40.46)</f>
        <v>40.46</v>
      </c>
      <c r="K299" s="2"/>
      <c r="L299" s="48"/>
      <c r="M299" s="48"/>
      <c r="N299" s="48"/>
      <c r="O299" s="48" t="str">
        <f t="shared" si="2"/>
        <v/>
      </c>
      <c r="P299" s="48" t="str">
        <f t="shared" si="3"/>
        <v/>
      </c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</row>
    <row r="300">
      <c r="A300" s="63">
        <v>20.0</v>
      </c>
      <c r="B300" s="63">
        <v>26.0</v>
      </c>
      <c r="C300" s="64" t="s">
        <v>108</v>
      </c>
      <c r="D300" s="64" t="s">
        <v>109</v>
      </c>
      <c r="E300" s="64" t="s">
        <v>110</v>
      </c>
      <c r="F300" s="63">
        <v>2500.0</v>
      </c>
      <c r="G300" s="63">
        <v>40.0</v>
      </c>
      <c r="H300" s="66">
        <f t="shared" si="1"/>
        <v>139.63</v>
      </c>
      <c r="I300" s="81">
        <f>IFERROR(__xludf.DUMMYFUNCTION("IF(G300="""", """", ROUND(G300 / MAX(FILTER($G$2:$G5067, $D$2:$D5067=$D300)) * 100, 2))"),95.24)</f>
        <v>95.24</v>
      </c>
      <c r="J300" s="81">
        <f>IFERROR(__xludf.DUMMYFUNCTION("IF(H300="""", """", ROUND(H300 / MAX(FILTER($H$2:$H5067, $D$2:$D5067=$D300)) * 100, 2))"),53.77)</f>
        <v>53.77</v>
      </c>
      <c r="K300" s="2"/>
      <c r="L300" s="49"/>
      <c r="M300" s="49"/>
      <c r="N300" s="49"/>
      <c r="O300" s="49" t="str">
        <f t="shared" si="2"/>
        <v/>
      </c>
      <c r="P300" s="49" t="str">
        <f t="shared" si="3"/>
        <v/>
      </c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</row>
    <row r="301">
      <c r="A301" s="69">
        <v>20.0</v>
      </c>
      <c r="B301" s="69">
        <v>26.0</v>
      </c>
      <c r="C301" s="86" t="s">
        <v>108</v>
      </c>
      <c r="D301" s="86" t="s">
        <v>109</v>
      </c>
      <c r="E301" s="86" t="s">
        <v>110</v>
      </c>
      <c r="F301" s="69">
        <v>3000.0</v>
      </c>
      <c r="G301" s="69">
        <v>41.5</v>
      </c>
      <c r="H301" s="68">
        <f t="shared" si="1"/>
        <v>173.83</v>
      </c>
      <c r="I301" s="81">
        <f>IFERROR(__xludf.DUMMYFUNCTION("IF(G301="""", """", ROUND(G301 / MAX(FILTER($G$2:$G5067, $D$2:$D5067=$D301)) * 100, 2))"),98.81)</f>
        <v>98.81</v>
      </c>
      <c r="J301" s="81">
        <f>IFERROR(__xludf.DUMMYFUNCTION("IF(H301="""", """", ROUND(H301 / MAX(FILTER($H$2:$H5067, $D$2:$D5067=$D301)) * 100, 2))"),66.93)</f>
        <v>66.93</v>
      </c>
      <c r="K301" s="2"/>
      <c r="L301" s="48"/>
      <c r="M301" s="48"/>
      <c r="N301" s="48"/>
      <c r="O301" s="48" t="str">
        <f t="shared" si="2"/>
        <v/>
      </c>
      <c r="P301" s="48" t="str">
        <f t="shared" si="3"/>
        <v/>
      </c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</row>
    <row r="302">
      <c r="A302" s="63">
        <v>20.0</v>
      </c>
      <c r="B302" s="63">
        <v>26.0</v>
      </c>
      <c r="C302" s="64" t="s">
        <v>108</v>
      </c>
      <c r="D302" s="64" t="s">
        <v>109</v>
      </c>
      <c r="E302" s="64" t="s">
        <v>110</v>
      </c>
      <c r="F302" s="63">
        <v>3400.0</v>
      </c>
      <c r="G302" s="63">
        <v>42.0</v>
      </c>
      <c r="H302" s="66">
        <f t="shared" si="1"/>
        <v>199.39</v>
      </c>
      <c r="I302" s="81">
        <f>IFERROR(__xludf.DUMMYFUNCTION("IF(G302="""", """", ROUND(G302 / MAX(FILTER($G$2:$G5067, $D$2:$D5067=$D302)) * 100, 2))"),100.0)</f>
        <v>100</v>
      </c>
      <c r="J302" s="81">
        <f>IFERROR(__xludf.DUMMYFUNCTION("IF(H302="""", """", ROUND(H302 / MAX(FILTER($H$2:$H5067, $D$2:$D5067=$D302)) * 100, 2))"),76.78)</f>
        <v>76.78</v>
      </c>
      <c r="K302" s="2"/>
      <c r="L302" s="49"/>
      <c r="M302" s="49"/>
      <c r="N302" s="49"/>
      <c r="O302" s="49" t="str">
        <f t="shared" si="2"/>
        <v/>
      </c>
      <c r="P302" s="49" t="str">
        <f t="shared" si="3"/>
        <v/>
      </c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</row>
    <row r="303">
      <c r="A303" s="69">
        <v>20.0</v>
      </c>
      <c r="B303" s="69">
        <v>26.0</v>
      </c>
      <c r="C303" s="86" t="s">
        <v>108</v>
      </c>
      <c r="D303" s="86" t="s">
        <v>109</v>
      </c>
      <c r="E303" s="86" t="s">
        <v>110</v>
      </c>
      <c r="F303" s="69">
        <v>4000.0</v>
      </c>
      <c r="G303" s="69">
        <v>40.25</v>
      </c>
      <c r="H303" s="68">
        <f t="shared" si="1"/>
        <v>224.8</v>
      </c>
      <c r="I303" s="81">
        <f>IFERROR(__xludf.DUMMYFUNCTION("IF(G303="""", """", ROUND(G303 / MAX(FILTER($G$2:$G5067, $D$2:$D5067=$D303)) * 100, 2))"),95.83)</f>
        <v>95.83</v>
      </c>
      <c r="J303" s="81">
        <f>IFERROR(__xludf.DUMMYFUNCTION("IF(H303="""", """", ROUND(H303 / MAX(FILTER($H$2:$H5067, $D$2:$D5067=$D303)) * 100, 2))"),86.56)</f>
        <v>86.56</v>
      </c>
      <c r="K303" s="2"/>
      <c r="L303" s="48"/>
      <c r="M303" s="48"/>
      <c r="N303" s="48"/>
      <c r="O303" s="48" t="str">
        <f t="shared" si="2"/>
        <v/>
      </c>
      <c r="P303" s="48" t="str">
        <f t="shared" si="3"/>
        <v/>
      </c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</row>
    <row r="304">
      <c r="A304" s="63">
        <v>20.0</v>
      </c>
      <c r="B304" s="63">
        <v>26.0</v>
      </c>
      <c r="C304" s="64" t="s">
        <v>108</v>
      </c>
      <c r="D304" s="64" t="s">
        <v>109</v>
      </c>
      <c r="E304" s="64" t="s">
        <v>110</v>
      </c>
      <c r="F304" s="63">
        <v>4500.0</v>
      </c>
      <c r="G304" s="63">
        <v>38.13</v>
      </c>
      <c r="H304" s="66">
        <f t="shared" si="1"/>
        <v>239.58</v>
      </c>
      <c r="I304" s="81">
        <f>IFERROR(__xludf.DUMMYFUNCTION("IF(G304="""", """", ROUND(G304 / MAX(FILTER($G$2:$G5067, $D$2:$D5067=$D304)) * 100, 2))"),90.79)</f>
        <v>90.79</v>
      </c>
      <c r="J304" s="81">
        <f>IFERROR(__xludf.DUMMYFUNCTION("IF(H304="""", """", ROUND(H304 / MAX(FILTER($H$2:$H5067, $D$2:$D5067=$D304)) * 100, 2))"),92.25)</f>
        <v>92.25</v>
      </c>
      <c r="K304" s="2"/>
      <c r="L304" s="49"/>
      <c r="M304" s="49"/>
      <c r="N304" s="49"/>
      <c r="O304" s="49" t="str">
        <f t="shared" si="2"/>
        <v/>
      </c>
      <c r="P304" s="49" t="str">
        <f t="shared" si="3"/>
        <v/>
      </c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</row>
    <row r="305">
      <c r="A305" s="69">
        <v>20.0</v>
      </c>
      <c r="B305" s="69">
        <v>26.0</v>
      </c>
      <c r="C305" s="86" t="s">
        <v>108</v>
      </c>
      <c r="D305" s="86" t="s">
        <v>109</v>
      </c>
      <c r="E305" s="86" t="s">
        <v>110</v>
      </c>
      <c r="F305" s="69">
        <v>5000.0</v>
      </c>
      <c r="G305" s="69">
        <v>35.88</v>
      </c>
      <c r="H305" s="68">
        <f t="shared" si="1"/>
        <v>250.49</v>
      </c>
      <c r="I305" s="81">
        <f>IFERROR(__xludf.DUMMYFUNCTION("IF(G305="""", """", ROUND(G305 / MAX(FILTER($G$2:$G5067, $D$2:$D5067=$D305)) * 100, 2))"),85.43)</f>
        <v>85.43</v>
      </c>
      <c r="J305" s="81">
        <f>IFERROR(__xludf.DUMMYFUNCTION("IF(H305="""", """", ROUND(H305 / MAX(FILTER($H$2:$H5067, $D$2:$D5067=$D305)) * 100, 2))"),96.45)</f>
        <v>96.45</v>
      </c>
      <c r="K305" s="2"/>
      <c r="L305" s="48"/>
      <c r="M305" s="48"/>
      <c r="N305" s="48"/>
      <c r="O305" s="48" t="str">
        <f t="shared" si="2"/>
        <v/>
      </c>
      <c r="P305" s="48" t="str">
        <f t="shared" si="3"/>
        <v/>
      </c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</row>
    <row r="306">
      <c r="A306" s="63">
        <v>20.0</v>
      </c>
      <c r="B306" s="63">
        <v>26.0</v>
      </c>
      <c r="C306" s="64" t="s">
        <v>108</v>
      </c>
      <c r="D306" s="64" t="s">
        <v>109</v>
      </c>
      <c r="E306" s="64" t="s">
        <v>110</v>
      </c>
      <c r="F306" s="63">
        <v>5500.0</v>
      </c>
      <c r="G306" s="63">
        <v>33.5</v>
      </c>
      <c r="H306" s="66">
        <f t="shared" si="1"/>
        <v>257.26</v>
      </c>
      <c r="I306" s="81">
        <f>IFERROR(__xludf.DUMMYFUNCTION("IF(G306="""", """", ROUND(G306 / MAX(FILTER($G$2:$G5067, $D$2:$D5067=$D306)) * 100, 2))"),79.76)</f>
        <v>79.76</v>
      </c>
      <c r="J306" s="81">
        <f>IFERROR(__xludf.DUMMYFUNCTION("IF(H306="""", """", ROUND(H306 / MAX(FILTER($H$2:$H5067, $D$2:$D5067=$D306)) * 100, 2))"),99.06)</f>
        <v>99.06</v>
      </c>
      <c r="K306" s="2"/>
      <c r="L306" s="49"/>
      <c r="M306" s="49"/>
      <c r="N306" s="49"/>
      <c r="O306" s="49" t="str">
        <f t="shared" si="2"/>
        <v/>
      </c>
      <c r="P306" s="49" t="str">
        <f t="shared" si="3"/>
        <v/>
      </c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</row>
    <row r="307">
      <c r="A307" s="69">
        <v>20.0</v>
      </c>
      <c r="B307" s="69">
        <v>26.0</v>
      </c>
      <c r="C307" s="86" t="s">
        <v>108</v>
      </c>
      <c r="D307" s="86" t="s">
        <v>109</v>
      </c>
      <c r="E307" s="86" t="s">
        <v>110</v>
      </c>
      <c r="F307" s="69">
        <v>6000.0</v>
      </c>
      <c r="G307" s="69">
        <v>31.0</v>
      </c>
      <c r="H307" s="68">
        <f t="shared" si="1"/>
        <v>259.7</v>
      </c>
      <c r="I307" s="81">
        <f>IFERROR(__xludf.DUMMYFUNCTION("IF(G307="""", """", ROUND(G307 / MAX(FILTER($G$2:$G5067, $D$2:$D5067=$D307)) * 100, 2))"),73.81)</f>
        <v>73.81</v>
      </c>
      <c r="J307" s="81">
        <f>IFERROR(__xludf.DUMMYFUNCTION("IF(H307="""", """", ROUND(H307 / MAX(FILTER($H$2:$H5067, $D$2:$D5067=$D307)) * 100, 2))"),100.0)</f>
        <v>100</v>
      </c>
      <c r="K307" s="2"/>
      <c r="L307" s="48"/>
      <c r="M307" s="48"/>
      <c r="N307" s="48"/>
      <c r="O307" s="48" t="str">
        <f t="shared" si="2"/>
        <v/>
      </c>
      <c r="P307" s="48" t="str">
        <f t="shared" si="3"/>
        <v/>
      </c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</row>
    <row r="308">
      <c r="A308" s="63">
        <v>20.0</v>
      </c>
      <c r="B308" s="63">
        <v>26.0</v>
      </c>
      <c r="C308" s="64" t="s">
        <v>108</v>
      </c>
      <c r="D308" s="64" t="s">
        <v>109</v>
      </c>
      <c r="E308" s="64" t="s">
        <v>110</v>
      </c>
      <c r="F308" s="63">
        <v>6500.0</v>
      </c>
      <c r="G308" s="63">
        <v>28.0</v>
      </c>
      <c r="H308" s="66">
        <f t="shared" si="1"/>
        <v>254.12</v>
      </c>
      <c r="I308" s="81">
        <f>IFERROR(__xludf.DUMMYFUNCTION("IF(G308="""", """", ROUND(G308 / MAX(FILTER($G$2:$G5067, $D$2:$D5067=$D308)) * 100, 2))"),66.67)</f>
        <v>66.67</v>
      </c>
      <c r="J308" s="81">
        <f>IFERROR(__xludf.DUMMYFUNCTION("IF(H308="""", """", ROUND(H308 / MAX(FILTER($H$2:$H5067, $D$2:$D5067=$D308)) * 100, 2))"),97.85)</f>
        <v>97.85</v>
      </c>
      <c r="K308" s="2"/>
      <c r="L308" s="49"/>
      <c r="M308" s="49"/>
      <c r="N308" s="49"/>
      <c r="O308" s="49" t="str">
        <f t="shared" si="2"/>
        <v/>
      </c>
      <c r="P308" s="49" t="str">
        <f t="shared" si="3"/>
        <v/>
      </c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</row>
    <row r="309">
      <c r="A309" s="69">
        <v>20.0</v>
      </c>
      <c r="B309" s="69">
        <v>26.0</v>
      </c>
      <c r="C309" s="86" t="s">
        <v>108</v>
      </c>
      <c r="D309" s="86" t="s">
        <v>109</v>
      </c>
      <c r="E309" s="86" t="s">
        <v>110</v>
      </c>
      <c r="F309" s="69">
        <v>7000.0</v>
      </c>
      <c r="G309" s="69">
        <v>24.25</v>
      </c>
      <c r="H309" s="68">
        <f t="shared" si="1"/>
        <v>237.01</v>
      </c>
      <c r="I309" s="81">
        <f>IFERROR(__xludf.DUMMYFUNCTION("IF(G309="""", """", ROUND(G309 / MAX(FILTER($G$2:$G5067, $D$2:$D5067=$D309)) * 100, 2))"),57.74)</f>
        <v>57.74</v>
      </c>
      <c r="J309" s="81">
        <f>IFERROR(__xludf.DUMMYFUNCTION("IF(H309="""", """", ROUND(H309 / MAX(FILTER($H$2:$H5067, $D$2:$D5067=$D309)) * 100, 2))"),91.26)</f>
        <v>91.26</v>
      </c>
      <c r="K309" s="2"/>
      <c r="L309" s="48"/>
      <c r="M309" s="48"/>
      <c r="N309" s="48"/>
      <c r="O309" s="48" t="str">
        <f t="shared" si="2"/>
        <v/>
      </c>
      <c r="P309" s="48" t="str">
        <f t="shared" si="3"/>
        <v/>
      </c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</row>
    <row r="310">
      <c r="A310" s="63">
        <v>21.0</v>
      </c>
      <c r="B310" s="63">
        <v>27.0</v>
      </c>
      <c r="C310" s="64" t="s">
        <v>111</v>
      </c>
      <c r="D310" s="64" t="s">
        <v>112</v>
      </c>
      <c r="E310" s="64" t="s">
        <v>113</v>
      </c>
      <c r="F310" s="63">
        <v>500.0</v>
      </c>
      <c r="G310" s="63">
        <v>5.18</v>
      </c>
      <c r="H310" s="66">
        <f t="shared" si="1"/>
        <v>3.62</v>
      </c>
      <c r="I310" s="81">
        <f>IFERROR(__xludf.DUMMYFUNCTION("IF(G310="""", """", ROUND(G310 / MAX(FILTER($G$2:$G5067, $D$2:$D5067=$D310)) * 100, 2))"),71.94)</f>
        <v>71.94</v>
      </c>
      <c r="J310" s="81">
        <f>IFERROR(__xludf.DUMMYFUNCTION("IF(H310="""", """", ROUND(H310 / MAX(FILTER($H$2:$H5067, $D$2:$D5067=$D310)) * 100, 2))"),9.25)</f>
        <v>9.25</v>
      </c>
      <c r="K310" s="2"/>
      <c r="L310" s="49"/>
      <c r="M310" s="49"/>
      <c r="N310" s="49"/>
      <c r="O310" s="49" t="str">
        <f t="shared" si="2"/>
        <v/>
      </c>
      <c r="P310" s="49" t="str">
        <f t="shared" si="3"/>
        <v/>
      </c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</row>
    <row r="311">
      <c r="A311" s="69">
        <v>21.0</v>
      </c>
      <c r="B311" s="69">
        <v>27.0</v>
      </c>
      <c r="C311" s="86" t="s">
        <v>111</v>
      </c>
      <c r="D311" s="86" t="s">
        <v>112</v>
      </c>
      <c r="E311" s="86" t="s">
        <v>113</v>
      </c>
      <c r="F311" s="69">
        <v>1000.0</v>
      </c>
      <c r="G311" s="69">
        <v>5.85</v>
      </c>
      <c r="H311" s="68">
        <f t="shared" si="1"/>
        <v>8.17</v>
      </c>
      <c r="I311" s="81">
        <f>IFERROR(__xludf.DUMMYFUNCTION("IF(G311="""", """", ROUND(G311 / MAX(FILTER($G$2:$G5067, $D$2:$D5067=$D311)) * 100, 2))"),81.25)</f>
        <v>81.25</v>
      </c>
      <c r="J311" s="81">
        <f>IFERROR(__xludf.DUMMYFUNCTION("IF(H311="""", """", ROUND(H311 / MAX(FILTER($H$2:$H5067, $D$2:$D5067=$D311)) * 100, 2))"),20.87)</f>
        <v>20.87</v>
      </c>
      <c r="K311" s="2"/>
      <c r="L311" s="48"/>
      <c r="M311" s="48"/>
      <c r="N311" s="48"/>
      <c r="O311" s="48" t="str">
        <f t="shared" si="2"/>
        <v/>
      </c>
      <c r="P311" s="48" t="str">
        <f t="shared" si="3"/>
        <v/>
      </c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</row>
    <row r="312">
      <c r="A312" s="63">
        <v>21.0</v>
      </c>
      <c r="B312" s="63">
        <v>27.0</v>
      </c>
      <c r="C312" s="64" t="s">
        <v>111</v>
      </c>
      <c r="D312" s="64" t="s">
        <v>112</v>
      </c>
      <c r="E312" s="64" t="s">
        <v>113</v>
      </c>
      <c r="F312" s="63">
        <v>1500.0</v>
      </c>
      <c r="G312" s="63">
        <v>6.4</v>
      </c>
      <c r="H312" s="66">
        <f t="shared" si="1"/>
        <v>13.4</v>
      </c>
      <c r="I312" s="81">
        <f>IFERROR(__xludf.DUMMYFUNCTION("IF(G312="""", """", ROUND(G312 / MAX(FILTER($G$2:$G5067, $D$2:$D5067=$D312)) * 100, 2))"),88.89)</f>
        <v>88.89</v>
      </c>
      <c r="J312" s="81">
        <f>IFERROR(__xludf.DUMMYFUNCTION("IF(H312="""", """", ROUND(H312 / MAX(FILTER($H$2:$H5067, $D$2:$D5067=$D312)) * 100, 2))"),34.24)</f>
        <v>34.24</v>
      </c>
      <c r="K312" s="2"/>
      <c r="L312" s="49"/>
      <c r="M312" s="49"/>
      <c r="N312" s="49"/>
      <c r="O312" s="49" t="str">
        <f t="shared" si="2"/>
        <v/>
      </c>
      <c r="P312" s="49" t="str">
        <f t="shared" si="3"/>
        <v/>
      </c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</row>
    <row r="313">
      <c r="A313" s="69">
        <v>21.0</v>
      </c>
      <c r="B313" s="69">
        <v>27.0</v>
      </c>
      <c r="C313" s="86" t="s">
        <v>111</v>
      </c>
      <c r="D313" s="86" t="s">
        <v>112</v>
      </c>
      <c r="E313" s="86" t="s">
        <v>113</v>
      </c>
      <c r="F313" s="69">
        <v>2000.0</v>
      </c>
      <c r="G313" s="69">
        <v>6.78</v>
      </c>
      <c r="H313" s="68">
        <f t="shared" si="1"/>
        <v>18.93</v>
      </c>
      <c r="I313" s="81">
        <f>IFERROR(__xludf.DUMMYFUNCTION("IF(G313="""", """", ROUND(G313 / MAX(FILTER($G$2:$G5067, $D$2:$D5067=$D313)) * 100, 2))"),94.17)</f>
        <v>94.17</v>
      </c>
      <c r="J313" s="81">
        <f>IFERROR(__xludf.DUMMYFUNCTION("IF(H313="""", """", ROUND(H313 / MAX(FILTER($H$2:$H5067, $D$2:$D5067=$D313)) * 100, 2))"),48.36)</f>
        <v>48.36</v>
      </c>
      <c r="K313" s="2"/>
      <c r="L313" s="48"/>
      <c r="M313" s="48"/>
      <c r="N313" s="48"/>
      <c r="O313" s="48" t="str">
        <f t="shared" si="2"/>
        <v/>
      </c>
      <c r="P313" s="48" t="str">
        <f t="shared" si="3"/>
        <v/>
      </c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</row>
    <row r="314">
      <c r="A314" s="63">
        <v>21.0</v>
      </c>
      <c r="B314" s="63">
        <v>27.0</v>
      </c>
      <c r="C314" s="64" t="s">
        <v>111</v>
      </c>
      <c r="D314" s="64" t="s">
        <v>112</v>
      </c>
      <c r="E314" s="64" t="s">
        <v>113</v>
      </c>
      <c r="F314" s="63">
        <v>2500.0</v>
      </c>
      <c r="G314" s="63">
        <v>7.0</v>
      </c>
      <c r="H314" s="66">
        <f t="shared" si="1"/>
        <v>24.43</v>
      </c>
      <c r="I314" s="81">
        <f>IFERROR(__xludf.DUMMYFUNCTION("IF(G314="""", """", ROUND(G314 / MAX(FILTER($G$2:$G5067, $D$2:$D5067=$D314)) * 100, 2))"),97.22)</f>
        <v>97.22</v>
      </c>
      <c r="J314" s="81">
        <f>IFERROR(__xludf.DUMMYFUNCTION("IF(H314="""", """", ROUND(H314 / MAX(FILTER($H$2:$H5067, $D$2:$D5067=$D314)) * 100, 2))"),62.42)</f>
        <v>62.42</v>
      </c>
      <c r="K314" s="2"/>
      <c r="L314" s="49"/>
      <c r="M314" s="49"/>
      <c r="N314" s="49"/>
      <c r="O314" s="49" t="str">
        <f t="shared" si="2"/>
        <v/>
      </c>
      <c r="P314" s="49" t="str">
        <f t="shared" si="3"/>
        <v/>
      </c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</row>
    <row r="315">
      <c r="A315" s="69">
        <v>21.0</v>
      </c>
      <c r="B315" s="69">
        <v>27.0</v>
      </c>
      <c r="C315" s="86" t="s">
        <v>111</v>
      </c>
      <c r="D315" s="86" t="s">
        <v>112</v>
      </c>
      <c r="E315" s="86" t="s">
        <v>113</v>
      </c>
      <c r="F315" s="69">
        <v>3000.0</v>
      </c>
      <c r="G315" s="69">
        <v>7.18</v>
      </c>
      <c r="H315" s="68">
        <f t="shared" si="1"/>
        <v>30.08</v>
      </c>
      <c r="I315" s="81">
        <f>IFERROR(__xludf.DUMMYFUNCTION("IF(G315="""", """", ROUND(G315 / MAX(FILTER($G$2:$G5067, $D$2:$D5067=$D315)) * 100, 2))"),99.72)</f>
        <v>99.72</v>
      </c>
      <c r="J315" s="81">
        <f>IFERROR(__xludf.DUMMYFUNCTION("IF(H315="""", """", ROUND(H315 / MAX(FILTER($H$2:$H5067, $D$2:$D5067=$D315)) * 100, 2))"),76.85)</f>
        <v>76.85</v>
      </c>
      <c r="K315" s="2"/>
      <c r="L315" s="48"/>
      <c r="M315" s="48"/>
      <c r="N315" s="48"/>
      <c r="O315" s="48" t="str">
        <f t="shared" si="2"/>
        <v/>
      </c>
      <c r="P315" s="48" t="str">
        <f t="shared" si="3"/>
        <v/>
      </c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</row>
    <row r="316">
      <c r="A316" s="63">
        <v>21.0</v>
      </c>
      <c r="B316" s="63">
        <v>27.0</v>
      </c>
      <c r="C316" s="64" t="s">
        <v>111</v>
      </c>
      <c r="D316" s="64" t="s">
        <v>112</v>
      </c>
      <c r="E316" s="64" t="s">
        <v>113</v>
      </c>
      <c r="F316" s="63">
        <v>3300.0</v>
      </c>
      <c r="G316" s="63">
        <v>7.2</v>
      </c>
      <c r="H316" s="66">
        <f t="shared" si="1"/>
        <v>33.18</v>
      </c>
      <c r="I316" s="81">
        <f>IFERROR(__xludf.DUMMYFUNCTION("IF(G316="""", """", ROUND(G316 / MAX(FILTER($G$2:$G5067, $D$2:$D5067=$D316)) * 100, 2))"),100.0)</f>
        <v>100</v>
      </c>
      <c r="J316" s="81">
        <f>IFERROR(__xludf.DUMMYFUNCTION("IF(H316="""", """", ROUND(H316 / MAX(FILTER($H$2:$H5067, $D$2:$D5067=$D316)) * 100, 2))"),84.77)</f>
        <v>84.77</v>
      </c>
      <c r="K316" s="2"/>
      <c r="L316" s="49"/>
      <c r="M316" s="49"/>
      <c r="N316" s="49"/>
      <c r="O316" s="49" t="str">
        <f t="shared" si="2"/>
        <v/>
      </c>
      <c r="P316" s="49" t="str">
        <f t="shared" si="3"/>
        <v/>
      </c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</row>
    <row r="317">
      <c r="A317" s="69">
        <v>21.0</v>
      </c>
      <c r="B317" s="69">
        <v>27.0</v>
      </c>
      <c r="C317" s="86" t="s">
        <v>111</v>
      </c>
      <c r="D317" s="86" t="s">
        <v>112</v>
      </c>
      <c r="E317" s="86" t="s">
        <v>113</v>
      </c>
      <c r="F317" s="69">
        <v>4000.0</v>
      </c>
      <c r="G317" s="69">
        <v>6.8</v>
      </c>
      <c r="H317" s="68">
        <f t="shared" si="1"/>
        <v>37.98</v>
      </c>
      <c r="I317" s="81">
        <f>IFERROR(__xludf.DUMMYFUNCTION("IF(G317="""", """", ROUND(G317 / MAX(FILTER($G$2:$G5067, $D$2:$D5067=$D317)) * 100, 2))"),94.44)</f>
        <v>94.44</v>
      </c>
      <c r="J317" s="81">
        <f>IFERROR(__xludf.DUMMYFUNCTION("IF(H317="""", """", ROUND(H317 / MAX(FILTER($H$2:$H5067, $D$2:$D5067=$D317)) * 100, 2))"),97.04)</f>
        <v>97.04</v>
      </c>
      <c r="K317" s="2"/>
      <c r="L317" s="48"/>
      <c r="M317" s="48"/>
      <c r="N317" s="48"/>
      <c r="O317" s="48" t="str">
        <f t="shared" si="2"/>
        <v/>
      </c>
      <c r="P317" s="48" t="str">
        <f t="shared" si="3"/>
        <v/>
      </c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</row>
    <row r="318">
      <c r="A318" s="63">
        <v>21.0</v>
      </c>
      <c r="B318" s="63">
        <v>27.0</v>
      </c>
      <c r="C318" s="64" t="s">
        <v>111</v>
      </c>
      <c r="D318" s="64" t="s">
        <v>112</v>
      </c>
      <c r="E318" s="64" t="s">
        <v>113</v>
      </c>
      <c r="F318" s="63">
        <v>4500.0</v>
      </c>
      <c r="G318" s="63">
        <v>6.23</v>
      </c>
      <c r="H318" s="66">
        <f t="shared" si="1"/>
        <v>39.14</v>
      </c>
      <c r="I318" s="81">
        <f>IFERROR(__xludf.DUMMYFUNCTION("IF(G318="""", """", ROUND(G318 / MAX(FILTER($G$2:$G5067, $D$2:$D5067=$D318)) * 100, 2))"),86.53)</f>
        <v>86.53</v>
      </c>
      <c r="J318" s="81">
        <f>IFERROR(__xludf.DUMMYFUNCTION("IF(H318="""", """", ROUND(H318 / MAX(FILTER($H$2:$H5067, $D$2:$D5067=$D318)) * 100, 2))"),100.0)</f>
        <v>100</v>
      </c>
      <c r="K318" s="2"/>
      <c r="L318" s="49"/>
      <c r="M318" s="49"/>
      <c r="N318" s="49"/>
      <c r="O318" s="49" t="str">
        <f t="shared" si="2"/>
        <v/>
      </c>
      <c r="P318" s="49" t="str">
        <f t="shared" si="3"/>
        <v/>
      </c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</row>
    <row r="319">
      <c r="A319" s="69">
        <v>21.0</v>
      </c>
      <c r="B319" s="69">
        <v>27.0</v>
      </c>
      <c r="C319" s="86" t="s">
        <v>111</v>
      </c>
      <c r="D319" s="86" t="s">
        <v>112</v>
      </c>
      <c r="E319" s="86" t="s">
        <v>113</v>
      </c>
      <c r="F319" s="69">
        <v>5000.0</v>
      </c>
      <c r="G319" s="69">
        <v>5.5</v>
      </c>
      <c r="H319" s="68">
        <f t="shared" si="1"/>
        <v>38.4</v>
      </c>
      <c r="I319" s="81">
        <f>IFERROR(__xludf.DUMMYFUNCTION("IF(G319="""", """", ROUND(G319 / MAX(FILTER($G$2:$G5067, $D$2:$D5067=$D319)) * 100, 2))"),76.39)</f>
        <v>76.39</v>
      </c>
      <c r="J319" s="81">
        <f>IFERROR(__xludf.DUMMYFUNCTION("IF(H319="""", """", ROUND(H319 / MAX(FILTER($H$2:$H5067, $D$2:$D5067=$D319)) * 100, 2))"),98.11)</f>
        <v>98.11</v>
      </c>
      <c r="K319" s="2"/>
      <c r="L319" s="48"/>
      <c r="M319" s="48"/>
      <c r="N319" s="48"/>
      <c r="O319" s="48" t="str">
        <f t="shared" si="2"/>
        <v/>
      </c>
      <c r="P319" s="48" t="str">
        <f t="shared" si="3"/>
        <v/>
      </c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</row>
    <row r="320">
      <c r="A320" s="63">
        <v>21.0</v>
      </c>
      <c r="B320" s="63">
        <v>27.0</v>
      </c>
      <c r="C320" s="64" t="s">
        <v>111</v>
      </c>
      <c r="D320" s="64" t="s">
        <v>112</v>
      </c>
      <c r="E320" s="64" t="s">
        <v>113</v>
      </c>
      <c r="F320" s="63">
        <v>5500.0</v>
      </c>
      <c r="G320" s="63">
        <v>4.05</v>
      </c>
      <c r="H320" s="66">
        <f t="shared" si="1"/>
        <v>31.1</v>
      </c>
      <c r="I320" s="81">
        <f>IFERROR(__xludf.DUMMYFUNCTION("IF(G320="""", """", ROUND(G320 / MAX(FILTER($G$2:$G5067, $D$2:$D5067=$D320)) * 100, 2))"),56.25)</f>
        <v>56.25</v>
      </c>
      <c r="J320" s="81">
        <f>IFERROR(__xludf.DUMMYFUNCTION("IF(H320="""", """", ROUND(H320 / MAX(FILTER($H$2:$H5067, $D$2:$D5067=$D320)) * 100, 2))"),79.46)</f>
        <v>79.46</v>
      </c>
      <c r="K320" s="2"/>
      <c r="L320" s="49"/>
      <c r="M320" s="49"/>
      <c r="N320" s="49"/>
      <c r="O320" s="49" t="str">
        <f t="shared" si="2"/>
        <v/>
      </c>
      <c r="P320" s="49" t="str">
        <f t="shared" si="3"/>
        <v/>
      </c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</row>
    <row r="321">
      <c r="A321" s="69">
        <v>22.0</v>
      </c>
      <c r="B321" s="69">
        <v>28.0</v>
      </c>
      <c r="C321" s="86" t="s">
        <v>114</v>
      </c>
      <c r="D321" s="86" t="s">
        <v>115</v>
      </c>
      <c r="E321" s="86" t="s">
        <v>116</v>
      </c>
      <c r="F321" s="69">
        <v>500.0</v>
      </c>
      <c r="G321" s="69">
        <v>14.32</v>
      </c>
      <c r="H321" s="68">
        <f t="shared" si="1"/>
        <v>10</v>
      </c>
      <c r="I321" s="81">
        <f>IFERROR(__xludf.DUMMYFUNCTION("IF(G321="""", """", ROUND(G321 / MAX(FILTER($G$2:$G5067, $D$2:$D5067=$D321)) * 100, 2))"),62.26)</f>
        <v>62.26</v>
      </c>
      <c r="J321" s="81">
        <f>IFERROR(__xludf.DUMMYFUNCTION("IF(H321="""", """", ROUND(H321 / MAX(FILTER($H$2:$H5067, $D$2:$D5067=$D321)) * 100, 2))"),5.27)</f>
        <v>5.27</v>
      </c>
      <c r="K321" s="2"/>
      <c r="L321" s="48"/>
      <c r="M321" s="48"/>
      <c r="N321" s="48"/>
      <c r="O321" s="48" t="str">
        <f t="shared" si="2"/>
        <v/>
      </c>
      <c r="P321" s="48" t="str">
        <f t="shared" si="3"/>
        <v/>
      </c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</row>
    <row r="322">
      <c r="A322" s="63">
        <v>22.0</v>
      </c>
      <c r="B322" s="63">
        <v>28.0</v>
      </c>
      <c r="C322" s="64" t="s">
        <v>114</v>
      </c>
      <c r="D322" s="64" t="s">
        <v>115</v>
      </c>
      <c r="E322" s="64" t="s">
        <v>116</v>
      </c>
      <c r="F322" s="63">
        <v>1000.0</v>
      </c>
      <c r="G322" s="63">
        <v>16.35</v>
      </c>
      <c r="H322" s="66">
        <f t="shared" si="1"/>
        <v>22.83</v>
      </c>
      <c r="I322" s="81">
        <f>IFERROR(__xludf.DUMMYFUNCTION("IF(G322="""", """", ROUND(G322 / MAX(FILTER($G$2:$G5067, $D$2:$D5067=$D322)) * 100, 2))"),71.09)</f>
        <v>71.09</v>
      </c>
      <c r="J322" s="81">
        <f>IFERROR(__xludf.DUMMYFUNCTION("IF(H322="""", """", ROUND(H322 / MAX(FILTER($H$2:$H5067, $D$2:$D5067=$D322)) * 100, 2))"),12.04)</f>
        <v>12.04</v>
      </c>
      <c r="K322" s="2"/>
      <c r="L322" s="49"/>
      <c r="M322" s="49"/>
      <c r="N322" s="49"/>
      <c r="O322" s="49" t="str">
        <f t="shared" si="2"/>
        <v/>
      </c>
      <c r="P322" s="49" t="str">
        <f t="shared" si="3"/>
        <v/>
      </c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</row>
    <row r="323">
      <c r="A323" s="69">
        <v>22.0</v>
      </c>
      <c r="B323" s="69">
        <v>28.0</v>
      </c>
      <c r="C323" s="86" t="s">
        <v>114</v>
      </c>
      <c r="D323" s="86" t="s">
        <v>115</v>
      </c>
      <c r="E323" s="86" t="s">
        <v>116</v>
      </c>
      <c r="F323" s="69">
        <v>1500.0</v>
      </c>
      <c r="G323" s="69">
        <v>18.23</v>
      </c>
      <c r="H323" s="68">
        <f t="shared" si="1"/>
        <v>38.18</v>
      </c>
      <c r="I323" s="81">
        <f>IFERROR(__xludf.DUMMYFUNCTION("IF(G323="""", """", ROUND(G323 / MAX(FILTER($G$2:$G5067, $D$2:$D5067=$D323)) * 100, 2))"),79.26)</f>
        <v>79.26</v>
      </c>
      <c r="J323" s="81">
        <f>IFERROR(__xludf.DUMMYFUNCTION("IF(H323="""", """", ROUND(H323 / MAX(FILTER($H$2:$H5067, $D$2:$D5067=$D323)) * 100, 2))"),20.14)</f>
        <v>20.14</v>
      </c>
      <c r="K323" s="2"/>
      <c r="L323" s="48"/>
      <c r="M323" s="48"/>
      <c r="N323" s="48"/>
      <c r="O323" s="48" t="str">
        <f t="shared" si="2"/>
        <v/>
      </c>
      <c r="P323" s="48" t="str">
        <f t="shared" si="3"/>
        <v/>
      </c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</row>
    <row r="324">
      <c r="A324" s="63">
        <v>22.0</v>
      </c>
      <c r="B324" s="63">
        <v>28.0</v>
      </c>
      <c r="C324" s="64" t="s">
        <v>114</v>
      </c>
      <c r="D324" s="64" t="s">
        <v>115</v>
      </c>
      <c r="E324" s="64" t="s">
        <v>116</v>
      </c>
      <c r="F324" s="63">
        <v>2000.0</v>
      </c>
      <c r="G324" s="63">
        <v>19.73</v>
      </c>
      <c r="H324" s="66">
        <f t="shared" si="1"/>
        <v>55.1</v>
      </c>
      <c r="I324" s="81">
        <f>IFERROR(__xludf.DUMMYFUNCTION("IF(G324="""", """", ROUND(G324 / MAX(FILTER($G$2:$G5067, $D$2:$D5067=$D324)) * 100, 2))"),85.78)</f>
        <v>85.78</v>
      </c>
      <c r="J324" s="81">
        <f>IFERROR(__xludf.DUMMYFUNCTION("IF(H324="""", """", ROUND(H324 / MAX(FILTER($H$2:$H5067, $D$2:$D5067=$D324)) * 100, 2))"),29.06)</f>
        <v>29.06</v>
      </c>
      <c r="K324" s="2"/>
      <c r="L324" s="49"/>
      <c r="M324" s="49"/>
      <c r="N324" s="49"/>
      <c r="O324" s="49" t="str">
        <f t="shared" si="2"/>
        <v/>
      </c>
      <c r="P324" s="49" t="str">
        <f t="shared" si="3"/>
        <v/>
      </c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</row>
    <row r="325">
      <c r="A325" s="69">
        <v>22.0</v>
      </c>
      <c r="B325" s="69">
        <v>28.0</v>
      </c>
      <c r="C325" s="86" t="s">
        <v>114</v>
      </c>
      <c r="D325" s="86" t="s">
        <v>115</v>
      </c>
      <c r="E325" s="86" t="s">
        <v>116</v>
      </c>
      <c r="F325" s="69">
        <v>2500.0</v>
      </c>
      <c r="G325" s="69">
        <v>21.0</v>
      </c>
      <c r="H325" s="68">
        <f t="shared" si="1"/>
        <v>73.3</v>
      </c>
      <c r="I325" s="81">
        <f>IFERROR(__xludf.DUMMYFUNCTION("IF(G325="""", """", ROUND(G325 / MAX(FILTER($G$2:$G5067, $D$2:$D5067=$D325)) * 100, 2))"),91.3)</f>
        <v>91.3</v>
      </c>
      <c r="J325" s="81">
        <f>IFERROR(__xludf.DUMMYFUNCTION("IF(H325="""", """", ROUND(H325 / MAX(FILTER($H$2:$H5067, $D$2:$D5067=$D325)) * 100, 2))"),38.66)</f>
        <v>38.66</v>
      </c>
      <c r="K325" s="2"/>
      <c r="L325" s="48"/>
      <c r="M325" s="48"/>
      <c r="N325" s="48"/>
      <c r="O325" s="48" t="str">
        <f t="shared" si="2"/>
        <v/>
      </c>
      <c r="P325" s="48" t="str">
        <f t="shared" si="3"/>
        <v/>
      </c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</row>
    <row r="326">
      <c r="A326" s="63">
        <v>22.0</v>
      </c>
      <c r="B326" s="63">
        <v>28.0</v>
      </c>
      <c r="C326" s="64" t="s">
        <v>114</v>
      </c>
      <c r="D326" s="64" t="s">
        <v>115</v>
      </c>
      <c r="E326" s="64" t="s">
        <v>116</v>
      </c>
      <c r="F326" s="63">
        <v>3000.0</v>
      </c>
      <c r="G326" s="63">
        <v>22.05</v>
      </c>
      <c r="H326" s="66">
        <f t="shared" si="1"/>
        <v>92.36</v>
      </c>
      <c r="I326" s="81">
        <f>IFERROR(__xludf.DUMMYFUNCTION("IF(G326="""", """", ROUND(G326 / MAX(FILTER($G$2:$G5067, $D$2:$D5067=$D326)) * 100, 2))"),95.87)</f>
        <v>95.87</v>
      </c>
      <c r="J326" s="81">
        <f>IFERROR(__xludf.DUMMYFUNCTION("IF(H326="""", """", ROUND(H326 / MAX(FILTER($H$2:$H5067, $D$2:$D5067=$D326)) * 100, 2))"),48.71)</f>
        <v>48.71</v>
      </c>
      <c r="K326" s="2"/>
      <c r="L326" s="49"/>
      <c r="M326" s="49"/>
      <c r="N326" s="49"/>
      <c r="O326" s="49" t="str">
        <f t="shared" si="2"/>
        <v/>
      </c>
      <c r="P326" s="49" t="str">
        <f t="shared" si="3"/>
        <v/>
      </c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</row>
    <row r="327">
      <c r="A327" s="69">
        <v>22.0</v>
      </c>
      <c r="B327" s="69">
        <v>28.0</v>
      </c>
      <c r="C327" s="86" t="s">
        <v>114</v>
      </c>
      <c r="D327" s="86" t="s">
        <v>115</v>
      </c>
      <c r="E327" s="86" t="s">
        <v>116</v>
      </c>
      <c r="F327" s="69">
        <v>3500.0</v>
      </c>
      <c r="G327" s="69">
        <v>22.73</v>
      </c>
      <c r="H327" s="68">
        <f t="shared" si="1"/>
        <v>111.08</v>
      </c>
      <c r="I327" s="81">
        <f>IFERROR(__xludf.DUMMYFUNCTION("IF(G327="""", """", ROUND(G327 / MAX(FILTER($G$2:$G5067, $D$2:$D5067=$D327)) * 100, 2))"),98.83)</f>
        <v>98.83</v>
      </c>
      <c r="J327" s="81">
        <f>IFERROR(__xludf.DUMMYFUNCTION("IF(H327="""", """", ROUND(H327 / MAX(FILTER($H$2:$H5067, $D$2:$D5067=$D327)) * 100, 2))"),58.58)</f>
        <v>58.58</v>
      </c>
      <c r="K327" s="2"/>
      <c r="L327" s="48"/>
      <c r="M327" s="48"/>
      <c r="N327" s="48"/>
      <c r="O327" s="48" t="str">
        <f t="shared" si="2"/>
        <v/>
      </c>
      <c r="P327" s="48" t="str">
        <f t="shared" si="3"/>
        <v/>
      </c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</row>
    <row r="328">
      <c r="A328" s="63">
        <v>22.0</v>
      </c>
      <c r="B328" s="63">
        <v>28.0</v>
      </c>
      <c r="C328" s="64" t="s">
        <v>114</v>
      </c>
      <c r="D328" s="64" t="s">
        <v>115</v>
      </c>
      <c r="E328" s="64" t="s">
        <v>116</v>
      </c>
      <c r="F328" s="63">
        <v>4000.0</v>
      </c>
      <c r="G328" s="63">
        <v>23.0</v>
      </c>
      <c r="H328" s="66">
        <f t="shared" si="1"/>
        <v>128.46</v>
      </c>
      <c r="I328" s="81">
        <f>IFERROR(__xludf.DUMMYFUNCTION("IF(G328="""", """", ROUND(G328 / MAX(FILTER($G$2:$G5067, $D$2:$D5067=$D328)) * 100, 2))"),100.0)</f>
        <v>100</v>
      </c>
      <c r="J328" s="81">
        <f>IFERROR(__xludf.DUMMYFUNCTION("IF(H328="""", """", ROUND(H328 / MAX(FILTER($H$2:$H5067, $D$2:$D5067=$D328)) * 100, 2))"),67.75)</f>
        <v>67.75</v>
      </c>
      <c r="K328" s="2"/>
      <c r="L328" s="49"/>
      <c r="M328" s="49"/>
      <c r="N328" s="49"/>
      <c r="O328" s="49" t="str">
        <f t="shared" si="2"/>
        <v/>
      </c>
      <c r="P328" s="49" t="str">
        <f t="shared" si="3"/>
        <v/>
      </c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</row>
    <row r="329">
      <c r="A329" s="69">
        <v>22.0</v>
      </c>
      <c r="B329" s="69">
        <v>28.0</v>
      </c>
      <c r="C329" s="86" t="s">
        <v>114</v>
      </c>
      <c r="D329" s="86" t="s">
        <v>115</v>
      </c>
      <c r="E329" s="86" t="s">
        <v>116</v>
      </c>
      <c r="F329" s="69">
        <v>4500.0</v>
      </c>
      <c r="G329" s="69">
        <v>22.88</v>
      </c>
      <c r="H329" s="68">
        <f t="shared" si="1"/>
        <v>143.76</v>
      </c>
      <c r="I329" s="81">
        <f>IFERROR(__xludf.DUMMYFUNCTION("IF(G329="""", """", ROUND(G329 / MAX(FILTER($G$2:$G5067, $D$2:$D5067=$D329)) * 100, 2))"),99.48)</f>
        <v>99.48</v>
      </c>
      <c r="J329" s="81">
        <f>IFERROR(__xludf.DUMMYFUNCTION("IF(H329="""", """", ROUND(H329 / MAX(FILTER($H$2:$H5067, $D$2:$D5067=$D329)) * 100, 2))"),75.82)</f>
        <v>75.82</v>
      </c>
      <c r="K329" s="2"/>
      <c r="L329" s="48"/>
      <c r="M329" s="48"/>
      <c r="N329" s="48"/>
      <c r="O329" s="48" t="str">
        <f t="shared" si="2"/>
        <v/>
      </c>
      <c r="P329" s="48" t="str">
        <f t="shared" si="3"/>
        <v/>
      </c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</row>
    <row r="330">
      <c r="A330" s="63">
        <v>22.0</v>
      </c>
      <c r="B330" s="63">
        <v>28.0</v>
      </c>
      <c r="C330" s="64" t="s">
        <v>114</v>
      </c>
      <c r="D330" s="64" t="s">
        <v>115</v>
      </c>
      <c r="E330" s="64" t="s">
        <v>116</v>
      </c>
      <c r="F330" s="63">
        <v>5000.0</v>
      </c>
      <c r="G330" s="63">
        <v>22.58</v>
      </c>
      <c r="H330" s="66">
        <f t="shared" si="1"/>
        <v>157.64</v>
      </c>
      <c r="I330" s="81">
        <f>IFERROR(__xludf.DUMMYFUNCTION("IF(G330="""", """", ROUND(G330 / MAX(FILTER($G$2:$G5067, $D$2:$D5067=$D330)) * 100, 2))"),98.17)</f>
        <v>98.17</v>
      </c>
      <c r="J330" s="81">
        <f>IFERROR(__xludf.DUMMYFUNCTION("IF(H330="""", """", ROUND(H330 / MAX(FILTER($H$2:$H5067, $D$2:$D5067=$D330)) * 100, 2))"),83.14)</f>
        <v>83.14</v>
      </c>
      <c r="K330" s="2"/>
      <c r="L330" s="49"/>
      <c r="M330" s="49"/>
      <c r="N330" s="49"/>
      <c r="O330" s="49" t="str">
        <f t="shared" si="2"/>
        <v/>
      </c>
      <c r="P330" s="49" t="str">
        <f t="shared" si="3"/>
        <v/>
      </c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</row>
    <row r="331">
      <c r="A331" s="69">
        <v>22.0</v>
      </c>
      <c r="B331" s="69">
        <v>28.0</v>
      </c>
      <c r="C331" s="86" t="s">
        <v>114</v>
      </c>
      <c r="D331" s="86" t="s">
        <v>115</v>
      </c>
      <c r="E331" s="86" t="s">
        <v>116</v>
      </c>
      <c r="F331" s="69">
        <v>5500.0</v>
      </c>
      <c r="G331" s="69">
        <v>21.9</v>
      </c>
      <c r="H331" s="68">
        <f t="shared" si="1"/>
        <v>168.18</v>
      </c>
      <c r="I331" s="81">
        <f>IFERROR(__xludf.DUMMYFUNCTION("IF(G331="""", """", ROUND(G331 / MAX(FILTER($G$2:$G5067, $D$2:$D5067=$D331)) * 100, 2))"),95.22)</f>
        <v>95.22</v>
      </c>
      <c r="J331" s="81">
        <f>IFERROR(__xludf.DUMMYFUNCTION("IF(H331="""", """", ROUND(H331 / MAX(FILTER($H$2:$H5067, $D$2:$D5067=$D331)) * 100, 2))"),88.7)</f>
        <v>88.7</v>
      </c>
      <c r="K331" s="2"/>
      <c r="L331" s="48"/>
      <c r="M331" s="48"/>
      <c r="N331" s="48"/>
      <c r="O331" s="48" t="str">
        <f t="shared" si="2"/>
        <v/>
      </c>
      <c r="P331" s="48" t="str">
        <f t="shared" si="3"/>
        <v/>
      </c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</row>
    <row r="332">
      <c r="A332" s="63">
        <v>22.0</v>
      </c>
      <c r="B332" s="63">
        <v>28.0</v>
      </c>
      <c r="C332" s="64" t="s">
        <v>114</v>
      </c>
      <c r="D332" s="64" t="s">
        <v>115</v>
      </c>
      <c r="E332" s="64" t="s">
        <v>116</v>
      </c>
      <c r="F332" s="63">
        <v>6000.0</v>
      </c>
      <c r="G332" s="63">
        <v>21.23</v>
      </c>
      <c r="H332" s="66">
        <f t="shared" si="1"/>
        <v>177.86</v>
      </c>
      <c r="I332" s="81">
        <f>IFERROR(__xludf.DUMMYFUNCTION("IF(G332="""", """", ROUND(G332 / MAX(FILTER($G$2:$G5067, $D$2:$D5067=$D332)) * 100, 2))"),92.3)</f>
        <v>92.3</v>
      </c>
      <c r="J332" s="81">
        <f>IFERROR(__xludf.DUMMYFUNCTION("IF(H332="""", """", ROUND(H332 / MAX(FILTER($H$2:$H5067, $D$2:$D5067=$D332)) * 100, 2))"),93.8)</f>
        <v>93.8</v>
      </c>
      <c r="K332" s="2"/>
      <c r="L332" s="49"/>
      <c r="M332" s="49"/>
      <c r="N332" s="49"/>
      <c r="O332" s="49" t="str">
        <f t="shared" si="2"/>
        <v/>
      </c>
      <c r="P332" s="49" t="str">
        <f t="shared" si="3"/>
        <v/>
      </c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</row>
    <row r="333">
      <c r="A333" s="69">
        <v>22.0</v>
      </c>
      <c r="B333" s="69">
        <v>28.0</v>
      </c>
      <c r="C333" s="86" t="s">
        <v>114</v>
      </c>
      <c r="D333" s="86" t="s">
        <v>115</v>
      </c>
      <c r="E333" s="86" t="s">
        <v>116</v>
      </c>
      <c r="F333" s="69">
        <v>6500.0</v>
      </c>
      <c r="G333" s="69">
        <v>20.48</v>
      </c>
      <c r="H333" s="68">
        <f t="shared" si="1"/>
        <v>185.87</v>
      </c>
      <c r="I333" s="81">
        <f>IFERROR(__xludf.DUMMYFUNCTION("IF(G333="""", """", ROUND(G333 / MAX(FILTER($G$2:$G5067, $D$2:$D5067=$D333)) * 100, 2))"),89.04)</f>
        <v>89.04</v>
      </c>
      <c r="J333" s="81">
        <f>IFERROR(__xludf.DUMMYFUNCTION("IF(H333="""", """", ROUND(H333 / MAX(FILTER($H$2:$H5067, $D$2:$D5067=$D333)) * 100, 2))"),98.03)</f>
        <v>98.03</v>
      </c>
      <c r="K333" s="2"/>
      <c r="L333" s="48"/>
      <c r="M333" s="48"/>
      <c r="N333" s="48"/>
      <c r="O333" s="48" t="str">
        <f t="shared" si="2"/>
        <v/>
      </c>
      <c r="P333" s="48" t="str">
        <f t="shared" si="3"/>
        <v/>
      </c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</row>
    <row r="334">
      <c r="A334" s="63">
        <v>22.0</v>
      </c>
      <c r="B334" s="63">
        <v>28.0</v>
      </c>
      <c r="C334" s="64" t="s">
        <v>114</v>
      </c>
      <c r="D334" s="64" t="s">
        <v>115</v>
      </c>
      <c r="E334" s="64" t="s">
        <v>116</v>
      </c>
      <c r="F334" s="63">
        <v>7000.0</v>
      </c>
      <c r="G334" s="63">
        <v>19.4</v>
      </c>
      <c r="H334" s="66">
        <f t="shared" si="1"/>
        <v>189.61</v>
      </c>
      <c r="I334" s="81">
        <f>IFERROR(__xludf.DUMMYFUNCTION("IF(G334="""", """", ROUND(G334 / MAX(FILTER($G$2:$G5067, $D$2:$D5067=$D334)) * 100, 2))"),84.35)</f>
        <v>84.35</v>
      </c>
      <c r="J334" s="81">
        <f>IFERROR(__xludf.DUMMYFUNCTION("IF(H334="""", """", ROUND(H334 / MAX(FILTER($H$2:$H5067, $D$2:$D5067=$D334)) * 100, 2))"),100.0)</f>
        <v>100</v>
      </c>
      <c r="K334" s="2"/>
      <c r="L334" s="49"/>
      <c r="M334" s="49"/>
      <c r="N334" s="49"/>
      <c r="O334" s="49" t="str">
        <f t="shared" si="2"/>
        <v/>
      </c>
      <c r="P334" s="49" t="str">
        <f t="shared" si="3"/>
        <v/>
      </c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</row>
    <row r="335">
      <c r="A335" s="69">
        <v>22.0</v>
      </c>
      <c r="B335" s="69">
        <v>28.0</v>
      </c>
      <c r="C335" s="86" t="s">
        <v>114</v>
      </c>
      <c r="D335" s="86" t="s">
        <v>115</v>
      </c>
      <c r="E335" s="86" t="s">
        <v>116</v>
      </c>
      <c r="F335" s="69">
        <v>7500.0</v>
      </c>
      <c r="G335" s="69">
        <v>17.92</v>
      </c>
      <c r="H335" s="68">
        <f t="shared" si="1"/>
        <v>187.66</v>
      </c>
      <c r="I335" s="81">
        <f>IFERROR(__xludf.DUMMYFUNCTION("IF(G335="""", """", ROUND(G335 / MAX(FILTER($G$2:$G5067, $D$2:$D5067=$D335)) * 100, 2))"),77.91)</f>
        <v>77.91</v>
      </c>
      <c r="J335" s="81">
        <f>IFERROR(__xludf.DUMMYFUNCTION("IF(H335="""", """", ROUND(H335 / MAX(FILTER($H$2:$H5067, $D$2:$D5067=$D335)) * 100, 2))"),98.97)</f>
        <v>98.97</v>
      </c>
      <c r="K335" s="2"/>
      <c r="L335" s="48"/>
      <c r="M335" s="48"/>
      <c r="N335" s="48"/>
      <c r="O335" s="48" t="str">
        <f t="shared" si="2"/>
        <v/>
      </c>
      <c r="P335" s="48" t="str">
        <f t="shared" si="3"/>
        <v/>
      </c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</row>
    <row r="336">
      <c r="A336" s="63">
        <v>22.0</v>
      </c>
      <c r="B336" s="63">
        <v>28.0</v>
      </c>
      <c r="C336" s="64" t="s">
        <v>114</v>
      </c>
      <c r="D336" s="64" t="s">
        <v>115</v>
      </c>
      <c r="E336" s="64" t="s">
        <v>116</v>
      </c>
      <c r="F336" s="63">
        <v>8000.0</v>
      </c>
      <c r="G336" s="63">
        <v>16.05</v>
      </c>
      <c r="H336" s="66">
        <f t="shared" si="1"/>
        <v>179.28</v>
      </c>
      <c r="I336" s="81">
        <f>IFERROR(__xludf.DUMMYFUNCTION("IF(G336="""", """", ROUND(G336 / MAX(FILTER($G$2:$G5067, $D$2:$D5067=$D336)) * 100, 2))"),69.78)</f>
        <v>69.78</v>
      </c>
      <c r="J336" s="81">
        <f>IFERROR(__xludf.DUMMYFUNCTION("IF(H336="""", """", ROUND(H336 / MAX(FILTER($H$2:$H5067, $D$2:$D5067=$D336)) * 100, 2))"),94.55)</f>
        <v>94.55</v>
      </c>
      <c r="K336" s="2"/>
      <c r="L336" s="49"/>
      <c r="M336" s="49"/>
      <c r="N336" s="49"/>
      <c r="O336" s="49" t="str">
        <f t="shared" si="2"/>
        <v/>
      </c>
      <c r="P336" s="49" t="str">
        <f t="shared" si="3"/>
        <v/>
      </c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</row>
    <row r="337">
      <c r="A337" s="69">
        <v>23.0</v>
      </c>
      <c r="B337" s="69">
        <v>29.0</v>
      </c>
      <c r="C337" s="86" t="s">
        <v>117</v>
      </c>
      <c r="D337" s="86" t="s">
        <v>118</v>
      </c>
      <c r="E337" s="86" t="s">
        <v>119</v>
      </c>
      <c r="F337" s="69">
        <v>500.0</v>
      </c>
      <c r="G337" s="69">
        <v>10.05</v>
      </c>
      <c r="H337" s="68">
        <f t="shared" si="1"/>
        <v>7.02</v>
      </c>
      <c r="I337" s="81">
        <f>IFERROR(__xludf.DUMMYFUNCTION("IF(G337="""", """", ROUND(G337 / MAX(FILTER($G$2:$G5067, $D$2:$D5067=$D337)) * 100, 2))"),47.18)</f>
        <v>47.18</v>
      </c>
      <c r="J337" s="81">
        <f>IFERROR(__xludf.DUMMYFUNCTION("IF(H337="""", """", ROUND(H337 / MAX(FILTER($H$2:$H5067, $D$2:$D5067=$D337)) * 100, 2))"),4.41)</f>
        <v>4.41</v>
      </c>
      <c r="K337" s="2"/>
      <c r="L337" s="48"/>
      <c r="M337" s="48"/>
      <c r="N337" s="48"/>
      <c r="O337" s="48" t="str">
        <f t="shared" si="2"/>
        <v/>
      </c>
      <c r="P337" s="48" t="str">
        <f t="shared" si="3"/>
        <v/>
      </c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</row>
    <row r="338">
      <c r="A338" s="63">
        <v>23.0</v>
      </c>
      <c r="B338" s="63">
        <v>29.0</v>
      </c>
      <c r="C338" s="64" t="s">
        <v>117</v>
      </c>
      <c r="D338" s="64" t="s">
        <v>118</v>
      </c>
      <c r="E338" s="64" t="s">
        <v>119</v>
      </c>
      <c r="F338" s="63">
        <v>1000.0</v>
      </c>
      <c r="G338" s="63">
        <v>11.18</v>
      </c>
      <c r="H338" s="66">
        <f t="shared" si="1"/>
        <v>15.61</v>
      </c>
      <c r="I338" s="81">
        <f>IFERROR(__xludf.DUMMYFUNCTION("IF(G338="""", """", ROUND(G338 / MAX(FILTER($G$2:$G5067, $D$2:$D5067=$D338)) * 100, 2))"),52.49)</f>
        <v>52.49</v>
      </c>
      <c r="J338" s="81">
        <f>IFERROR(__xludf.DUMMYFUNCTION("IF(H338="""", """", ROUND(H338 / MAX(FILTER($H$2:$H5067, $D$2:$D5067=$D338)) * 100, 2))"),9.81)</f>
        <v>9.81</v>
      </c>
      <c r="K338" s="2"/>
      <c r="L338" s="49"/>
      <c r="M338" s="49"/>
      <c r="N338" s="49"/>
      <c r="O338" s="49" t="str">
        <f t="shared" si="2"/>
        <v/>
      </c>
      <c r="P338" s="49" t="str">
        <f t="shared" si="3"/>
        <v/>
      </c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</row>
    <row r="339">
      <c r="A339" s="69">
        <v>23.0</v>
      </c>
      <c r="B339" s="69">
        <v>29.0</v>
      </c>
      <c r="C339" s="86" t="s">
        <v>117</v>
      </c>
      <c r="D339" s="86" t="s">
        <v>118</v>
      </c>
      <c r="E339" s="86" t="s">
        <v>119</v>
      </c>
      <c r="F339" s="69">
        <v>1500.0</v>
      </c>
      <c r="G339" s="69">
        <v>11.63</v>
      </c>
      <c r="H339" s="68">
        <f t="shared" si="1"/>
        <v>24.36</v>
      </c>
      <c r="I339" s="81">
        <f>IFERROR(__xludf.DUMMYFUNCTION("IF(G339="""", """", ROUND(G339 / MAX(FILTER($G$2:$G5067, $D$2:$D5067=$D339)) * 100, 2))"),54.6)</f>
        <v>54.6</v>
      </c>
      <c r="J339" s="81">
        <f>IFERROR(__xludf.DUMMYFUNCTION("IF(H339="""", """", ROUND(H339 / MAX(FILTER($H$2:$H5067, $D$2:$D5067=$D339)) * 100, 2))"),15.3)</f>
        <v>15.3</v>
      </c>
      <c r="K339" s="2"/>
      <c r="L339" s="48"/>
      <c r="M339" s="48"/>
      <c r="N339" s="48"/>
      <c r="O339" s="48" t="str">
        <f t="shared" si="2"/>
        <v/>
      </c>
      <c r="P339" s="48" t="str">
        <f t="shared" si="3"/>
        <v/>
      </c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</row>
    <row r="340">
      <c r="A340" s="63">
        <v>23.0</v>
      </c>
      <c r="B340" s="63">
        <v>29.0</v>
      </c>
      <c r="C340" s="64" t="s">
        <v>117</v>
      </c>
      <c r="D340" s="64" t="s">
        <v>118</v>
      </c>
      <c r="E340" s="64" t="s">
        <v>119</v>
      </c>
      <c r="F340" s="63">
        <v>2000.0</v>
      </c>
      <c r="G340" s="63">
        <v>12.52</v>
      </c>
      <c r="H340" s="66">
        <f t="shared" si="1"/>
        <v>34.96</v>
      </c>
      <c r="I340" s="81">
        <f>IFERROR(__xludf.DUMMYFUNCTION("IF(G340="""", """", ROUND(G340 / MAX(FILTER($G$2:$G5067, $D$2:$D5067=$D340)) * 100, 2))"),58.78)</f>
        <v>58.78</v>
      </c>
      <c r="J340" s="81">
        <f>IFERROR(__xludf.DUMMYFUNCTION("IF(H340="""", """", ROUND(H340 / MAX(FILTER($H$2:$H5067, $D$2:$D5067=$D340)) * 100, 2))"),21.96)</f>
        <v>21.96</v>
      </c>
      <c r="K340" s="2"/>
      <c r="L340" s="49"/>
      <c r="M340" s="49"/>
      <c r="N340" s="49"/>
      <c r="O340" s="49" t="str">
        <f t="shared" si="2"/>
        <v/>
      </c>
      <c r="P340" s="49" t="str">
        <f t="shared" si="3"/>
        <v/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</row>
    <row r="341">
      <c r="A341" s="69">
        <v>23.0</v>
      </c>
      <c r="B341" s="69">
        <v>29.0</v>
      </c>
      <c r="C341" s="86" t="s">
        <v>117</v>
      </c>
      <c r="D341" s="86" t="s">
        <v>118</v>
      </c>
      <c r="E341" s="86" t="s">
        <v>119</v>
      </c>
      <c r="F341" s="69">
        <v>2500.0</v>
      </c>
      <c r="G341" s="69">
        <v>15.6</v>
      </c>
      <c r="H341" s="68">
        <f t="shared" si="1"/>
        <v>54.45</v>
      </c>
      <c r="I341" s="81">
        <f>IFERROR(__xludf.DUMMYFUNCTION("IF(G341="""", """", ROUND(G341 / MAX(FILTER($G$2:$G5067, $D$2:$D5067=$D341)) * 100, 2))"),73.24)</f>
        <v>73.24</v>
      </c>
      <c r="J341" s="81">
        <f>IFERROR(__xludf.DUMMYFUNCTION("IF(H341="""", """", ROUND(H341 / MAX(FILTER($H$2:$H5067, $D$2:$D5067=$D341)) * 100, 2))"),34.21)</f>
        <v>34.21</v>
      </c>
      <c r="K341" s="2"/>
      <c r="L341" s="48"/>
      <c r="M341" s="48"/>
      <c r="N341" s="48"/>
      <c r="O341" s="48" t="str">
        <f t="shared" si="2"/>
        <v/>
      </c>
      <c r="P341" s="48" t="str">
        <f t="shared" si="3"/>
        <v/>
      </c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</row>
    <row r="342">
      <c r="A342" s="63">
        <v>23.0</v>
      </c>
      <c r="B342" s="63">
        <v>29.0</v>
      </c>
      <c r="C342" s="64" t="s">
        <v>117</v>
      </c>
      <c r="D342" s="64" t="s">
        <v>118</v>
      </c>
      <c r="E342" s="64" t="s">
        <v>119</v>
      </c>
      <c r="F342" s="63">
        <v>3250.0</v>
      </c>
      <c r="G342" s="63">
        <v>20.73</v>
      </c>
      <c r="H342" s="66">
        <f t="shared" si="1"/>
        <v>94.07</v>
      </c>
      <c r="I342" s="81">
        <f>IFERROR(__xludf.DUMMYFUNCTION("IF(G342="""", """", ROUND(G342 / MAX(FILTER($G$2:$G5067, $D$2:$D5067=$D342)) * 100, 2))"),97.32)</f>
        <v>97.32</v>
      </c>
      <c r="J342" s="81">
        <f>IFERROR(__xludf.DUMMYFUNCTION("IF(H342="""", """", ROUND(H342 / MAX(FILTER($H$2:$H5067, $D$2:$D5067=$D342)) * 100, 2))"),59.1)</f>
        <v>59.1</v>
      </c>
      <c r="K342" s="2"/>
      <c r="L342" s="49"/>
      <c r="M342" s="49"/>
      <c r="N342" s="49"/>
      <c r="O342" s="49" t="str">
        <f t="shared" si="2"/>
        <v/>
      </c>
      <c r="P342" s="49" t="str">
        <f t="shared" si="3"/>
        <v/>
      </c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</row>
    <row r="343">
      <c r="A343" s="69">
        <v>23.0</v>
      </c>
      <c r="B343" s="69">
        <v>29.0</v>
      </c>
      <c r="C343" s="86" t="s">
        <v>117</v>
      </c>
      <c r="D343" s="86" t="s">
        <v>118</v>
      </c>
      <c r="E343" s="86" t="s">
        <v>119</v>
      </c>
      <c r="F343" s="69">
        <v>3500.0</v>
      </c>
      <c r="G343" s="69">
        <v>21.3</v>
      </c>
      <c r="H343" s="68">
        <f t="shared" si="1"/>
        <v>104.09</v>
      </c>
      <c r="I343" s="81">
        <f>IFERROR(__xludf.DUMMYFUNCTION("IF(G343="""", """", ROUND(G343 / MAX(FILTER($G$2:$G5067, $D$2:$D5067=$D343)) * 100, 2))"),100.0)</f>
        <v>100</v>
      </c>
      <c r="J343" s="81">
        <f>IFERROR(__xludf.DUMMYFUNCTION("IF(H343="""", """", ROUND(H343 / MAX(FILTER($H$2:$H5067, $D$2:$D5067=$D343)) * 100, 2))"),65.4)</f>
        <v>65.4</v>
      </c>
      <c r="K343" s="2"/>
      <c r="L343" s="48"/>
      <c r="M343" s="48"/>
      <c r="N343" s="48"/>
      <c r="O343" s="48" t="str">
        <f t="shared" si="2"/>
        <v/>
      </c>
      <c r="P343" s="48" t="str">
        <f t="shared" si="3"/>
        <v/>
      </c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</row>
    <row r="344">
      <c r="A344" s="63">
        <v>23.0</v>
      </c>
      <c r="B344" s="63">
        <v>29.0</v>
      </c>
      <c r="C344" s="64" t="s">
        <v>117</v>
      </c>
      <c r="D344" s="64" t="s">
        <v>118</v>
      </c>
      <c r="E344" s="64" t="s">
        <v>119</v>
      </c>
      <c r="F344" s="63">
        <v>4000.0</v>
      </c>
      <c r="G344" s="63">
        <v>21.23</v>
      </c>
      <c r="H344" s="66">
        <f t="shared" si="1"/>
        <v>118.57</v>
      </c>
      <c r="I344" s="81">
        <f>IFERROR(__xludf.DUMMYFUNCTION("IF(G344="""", """", ROUND(G344 / MAX(FILTER($G$2:$G5067, $D$2:$D5067=$D344)) * 100, 2))"),99.67)</f>
        <v>99.67</v>
      </c>
      <c r="J344" s="81">
        <f>IFERROR(__xludf.DUMMYFUNCTION("IF(H344="""", """", ROUND(H344 / MAX(FILTER($H$2:$H5067, $D$2:$D5067=$D344)) * 100, 2))"),74.49)</f>
        <v>74.49</v>
      </c>
      <c r="K344" s="2"/>
      <c r="L344" s="49"/>
      <c r="M344" s="49"/>
      <c r="N344" s="49"/>
      <c r="O344" s="49" t="str">
        <f t="shared" si="2"/>
        <v/>
      </c>
      <c r="P344" s="49" t="str">
        <f t="shared" si="3"/>
        <v/>
      </c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</row>
    <row r="345">
      <c r="A345" s="69">
        <v>23.0</v>
      </c>
      <c r="B345" s="69">
        <v>29.0</v>
      </c>
      <c r="C345" s="86" t="s">
        <v>117</v>
      </c>
      <c r="D345" s="86" t="s">
        <v>118</v>
      </c>
      <c r="E345" s="86" t="s">
        <v>119</v>
      </c>
      <c r="F345" s="69">
        <v>4500.0</v>
      </c>
      <c r="G345" s="69">
        <v>21.15</v>
      </c>
      <c r="H345" s="68">
        <f t="shared" si="1"/>
        <v>132.89</v>
      </c>
      <c r="I345" s="81">
        <f>IFERROR(__xludf.DUMMYFUNCTION("IF(G345="""", """", ROUND(G345 / MAX(FILTER($G$2:$G5067, $D$2:$D5067=$D345)) * 100, 2))"),99.3)</f>
        <v>99.3</v>
      </c>
      <c r="J345" s="81">
        <f>IFERROR(__xludf.DUMMYFUNCTION("IF(H345="""", """", ROUND(H345 / MAX(FILTER($H$2:$H5067, $D$2:$D5067=$D345)) * 100, 2))"),83.49)</f>
        <v>83.49</v>
      </c>
      <c r="K345" s="2"/>
      <c r="L345" s="48"/>
      <c r="M345" s="48"/>
      <c r="N345" s="48"/>
      <c r="O345" s="48" t="str">
        <f t="shared" si="2"/>
        <v/>
      </c>
      <c r="P345" s="48" t="str">
        <f t="shared" si="3"/>
        <v/>
      </c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</row>
    <row r="346">
      <c r="A346" s="63">
        <v>23.0</v>
      </c>
      <c r="B346" s="63">
        <v>29.0</v>
      </c>
      <c r="C346" s="64" t="s">
        <v>117</v>
      </c>
      <c r="D346" s="64" t="s">
        <v>118</v>
      </c>
      <c r="E346" s="64" t="s">
        <v>119</v>
      </c>
      <c r="F346" s="63">
        <v>5000.0</v>
      </c>
      <c r="G346" s="63">
        <v>20.77</v>
      </c>
      <c r="H346" s="66">
        <f t="shared" si="1"/>
        <v>145</v>
      </c>
      <c r="I346" s="81">
        <f>IFERROR(__xludf.DUMMYFUNCTION("IF(G346="""", """", ROUND(G346 / MAX(FILTER($G$2:$G5067, $D$2:$D5067=$D346)) * 100, 2))"),97.51)</f>
        <v>97.51</v>
      </c>
      <c r="J346" s="81">
        <f>IFERROR(__xludf.DUMMYFUNCTION("IF(H346="""", """", ROUND(H346 / MAX(FILTER($H$2:$H5067, $D$2:$D5067=$D346)) * 100, 2))"),91.1)</f>
        <v>91.1</v>
      </c>
      <c r="K346" s="2"/>
      <c r="L346" s="49"/>
      <c r="M346" s="49"/>
      <c r="N346" s="49"/>
      <c r="O346" s="49" t="str">
        <f t="shared" si="2"/>
        <v/>
      </c>
      <c r="P346" s="49" t="str">
        <f t="shared" si="3"/>
        <v/>
      </c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</row>
    <row r="347">
      <c r="A347" s="69">
        <v>23.0</v>
      </c>
      <c r="B347" s="69">
        <v>29.0</v>
      </c>
      <c r="C347" s="86" t="s">
        <v>117</v>
      </c>
      <c r="D347" s="86" t="s">
        <v>118</v>
      </c>
      <c r="E347" s="86" t="s">
        <v>119</v>
      </c>
      <c r="F347" s="69">
        <v>5500.0</v>
      </c>
      <c r="G347" s="69">
        <v>20.02</v>
      </c>
      <c r="H347" s="68">
        <f t="shared" si="1"/>
        <v>153.74</v>
      </c>
      <c r="I347" s="81">
        <f>IFERROR(__xludf.DUMMYFUNCTION("IF(G347="""", """", ROUND(G347 / MAX(FILTER($G$2:$G5067, $D$2:$D5067=$D347)) * 100, 2))"),93.99)</f>
        <v>93.99</v>
      </c>
      <c r="J347" s="81">
        <f>IFERROR(__xludf.DUMMYFUNCTION("IF(H347="""", """", ROUND(H347 / MAX(FILTER($H$2:$H5067, $D$2:$D5067=$D347)) * 100, 2))"),96.59)</f>
        <v>96.59</v>
      </c>
      <c r="K347" s="2"/>
      <c r="L347" s="48"/>
      <c r="M347" s="48"/>
      <c r="N347" s="48"/>
      <c r="O347" s="48" t="str">
        <f t="shared" si="2"/>
        <v/>
      </c>
      <c r="P347" s="48" t="str">
        <f t="shared" si="3"/>
        <v/>
      </c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</row>
    <row r="348">
      <c r="A348" s="63">
        <v>23.0</v>
      </c>
      <c r="B348" s="63">
        <v>29.0</v>
      </c>
      <c r="C348" s="64" t="s">
        <v>117</v>
      </c>
      <c r="D348" s="64" t="s">
        <v>118</v>
      </c>
      <c r="E348" s="64" t="s">
        <v>119</v>
      </c>
      <c r="F348" s="63">
        <v>6000.0</v>
      </c>
      <c r="G348" s="63">
        <v>19.0</v>
      </c>
      <c r="H348" s="66">
        <f t="shared" si="1"/>
        <v>159.17</v>
      </c>
      <c r="I348" s="81">
        <f>IFERROR(__xludf.DUMMYFUNCTION("IF(G348="""", """", ROUND(G348 / MAX(FILTER($G$2:$G5067, $D$2:$D5067=$D348)) * 100, 2))"),89.2)</f>
        <v>89.2</v>
      </c>
      <c r="J348" s="81">
        <f>IFERROR(__xludf.DUMMYFUNCTION("IF(H348="""", """", ROUND(H348 / MAX(FILTER($H$2:$H5067, $D$2:$D5067=$D348)) * 100, 2))"),100.0)</f>
        <v>100</v>
      </c>
      <c r="K348" s="2"/>
      <c r="L348" s="49"/>
      <c r="M348" s="49"/>
      <c r="N348" s="49"/>
      <c r="O348" s="49" t="str">
        <f t="shared" si="2"/>
        <v/>
      </c>
      <c r="P348" s="49" t="str">
        <f t="shared" si="3"/>
        <v/>
      </c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</row>
    <row r="349">
      <c r="A349" s="69">
        <v>23.0</v>
      </c>
      <c r="B349" s="69">
        <v>29.0</v>
      </c>
      <c r="C349" s="86" t="s">
        <v>117</v>
      </c>
      <c r="D349" s="86" t="s">
        <v>118</v>
      </c>
      <c r="E349" s="86" t="s">
        <v>119</v>
      </c>
      <c r="F349" s="69">
        <v>6500.0</v>
      </c>
      <c r="G349" s="69">
        <v>17.17</v>
      </c>
      <c r="H349" s="68">
        <f t="shared" si="1"/>
        <v>155.83</v>
      </c>
      <c r="I349" s="81">
        <f>IFERROR(__xludf.DUMMYFUNCTION("IF(G349="""", """", ROUND(G349 / MAX(FILTER($G$2:$G5067, $D$2:$D5067=$D349)) * 100, 2))"),80.61)</f>
        <v>80.61</v>
      </c>
      <c r="J349" s="81">
        <f>IFERROR(__xludf.DUMMYFUNCTION("IF(H349="""", """", ROUND(H349 / MAX(FILTER($H$2:$H5067, $D$2:$D5067=$D349)) * 100, 2))"),97.9)</f>
        <v>97.9</v>
      </c>
      <c r="K349" s="2"/>
      <c r="L349" s="48"/>
      <c r="M349" s="48"/>
      <c r="N349" s="48"/>
      <c r="O349" s="48" t="str">
        <f t="shared" si="2"/>
        <v/>
      </c>
      <c r="P349" s="48" t="str">
        <f t="shared" si="3"/>
        <v/>
      </c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</row>
    <row r="350">
      <c r="A350" s="63">
        <v>23.0</v>
      </c>
      <c r="B350" s="63">
        <v>29.0</v>
      </c>
      <c r="C350" s="64" t="s">
        <v>117</v>
      </c>
      <c r="D350" s="64" t="s">
        <v>118</v>
      </c>
      <c r="E350" s="64" t="s">
        <v>119</v>
      </c>
      <c r="F350" s="63">
        <v>7000.0</v>
      </c>
      <c r="G350" s="63">
        <v>15.0</v>
      </c>
      <c r="H350" s="66">
        <f t="shared" si="1"/>
        <v>146.61</v>
      </c>
      <c r="I350" s="81">
        <f>IFERROR(__xludf.DUMMYFUNCTION("IF(G350="""", """", ROUND(G350 / MAX(FILTER($G$2:$G5067, $D$2:$D5067=$D350)) * 100, 2))"),70.42)</f>
        <v>70.42</v>
      </c>
      <c r="J350" s="81">
        <f>IFERROR(__xludf.DUMMYFUNCTION("IF(H350="""", """", ROUND(H350 / MAX(FILTER($H$2:$H5067, $D$2:$D5067=$D350)) * 100, 2))"),92.11)</f>
        <v>92.11</v>
      </c>
      <c r="K350" s="2"/>
      <c r="L350" s="49"/>
      <c r="M350" s="49"/>
      <c r="N350" s="49"/>
      <c r="O350" s="49" t="str">
        <f t="shared" si="2"/>
        <v/>
      </c>
      <c r="P350" s="49" t="str">
        <f t="shared" si="3"/>
        <v/>
      </c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</row>
    <row r="351">
      <c r="A351" s="69">
        <v>24.0</v>
      </c>
      <c r="B351" s="69">
        <v>31.0</v>
      </c>
      <c r="C351" s="86" t="s">
        <v>120</v>
      </c>
      <c r="D351" s="86" t="s">
        <v>121</v>
      </c>
      <c r="E351" s="86" t="s">
        <v>122</v>
      </c>
      <c r="F351" s="69">
        <v>500.0</v>
      </c>
      <c r="G351" s="69">
        <v>19.97</v>
      </c>
      <c r="H351" s="68">
        <f t="shared" si="1"/>
        <v>13.94</v>
      </c>
      <c r="I351" s="81">
        <f>IFERROR(__xludf.DUMMYFUNCTION("IF(G351="""", """", ROUND(G351 / MAX(FILTER($G$2:$G5067, $D$2:$D5067=$D351)) * 100, 2))"),53.97)</f>
        <v>53.97</v>
      </c>
      <c r="J351" s="81">
        <f>IFERROR(__xludf.DUMMYFUNCTION("IF(H351="""", """", ROUND(H351 / MAX(FILTER($H$2:$H5067, $D$2:$D5067=$D351)) * 100, 2))"),4.99)</f>
        <v>4.99</v>
      </c>
      <c r="K351" s="2"/>
      <c r="L351" s="48"/>
      <c r="M351" s="48"/>
      <c r="N351" s="48"/>
      <c r="O351" s="48" t="str">
        <f t="shared" si="2"/>
        <v/>
      </c>
      <c r="P351" s="48" t="str">
        <f t="shared" si="3"/>
        <v/>
      </c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</row>
    <row r="352">
      <c r="A352" s="63">
        <v>24.0</v>
      </c>
      <c r="B352" s="63">
        <v>31.0</v>
      </c>
      <c r="C352" s="64" t="s">
        <v>120</v>
      </c>
      <c r="D352" s="64" t="s">
        <v>121</v>
      </c>
      <c r="E352" s="64" t="s">
        <v>122</v>
      </c>
      <c r="F352" s="63">
        <v>1000.0</v>
      </c>
      <c r="G352" s="63">
        <v>23.53</v>
      </c>
      <c r="H352" s="66">
        <f t="shared" si="1"/>
        <v>32.85</v>
      </c>
      <c r="I352" s="81">
        <f>IFERROR(__xludf.DUMMYFUNCTION("IF(G352="""", """", ROUND(G352 / MAX(FILTER($G$2:$G5067, $D$2:$D5067=$D352)) * 100, 2))"),63.59)</f>
        <v>63.59</v>
      </c>
      <c r="J352" s="81">
        <f>IFERROR(__xludf.DUMMYFUNCTION("IF(H352="""", """", ROUND(H352 / MAX(FILTER($H$2:$H5067, $D$2:$D5067=$D352)) * 100, 2))"),11.75)</f>
        <v>11.75</v>
      </c>
      <c r="K352" s="2"/>
      <c r="L352" s="49"/>
      <c r="M352" s="49"/>
      <c r="N352" s="49"/>
      <c r="O352" s="49" t="str">
        <f t="shared" si="2"/>
        <v/>
      </c>
      <c r="P352" s="49" t="str">
        <f t="shared" si="3"/>
        <v/>
      </c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</row>
    <row r="353">
      <c r="A353" s="69">
        <v>24.0</v>
      </c>
      <c r="B353" s="69">
        <v>31.0</v>
      </c>
      <c r="C353" s="86" t="s">
        <v>120</v>
      </c>
      <c r="D353" s="86" t="s">
        <v>121</v>
      </c>
      <c r="E353" s="86" t="s">
        <v>122</v>
      </c>
      <c r="F353" s="69">
        <v>1500.0</v>
      </c>
      <c r="G353" s="69">
        <v>26.5</v>
      </c>
      <c r="H353" s="68">
        <f t="shared" si="1"/>
        <v>55.5</v>
      </c>
      <c r="I353" s="81">
        <f>IFERROR(__xludf.DUMMYFUNCTION("IF(G353="""", """", ROUND(G353 / MAX(FILTER($G$2:$G5067, $D$2:$D5067=$D353)) * 100, 2))"),71.62)</f>
        <v>71.62</v>
      </c>
      <c r="J353" s="81">
        <f>IFERROR(__xludf.DUMMYFUNCTION("IF(H353="""", """", ROUND(H353 / MAX(FILTER($H$2:$H5067, $D$2:$D5067=$D353)) * 100, 2))"),19.85)</f>
        <v>19.85</v>
      </c>
      <c r="K353" s="2"/>
      <c r="L353" s="48"/>
      <c r="M353" s="48"/>
      <c r="N353" s="48"/>
      <c r="O353" s="48" t="str">
        <f t="shared" si="2"/>
        <v/>
      </c>
      <c r="P353" s="48" t="str">
        <f t="shared" si="3"/>
        <v/>
      </c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</row>
    <row r="354">
      <c r="A354" s="63">
        <v>24.0</v>
      </c>
      <c r="B354" s="63">
        <v>31.0</v>
      </c>
      <c r="C354" s="64" t="s">
        <v>120</v>
      </c>
      <c r="D354" s="64" t="s">
        <v>121</v>
      </c>
      <c r="E354" s="64" t="s">
        <v>122</v>
      </c>
      <c r="F354" s="63">
        <v>2000.0</v>
      </c>
      <c r="G354" s="63">
        <v>29.2</v>
      </c>
      <c r="H354" s="66">
        <f t="shared" si="1"/>
        <v>81.54</v>
      </c>
      <c r="I354" s="81">
        <f>IFERROR(__xludf.DUMMYFUNCTION("IF(G354="""", """", ROUND(G354 / MAX(FILTER($G$2:$G5067, $D$2:$D5067=$D354)) * 100, 2))"),78.92)</f>
        <v>78.92</v>
      </c>
      <c r="J354" s="81">
        <f>IFERROR(__xludf.DUMMYFUNCTION("IF(H354="""", """", ROUND(H354 / MAX(FILTER($H$2:$H5067, $D$2:$D5067=$D354)) * 100, 2))"),29.16)</f>
        <v>29.16</v>
      </c>
      <c r="K354" s="2"/>
      <c r="L354" s="49"/>
      <c r="M354" s="49"/>
      <c r="N354" s="49"/>
      <c r="O354" s="49" t="str">
        <f t="shared" si="2"/>
        <v/>
      </c>
      <c r="P354" s="49" t="str">
        <f t="shared" si="3"/>
        <v/>
      </c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</row>
    <row r="355">
      <c r="A355" s="69">
        <v>24.0</v>
      </c>
      <c r="B355" s="69">
        <v>31.0</v>
      </c>
      <c r="C355" s="86" t="s">
        <v>120</v>
      </c>
      <c r="D355" s="86" t="s">
        <v>121</v>
      </c>
      <c r="E355" s="86" t="s">
        <v>122</v>
      </c>
      <c r="F355" s="69">
        <v>2500.0</v>
      </c>
      <c r="G355" s="69">
        <v>32.5</v>
      </c>
      <c r="H355" s="68">
        <f t="shared" si="1"/>
        <v>113.45</v>
      </c>
      <c r="I355" s="81">
        <f>IFERROR(__xludf.DUMMYFUNCTION("IF(G355="""", """", ROUND(G355 / MAX(FILTER($G$2:$G5067, $D$2:$D5067=$D355)) * 100, 2))"),87.84)</f>
        <v>87.84</v>
      </c>
      <c r="J355" s="81">
        <f>IFERROR(__xludf.DUMMYFUNCTION("IF(H355="""", """", ROUND(H355 / MAX(FILTER($H$2:$H5067, $D$2:$D5067=$D355)) * 100, 2))"),40.57)</f>
        <v>40.57</v>
      </c>
      <c r="K355" s="2"/>
      <c r="L355" s="48"/>
      <c r="M355" s="48"/>
      <c r="N355" s="48"/>
      <c r="O355" s="48" t="str">
        <f t="shared" si="2"/>
        <v/>
      </c>
      <c r="P355" s="48" t="str">
        <f t="shared" si="3"/>
        <v/>
      </c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</row>
    <row r="356">
      <c r="A356" s="63">
        <v>24.0</v>
      </c>
      <c r="B356" s="63">
        <v>31.0</v>
      </c>
      <c r="C356" s="64" t="s">
        <v>120</v>
      </c>
      <c r="D356" s="64" t="s">
        <v>121</v>
      </c>
      <c r="E356" s="64" t="s">
        <v>122</v>
      </c>
      <c r="F356" s="63">
        <v>3000.0</v>
      </c>
      <c r="G356" s="63">
        <v>35.0</v>
      </c>
      <c r="H356" s="66">
        <f t="shared" si="1"/>
        <v>146.61</v>
      </c>
      <c r="I356" s="81">
        <f>IFERROR(__xludf.DUMMYFUNCTION("IF(G356="""", """", ROUND(G356 / MAX(FILTER($G$2:$G5067, $D$2:$D5067=$D356)) * 100, 2))"),94.59)</f>
        <v>94.59</v>
      </c>
      <c r="J356" s="81">
        <f>IFERROR(__xludf.DUMMYFUNCTION("IF(H356="""", """", ROUND(H356 / MAX(FILTER($H$2:$H5067, $D$2:$D5067=$D356)) * 100, 2))"),52.43)</f>
        <v>52.43</v>
      </c>
      <c r="K356" s="2"/>
      <c r="L356" s="49"/>
      <c r="M356" s="49"/>
      <c r="N356" s="49"/>
      <c r="O356" s="49" t="str">
        <f t="shared" si="2"/>
        <v/>
      </c>
      <c r="P356" s="49" t="str">
        <f t="shared" si="3"/>
        <v/>
      </c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</row>
    <row r="357">
      <c r="A357" s="69">
        <v>24.0</v>
      </c>
      <c r="B357" s="69">
        <v>31.0</v>
      </c>
      <c r="C357" s="86" t="s">
        <v>120</v>
      </c>
      <c r="D357" s="86" t="s">
        <v>121</v>
      </c>
      <c r="E357" s="86" t="s">
        <v>122</v>
      </c>
      <c r="F357" s="69">
        <v>3500.0</v>
      </c>
      <c r="G357" s="69">
        <v>35.7</v>
      </c>
      <c r="H357" s="68">
        <f t="shared" si="1"/>
        <v>174.46</v>
      </c>
      <c r="I357" s="81">
        <f>IFERROR(__xludf.DUMMYFUNCTION("IF(G357="""", """", ROUND(G357 / MAX(FILTER($G$2:$G5067, $D$2:$D5067=$D357)) * 100, 2))"),96.49)</f>
        <v>96.49</v>
      </c>
      <c r="J357" s="81">
        <f>IFERROR(__xludf.DUMMYFUNCTION("IF(H357="""", """", ROUND(H357 / MAX(FILTER($H$2:$H5067, $D$2:$D5067=$D357)) * 100, 2))"),62.39)</f>
        <v>62.39</v>
      </c>
      <c r="K357" s="2"/>
      <c r="L357" s="48"/>
      <c r="M357" s="48"/>
      <c r="N357" s="48"/>
      <c r="O357" s="48" t="str">
        <f t="shared" si="2"/>
        <v/>
      </c>
      <c r="P357" s="48" t="str">
        <f t="shared" si="3"/>
        <v/>
      </c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</row>
    <row r="358">
      <c r="A358" s="63">
        <v>24.0</v>
      </c>
      <c r="B358" s="63">
        <v>31.0</v>
      </c>
      <c r="C358" s="64" t="s">
        <v>120</v>
      </c>
      <c r="D358" s="64" t="s">
        <v>121</v>
      </c>
      <c r="E358" s="64" t="s">
        <v>122</v>
      </c>
      <c r="F358" s="63">
        <v>4000.0</v>
      </c>
      <c r="G358" s="63">
        <v>36.3</v>
      </c>
      <c r="H358" s="66">
        <f t="shared" si="1"/>
        <v>202.74</v>
      </c>
      <c r="I358" s="81">
        <f>IFERROR(__xludf.DUMMYFUNCTION("IF(G358="""", """", ROUND(G358 / MAX(FILTER($G$2:$G5067, $D$2:$D5067=$D358)) * 100, 2))"),98.11)</f>
        <v>98.11</v>
      </c>
      <c r="J358" s="81">
        <f>IFERROR(__xludf.DUMMYFUNCTION("IF(H358="""", """", ROUND(H358 / MAX(FILTER($H$2:$H5067, $D$2:$D5067=$D358)) * 100, 2))"),72.51)</f>
        <v>72.51</v>
      </c>
      <c r="K358" s="2"/>
      <c r="L358" s="49"/>
      <c r="M358" s="49"/>
      <c r="N358" s="49"/>
      <c r="O358" s="49" t="str">
        <f t="shared" si="2"/>
        <v/>
      </c>
      <c r="P358" s="49" t="str">
        <f t="shared" si="3"/>
        <v/>
      </c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</row>
    <row r="359">
      <c r="A359" s="69">
        <v>24.0</v>
      </c>
      <c r="B359" s="69">
        <v>31.0</v>
      </c>
      <c r="C359" s="86" t="s">
        <v>120</v>
      </c>
      <c r="D359" s="86" t="s">
        <v>121</v>
      </c>
      <c r="E359" s="86" t="s">
        <v>122</v>
      </c>
      <c r="F359" s="69">
        <v>4400.0</v>
      </c>
      <c r="G359" s="69">
        <v>36.75</v>
      </c>
      <c r="H359" s="68">
        <f t="shared" si="1"/>
        <v>225.77</v>
      </c>
      <c r="I359" s="81">
        <f>IFERROR(__xludf.DUMMYFUNCTION("IF(G359="""", """", ROUND(G359 / MAX(FILTER($G$2:$G5067, $D$2:$D5067=$D359)) * 100, 2))"),99.32)</f>
        <v>99.32</v>
      </c>
      <c r="J359" s="81">
        <f>IFERROR(__xludf.DUMMYFUNCTION("IF(H359="""", """", ROUND(H359 / MAX(FILTER($H$2:$H5067, $D$2:$D5067=$D359)) * 100, 2))"),80.74)</f>
        <v>80.74</v>
      </c>
      <c r="K359" s="2"/>
      <c r="L359" s="48"/>
      <c r="M359" s="48"/>
      <c r="N359" s="48"/>
      <c r="O359" s="48" t="str">
        <f t="shared" si="2"/>
        <v/>
      </c>
      <c r="P359" s="48" t="str">
        <f t="shared" si="3"/>
        <v/>
      </c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</row>
    <row r="360">
      <c r="A360" s="63">
        <v>24.0</v>
      </c>
      <c r="B360" s="63">
        <v>31.0</v>
      </c>
      <c r="C360" s="64" t="s">
        <v>120</v>
      </c>
      <c r="D360" s="64" t="s">
        <v>121</v>
      </c>
      <c r="E360" s="64" t="s">
        <v>122</v>
      </c>
      <c r="F360" s="63">
        <v>4800.0</v>
      </c>
      <c r="G360" s="63">
        <v>37.0</v>
      </c>
      <c r="H360" s="66">
        <f t="shared" si="1"/>
        <v>247.98</v>
      </c>
      <c r="I360" s="81">
        <f>IFERROR(__xludf.DUMMYFUNCTION("IF(G360="""", """", ROUND(G360 / MAX(FILTER($G$2:$G5067, $D$2:$D5067=$D360)) * 100, 2))"),100.0)</f>
        <v>100</v>
      </c>
      <c r="J360" s="81">
        <f>IFERROR(__xludf.DUMMYFUNCTION("IF(H360="""", """", ROUND(H360 / MAX(FILTER($H$2:$H5067, $D$2:$D5067=$D360)) * 100, 2))"),88.69)</f>
        <v>88.69</v>
      </c>
      <c r="K360" s="2"/>
      <c r="L360" s="49"/>
      <c r="M360" s="49"/>
      <c r="N360" s="49"/>
      <c r="O360" s="49" t="str">
        <f t="shared" si="2"/>
        <v/>
      </c>
      <c r="P360" s="49" t="str">
        <f t="shared" si="3"/>
        <v/>
      </c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</row>
    <row r="361">
      <c r="A361" s="69">
        <v>24.0</v>
      </c>
      <c r="B361" s="69">
        <v>31.0</v>
      </c>
      <c r="C361" s="86" t="s">
        <v>120</v>
      </c>
      <c r="D361" s="86" t="s">
        <v>121</v>
      </c>
      <c r="E361" s="86" t="s">
        <v>122</v>
      </c>
      <c r="F361" s="69">
        <v>5200.0</v>
      </c>
      <c r="G361" s="69">
        <v>36.09</v>
      </c>
      <c r="H361" s="68">
        <f t="shared" si="1"/>
        <v>262.03</v>
      </c>
      <c r="I361" s="81">
        <f>IFERROR(__xludf.DUMMYFUNCTION("IF(G361="""", """", ROUND(G361 / MAX(FILTER($G$2:$G5067, $D$2:$D5067=$D361)) * 100, 2))"),97.54)</f>
        <v>97.54</v>
      </c>
      <c r="J361" s="81">
        <f>IFERROR(__xludf.DUMMYFUNCTION("IF(H361="""", """", ROUND(H361 / MAX(FILTER($H$2:$H5067, $D$2:$D5067=$D361)) * 100, 2))"),93.71)</f>
        <v>93.71</v>
      </c>
      <c r="K361" s="2"/>
      <c r="L361" s="48"/>
      <c r="M361" s="48"/>
      <c r="N361" s="48"/>
      <c r="O361" s="48" t="str">
        <f t="shared" si="2"/>
        <v/>
      </c>
      <c r="P361" s="48" t="str">
        <f t="shared" si="3"/>
        <v/>
      </c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</row>
    <row r="362">
      <c r="A362" s="63">
        <v>24.0</v>
      </c>
      <c r="B362" s="63">
        <v>31.0</v>
      </c>
      <c r="C362" s="64" t="s">
        <v>120</v>
      </c>
      <c r="D362" s="64" t="s">
        <v>121</v>
      </c>
      <c r="E362" s="64" t="s">
        <v>122</v>
      </c>
      <c r="F362" s="63">
        <v>5800.0</v>
      </c>
      <c r="G362" s="63">
        <v>34.11</v>
      </c>
      <c r="H362" s="66">
        <f t="shared" si="1"/>
        <v>276.23</v>
      </c>
      <c r="I362" s="81">
        <f>IFERROR(__xludf.DUMMYFUNCTION("IF(G362="""", """", ROUND(G362 / MAX(FILTER($G$2:$G5067, $D$2:$D5067=$D362)) * 100, 2))"),92.19)</f>
        <v>92.19</v>
      </c>
      <c r="J362" s="81">
        <f>IFERROR(__xludf.DUMMYFUNCTION("IF(H362="""", """", ROUND(H362 / MAX(FILTER($H$2:$H5067, $D$2:$D5067=$D362)) * 100, 2))"),98.79)</f>
        <v>98.79</v>
      </c>
      <c r="K362" s="2"/>
      <c r="L362" s="49"/>
      <c r="M362" s="49"/>
      <c r="N362" s="49"/>
      <c r="O362" s="49" t="str">
        <f t="shared" si="2"/>
        <v/>
      </c>
      <c r="P362" s="49" t="str">
        <f t="shared" si="3"/>
        <v/>
      </c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</row>
    <row r="363">
      <c r="A363" s="69">
        <v>24.0</v>
      </c>
      <c r="B363" s="69">
        <v>31.0</v>
      </c>
      <c r="C363" s="86" t="s">
        <v>120</v>
      </c>
      <c r="D363" s="86" t="s">
        <v>121</v>
      </c>
      <c r="E363" s="86" t="s">
        <v>122</v>
      </c>
      <c r="F363" s="69">
        <v>6200.0</v>
      </c>
      <c r="G363" s="69">
        <v>32.3</v>
      </c>
      <c r="H363" s="68">
        <f t="shared" si="1"/>
        <v>279.61</v>
      </c>
      <c r="I363" s="81">
        <f>IFERROR(__xludf.DUMMYFUNCTION("IF(G363="""", """", ROUND(G363 / MAX(FILTER($G$2:$G5067, $D$2:$D5067=$D363)) * 100, 2))"),87.3)</f>
        <v>87.3</v>
      </c>
      <c r="J363" s="81">
        <f>IFERROR(__xludf.DUMMYFUNCTION("IF(H363="""", """", ROUND(H363 / MAX(FILTER($H$2:$H5067, $D$2:$D5067=$D363)) * 100, 2))"),100.0)</f>
        <v>100</v>
      </c>
      <c r="K363" s="2"/>
      <c r="L363" s="48"/>
      <c r="M363" s="48"/>
      <c r="N363" s="48"/>
      <c r="O363" s="48" t="str">
        <f t="shared" si="2"/>
        <v/>
      </c>
      <c r="P363" s="48" t="str">
        <f t="shared" si="3"/>
        <v/>
      </c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</row>
    <row r="364">
      <c r="A364" s="63">
        <v>24.0</v>
      </c>
      <c r="B364" s="63">
        <v>31.0</v>
      </c>
      <c r="C364" s="64" t="s">
        <v>120</v>
      </c>
      <c r="D364" s="64" t="s">
        <v>121</v>
      </c>
      <c r="E364" s="64" t="s">
        <v>122</v>
      </c>
      <c r="F364" s="63">
        <v>6700.0</v>
      </c>
      <c r="G364" s="63">
        <v>29.5</v>
      </c>
      <c r="H364" s="66">
        <f t="shared" si="1"/>
        <v>275.97</v>
      </c>
      <c r="I364" s="81">
        <f>IFERROR(__xludf.DUMMYFUNCTION("IF(G364="""", """", ROUND(G364 / MAX(FILTER($G$2:$G5067, $D$2:$D5067=$D364)) * 100, 2))"),79.73)</f>
        <v>79.73</v>
      </c>
      <c r="J364" s="81">
        <f>IFERROR(__xludf.DUMMYFUNCTION("IF(H364="""", """", ROUND(H364 / MAX(FILTER($H$2:$H5067, $D$2:$D5067=$D364)) * 100, 2))"),98.7)</f>
        <v>98.7</v>
      </c>
      <c r="K364" s="2"/>
      <c r="L364" s="49"/>
      <c r="M364" s="49"/>
      <c r="N364" s="49"/>
      <c r="O364" s="49" t="str">
        <f t="shared" si="2"/>
        <v/>
      </c>
      <c r="P364" s="49" t="str">
        <f t="shared" si="3"/>
        <v/>
      </c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</row>
    <row r="365">
      <c r="A365" s="69">
        <v>24.0</v>
      </c>
      <c r="B365" s="69">
        <v>31.0</v>
      </c>
      <c r="C365" s="86" t="s">
        <v>120</v>
      </c>
      <c r="D365" s="86" t="s">
        <v>121</v>
      </c>
      <c r="E365" s="86" t="s">
        <v>122</v>
      </c>
      <c r="F365" s="69">
        <v>7000.0</v>
      </c>
      <c r="G365" s="69">
        <v>27.7</v>
      </c>
      <c r="H365" s="68">
        <f t="shared" si="1"/>
        <v>270.73</v>
      </c>
      <c r="I365" s="81">
        <f>IFERROR(__xludf.DUMMYFUNCTION("IF(G365="""", """", ROUND(G365 / MAX(FILTER($G$2:$G5067, $D$2:$D5067=$D365)) * 100, 2))"),74.86)</f>
        <v>74.86</v>
      </c>
      <c r="J365" s="81">
        <f>IFERROR(__xludf.DUMMYFUNCTION("IF(H365="""", """", ROUND(H365 / MAX(FILTER($H$2:$H5067, $D$2:$D5067=$D365)) * 100, 2))"),96.82)</f>
        <v>96.82</v>
      </c>
      <c r="K365" s="2"/>
      <c r="L365" s="48"/>
      <c r="M365" s="48"/>
      <c r="N365" s="48"/>
      <c r="O365" s="48" t="str">
        <f t="shared" si="2"/>
        <v/>
      </c>
      <c r="P365" s="48" t="str">
        <f t="shared" si="3"/>
        <v/>
      </c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</row>
    <row r="366">
      <c r="A366" s="63">
        <v>24.0</v>
      </c>
      <c r="B366" s="63">
        <v>31.0</v>
      </c>
      <c r="C366" s="64" t="s">
        <v>120</v>
      </c>
      <c r="D366" s="64" t="s">
        <v>121</v>
      </c>
      <c r="E366" s="64" t="s">
        <v>122</v>
      </c>
      <c r="F366" s="63">
        <v>7500.0</v>
      </c>
      <c r="G366" s="63">
        <v>23.5</v>
      </c>
      <c r="H366" s="66">
        <f t="shared" si="1"/>
        <v>246.09</v>
      </c>
      <c r="I366" s="81">
        <f>IFERROR(__xludf.DUMMYFUNCTION("IF(G366="""", """", ROUND(G366 / MAX(FILTER($G$2:$G5067, $D$2:$D5067=$D366)) * 100, 2))"),63.51)</f>
        <v>63.51</v>
      </c>
      <c r="J366" s="81">
        <f>IFERROR(__xludf.DUMMYFUNCTION("IF(H366="""", """", ROUND(H366 / MAX(FILTER($H$2:$H5067, $D$2:$D5067=$D366)) * 100, 2))"),88.01)</f>
        <v>88.01</v>
      </c>
      <c r="K366" s="2"/>
      <c r="L366" s="49"/>
      <c r="M366" s="49"/>
      <c r="N366" s="49"/>
      <c r="O366" s="49" t="str">
        <f t="shared" si="2"/>
        <v/>
      </c>
      <c r="P366" s="49" t="str">
        <f t="shared" si="3"/>
        <v/>
      </c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</row>
    <row r="367">
      <c r="A367" s="69">
        <v>25.0</v>
      </c>
      <c r="B367" s="69">
        <v>32.0</v>
      </c>
      <c r="C367" s="86" t="s">
        <v>123</v>
      </c>
      <c r="D367" s="86" t="s">
        <v>124</v>
      </c>
      <c r="E367" s="86" t="s">
        <v>125</v>
      </c>
      <c r="F367" s="69">
        <v>500.0</v>
      </c>
      <c r="G367" s="69">
        <v>32.46</v>
      </c>
      <c r="H367" s="68">
        <f t="shared" si="1"/>
        <v>22.66</v>
      </c>
      <c r="I367" s="81">
        <f>IFERROR(__xludf.DUMMYFUNCTION("IF(G367="""", """", ROUND(G367 / MAX(FILTER($G$2:$G5067, $D$2:$D5067=$D367)) * 100, 2))"),74.64)</f>
        <v>74.64</v>
      </c>
      <c r="J367" s="81">
        <f>IFERROR(__xludf.DUMMYFUNCTION("IF(H367="""", """", ROUND(H367 / MAX(FILTER($H$2:$H5067, $D$2:$D5067=$D367)) * 100, 2))"),8.15)</f>
        <v>8.15</v>
      </c>
      <c r="K367" s="2"/>
      <c r="L367" s="48"/>
      <c r="M367" s="48"/>
      <c r="N367" s="48"/>
      <c r="O367" s="48" t="str">
        <f t="shared" si="2"/>
        <v/>
      </c>
      <c r="P367" s="48" t="str">
        <f t="shared" si="3"/>
        <v/>
      </c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</row>
    <row r="368">
      <c r="A368" s="63">
        <v>25.0</v>
      </c>
      <c r="B368" s="63">
        <v>32.0</v>
      </c>
      <c r="C368" s="64" t="s">
        <v>123</v>
      </c>
      <c r="D368" s="64" t="s">
        <v>124</v>
      </c>
      <c r="E368" s="64" t="s">
        <v>125</v>
      </c>
      <c r="F368" s="63">
        <v>1000.0</v>
      </c>
      <c r="G368" s="63">
        <v>36.67</v>
      </c>
      <c r="H368" s="66">
        <f t="shared" si="1"/>
        <v>51.2</v>
      </c>
      <c r="I368" s="81">
        <f>IFERROR(__xludf.DUMMYFUNCTION("IF(G368="""", """", ROUND(G368 / MAX(FILTER($G$2:$G5067, $D$2:$D5067=$D368)) * 100, 2))"),84.32)</f>
        <v>84.32</v>
      </c>
      <c r="J368" s="81">
        <f>IFERROR(__xludf.DUMMYFUNCTION("IF(H368="""", """", ROUND(H368 / MAX(FILTER($H$2:$H5067, $D$2:$D5067=$D368)) * 100, 2))"),18.4)</f>
        <v>18.4</v>
      </c>
      <c r="K368" s="2"/>
      <c r="L368" s="49"/>
      <c r="M368" s="49"/>
      <c r="N368" s="49"/>
      <c r="O368" s="49" t="str">
        <f t="shared" si="2"/>
        <v/>
      </c>
      <c r="P368" s="49" t="str">
        <f t="shared" si="3"/>
        <v/>
      </c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</row>
    <row r="369">
      <c r="A369" s="69">
        <v>25.0</v>
      </c>
      <c r="B369" s="69">
        <v>32.0</v>
      </c>
      <c r="C369" s="86" t="s">
        <v>123</v>
      </c>
      <c r="D369" s="86" t="s">
        <v>124</v>
      </c>
      <c r="E369" s="86" t="s">
        <v>125</v>
      </c>
      <c r="F369" s="69">
        <v>1500.0</v>
      </c>
      <c r="G369" s="69">
        <v>39.5</v>
      </c>
      <c r="H369" s="68">
        <f t="shared" si="1"/>
        <v>82.73</v>
      </c>
      <c r="I369" s="81">
        <f>IFERROR(__xludf.DUMMYFUNCTION("IF(G369="""", """", ROUND(G369 / MAX(FILTER($G$2:$G5067, $D$2:$D5067=$D369)) * 100, 2))"),90.83)</f>
        <v>90.83</v>
      </c>
      <c r="J369" s="81">
        <f>IFERROR(__xludf.DUMMYFUNCTION("IF(H369="""", """", ROUND(H369 / MAX(FILTER($H$2:$H5067, $D$2:$D5067=$D369)) * 100, 2))"),29.74)</f>
        <v>29.74</v>
      </c>
      <c r="K369" s="2"/>
      <c r="L369" s="48"/>
      <c r="M369" s="48"/>
      <c r="N369" s="48"/>
      <c r="O369" s="48" t="str">
        <f t="shared" si="2"/>
        <v/>
      </c>
      <c r="P369" s="48" t="str">
        <f t="shared" si="3"/>
        <v/>
      </c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</row>
    <row r="370">
      <c r="A370" s="63">
        <v>25.0</v>
      </c>
      <c r="B370" s="63">
        <v>32.0</v>
      </c>
      <c r="C370" s="64" t="s">
        <v>123</v>
      </c>
      <c r="D370" s="64" t="s">
        <v>124</v>
      </c>
      <c r="E370" s="64" t="s">
        <v>125</v>
      </c>
      <c r="F370" s="63">
        <v>2000.0</v>
      </c>
      <c r="G370" s="63">
        <v>40.96</v>
      </c>
      <c r="H370" s="66">
        <f t="shared" si="1"/>
        <v>114.38</v>
      </c>
      <c r="I370" s="81">
        <f>IFERROR(__xludf.DUMMYFUNCTION("IF(G370="""", """", ROUND(G370 / MAX(FILTER($G$2:$G5067, $D$2:$D5067=$D370)) * 100, 2))"),94.18)</f>
        <v>94.18</v>
      </c>
      <c r="J370" s="81">
        <f>IFERROR(__xludf.DUMMYFUNCTION("IF(H370="""", """", ROUND(H370 / MAX(FILTER($H$2:$H5067, $D$2:$D5067=$D370)) * 100, 2))"),41.11)</f>
        <v>41.11</v>
      </c>
      <c r="K370" s="2"/>
      <c r="L370" s="49"/>
      <c r="M370" s="49"/>
      <c r="N370" s="49"/>
      <c r="O370" s="49" t="str">
        <f t="shared" si="2"/>
        <v/>
      </c>
      <c r="P370" s="49" t="str">
        <f t="shared" si="3"/>
        <v/>
      </c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</row>
    <row r="371">
      <c r="A371" s="69">
        <v>25.0</v>
      </c>
      <c r="B371" s="69">
        <v>32.0</v>
      </c>
      <c r="C371" s="86" t="s">
        <v>123</v>
      </c>
      <c r="D371" s="86" t="s">
        <v>124</v>
      </c>
      <c r="E371" s="86" t="s">
        <v>125</v>
      </c>
      <c r="F371" s="69">
        <v>2500.0</v>
      </c>
      <c r="G371" s="69">
        <v>42.21</v>
      </c>
      <c r="H371" s="68">
        <f t="shared" si="1"/>
        <v>147.34</v>
      </c>
      <c r="I371" s="81">
        <f>IFERROR(__xludf.DUMMYFUNCTION("IF(G371="""", """", ROUND(G371 / MAX(FILTER($G$2:$G5067, $D$2:$D5067=$D371)) * 100, 2))"),97.06)</f>
        <v>97.06</v>
      </c>
      <c r="J371" s="81">
        <f>IFERROR(__xludf.DUMMYFUNCTION("IF(H371="""", """", ROUND(H371 / MAX(FILTER($H$2:$H5067, $D$2:$D5067=$D371)) * 100, 2))"),52.96)</f>
        <v>52.96</v>
      </c>
      <c r="K371" s="2"/>
      <c r="L371" s="48"/>
      <c r="M371" s="48"/>
      <c r="N371" s="48"/>
      <c r="O371" s="48" t="str">
        <f t="shared" si="2"/>
        <v/>
      </c>
      <c r="P371" s="48" t="str">
        <f t="shared" si="3"/>
        <v/>
      </c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</row>
    <row r="372">
      <c r="A372" s="63">
        <v>25.0</v>
      </c>
      <c r="B372" s="63">
        <v>32.0</v>
      </c>
      <c r="C372" s="64" t="s">
        <v>123</v>
      </c>
      <c r="D372" s="64" t="s">
        <v>124</v>
      </c>
      <c r="E372" s="64" t="s">
        <v>125</v>
      </c>
      <c r="F372" s="63">
        <v>3000.0</v>
      </c>
      <c r="G372" s="63">
        <v>42.9</v>
      </c>
      <c r="H372" s="66">
        <f t="shared" si="1"/>
        <v>179.7</v>
      </c>
      <c r="I372" s="81">
        <f>IFERROR(__xludf.DUMMYFUNCTION("IF(G372="""", """", ROUND(G372 / MAX(FILTER($G$2:$G5067, $D$2:$D5067=$D372)) * 100, 2))"),98.64)</f>
        <v>98.64</v>
      </c>
      <c r="J372" s="81">
        <f>IFERROR(__xludf.DUMMYFUNCTION("IF(H372="""", """", ROUND(H372 / MAX(FILTER($H$2:$H5067, $D$2:$D5067=$D372)) * 100, 2))"),64.59)</f>
        <v>64.59</v>
      </c>
      <c r="K372" s="2"/>
      <c r="L372" s="49"/>
      <c r="M372" s="49"/>
      <c r="N372" s="49"/>
      <c r="O372" s="49" t="str">
        <f t="shared" si="2"/>
        <v/>
      </c>
      <c r="P372" s="49" t="str">
        <f t="shared" si="3"/>
        <v/>
      </c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</row>
    <row r="373">
      <c r="A373" s="69">
        <v>25.0</v>
      </c>
      <c r="B373" s="69">
        <v>32.0</v>
      </c>
      <c r="C373" s="86" t="s">
        <v>123</v>
      </c>
      <c r="D373" s="86" t="s">
        <v>124</v>
      </c>
      <c r="E373" s="86" t="s">
        <v>125</v>
      </c>
      <c r="F373" s="69">
        <v>3600.0</v>
      </c>
      <c r="G373" s="69">
        <v>43.49</v>
      </c>
      <c r="H373" s="68">
        <f t="shared" si="1"/>
        <v>218.6</v>
      </c>
      <c r="I373" s="81">
        <f>IFERROR(__xludf.DUMMYFUNCTION("IF(G373="""", """", ROUND(G373 / MAX(FILTER($G$2:$G5067, $D$2:$D5067=$D373)) * 100, 2))"),100.0)</f>
        <v>100</v>
      </c>
      <c r="J373" s="81">
        <f>IFERROR(__xludf.DUMMYFUNCTION("IF(H373="""", """", ROUND(H373 / MAX(FILTER($H$2:$H5067, $D$2:$D5067=$D373)) * 100, 2))"),78.58)</f>
        <v>78.58</v>
      </c>
      <c r="K373" s="2"/>
      <c r="L373" s="48"/>
      <c r="M373" s="48"/>
      <c r="N373" s="48"/>
      <c r="O373" s="48" t="str">
        <f t="shared" si="2"/>
        <v/>
      </c>
      <c r="P373" s="48" t="str">
        <f t="shared" si="3"/>
        <v/>
      </c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</row>
    <row r="374">
      <c r="A374" s="63">
        <v>25.0</v>
      </c>
      <c r="B374" s="63">
        <v>32.0</v>
      </c>
      <c r="C374" s="64" t="s">
        <v>123</v>
      </c>
      <c r="D374" s="64" t="s">
        <v>124</v>
      </c>
      <c r="E374" s="64" t="s">
        <v>125</v>
      </c>
      <c r="F374" s="63">
        <v>4000.0</v>
      </c>
      <c r="G374" s="63">
        <v>43.42</v>
      </c>
      <c r="H374" s="66">
        <f t="shared" si="1"/>
        <v>242.5</v>
      </c>
      <c r="I374" s="81">
        <f>IFERROR(__xludf.DUMMYFUNCTION("IF(G374="""", """", ROUND(G374 / MAX(FILTER($G$2:$G5067, $D$2:$D5067=$D374)) * 100, 2))"),99.84)</f>
        <v>99.84</v>
      </c>
      <c r="J374" s="81">
        <f>IFERROR(__xludf.DUMMYFUNCTION("IF(H374="""", """", ROUND(H374 / MAX(FILTER($H$2:$H5067, $D$2:$D5067=$D374)) * 100, 2))"),87.17)</f>
        <v>87.17</v>
      </c>
      <c r="K374" s="2"/>
      <c r="L374" s="49"/>
      <c r="M374" s="49"/>
      <c r="N374" s="49"/>
      <c r="O374" s="49" t="str">
        <f t="shared" si="2"/>
        <v/>
      </c>
      <c r="P374" s="49" t="str">
        <f t="shared" si="3"/>
        <v/>
      </c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</row>
    <row r="375">
      <c r="A375" s="69">
        <v>25.0</v>
      </c>
      <c r="B375" s="69">
        <v>32.0</v>
      </c>
      <c r="C375" s="86" t="s">
        <v>123</v>
      </c>
      <c r="D375" s="86" t="s">
        <v>124</v>
      </c>
      <c r="E375" s="86" t="s">
        <v>125</v>
      </c>
      <c r="F375" s="69">
        <v>4500.0</v>
      </c>
      <c r="G375" s="69">
        <v>42.14</v>
      </c>
      <c r="H375" s="68">
        <f t="shared" si="1"/>
        <v>264.77</v>
      </c>
      <c r="I375" s="81">
        <f>IFERROR(__xludf.DUMMYFUNCTION("IF(G375="""", """", ROUND(G375 / MAX(FILTER($G$2:$G5067, $D$2:$D5067=$D375)) * 100, 2))"),96.9)</f>
        <v>96.9</v>
      </c>
      <c r="J375" s="81">
        <f>IFERROR(__xludf.DUMMYFUNCTION("IF(H375="""", """", ROUND(H375 / MAX(FILTER($H$2:$H5067, $D$2:$D5067=$D375)) * 100, 2))"),95.17)</f>
        <v>95.17</v>
      </c>
      <c r="K375" s="2"/>
      <c r="L375" s="48"/>
      <c r="M375" s="48"/>
      <c r="N375" s="48"/>
      <c r="O375" s="48" t="str">
        <f t="shared" si="2"/>
        <v/>
      </c>
      <c r="P375" s="48" t="str">
        <f t="shared" si="3"/>
        <v/>
      </c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</row>
    <row r="376">
      <c r="A376" s="63">
        <v>25.0</v>
      </c>
      <c r="B376" s="63">
        <v>32.0</v>
      </c>
      <c r="C376" s="64" t="s">
        <v>123</v>
      </c>
      <c r="D376" s="64" t="s">
        <v>124</v>
      </c>
      <c r="E376" s="64" t="s">
        <v>125</v>
      </c>
      <c r="F376" s="63">
        <v>5000.0</v>
      </c>
      <c r="G376" s="63">
        <v>39.17</v>
      </c>
      <c r="H376" s="66">
        <f t="shared" si="1"/>
        <v>273.46</v>
      </c>
      <c r="I376" s="81">
        <f>IFERROR(__xludf.DUMMYFUNCTION("IF(G376="""", """", ROUND(G376 / MAX(FILTER($G$2:$G5067, $D$2:$D5067=$D376)) * 100, 2))"),90.07)</f>
        <v>90.07</v>
      </c>
      <c r="J376" s="81">
        <f>IFERROR(__xludf.DUMMYFUNCTION("IF(H376="""", """", ROUND(H376 / MAX(FILTER($H$2:$H5067, $D$2:$D5067=$D376)) * 100, 2))"),98.3)</f>
        <v>98.3</v>
      </c>
      <c r="K376" s="2"/>
      <c r="L376" s="49"/>
      <c r="M376" s="49"/>
      <c r="N376" s="49"/>
      <c r="O376" s="49" t="str">
        <f t="shared" si="2"/>
        <v/>
      </c>
      <c r="P376" s="49" t="str">
        <f t="shared" si="3"/>
        <v/>
      </c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</row>
    <row r="377">
      <c r="A377" s="69">
        <v>25.0</v>
      </c>
      <c r="B377" s="69">
        <v>32.0</v>
      </c>
      <c r="C377" s="86" t="s">
        <v>123</v>
      </c>
      <c r="D377" s="86" t="s">
        <v>124</v>
      </c>
      <c r="E377" s="86" t="s">
        <v>125</v>
      </c>
      <c r="F377" s="69">
        <v>5600.0</v>
      </c>
      <c r="G377" s="69">
        <v>35.58</v>
      </c>
      <c r="H377" s="68">
        <f t="shared" si="1"/>
        <v>278.2</v>
      </c>
      <c r="I377" s="81">
        <f>IFERROR(__xludf.DUMMYFUNCTION("IF(G377="""", """", ROUND(G377 / MAX(FILTER($G$2:$G5067, $D$2:$D5067=$D377)) * 100, 2))"),81.81)</f>
        <v>81.81</v>
      </c>
      <c r="J377" s="81">
        <f>IFERROR(__xludf.DUMMYFUNCTION("IF(H377="""", """", ROUND(H377 / MAX(FILTER($H$2:$H5067, $D$2:$D5067=$D377)) * 100, 2))"),100.0)</f>
        <v>100</v>
      </c>
      <c r="K377" s="2"/>
      <c r="L377" s="48"/>
      <c r="M377" s="48"/>
      <c r="N377" s="48"/>
      <c r="O377" s="48" t="str">
        <f t="shared" si="2"/>
        <v/>
      </c>
      <c r="P377" s="48" t="str">
        <f t="shared" si="3"/>
        <v/>
      </c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</row>
    <row r="378">
      <c r="A378" s="63">
        <v>25.0</v>
      </c>
      <c r="B378" s="63">
        <v>32.0</v>
      </c>
      <c r="C378" s="64" t="s">
        <v>123</v>
      </c>
      <c r="D378" s="64" t="s">
        <v>124</v>
      </c>
      <c r="E378" s="64" t="s">
        <v>125</v>
      </c>
      <c r="F378" s="63">
        <v>6000.0</v>
      </c>
      <c r="G378" s="63">
        <v>33.11</v>
      </c>
      <c r="H378" s="66">
        <f t="shared" si="1"/>
        <v>277.38</v>
      </c>
      <c r="I378" s="81">
        <f>IFERROR(__xludf.DUMMYFUNCTION("IF(G378="""", """", ROUND(G378 / MAX(FILTER($G$2:$G5067, $D$2:$D5067=$D378)) * 100, 2))"),76.13)</f>
        <v>76.13</v>
      </c>
      <c r="J378" s="81">
        <f>IFERROR(__xludf.DUMMYFUNCTION("IF(H378="""", """", ROUND(H378 / MAX(FILTER($H$2:$H5067, $D$2:$D5067=$D378)) * 100, 2))"),99.71)</f>
        <v>99.71</v>
      </c>
      <c r="K378" s="2"/>
      <c r="L378" s="49"/>
      <c r="M378" s="49"/>
      <c r="N378" s="49"/>
      <c r="O378" s="49" t="str">
        <f t="shared" si="2"/>
        <v/>
      </c>
      <c r="P378" s="49" t="str">
        <f t="shared" si="3"/>
        <v/>
      </c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</row>
    <row r="379">
      <c r="A379" s="69">
        <v>25.0</v>
      </c>
      <c r="B379" s="69">
        <v>32.0</v>
      </c>
      <c r="C379" s="86" t="s">
        <v>123</v>
      </c>
      <c r="D379" s="86" t="s">
        <v>124</v>
      </c>
      <c r="E379" s="86" t="s">
        <v>125</v>
      </c>
      <c r="F379" s="69">
        <v>6500.0</v>
      </c>
      <c r="G379" s="69">
        <v>29.63</v>
      </c>
      <c r="H379" s="68">
        <f t="shared" si="1"/>
        <v>268.91</v>
      </c>
      <c r="I379" s="81">
        <f>IFERROR(__xludf.DUMMYFUNCTION("IF(G379="""", """", ROUND(G379 / MAX(FILTER($G$2:$G5067, $D$2:$D5067=$D379)) * 100, 2))"),68.13)</f>
        <v>68.13</v>
      </c>
      <c r="J379" s="81">
        <f>IFERROR(__xludf.DUMMYFUNCTION("IF(H379="""", """", ROUND(H379 / MAX(FILTER($H$2:$H5067, $D$2:$D5067=$D379)) * 100, 2))"),96.66)</f>
        <v>96.66</v>
      </c>
      <c r="K379" s="2"/>
      <c r="L379" s="48"/>
      <c r="M379" s="48"/>
      <c r="N379" s="48"/>
      <c r="O379" s="48" t="str">
        <f t="shared" si="2"/>
        <v/>
      </c>
      <c r="P379" s="48" t="str">
        <f t="shared" si="3"/>
        <v/>
      </c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</row>
    <row r="380">
      <c r="A380" s="63">
        <v>25.0</v>
      </c>
      <c r="B380" s="63">
        <v>32.0</v>
      </c>
      <c r="C380" s="64" t="s">
        <v>123</v>
      </c>
      <c r="D380" s="64" t="s">
        <v>124</v>
      </c>
      <c r="E380" s="64" t="s">
        <v>125</v>
      </c>
      <c r="F380" s="63">
        <v>7000.0</v>
      </c>
      <c r="G380" s="63">
        <v>25.88</v>
      </c>
      <c r="H380" s="66">
        <f t="shared" si="1"/>
        <v>252.95</v>
      </c>
      <c r="I380" s="81">
        <f>IFERROR(__xludf.DUMMYFUNCTION("IF(G380="""", """", ROUND(G380 / MAX(FILTER($G$2:$G5067, $D$2:$D5067=$D380)) * 100, 2))"),59.51)</f>
        <v>59.51</v>
      </c>
      <c r="J380" s="81">
        <f>IFERROR(__xludf.DUMMYFUNCTION("IF(H380="""", """", ROUND(H380 / MAX(FILTER($H$2:$H5067, $D$2:$D5067=$D380)) * 100, 2))"),90.92)</f>
        <v>90.92</v>
      </c>
      <c r="K380" s="2"/>
      <c r="L380" s="49"/>
      <c r="M380" s="49"/>
      <c r="N380" s="49"/>
      <c r="O380" s="49" t="str">
        <f t="shared" si="2"/>
        <v/>
      </c>
      <c r="P380" s="49" t="str">
        <f t="shared" si="3"/>
        <v/>
      </c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</row>
    <row r="381">
      <c r="A381" s="69">
        <v>26.0</v>
      </c>
      <c r="B381" s="69">
        <v>35.0</v>
      </c>
      <c r="C381" s="86" t="s">
        <v>126</v>
      </c>
      <c r="D381" s="86" t="s">
        <v>127</v>
      </c>
      <c r="E381" s="86" t="s">
        <v>128</v>
      </c>
      <c r="F381" s="69">
        <v>500.0</v>
      </c>
      <c r="G381" s="69">
        <v>12.6</v>
      </c>
      <c r="H381" s="68">
        <f t="shared" si="1"/>
        <v>8.8</v>
      </c>
      <c r="I381" s="81">
        <f>IFERROR(__xludf.DUMMYFUNCTION("IF(G381="""", """", ROUND(G381 / MAX(FILTER($G$2:$G5067, $D$2:$D5067=$D381)) * 100, 2))"),87.2)</f>
        <v>87.2</v>
      </c>
      <c r="J381" s="81">
        <f>IFERROR(__xludf.DUMMYFUNCTION("IF(H381="""", """", ROUND(H381 / MAX(FILTER($H$2:$H5067, $D$2:$D5067=$D381)) * 100, 2))"),10.32)</f>
        <v>10.32</v>
      </c>
      <c r="K381" s="2"/>
      <c r="L381" s="48"/>
      <c r="M381" s="48"/>
      <c r="N381" s="48"/>
      <c r="O381" s="48" t="str">
        <f t="shared" si="2"/>
        <v/>
      </c>
      <c r="P381" s="48" t="str">
        <f t="shared" si="3"/>
        <v/>
      </c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</row>
    <row r="382">
      <c r="A382" s="63">
        <v>26.0</v>
      </c>
      <c r="B382" s="63">
        <v>35.0</v>
      </c>
      <c r="C382" s="64" t="s">
        <v>126</v>
      </c>
      <c r="D382" s="64" t="s">
        <v>127</v>
      </c>
      <c r="E382" s="64" t="s">
        <v>128</v>
      </c>
      <c r="F382" s="63">
        <v>1000.0</v>
      </c>
      <c r="G382" s="63">
        <v>14.05</v>
      </c>
      <c r="H382" s="66">
        <f t="shared" si="1"/>
        <v>19.62</v>
      </c>
      <c r="I382" s="81">
        <f>IFERROR(__xludf.DUMMYFUNCTION("IF(G382="""", """", ROUND(G382 / MAX(FILTER($G$2:$G5067, $D$2:$D5067=$D382)) * 100, 2))"),97.23)</f>
        <v>97.23</v>
      </c>
      <c r="J382" s="81">
        <f>IFERROR(__xludf.DUMMYFUNCTION("IF(H382="""", """", ROUND(H382 / MAX(FILTER($H$2:$H5067, $D$2:$D5067=$D382)) * 100, 2))"),23.02)</f>
        <v>23.02</v>
      </c>
      <c r="K382" s="2"/>
      <c r="L382" s="49"/>
      <c r="M382" s="49"/>
      <c r="N382" s="49"/>
      <c r="O382" s="49" t="str">
        <f t="shared" si="2"/>
        <v/>
      </c>
      <c r="P382" s="49" t="str">
        <f t="shared" si="3"/>
        <v/>
      </c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</row>
    <row r="383">
      <c r="A383" s="69">
        <v>26.0</v>
      </c>
      <c r="B383" s="69">
        <v>35.0</v>
      </c>
      <c r="C383" s="86" t="s">
        <v>126</v>
      </c>
      <c r="D383" s="86" t="s">
        <v>127</v>
      </c>
      <c r="E383" s="86" t="s">
        <v>128</v>
      </c>
      <c r="F383" s="69">
        <v>1500.0</v>
      </c>
      <c r="G383" s="69">
        <v>14.45</v>
      </c>
      <c r="H383" s="68">
        <f t="shared" si="1"/>
        <v>30.26</v>
      </c>
      <c r="I383" s="81">
        <f>IFERROR(__xludf.DUMMYFUNCTION("IF(G383="""", """", ROUND(G383 / MAX(FILTER($G$2:$G5067, $D$2:$D5067=$D383)) * 100, 2))"),100.0)</f>
        <v>100</v>
      </c>
      <c r="J383" s="81">
        <f>IFERROR(__xludf.DUMMYFUNCTION("IF(H383="""", """", ROUND(H383 / MAX(FILTER($H$2:$H5067, $D$2:$D5067=$D383)) * 100, 2))"),35.5)</f>
        <v>35.5</v>
      </c>
      <c r="K383" s="2"/>
      <c r="L383" s="48"/>
      <c r="M383" s="48"/>
      <c r="N383" s="48"/>
      <c r="O383" s="48" t="str">
        <f t="shared" si="2"/>
        <v/>
      </c>
      <c r="P383" s="48" t="str">
        <f t="shared" si="3"/>
        <v/>
      </c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</row>
    <row r="384">
      <c r="A384" s="63">
        <v>26.0</v>
      </c>
      <c r="B384" s="63">
        <v>35.0</v>
      </c>
      <c r="C384" s="64" t="s">
        <v>126</v>
      </c>
      <c r="D384" s="64" t="s">
        <v>127</v>
      </c>
      <c r="E384" s="64" t="s">
        <v>128</v>
      </c>
      <c r="F384" s="63">
        <v>2000.0</v>
      </c>
      <c r="G384" s="63">
        <v>14.07</v>
      </c>
      <c r="H384" s="66">
        <f t="shared" si="1"/>
        <v>39.29</v>
      </c>
      <c r="I384" s="81">
        <f>IFERROR(__xludf.DUMMYFUNCTION("IF(G384="""", """", ROUND(G384 / MAX(FILTER($G$2:$G5067, $D$2:$D5067=$D384)) * 100, 2))"),97.37)</f>
        <v>97.37</v>
      </c>
      <c r="J384" s="81">
        <f>IFERROR(__xludf.DUMMYFUNCTION("IF(H384="""", """", ROUND(H384 / MAX(FILTER($H$2:$H5067, $D$2:$D5067=$D384)) * 100, 2))"),46.09)</f>
        <v>46.09</v>
      </c>
      <c r="K384" s="2"/>
      <c r="L384" s="49"/>
      <c r="M384" s="49"/>
      <c r="N384" s="49"/>
      <c r="O384" s="49" t="str">
        <f t="shared" si="2"/>
        <v/>
      </c>
      <c r="P384" s="49" t="str">
        <f t="shared" si="3"/>
        <v/>
      </c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</row>
    <row r="385">
      <c r="A385" s="69">
        <v>26.0</v>
      </c>
      <c r="B385" s="69">
        <v>35.0</v>
      </c>
      <c r="C385" s="86" t="s">
        <v>126</v>
      </c>
      <c r="D385" s="86" t="s">
        <v>127</v>
      </c>
      <c r="E385" s="86" t="s">
        <v>128</v>
      </c>
      <c r="F385" s="69">
        <v>2500.0</v>
      </c>
      <c r="G385" s="69">
        <v>13.1</v>
      </c>
      <c r="H385" s="68">
        <f t="shared" si="1"/>
        <v>45.73</v>
      </c>
      <c r="I385" s="81">
        <f>IFERROR(__xludf.DUMMYFUNCTION("IF(G385="""", """", ROUND(G385 / MAX(FILTER($G$2:$G5067, $D$2:$D5067=$D385)) * 100, 2))"),90.66)</f>
        <v>90.66</v>
      </c>
      <c r="J385" s="81">
        <f>IFERROR(__xludf.DUMMYFUNCTION("IF(H385="""", """", ROUND(H385 / MAX(FILTER($H$2:$H5067, $D$2:$D5067=$D385)) * 100, 2))"),53.65)</f>
        <v>53.65</v>
      </c>
      <c r="K385" s="2"/>
      <c r="L385" s="48"/>
      <c r="M385" s="48"/>
      <c r="N385" s="48"/>
      <c r="O385" s="48" t="str">
        <f t="shared" si="2"/>
        <v/>
      </c>
      <c r="P385" s="48" t="str">
        <f t="shared" si="3"/>
        <v/>
      </c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</row>
    <row r="386">
      <c r="A386" s="63">
        <v>26.0</v>
      </c>
      <c r="B386" s="63">
        <v>35.0</v>
      </c>
      <c r="C386" s="64" t="s">
        <v>126</v>
      </c>
      <c r="D386" s="64" t="s">
        <v>127</v>
      </c>
      <c r="E386" s="64" t="s">
        <v>128</v>
      </c>
      <c r="F386" s="63">
        <v>3000.0</v>
      </c>
      <c r="G386" s="63">
        <v>12.55</v>
      </c>
      <c r="H386" s="66">
        <f t="shared" si="1"/>
        <v>52.57</v>
      </c>
      <c r="I386" s="81">
        <f>IFERROR(__xludf.DUMMYFUNCTION("IF(G386="""", """", ROUND(G386 / MAX(FILTER($G$2:$G5067, $D$2:$D5067=$D386)) * 100, 2))"),86.85)</f>
        <v>86.85</v>
      </c>
      <c r="J386" s="81">
        <f>IFERROR(__xludf.DUMMYFUNCTION("IF(H386="""", """", ROUND(H386 / MAX(FILTER($H$2:$H5067, $D$2:$D5067=$D386)) * 100, 2))"),61.67)</f>
        <v>61.67</v>
      </c>
      <c r="K386" s="2"/>
      <c r="L386" s="49"/>
      <c r="M386" s="49"/>
      <c r="N386" s="49"/>
      <c r="O386" s="49" t="str">
        <f t="shared" si="2"/>
        <v/>
      </c>
      <c r="P386" s="49" t="str">
        <f t="shared" si="3"/>
        <v/>
      </c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</row>
    <row r="387">
      <c r="A387" s="69">
        <v>26.0</v>
      </c>
      <c r="B387" s="69">
        <v>35.0</v>
      </c>
      <c r="C387" s="86" t="s">
        <v>126</v>
      </c>
      <c r="D387" s="86" t="s">
        <v>127</v>
      </c>
      <c r="E387" s="86" t="s">
        <v>128</v>
      </c>
      <c r="F387" s="69">
        <v>3500.0</v>
      </c>
      <c r="G387" s="69">
        <v>12.21</v>
      </c>
      <c r="H387" s="68">
        <f t="shared" si="1"/>
        <v>59.67</v>
      </c>
      <c r="I387" s="81">
        <f>IFERROR(__xludf.DUMMYFUNCTION("IF(G387="""", """", ROUND(G387 / MAX(FILTER($G$2:$G5067, $D$2:$D5067=$D387)) * 100, 2))"),84.5)</f>
        <v>84.5</v>
      </c>
      <c r="J387" s="81">
        <f>IFERROR(__xludf.DUMMYFUNCTION("IF(H387="""", """", ROUND(H387 / MAX(FILTER($H$2:$H5067, $D$2:$D5067=$D387)) * 100, 2))"),70.0)</f>
        <v>70</v>
      </c>
      <c r="K387" s="2"/>
      <c r="L387" s="48"/>
      <c r="M387" s="48"/>
      <c r="N387" s="48"/>
      <c r="O387" s="48" t="str">
        <f t="shared" si="2"/>
        <v/>
      </c>
      <c r="P387" s="48" t="str">
        <f t="shared" si="3"/>
        <v/>
      </c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</row>
    <row r="388">
      <c r="A388" s="63">
        <v>26.0</v>
      </c>
      <c r="B388" s="63">
        <v>35.0</v>
      </c>
      <c r="C388" s="64" t="s">
        <v>126</v>
      </c>
      <c r="D388" s="64" t="s">
        <v>127</v>
      </c>
      <c r="E388" s="64" t="s">
        <v>128</v>
      </c>
      <c r="F388" s="63">
        <v>4000.0</v>
      </c>
      <c r="G388" s="63">
        <v>11.75</v>
      </c>
      <c r="H388" s="66">
        <f t="shared" si="1"/>
        <v>65.62</v>
      </c>
      <c r="I388" s="81">
        <f>IFERROR(__xludf.DUMMYFUNCTION("IF(G388="""", """", ROUND(G388 / MAX(FILTER($G$2:$G5067, $D$2:$D5067=$D388)) * 100, 2))"),81.31)</f>
        <v>81.31</v>
      </c>
      <c r="J388" s="81">
        <f>IFERROR(__xludf.DUMMYFUNCTION("IF(H388="""", """", ROUND(H388 / MAX(FILTER($H$2:$H5067, $D$2:$D5067=$D388)) * 100, 2))"),76.98)</f>
        <v>76.98</v>
      </c>
      <c r="K388" s="2"/>
      <c r="L388" s="49"/>
      <c r="M388" s="49"/>
      <c r="N388" s="49"/>
      <c r="O388" s="49" t="str">
        <f t="shared" si="2"/>
        <v/>
      </c>
      <c r="P388" s="49" t="str">
        <f t="shared" si="3"/>
        <v/>
      </c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</row>
    <row r="389">
      <c r="A389" s="69">
        <v>26.0</v>
      </c>
      <c r="B389" s="69">
        <v>35.0</v>
      </c>
      <c r="C389" s="86" t="s">
        <v>126</v>
      </c>
      <c r="D389" s="86" t="s">
        <v>127</v>
      </c>
      <c r="E389" s="86" t="s">
        <v>128</v>
      </c>
      <c r="F389" s="69">
        <v>4500.0</v>
      </c>
      <c r="G389" s="69">
        <v>11.5</v>
      </c>
      <c r="H389" s="68">
        <f t="shared" si="1"/>
        <v>72.26</v>
      </c>
      <c r="I389" s="81">
        <f>IFERROR(__xludf.DUMMYFUNCTION("IF(G389="""", """", ROUND(G389 / MAX(FILTER($G$2:$G5067, $D$2:$D5067=$D389)) * 100, 2))"),79.58)</f>
        <v>79.58</v>
      </c>
      <c r="J389" s="81">
        <f>IFERROR(__xludf.DUMMYFUNCTION("IF(H389="""", """", ROUND(H389 / MAX(FILTER($H$2:$H5067, $D$2:$D5067=$D389)) * 100, 2))"),84.77)</f>
        <v>84.77</v>
      </c>
      <c r="K389" s="2"/>
      <c r="L389" s="48"/>
      <c r="M389" s="48"/>
      <c r="N389" s="48"/>
      <c r="O389" s="48" t="str">
        <f t="shared" si="2"/>
        <v/>
      </c>
      <c r="P389" s="48" t="str">
        <f t="shared" si="3"/>
        <v/>
      </c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</row>
    <row r="390">
      <c r="A390" s="63">
        <v>26.0</v>
      </c>
      <c r="B390" s="63">
        <v>35.0</v>
      </c>
      <c r="C390" s="64" t="s">
        <v>126</v>
      </c>
      <c r="D390" s="64" t="s">
        <v>127</v>
      </c>
      <c r="E390" s="64" t="s">
        <v>128</v>
      </c>
      <c r="F390" s="63">
        <v>5000.0</v>
      </c>
      <c r="G390" s="63">
        <v>11.3</v>
      </c>
      <c r="H390" s="66">
        <f t="shared" si="1"/>
        <v>78.89</v>
      </c>
      <c r="I390" s="81">
        <f>IFERROR(__xludf.DUMMYFUNCTION("IF(G390="""", """", ROUND(G390 / MAX(FILTER($G$2:$G5067, $D$2:$D5067=$D390)) * 100, 2))"),78.2)</f>
        <v>78.2</v>
      </c>
      <c r="J390" s="81">
        <f>IFERROR(__xludf.DUMMYFUNCTION("IF(H390="""", """", ROUND(H390 / MAX(FILTER($H$2:$H5067, $D$2:$D5067=$D390)) * 100, 2))"),92.55)</f>
        <v>92.55</v>
      </c>
      <c r="K390" s="2"/>
      <c r="L390" s="49"/>
      <c r="M390" s="49"/>
      <c r="N390" s="49"/>
      <c r="O390" s="49" t="str">
        <f t="shared" si="2"/>
        <v/>
      </c>
      <c r="P390" s="49" t="str">
        <f t="shared" si="3"/>
        <v/>
      </c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</row>
    <row r="391">
      <c r="A391" s="69">
        <v>26.0</v>
      </c>
      <c r="B391" s="69">
        <v>35.0</v>
      </c>
      <c r="C391" s="86" t="s">
        <v>126</v>
      </c>
      <c r="D391" s="86" t="s">
        <v>127</v>
      </c>
      <c r="E391" s="86" t="s">
        <v>128</v>
      </c>
      <c r="F391" s="69">
        <v>5500.0</v>
      </c>
      <c r="G391" s="69">
        <v>11.1</v>
      </c>
      <c r="H391" s="68">
        <f t="shared" si="1"/>
        <v>85.24</v>
      </c>
      <c r="I391" s="81">
        <f>IFERROR(__xludf.DUMMYFUNCTION("IF(G391="""", """", ROUND(G391 / MAX(FILTER($G$2:$G5067, $D$2:$D5067=$D391)) * 100, 2))"),76.82)</f>
        <v>76.82</v>
      </c>
      <c r="J391" s="81">
        <f>IFERROR(__xludf.DUMMYFUNCTION("IF(H391="""", """", ROUND(H391 / MAX(FILTER($H$2:$H5067, $D$2:$D5067=$D391)) * 100, 2))"),100.0)</f>
        <v>100</v>
      </c>
      <c r="K391" s="2"/>
      <c r="L391" s="48"/>
      <c r="M391" s="48"/>
      <c r="N391" s="48"/>
      <c r="O391" s="48" t="str">
        <f t="shared" si="2"/>
        <v/>
      </c>
      <c r="P391" s="48" t="str">
        <f t="shared" si="3"/>
        <v/>
      </c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</row>
    <row r="392">
      <c r="A392" s="63">
        <v>26.0</v>
      </c>
      <c r="B392" s="63">
        <v>35.0</v>
      </c>
      <c r="C392" s="64" t="s">
        <v>126</v>
      </c>
      <c r="D392" s="64" t="s">
        <v>127</v>
      </c>
      <c r="E392" s="64" t="s">
        <v>128</v>
      </c>
      <c r="F392" s="63">
        <v>6000.0</v>
      </c>
      <c r="G392" s="63">
        <v>9.9</v>
      </c>
      <c r="H392" s="66">
        <f t="shared" si="1"/>
        <v>82.94</v>
      </c>
      <c r="I392" s="81">
        <f>IFERROR(__xludf.DUMMYFUNCTION("IF(G392="""", """", ROUND(G392 / MAX(FILTER($G$2:$G5067, $D$2:$D5067=$D392)) * 100, 2))"),68.51)</f>
        <v>68.51</v>
      </c>
      <c r="J392" s="81">
        <f>IFERROR(__xludf.DUMMYFUNCTION("IF(H392="""", """", ROUND(H392 / MAX(FILTER($H$2:$H5067, $D$2:$D5067=$D392)) * 100, 2))"),97.3)</f>
        <v>97.3</v>
      </c>
      <c r="K392" s="2"/>
      <c r="L392" s="49"/>
      <c r="M392" s="49"/>
      <c r="N392" s="49"/>
      <c r="O392" s="49" t="str">
        <f t="shared" si="2"/>
        <v/>
      </c>
      <c r="P392" s="49" t="str">
        <f t="shared" si="3"/>
        <v/>
      </c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</row>
    <row r="393">
      <c r="A393" s="69">
        <v>26.0</v>
      </c>
      <c r="B393" s="69">
        <v>35.0</v>
      </c>
      <c r="C393" s="86" t="s">
        <v>126</v>
      </c>
      <c r="D393" s="86" t="s">
        <v>127</v>
      </c>
      <c r="E393" s="86" t="s">
        <v>128</v>
      </c>
      <c r="F393" s="69">
        <v>6500.0</v>
      </c>
      <c r="G393" s="69">
        <v>8.05</v>
      </c>
      <c r="H393" s="68">
        <f t="shared" si="1"/>
        <v>73.06</v>
      </c>
      <c r="I393" s="81">
        <f>IFERROR(__xludf.DUMMYFUNCTION("IF(G393="""", """", ROUND(G393 / MAX(FILTER($G$2:$G5067, $D$2:$D5067=$D393)) * 100, 2))"),55.71)</f>
        <v>55.71</v>
      </c>
      <c r="J393" s="81">
        <f>IFERROR(__xludf.DUMMYFUNCTION("IF(H393="""", """", ROUND(H393 / MAX(FILTER($H$2:$H5067, $D$2:$D5067=$D393)) * 100, 2))"),85.71)</f>
        <v>85.71</v>
      </c>
      <c r="K393" s="2"/>
      <c r="L393" s="48"/>
      <c r="M393" s="48"/>
      <c r="N393" s="48"/>
      <c r="O393" s="48" t="str">
        <f t="shared" si="2"/>
        <v/>
      </c>
      <c r="P393" s="48" t="str">
        <f t="shared" si="3"/>
        <v/>
      </c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</row>
    <row r="394">
      <c r="A394" s="63">
        <v>27.0</v>
      </c>
      <c r="B394" s="63">
        <v>36.0</v>
      </c>
      <c r="C394" s="64" t="s">
        <v>129</v>
      </c>
      <c r="D394" s="64" t="s">
        <v>130</v>
      </c>
      <c r="E394" s="64" t="s">
        <v>131</v>
      </c>
      <c r="F394" s="63">
        <v>500.0</v>
      </c>
      <c r="G394" s="63">
        <v>31.96</v>
      </c>
      <c r="H394" s="66">
        <f t="shared" si="1"/>
        <v>22.31</v>
      </c>
      <c r="I394" s="81">
        <f>IFERROR(__xludf.DUMMYFUNCTION("IF(G394="""", """", ROUND(G394 / MAX(FILTER($G$2:$G5067, $D$2:$D5067=$D394)) * 100, 2))"),75.91)</f>
        <v>75.91</v>
      </c>
      <c r="J394" s="81">
        <f>IFERROR(__xludf.DUMMYFUNCTION("IF(H394="""", """", ROUND(H394 / MAX(FILTER($H$2:$H5067, $D$2:$D5067=$D394)) * 100, 2))"),8.42)</f>
        <v>8.42</v>
      </c>
      <c r="K394" s="2"/>
      <c r="L394" s="49"/>
      <c r="M394" s="49"/>
      <c r="N394" s="49"/>
      <c r="O394" s="49" t="str">
        <f t="shared" si="2"/>
        <v/>
      </c>
      <c r="P394" s="49" t="str">
        <f t="shared" si="3"/>
        <v/>
      </c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</row>
    <row r="395">
      <c r="A395" s="69">
        <v>27.0</v>
      </c>
      <c r="B395" s="69">
        <v>36.0</v>
      </c>
      <c r="C395" s="86" t="s">
        <v>129</v>
      </c>
      <c r="D395" s="86" t="s">
        <v>130</v>
      </c>
      <c r="E395" s="86" t="s">
        <v>131</v>
      </c>
      <c r="F395" s="69">
        <v>1000.0</v>
      </c>
      <c r="G395" s="69">
        <v>34.67</v>
      </c>
      <c r="H395" s="68">
        <f t="shared" si="1"/>
        <v>48.41</v>
      </c>
      <c r="I395" s="81">
        <f>IFERROR(__xludf.DUMMYFUNCTION("IF(G395="""", """", ROUND(G395 / MAX(FILTER($G$2:$G5067, $D$2:$D5067=$D395)) * 100, 2))"),82.35)</f>
        <v>82.35</v>
      </c>
      <c r="J395" s="81">
        <f>IFERROR(__xludf.DUMMYFUNCTION("IF(H395="""", """", ROUND(H395 / MAX(FILTER($H$2:$H5067, $D$2:$D5067=$D395)) * 100, 2))"),18.27)</f>
        <v>18.27</v>
      </c>
      <c r="K395" s="2"/>
      <c r="L395" s="48"/>
      <c r="M395" s="48"/>
      <c r="N395" s="48"/>
      <c r="O395" s="48" t="str">
        <f t="shared" si="2"/>
        <v/>
      </c>
      <c r="P395" s="48" t="str">
        <f t="shared" si="3"/>
        <v/>
      </c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</row>
    <row r="396">
      <c r="A396" s="63">
        <v>27.0</v>
      </c>
      <c r="B396" s="63">
        <v>36.0</v>
      </c>
      <c r="C396" s="64" t="s">
        <v>129</v>
      </c>
      <c r="D396" s="64" t="s">
        <v>130</v>
      </c>
      <c r="E396" s="64" t="s">
        <v>131</v>
      </c>
      <c r="F396" s="63">
        <v>1500.0</v>
      </c>
      <c r="G396" s="63">
        <v>35.69</v>
      </c>
      <c r="H396" s="66">
        <f t="shared" si="1"/>
        <v>74.75</v>
      </c>
      <c r="I396" s="81">
        <f>IFERROR(__xludf.DUMMYFUNCTION("IF(G396="""", """", ROUND(G396 / MAX(FILTER($G$2:$G5067, $D$2:$D5067=$D396)) * 100, 2))"),84.77)</f>
        <v>84.77</v>
      </c>
      <c r="J396" s="81">
        <f>IFERROR(__xludf.DUMMYFUNCTION("IF(H396="""", """", ROUND(H396 / MAX(FILTER($H$2:$H5067, $D$2:$D5067=$D396)) * 100, 2))"),28.22)</f>
        <v>28.22</v>
      </c>
      <c r="K396" s="2"/>
      <c r="L396" s="49"/>
      <c r="M396" s="49"/>
      <c r="N396" s="49"/>
      <c r="O396" s="49" t="str">
        <f t="shared" si="2"/>
        <v/>
      </c>
      <c r="P396" s="49" t="str">
        <f t="shared" si="3"/>
        <v/>
      </c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</row>
    <row r="397">
      <c r="A397" s="69">
        <v>27.0</v>
      </c>
      <c r="B397" s="69">
        <v>36.0</v>
      </c>
      <c r="C397" s="86" t="s">
        <v>129</v>
      </c>
      <c r="D397" s="86" t="s">
        <v>130</v>
      </c>
      <c r="E397" s="86" t="s">
        <v>131</v>
      </c>
      <c r="F397" s="69">
        <v>2000.0</v>
      </c>
      <c r="G397" s="69">
        <v>37.08</v>
      </c>
      <c r="H397" s="68">
        <f t="shared" si="1"/>
        <v>103.55</v>
      </c>
      <c r="I397" s="81">
        <f>IFERROR(__xludf.DUMMYFUNCTION("IF(G397="""", """", ROUND(G397 / MAX(FILTER($G$2:$G5067, $D$2:$D5067=$D397)) * 100, 2))"),88.08)</f>
        <v>88.08</v>
      </c>
      <c r="J397" s="81">
        <f>IFERROR(__xludf.DUMMYFUNCTION("IF(H397="""", """", ROUND(H397 / MAX(FILTER($H$2:$H5067, $D$2:$D5067=$D397)) * 100, 2))"),39.09)</f>
        <v>39.09</v>
      </c>
      <c r="K397" s="2"/>
      <c r="L397" s="48"/>
      <c r="M397" s="48"/>
      <c r="N397" s="48"/>
      <c r="O397" s="48" t="str">
        <f t="shared" si="2"/>
        <v/>
      </c>
      <c r="P397" s="48" t="str">
        <f t="shared" si="3"/>
        <v/>
      </c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</row>
    <row r="398">
      <c r="A398" s="63">
        <v>27.0</v>
      </c>
      <c r="B398" s="63">
        <v>36.0</v>
      </c>
      <c r="C398" s="64" t="s">
        <v>129</v>
      </c>
      <c r="D398" s="64" t="s">
        <v>130</v>
      </c>
      <c r="E398" s="64" t="s">
        <v>131</v>
      </c>
      <c r="F398" s="63">
        <v>2500.0</v>
      </c>
      <c r="G398" s="63">
        <v>39.09</v>
      </c>
      <c r="H398" s="66">
        <f t="shared" si="1"/>
        <v>136.45</v>
      </c>
      <c r="I398" s="81">
        <f>IFERROR(__xludf.DUMMYFUNCTION("IF(G398="""", """", ROUND(G398 / MAX(FILTER($G$2:$G5067, $D$2:$D5067=$D398)) * 100, 2))"),92.85)</f>
        <v>92.85</v>
      </c>
      <c r="J398" s="81">
        <f>IFERROR(__xludf.DUMMYFUNCTION("IF(H398="""", """", ROUND(H398 / MAX(FILTER($H$2:$H5067, $D$2:$D5067=$D398)) * 100, 2))"),51.51)</f>
        <v>51.51</v>
      </c>
      <c r="K398" s="2"/>
      <c r="L398" s="49"/>
      <c r="M398" s="49"/>
      <c r="N398" s="49"/>
      <c r="O398" s="49" t="str">
        <f t="shared" si="2"/>
        <v/>
      </c>
      <c r="P398" s="49" t="str">
        <f t="shared" si="3"/>
        <v/>
      </c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</row>
    <row r="399">
      <c r="A399" s="69">
        <v>27.0</v>
      </c>
      <c r="B399" s="69">
        <v>36.0</v>
      </c>
      <c r="C399" s="86" t="s">
        <v>129</v>
      </c>
      <c r="D399" s="86" t="s">
        <v>130</v>
      </c>
      <c r="E399" s="86" t="s">
        <v>131</v>
      </c>
      <c r="F399" s="69">
        <v>3000.0</v>
      </c>
      <c r="G399" s="69">
        <v>41.84</v>
      </c>
      <c r="H399" s="68">
        <f t="shared" si="1"/>
        <v>175.26</v>
      </c>
      <c r="I399" s="81">
        <f>IFERROR(__xludf.DUMMYFUNCTION("IF(G399="""", """", ROUND(G399 / MAX(FILTER($G$2:$G5067, $D$2:$D5067=$D399)) * 100, 2))"),99.38)</f>
        <v>99.38</v>
      </c>
      <c r="J399" s="81">
        <f>IFERROR(__xludf.DUMMYFUNCTION("IF(H399="""", """", ROUND(H399 / MAX(FILTER($H$2:$H5067, $D$2:$D5067=$D399)) * 100, 2))"),66.16)</f>
        <v>66.16</v>
      </c>
      <c r="K399" s="2"/>
      <c r="L399" s="48"/>
      <c r="M399" s="48"/>
      <c r="N399" s="48"/>
      <c r="O399" s="48" t="str">
        <f t="shared" si="2"/>
        <v/>
      </c>
      <c r="P399" s="48" t="str">
        <f t="shared" si="3"/>
        <v/>
      </c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</row>
    <row r="400">
      <c r="A400" s="63">
        <v>27.0</v>
      </c>
      <c r="B400" s="63">
        <v>36.0</v>
      </c>
      <c r="C400" s="64" t="s">
        <v>129</v>
      </c>
      <c r="D400" s="64" t="s">
        <v>130</v>
      </c>
      <c r="E400" s="64" t="s">
        <v>131</v>
      </c>
      <c r="F400" s="63">
        <v>3400.0</v>
      </c>
      <c r="G400" s="63">
        <v>42.1</v>
      </c>
      <c r="H400" s="66">
        <f t="shared" si="1"/>
        <v>199.86</v>
      </c>
      <c r="I400" s="81">
        <f>IFERROR(__xludf.DUMMYFUNCTION("IF(G400="""", """", ROUND(G400 / MAX(FILTER($G$2:$G5067, $D$2:$D5067=$D400)) * 100, 2))"),100.0)</f>
        <v>100</v>
      </c>
      <c r="J400" s="81">
        <f>IFERROR(__xludf.DUMMYFUNCTION("IF(H400="""", """", ROUND(H400 / MAX(FILTER($H$2:$H5067, $D$2:$D5067=$D400)) * 100, 2))"),75.44)</f>
        <v>75.44</v>
      </c>
      <c r="K400" s="2"/>
      <c r="L400" s="49"/>
      <c r="M400" s="49"/>
      <c r="N400" s="49"/>
      <c r="O400" s="49" t="str">
        <f t="shared" si="2"/>
        <v/>
      </c>
      <c r="P400" s="49" t="str">
        <f t="shared" si="3"/>
        <v/>
      </c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</row>
    <row r="401">
      <c r="A401" s="69">
        <v>27.0</v>
      </c>
      <c r="B401" s="69">
        <v>36.0</v>
      </c>
      <c r="C401" s="86" t="s">
        <v>129</v>
      </c>
      <c r="D401" s="86" t="s">
        <v>130</v>
      </c>
      <c r="E401" s="86" t="s">
        <v>131</v>
      </c>
      <c r="F401" s="69">
        <v>4000.0</v>
      </c>
      <c r="G401" s="69">
        <v>41.48</v>
      </c>
      <c r="H401" s="68">
        <f t="shared" si="1"/>
        <v>231.67</v>
      </c>
      <c r="I401" s="81">
        <f>IFERROR(__xludf.DUMMYFUNCTION("IF(G401="""", """", ROUND(G401 / MAX(FILTER($G$2:$G5067, $D$2:$D5067=$D401)) * 100, 2))"),98.53)</f>
        <v>98.53</v>
      </c>
      <c r="J401" s="81">
        <f>IFERROR(__xludf.DUMMYFUNCTION("IF(H401="""", """", ROUND(H401 / MAX(FILTER($H$2:$H5067, $D$2:$D5067=$D401)) * 100, 2))"),87.45)</f>
        <v>87.45</v>
      </c>
      <c r="K401" s="2"/>
      <c r="L401" s="48"/>
      <c r="M401" s="48"/>
      <c r="N401" s="48"/>
      <c r="O401" s="48" t="str">
        <f t="shared" si="2"/>
        <v/>
      </c>
      <c r="P401" s="48" t="str">
        <f t="shared" si="3"/>
        <v/>
      </c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</row>
    <row r="402">
      <c r="A402" s="63">
        <v>27.0</v>
      </c>
      <c r="B402" s="63">
        <v>36.0</v>
      </c>
      <c r="C402" s="64" t="s">
        <v>129</v>
      </c>
      <c r="D402" s="64" t="s">
        <v>130</v>
      </c>
      <c r="E402" s="64" t="s">
        <v>131</v>
      </c>
      <c r="F402" s="63">
        <v>4500.0</v>
      </c>
      <c r="G402" s="63">
        <v>40.12</v>
      </c>
      <c r="H402" s="66">
        <f t="shared" si="1"/>
        <v>252.08</v>
      </c>
      <c r="I402" s="81">
        <f>IFERROR(__xludf.DUMMYFUNCTION("IF(G402="""", """", ROUND(G402 / MAX(FILTER($G$2:$G5067, $D$2:$D5067=$D402)) * 100, 2))"),95.3)</f>
        <v>95.3</v>
      </c>
      <c r="J402" s="81">
        <f>IFERROR(__xludf.DUMMYFUNCTION("IF(H402="""", """", ROUND(H402 / MAX(FILTER($H$2:$H5067, $D$2:$D5067=$D402)) * 100, 2))"),95.16)</f>
        <v>95.16</v>
      </c>
      <c r="K402" s="2"/>
      <c r="L402" s="49"/>
      <c r="M402" s="49"/>
      <c r="N402" s="49"/>
      <c r="O402" s="49" t="str">
        <f t="shared" si="2"/>
        <v/>
      </c>
      <c r="P402" s="49" t="str">
        <f t="shared" si="3"/>
        <v/>
      </c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</row>
    <row r="403">
      <c r="A403" s="69">
        <v>27.0</v>
      </c>
      <c r="B403" s="69">
        <v>36.0</v>
      </c>
      <c r="C403" s="86" t="s">
        <v>129</v>
      </c>
      <c r="D403" s="86" t="s">
        <v>130</v>
      </c>
      <c r="E403" s="86" t="s">
        <v>131</v>
      </c>
      <c r="F403" s="69">
        <v>5000.0</v>
      </c>
      <c r="G403" s="69">
        <v>37.37</v>
      </c>
      <c r="H403" s="68">
        <f t="shared" si="1"/>
        <v>260.89</v>
      </c>
      <c r="I403" s="81">
        <f>IFERROR(__xludf.DUMMYFUNCTION("IF(G403="""", """", ROUND(G403 / MAX(FILTER($G$2:$G5067, $D$2:$D5067=$D403)) * 100, 2))"),88.76)</f>
        <v>88.76</v>
      </c>
      <c r="J403" s="81">
        <f>IFERROR(__xludf.DUMMYFUNCTION("IF(H403="""", """", ROUND(H403 / MAX(FILTER($H$2:$H5067, $D$2:$D5067=$D403)) * 100, 2))"),98.48)</f>
        <v>98.48</v>
      </c>
      <c r="K403" s="2"/>
      <c r="L403" s="48"/>
      <c r="M403" s="48"/>
      <c r="N403" s="48"/>
      <c r="O403" s="48" t="str">
        <f t="shared" si="2"/>
        <v/>
      </c>
      <c r="P403" s="48" t="str">
        <f t="shared" si="3"/>
        <v/>
      </c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</row>
    <row r="404">
      <c r="A404" s="63">
        <v>27.0</v>
      </c>
      <c r="B404" s="63">
        <v>36.0</v>
      </c>
      <c r="C404" s="64" t="s">
        <v>129</v>
      </c>
      <c r="D404" s="64" t="s">
        <v>130</v>
      </c>
      <c r="E404" s="64" t="s">
        <v>131</v>
      </c>
      <c r="F404" s="63">
        <v>5600.0</v>
      </c>
      <c r="G404" s="63">
        <v>33.88</v>
      </c>
      <c r="H404" s="66">
        <f t="shared" si="1"/>
        <v>264.91</v>
      </c>
      <c r="I404" s="81">
        <f>IFERROR(__xludf.DUMMYFUNCTION("IF(G404="""", """", ROUND(G404 / MAX(FILTER($G$2:$G5067, $D$2:$D5067=$D404)) * 100, 2))"),80.48)</f>
        <v>80.48</v>
      </c>
      <c r="J404" s="81">
        <f>IFERROR(__xludf.DUMMYFUNCTION("IF(H404="""", """", ROUND(H404 / MAX(FILTER($H$2:$H5067, $D$2:$D5067=$D404)) * 100, 2))"),100.0)</f>
        <v>100</v>
      </c>
      <c r="K404" s="2"/>
      <c r="L404" s="49"/>
      <c r="M404" s="49"/>
      <c r="N404" s="49"/>
      <c r="O404" s="49" t="str">
        <f t="shared" si="2"/>
        <v/>
      </c>
      <c r="P404" s="49" t="str">
        <f t="shared" si="3"/>
        <v/>
      </c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</row>
    <row r="405">
      <c r="A405" s="69">
        <v>27.0</v>
      </c>
      <c r="B405" s="69">
        <v>36.0</v>
      </c>
      <c r="C405" s="86" t="s">
        <v>129</v>
      </c>
      <c r="D405" s="86" t="s">
        <v>130</v>
      </c>
      <c r="E405" s="86" t="s">
        <v>131</v>
      </c>
      <c r="F405" s="69">
        <v>6000.0</v>
      </c>
      <c r="G405" s="69">
        <v>31.15</v>
      </c>
      <c r="H405" s="68">
        <f t="shared" si="1"/>
        <v>260.96</v>
      </c>
      <c r="I405" s="81">
        <f>IFERROR(__xludf.DUMMYFUNCTION("IF(G405="""", """", ROUND(G405 / MAX(FILTER($G$2:$G5067, $D$2:$D5067=$D405)) * 100, 2))"),73.99)</f>
        <v>73.99</v>
      </c>
      <c r="J405" s="81">
        <f>IFERROR(__xludf.DUMMYFUNCTION("IF(H405="""", """", ROUND(H405 / MAX(FILTER($H$2:$H5067, $D$2:$D5067=$D405)) * 100, 2))"),98.51)</f>
        <v>98.51</v>
      </c>
      <c r="K405" s="2"/>
      <c r="L405" s="48"/>
      <c r="M405" s="48"/>
      <c r="N405" s="48"/>
      <c r="O405" s="48" t="str">
        <f t="shared" si="2"/>
        <v/>
      </c>
      <c r="P405" s="48" t="str">
        <f t="shared" si="3"/>
        <v/>
      </c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</row>
    <row r="406">
      <c r="A406" s="63">
        <v>27.0</v>
      </c>
      <c r="B406" s="63">
        <v>36.0</v>
      </c>
      <c r="C406" s="64" t="s">
        <v>129</v>
      </c>
      <c r="D406" s="64" t="s">
        <v>130</v>
      </c>
      <c r="E406" s="64" t="s">
        <v>131</v>
      </c>
      <c r="F406" s="63">
        <v>6500.0</v>
      </c>
      <c r="G406" s="63">
        <v>27.4</v>
      </c>
      <c r="H406" s="66">
        <f t="shared" si="1"/>
        <v>248.67</v>
      </c>
      <c r="I406" s="81">
        <f>IFERROR(__xludf.DUMMYFUNCTION("IF(G406="""", """", ROUND(G406 / MAX(FILTER($G$2:$G5067, $D$2:$D5067=$D406)) * 100, 2))"),65.08)</f>
        <v>65.08</v>
      </c>
      <c r="J406" s="81">
        <f>IFERROR(__xludf.DUMMYFUNCTION("IF(H406="""", """", ROUND(H406 / MAX(FILTER($H$2:$H5067, $D$2:$D5067=$D406)) * 100, 2))"),93.87)</f>
        <v>93.87</v>
      </c>
      <c r="K406" s="2"/>
      <c r="L406" s="49"/>
      <c r="M406" s="49"/>
      <c r="N406" s="49"/>
      <c r="O406" s="49" t="str">
        <f t="shared" si="2"/>
        <v/>
      </c>
      <c r="P406" s="49" t="str">
        <f t="shared" si="3"/>
        <v/>
      </c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</row>
    <row r="407">
      <c r="A407" s="69">
        <v>28.0</v>
      </c>
      <c r="B407" s="69">
        <v>37.0</v>
      </c>
      <c r="C407" s="86" t="s">
        <v>132</v>
      </c>
      <c r="D407" s="86" t="s">
        <v>133</v>
      </c>
      <c r="E407" s="86" t="s">
        <v>134</v>
      </c>
      <c r="F407" s="69">
        <v>500.0</v>
      </c>
      <c r="G407" s="69">
        <v>11.1</v>
      </c>
      <c r="H407" s="68">
        <f t="shared" si="1"/>
        <v>7.75</v>
      </c>
      <c r="I407" s="81">
        <f>IFERROR(__xludf.DUMMYFUNCTION("IF(G407="""", """", ROUND(G407 / MAX(FILTER($G$2:$G5067, $D$2:$D5067=$D407)) * 100, 2))"),52.81)</f>
        <v>52.81</v>
      </c>
      <c r="J407" s="81">
        <f>IFERROR(__xludf.DUMMYFUNCTION("IF(H407="""", """", ROUND(H407 / MAX(FILTER($H$2:$H5067, $D$2:$D5067=$D407)) * 100, 2))"),3.88)</f>
        <v>3.88</v>
      </c>
      <c r="K407" s="2"/>
      <c r="L407" s="48"/>
      <c r="M407" s="48"/>
      <c r="N407" s="48"/>
      <c r="O407" s="48" t="str">
        <f t="shared" si="2"/>
        <v/>
      </c>
      <c r="P407" s="48" t="str">
        <f t="shared" si="3"/>
        <v/>
      </c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</row>
    <row r="408">
      <c r="A408" s="63">
        <v>28.0</v>
      </c>
      <c r="B408" s="63">
        <v>37.0</v>
      </c>
      <c r="C408" s="64" t="s">
        <v>132</v>
      </c>
      <c r="D408" s="64" t="s">
        <v>133</v>
      </c>
      <c r="E408" s="64" t="s">
        <v>134</v>
      </c>
      <c r="F408" s="63">
        <v>1000.0</v>
      </c>
      <c r="G408" s="63">
        <v>13.5</v>
      </c>
      <c r="H408" s="66">
        <f t="shared" si="1"/>
        <v>18.85</v>
      </c>
      <c r="I408" s="81">
        <f>IFERROR(__xludf.DUMMYFUNCTION("IF(G408="""", """", ROUND(G408 / MAX(FILTER($G$2:$G5067, $D$2:$D5067=$D408)) * 100, 2))"),64.22)</f>
        <v>64.22</v>
      </c>
      <c r="J408" s="81">
        <f>IFERROR(__xludf.DUMMYFUNCTION("IF(H408="""", """", ROUND(H408 / MAX(FILTER($H$2:$H5067, $D$2:$D5067=$D408)) * 100, 2))"),9.45)</f>
        <v>9.45</v>
      </c>
      <c r="K408" s="2"/>
      <c r="L408" s="49"/>
      <c r="M408" s="49"/>
      <c r="N408" s="49"/>
      <c r="O408" s="49" t="str">
        <f t="shared" si="2"/>
        <v/>
      </c>
      <c r="P408" s="49" t="str">
        <f t="shared" si="3"/>
        <v/>
      </c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</row>
    <row r="409">
      <c r="A409" s="69">
        <v>28.0</v>
      </c>
      <c r="B409" s="69">
        <v>37.0</v>
      </c>
      <c r="C409" s="86" t="s">
        <v>132</v>
      </c>
      <c r="D409" s="86" t="s">
        <v>133</v>
      </c>
      <c r="E409" s="86" t="s">
        <v>134</v>
      </c>
      <c r="F409" s="69">
        <v>1500.0</v>
      </c>
      <c r="G409" s="69">
        <v>15.38</v>
      </c>
      <c r="H409" s="68">
        <f t="shared" si="1"/>
        <v>32.21</v>
      </c>
      <c r="I409" s="81">
        <f>IFERROR(__xludf.DUMMYFUNCTION("IF(G409="""", """", ROUND(G409 / MAX(FILTER($G$2:$G5067, $D$2:$D5067=$D409)) * 100, 2))"),73.17)</f>
        <v>73.17</v>
      </c>
      <c r="J409" s="81">
        <f>IFERROR(__xludf.DUMMYFUNCTION("IF(H409="""", """", ROUND(H409 / MAX(FILTER($H$2:$H5067, $D$2:$D5067=$D409)) * 100, 2))"),16.15)</f>
        <v>16.15</v>
      </c>
      <c r="K409" s="2"/>
      <c r="L409" s="48"/>
      <c r="M409" s="48"/>
      <c r="N409" s="48"/>
      <c r="O409" s="48" t="str">
        <f t="shared" si="2"/>
        <v/>
      </c>
      <c r="P409" s="48" t="str">
        <f t="shared" si="3"/>
        <v/>
      </c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</row>
    <row r="410">
      <c r="A410" s="63">
        <v>28.0</v>
      </c>
      <c r="B410" s="63">
        <v>37.0</v>
      </c>
      <c r="C410" s="64" t="s">
        <v>132</v>
      </c>
      <c r="D410" s="64" t="s">
        <v>133</v>
      </c>
      <c r="E410" s="64" t="s">
        <v>134</v>
      </c>
      <c r="F410" s="63">
        <v>2000.0</v>
      </c>
      <c r="G410" s="63">
        <v>16.8</v>
      </c>
      <c r="H410" s="66">
        <f t="shared" si="1"/>
        <v>46.91</v>
      </c>
      <c r="I410" s="81">
        <f>IFERROR(__xludf.DUMMYFUNCTION("IF(G410="""", """", ROUND(G410 / MAX(FILTER($G$2:$G5067, $D$2:$D5067=$D410)) * 100, 2))"),79.92)</f>
        <v>79.92</v>
      </c>
      <c r="J410" s="81">
        <f>IFERROR(__xludf.DUMMYFUNCTION("IF(H410="""", """", ROUND(H410 / MAX(FILTER($H$2:$H5067, $D$2:$D5067=$D410)) * 100, 2))"),23.51)</f>
        <v>23.51</v>
      </c>
      <c r="K410" s="2"/>
      <c r="L410" s="49"/>
      <c r="M410" s="49"/>
      <c r="N410" s="49"/>
      <c r="O410" s="49" t="str">
        <f t="shared" si="2"/>
        <v/>
      </c>
      <c r="P410" s="49" t="str">
        <f t="shared" si="3"/>
        <v/>
      </c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</row>
    <row r="411">
      <c r="A411" s="69">
        <v>28.0</v>
      </c>
      <c r="B411" s="69">
        <v>37.0</v>
      </c>
      <c r="C411" s="86" t="s">
        <v>132</v>
      </c>
      <c r="D411" s="86" t="s">
        <v>133</v>
      </c>
      <c r="E411" s="86" t="s">
        <v>134</v>
      </c>
      <c r="F411" s="69">
        <v>2500.0</v>
      </c>
      <c r="G411" s="69">
        <v>17.7</v>
      </c>
      <c r="H411" s="68">
        <f t="shared" si="1"/>
        <v>61.78</v>
      </c>
      <c r="I411" s="81">
        <f>IFERROR(__xludf.DUMMYFUNCTION("IF(G411="""", """", ROUND(G411 / MAX(FILTER($G$2:$G5067, $D$2:$D5067=$D411)) * 100, 2))"),84.21)</f>
        <v>84.21</v>
      </c>
      <c r="J411" s="81">
        <f>IFERROR(__xludf.DUMMYFUNCTION("IF(H411="""", """", ROUND(H411 / MAX(FILTER($H$2:$H5067, $D$2:$D5067=$D411)) * 100, 2))"),30.97)</f>
        <v>30.97</v>
      </c>
      <c r="K411" s="2"/>
      <c r="L411" s="48"/>
      <c r="M411" s="48"/>
      <c r="N411" s="48"/>
      <c r="O411" s="48" t="str">
        <f t="shared" si="2"/>
        <v/>
      </c>
      <c r="P411" s="48" t="str">
        <f t="shared" si="3"/>
        <v/>
      </c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</row>
    <row r="412">
      <c r="A412" s="63">
        <v>28.0</v>
      </c>
      <c r="B412" s="63">
        <v>37.0</v>
      </c>
      <c r="C412" s="64" t="s">
        <v>132</v>
      </c>
      <c r="D412" s="64" t="s">
        <v>133</v>
      </c>
      <c r="E412" s="64" t="s">
        <v>134</v>
      </c>
      <c r="F412" s="63">
        <v>3000.0</v>
      </c>
      <c r="G412" s="63">
        <v>18.4</v>
      </c>
      <c r="H412" s="66">
        <f t="shared" si="1"/>
        <v>77.07</v>
      </c>
      <c r="I412" s="81">
        <f>IFERROR(__xludf.DUMMYFUNCTION("IF(G412="""", """", ROUND(G412 / MAX(FILTER($G$2:$G5067, $D$2:$D5067=$D412)) * 100, 2))"),87.54)</f>
        <v>87.54</v>
      </c>
      <c r="J412" s="81">
        <f>IFERROR(__xludf.DUMMYFUNCTION("IF(H412="""", """", ROUND(H412 / MAX(FILTER($H$2:$H5067, $D$2:$D5067=$D412)) * 100, 2))"),38.63)</f>
        <v>38.63</v>
      </c>
      <c r="K412" s="2"/>
      <c r="L412" s="49"/>
      <c r="M412" s="49"/>
      <c r="N412" s="49"/>
      <c r="O412" s="49" t="str">
        <f t="shared" si="2"/>
        <v/>
      </c>
      <c r="P412" s="49" t="str">
        <f t="shared" si="3"/>
        <v/>
      </c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</row>
    <row r="413">
      <c r="A413" s="69">
        <v>28.0</v>
      </c>
      <c r="B413" s="69">
        <v>37.0</v>
      </c>
      <c r="C413" s="86" t="s">
        <v>132</v>
      </c>
      <c r="D413" s="86" t="s">
        <v>133</v>
      </c>
      <c r="E413" s="86" t="s">
        <v>134</v>
      </c>
      <c r="F413" s="69">
        <v>3500.0</v>
      </c>
      <c r="G413" s="69">
        <v>19.1</v>
      </c>
      <c r="H413" s="68">
        <f t="shared" si="1"/>
        <v>93.34</v>
      </c>
      <c r="I413" s="81">
        <f>IFERROR(__xludf.DUMMYFUNCTION("IF(G413="""", """", ROUND(G413 / MAX(FILTER($G$2:$G5067, $D$2:$D5067=$D413)) * 100, 2))"),90.87)</f>
        <v>90.87</v>
      </c>
      <c r="J413" s="81">
        <f>IFERROR(__xludf.DUMMYFUNCTION("IF(H413="""", """", ROUND(H413 / MAX(FILTER($H$2:$H5067, $D$2:$D5067=$D413)) * 100, 2))"),46.79)</f>
        <v>46.79</v>
      </c>
      <c r="K413" s="2"/>
      <c r="L413" s="48"/>
      <c r="M413" s="48"/>
      <c r="N413" s="48"/>
      <c r="O413" s="48" t="str">
        <f t="shared" si="2"/>
        <v/>
      </c>
      <c r="P413" s="48" t="str">
        <f t="shared" si="3"/>
        <v/>
      </c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</row>
    <row r="414">
      <c r="A414" s="63">
        <v>28.0</v>
      </c>
      <c r="B414" s="63">
        <v>37.0</v>
      </c>
      <c r="C414" s="64" t="s">
        <v>132</v>
      </c>
      <c r="D414" s="64" t="s">
        <v>133</v>
      </c>
      <c r="E414" s="64" t="s">
        <v>134</v>
      </c>
      <c r="F414" s="63">
        <v>4000.0</v>
      </c>
      <c r="G414" s="63">
        <v>19.8</v>
      </c>
      <c r="H414" s="66">
        <f t="shared" si="1"/>
        <v>110.58</v>
      </c>
      <c r="I414" s="81">
        <f>IFERROR(__xludf.DUMMYFUNCTION("IF(G414="""", """", ROUND(G414 / MAX(FILTER($G$2:$G5067, $D$2:$D5067=$D414)) * 100, 2))"),94.2)</f>
        <v>94.2</v>
      </c>
      <c r="J414" s="81">
        <f>IFERROR(__xludf.DUMMYFUNCTION("IF(H414="""", """", ROUND(H414 / MAX(FILTER($H$2:$H5067, $D$2:$D5067=$D414)) * 100, 2))"),55.43)</f>
        <v>55.43</v>
      </c>
      <c r="K414" s="2"/>
      <c r="L414" s="49"/>
      <c r="M414" s="49"/>
      <c r="N414" s="49"/>
      <c r="O414" s="49" t="str">
        <f t="shared" si="2"/>
        <v/>
      </c>
      <c r="P414" s="49" t="str">
        <f t="shared" si="3"/>
        <v/>
      </c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</row>
    <row r="415">
      <c r="A415" s="69">
        <v>28.0</v>
      </c>
      <c r="B415" s="69">
        <v>37.0</v>
      </c>
      <c r="C415" s="86" t="s">
        <v>132</v>
      </c>
      <c r="D415" s="86" t="s">
        <v>133</v>
      </c>
      <c r="E415" s="86" t="s">
        <v>134</v>
      </c>
      <c r="F415" s="69">
        <v>4500.0</v>
      </c>
      <c r="G415" s="69">
        <v>20.23</v>
      </c>
      <c r="H415" s="68">
        <f t="shared" si="1"/>
        <v>127.11</v>
      </c>
      <c r="I415" s="81">
        <f>IFERROR(__xludf.DUMMYFUNCTION("IF(G415="""", """", ROUND(G415 / MAX(FILTER($G$2:$G5067, $D$2:$D5067=$D415)) * 100, 2))"),96.24)</f>
        <v>96.24</v>
      </c>
      <c r="J415" s="81">
        <f>IFERROR(__xludf.DUMMYFUNCTION("IF(H415="""", """", ROUND(H415 / MAX(FILTER($H$2:$H5067, $D$2:$D5067=$D415)) * 100, 2))"),63.71)</f>
        <v>63.71</v>
      </c>
      <c r="K415" s="2"/>
      <c r="L415" s="48"/>
      <c r="M415" s="48"/>
      <c r="N415" s="48"/>
      <c r="O415" s="48" t="str">
        <f t="shared" si="2"/>
        <v/>
      </c>
      <c r="P415" s="48" t="str">
        <f t="shared" si="3"/>
        <v/>
      </c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</row>
    <row r="416">
      <c r="A416" s="63">
        <v>28.0</v>
      </c>
      <c r="B416" s="63">
        <v>37.0</v>
      </c>
      <c r="C416" s="64" t="s">
        <v>132</v>
      </c>
      <c r="D416" s="64" t="s">
        <v>133</v>
      </c>
      <c r="E416" s="64" t="s">
        <v>134</v>
      </c>
      <c r="F416" s="63">
        <v>5000.0</v>
      </c>
      <c r="G416" s="63">
        <v>20.52</v>
      </c>
      <c r="H416" s="66">
        <f t="shared" si="1"/>
        <v>143.26</v>
      </c>
      <c r="I416" s="81">
        <f>IFERROR(__xludf.DUMMYFUNCTION("IF(G416="""", """", ROUND(G416 / MAX(FILTER($G$2:$G5067, $D$2:$D5067=$D416)) * 100, 2))"),97.62)</f>
        <v>97.62</v>
      </c>
      <c r="J416" s="81">
        <f>IFERROR(__xludf.DUMMYFUNCTION("IF(H416="""", """", ROUND(H416 / MAX(FILTER($H$2:$H5067, $D$2:$D5067=$D416)) * 100, 2))"),71.81)</f>
        <v>71.81</v>
      </c>
      <c r="K416" s="2"/>
      <c r="L416" s="49"/>
      <c r="M416" s="49"/>
      <c r="N416" s="49"/>
      <c r="O416" s="49" t="str">
        <f t="shared" si="2"/>
        <v/>
      </c>
      <c r="P416" s="49" t="str">
        <f t="shared" si="3"/>
        <v/>
      </c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</row>
    <row r="417">
      <c r="A417" s="69">
        <v>28.0</v>
      </c>
      <c r="B417" s="69">
        <v>37.0</v>
      </c>
      <c r="C417" s="86" t="s">
        <v>132</v>
      </c>
      <c r="D417" s="86" t="s">
        <v>133</v>
      </c>
      <c r="E417" s="86" t="s">
        <v>134</v>
      </c>
      <c r="F417" s="69">
        <v>5500.0</v>
      </c>
      <c r="G417" s="69">
        <v>20.9</v>
      </c>
      <c r="H417" s="68">
        <f t="shared" si="1"/>
        <v>160.5</v>
      </c>
      <c r="I417" s="81">
        <f>IFERROR(__xludf.DUMMYFUNCTION("IF(G417="""", """", ROUND(G417 / MAX(FILTER($G$2:$G5067, $D$2:$D5067=$D417)) * 100, 2))"),99.43)</f>
        <v>99.43</v>
      </c>
      <c r="J417" s="81">
        <f>IFERROR(__xludf.DUMMYFUNCTION("IF(H417="""", """", ROUND(H417 / MAX(FILTER($H$2:$H5067, $D$2:$D5067=$D417)) * 100, 2))"),80.45)</f>
        <v>80.45</v>
      </c>
      <c r="K417" s="2"/>
      <c r="L417" s="48"/>
      <c r="M417" s="48"/>
      <c r="N417" s="48"/>
      <c r="O417" s="48" t="str">
        <f t="shared" si="2"/>
        <v/>
      </c>
      <c r="P417" s="48" t="str">
        <f t="shared" si="3"/>
        <v/>
      </c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</row>
    <row r="418">
      <c r="A418" s="63">
        <v>28.0</v>
      </c>
      <c r="B418" s="63">
        <v>37.0</v>
      </c>
      <c r="C418" s="64" t="s">
        <v>132</v>
      </c>
      <c r="D418" s="64" t="s">
        <v>133</v>
      </c>
      <c r="E418" s="64" t="s">
        <v>134</v>
      </c>
      <c r="F418" s="63">
        <v>6000.0</v>
      </c>
      <c r="G418" s="63">
        <v>20.8</v>
      </c>
      <c r="H418" s="66">
        <f t="shared" si="1"/>
        <v>174.25</v>
      </c>
      <c r="I418" s="81">
        <f>IFERROR(__xludf.DUMMYFUNCTION("IF(G418="""", """", ROUND(G418 / MAX(FILTER($G$2:$G5067, $D$2:$D5067=$D418)) * 100, 2))"),98.95)</f>
        <v>98.95</v>
      </c>
      <c r="J418" s="81">
        <f>IFERROR(__xludf.DUMMYFUNCTION("IF(H418="""", """", ROUND(H418 / MAX(FILTER($H$2:$H5067, $D$2:$D5067=$D418)) * 100, 2))"),87.34)</f>
        <v>87.34</v>
      </c>
      <c r="K418" s="2"/>
      <c r="L418" s="49"/>
      <c r="M418" s="49"/>
      <c r="N418" s="49"/>
      <c r="O418" s="49" t="str">
        <f t="shared" si="2"/>
        <v/>
      </c>
      <c r="P418" s="49" t="str">
        <f t="shared" si="3"/>
        <v/>
      </c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</row>
    <row r="419">
      <c r="A419" s="69">
        <v>28.0</v>
      </c>
      <c r="B419" s="69">
        <v>37.0</v>
      </c>
      <c r="C419" s="86" t="s">
        <v>132</v>
      </c>
      <c r="D419" s="86" t="s">
        <v>133</v>
      </c>
      <c r="E419" s="86" t="s">
        <v>134</v>
      </c>
      <c r="F419" s="69">
        <v>6400.0</v>
      </c>
      <c r="G419" s="69">
        <v>21.02</v>
      </c>
      <c r="H419" s="68">
        <f t="shared" si="1"/>
        <v>187.84</v>
      </c>
      <c r="I419" s="81">
        <f>IFERROR(__xludf.DUMMYFUNCTION("IF(G419="""", """", ROUND(G419 / MAX(FILTER($G$2:$G5067, $D$2:$D5067=$D419)) * 100, 2))"),100.0)</f>
        <v>100</v>
      </c>
      <c r="J419" s="81">
        <f>IFERROR(__xludf.DUMMYFUNCTION("IF(H419="""", """", ROUND(H419 / MAX(FILTER($H$2:$H5067, $D$2:$D5067=$D419)) * 100, 2))"),94.16)</f>
        <v>94.16</v>
      </c>
      <c r="K419" s="2"/>
      <c r="L419" s="48"/>
      <c r="M419" s="48"/>
      <c r="N419" s="48"/>
      <c r="O419" s="48" t="str">
        <f t="shared" si="2"/>
        <v/>
      </c>
      <c r="P419" s="48" t="str">
        <f t="shared" si="3"/>
        <v/>
      </c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</row>
    <row r="420">
      <c r="A420" s="63">
        <v>28.0</v>
      </c>
      <c r="B420" s="63">
        <v>37.0</v>
      </c>
      <c r="C420" s="64" t="s">
        <v>132</v>
      </c>
      <c r="D420" s="64" t="s">
        <v>133</v>
      </c>
      <c r="E420" s="64" t="s">
        <v>134</v>
      </c>
      <c r="F420" s="63">
        <v>7000.0</v>
      </c>
      <c r="G420" s="63">
        <v>20.4</v>
      </c>
      <c r="H420" s="66">
        <f t="shared" si="1"/>
        <v>199.39</v>
      </c>
      <c r="I420" s="81">
        <f>IFERROR(__xludf.DUMMYFUNCTION("IF(G420="""", """", ROUND(G420 / MAX(FILTER($G$2:$G5067, $D$2:$D5067=$D420)) * 100, 2))"),97.05)</f>
        <v>97.05</v>
      </c>
      <c r="J420" s="81">
        <f>IFERROR(__xludf.DUMMYFUNCTION("IF(H420="""", """", ROUND(H420 / MAX(FILTER($H$2:$H5067, $D$2:$D5067=$D420)) * 100, 2))"),99.94)</f>
        <v>99.94</v>
      </c>
      <c r="K420" s="2"/>
      <c r="L420" s="49"/>
      <c r="M420" s="49"/>
      <c r="N420" s="49"/>
      <c r="O420" s="49" t="str">
        <f t="shared" si="2"/>
        <v/>
      </c>
      <c r="P420" s="49" t="str">
        <f t="shared" si="3"/>
        <v/>
      </c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</row>
    <row r="421">
      <c r="A421" s="69">
        <v>28.0</v>
      </c>
      <c r="B421" s="69">
        <v>37.0</v>
      </c>
      <c r="C421" s="86" t="s">
        <v>132</v>
      </c>
      <c r="D421" s="86" t="s">
        <v>133</v>
      </c>
      <c r="E421" s="86" t="s">
        <v>134</v>
      </c>
      <c r="F421" s="69">
        <v>7600.0</v>
      </c>
      <c r="G421" s="69">
        <v>18.8</v>
      </c>
      <c r="H421" s="68">
        <f t="shared" si="1"/>
        <v>199.5</v>
      </c>
      <c r="I421" s="81">
        <f>IFERROR(__xludf.DUMMYFUNCTION("IF(G421="""", """", ROUND(G421 / MAX(FILTER($G$2:$G5067, $D$2:$D5067=$D421)) * 100, 2))"),89.44)</f>
        <v>89.44</v>
      </c>
      <c r="J421" s="81">
        <f>IFERROR(__xludf.DUMMYFUNCTION("IF(H421="""", """", ROUND(H421 / MAX(FILTER($H$2:$H5067, $D$2:$D5067=$D421)) * 100, 2))"),100.0)</f>
        <v>100</v>
      </c>
      <c r="K421" s="2"/>
      <c r="L421" s="48"/>
      <c r="M421" s="48"/>
      <c r="N421" s="48"/>
      <c r="O421" s="48" t="str">
        <f t="shared" si="2"/>
        <v/>
      </c>
      <c r="P421" s="48" t="str">
        <f t="shared" si="3"/>
        <v/>
      </c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</row>
    <row r="422">
      <c r="A422" s="63">
        <v>28.0</v>
      </c>
      <c r="B422" s="63">
        <v>37.0</v>
      </c>
      <c r="C422" s="64" t="s">
        <v>132</v>
      </c>
      <c r="D422" s="64" t="s">
        <v>133</v>
      </c>
      <c r="E422" s="64" t="s">
        <v>134</v>
      </c>
      <c r="F422" s="63">
        <v>8000.0</v>
      </c>
      <c r="G422" s="63">
        <v>17.4</v>
      </c>
      <c r="H422" s="66">
        <f t="shared" si="1"/>
        <v>194.36</v>
      </c>
      <c r="I422" s="81">
        <f>IFERROR(__xludf.DUMMYFUNCTION("IF(G422="""", """", ROUND(G422 / MAX(FILTER($G$2:$G5067, $D$2:$D5067=$D422)) * 100, 2))"),82.78)</f>
        <v>82.78</v>
      </c>
      <c r="J422" s="81">
        <f>IFERROR(__xludf.DUMMYFUNCTION("IF(H422="""", """", ROUND(H422 / MAX(FILTER($H$2:$H5067, $D$2:$D5067=$D422)) * 100, 2))"),97.42)</f>
        <v>97.42</v>
      </c>
      <c r="K422" s="2"/>
      <c r="L422" s="49"/>
      <c r="M422" s="49"/>
      <c r="N422" s="49"/>
      <c r="O422" s="49" t="str">
        <f t="shared" si="2"/>
        <v/>
      </c>
      <c r="P422" s="49" t="str">
        <f t="shared" si="3"/>
        <v/>
      </c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</row>
    <row r="423">
      <c r="A423" s="69">
        <v>28.0</v>
      </c>
      <c r="B423" s="69">
        <v>37.0</v>
      </c>
      <c r="C423" s="86" t="s">
        <v>132</v>
      </c>
      <c r="D423" s="86" t="s">
        <v>133</v>
      </c>
      <c r="E423" s="86" t="s">
        <v>134</v>
      </c>
      <c r="F423" s="69">
        <v>8500.0</v>
      </c>
      <c r="G423" s="69">
        <v>14.93</v>
      </c>
      <c r="H423" s="68">
        <f t="shared" si="1"/>
        <v>177.19</v>
      </c>
      <c r="I423" s="81">
        <f>IFERROR(__xludf.DUMMYFUNCTION("IF(G423="""", """", ROUND(G423 / MAX(FILTER($G$2:$G5067, $D$2:$D5067=$D423)) * 100, 2))"),71.03)</f>
        <v>71.03</v>
      </c>
      <c r="J423" s="81">
        <f>IFERROR(__xludf.DUMMYFUNCTION("IF(H423="""", """", ROUND(H423 / MAX(FILTER($H$2:$H5067, $D$2:$D5067=$D423)) * 100, 2))"),88.82)</f>
        <v>88.82</v>
      </c>
      <c r="K423" s="2"/>
      <c r="L423" s="48"/>
      <c r="M423" s="48"/>
      <c r="N423" s="48"/>
      <c r="O423" s="48" t="str">
        <f t="shared" si="2"/>
        <v/>
      </c>
      <c r="P423" s="48" t="str">
        <f t="shared" si="3"/>
        <v/>
      </c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</row>
    <row r="424">
      <c r="A424" s="63">
        <v>29.0</v>
      </c>
      <c r="B424" s="63">
        <v>38.0</v>
      </c>
      <c r="C424" s="64" t="s">
        <v>135</v>
      </c>
      <c r="D424" s="64" t="s">
        <v>136</v>
      </c>
      <c r="E424" s="64" t="s">
        <v>137</v>
      </c>
      <c r="F424" s="63">
        <v>500.0</v>
      </c>
      <c r="G424" s="63">
        <v>23.54</v>
      </c>
      <c r="H424" s="66">
        <f t="shared" si="1"/>
        <v>16.43</v>
      </c>
      <c r="I424" s="81">
        <f>IFERROR(__xludf.DUMMYFUNCTION("IF(G424="""", """", ROUND(G424 / MAX(FILTER($G$2:$G5067, $D$2:$D5067=$D424)) * 100, 2))"),84.07)</f>
        <v>84.07</v>
      </c>
      <c r="J424" s="81">
        <f>IFERROR(__xludf.DUMMYFUNCTION("IF(H424="""", """", ROUND(H424 / MAX(FILTER($H$2:$H5067, $D$2:$D5067=$D424)) * 100, 2))"),9.55)</f>
        <v>9.55</v>
      </c>
      <c r="K424" s="2"/>
      <c r="L424" s="49"/>
      <c r="M424" s="49"/>
      <c r="N424" s="49"/>
      <c r="O424" s="49" t="str">
        <f t="shared" si="2"/>
        <v/>
      </c>
      <c r="P424" s="49" t="str">
        <f t="shared" si="3"/>
        <v/>
      </c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</row>
    <row r="425">
      <c r="A425" s="69">
        <v>29.0</v>
      </c>
      <c r="B425" s="69">
        <v>38.0</v>
      </c>
      <c r="C425" s="86" t="s">
        <v>135</v>
      </c>
      <c r="D425" s="86" t="s">
        <v>136</v>
      </c>
      <c r="E425" s="86" t="s">
        <v>137</v>
      </c>
      <c r="F425" s="69">
        <v>1000.0</v>
      </c>
      <c r="G425" s="69">
        <v>25.7</v>
      </c>
      <c r="H425" s="68">
        <f t="shared" si="1"/>
        <v>35.88</v>
      </c>
      <c r="I425" s="81">
        <f>IFERROR(__xludf.DUMMYFUNCTION("IF(G425="""", """", ROUND(G425 / MAX(FILTER($G$2:$G5067, $D$2:$D5067=$D425)) * 100, 2))"),91.79)</f>
        <v>91.79</v>
      </c>
      <c r="J425" s="81">
        <f>IFERROR(__xludf.DUMMYFUNCTION("IF(H425="""", """", ROUND(H425 / MAX(FILTER($H$2:$H5067, $D$2:$D5067=$D425)) * 100, 2))"),20.86)</f>
        <v>20.86</v>
      </c>
      <c r="K425" s="2"/>
      <c r="L425" s="48"/>
      <c r="M425" s="48"/>
      <c r="N425" s="48"/>
      <c r="O425" s="48" t="str">
        <f t="shared" si="2"/>
        <v/>
      </c>
      <c r="P425" s="48" t="str">
        <f t="shared" si="3"/>
        <v/>
      </c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</row>
    <row r="426">
      <c r="A426" s="63">
        <v>29.0</v>
      </c>
      <c r="B426" s="63">
        <v>38.0</v>
      </c>
      <c r="C426" s="64" t="s">
        <v>135</v>
      </c>
      <c r="D426" s="64" t="s">
        <v>136</v>
      </c>
      <c r="E426" s="64" t="s">
        <v>137</v>
      </c>
      <c r="F426" s="63">
        <v>1500.0</v>
      </c>
      <c r="G426" s="63">
        <v>27.22</v>
      </c>
      <c r="H426" s="66">
        <f t="shared" si="1"/>
        <v>57.01</v>
      </c>
      <c r="I426" s="81">
        <f>IFERROR(__xludf.DUMMYFUNCTION("IF(G426="""", """", ROUND(G426 / MAX(FILTER($G$2:$G5067, $D$2:$D5067=$D426)) * 100, 2))"),97.21)</f>
        <v>97.21</v>
      </c>
      <c r="J426" s="81">
        <f>IFERROR(__xludf.DUMMYFUNCTION("IF(H426="""", """", ROUND(H426 / MAX(FILTER($H$2:$H5067, $D$2:$D5067=$D426)) * 100, 2))"),33.14)</f>
        <v>33.14</v>
      </c>
      <c r="K426" s="2"/>
      <c r="L426" s="49"/>
      <c r="M426" s="49"/>
      <c r="N426" s="49"/>
      <c r="O426" s="49" t="str">
        <f t="shared" si="2"/>
        <v/>
      </c>
      <c r="P426" s="49" t="str">
        <f t="shared" si="3"/>
        <v/>
      </c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</row>
    <row r="427">
      <c r="A427" s="69">
        <v>29.0</v>
      </c>
      <c r="B427" s="69">
        <v>38.0</v>
      </c>
      <c r="C427" s="86" t="s">
        <v>135</v>
      </c>
      <c r="D427" s="86" t="s">
        <v>136</v>
      </c>
      <c r="E427" s="86" t="s">
        <v>137</v>
      </c>
      <c r="F427" s="69">
        <v>2000.0</v>
      </c>
      <c r="G427" s="69">
        <v>28.0</v>
      </c>
      <c r="H427" s="68">
        <f t="shared" si="1"/>
        <v>78.19</v>
      </c>
      <c r="I427" s="81">
        <f>IFERROR(__xludf.DUMMYFUNCTION("IF(G427="""", """", ROUND(G427 / MAX(FILTER($G$2:$G5067, $D$2:$D5067=$D427)) * 100, 2))"),100.0)</f>
        <v>100</v>
      </c>
      <c r="J427" s="81">
        <f>IFERROR(__xludf.DUMMYFUNCTION("IF(H427="""", """", ROUND(H427 / MAX(FILTER($H$2:$H5067, $D$2:$D5067=$D427)) * 100, 2))"),45.45)</f>
        <v>45.45</v>
      </c>
      <c r="K427" s="2"/>
      <c r="L427" s="48"/>
      <c r="M427" s="48"/>
      <c r="N427" s="48"/>
      <c r="O427" s="48" t="str">
        <f t="shared" si="2"/>
        <v/>
      </c>
      <c r="P427" s="48" t="str">
        <f t="shared" si="3"/>
        <v/>
      </c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</row>
    <row r="428">
      <c r="A428" s="63">
        <v>29.0</v>
      </c>
      <c r="B428" s="63">
        <v>38.0</v>
      </c>
      <c r="C428" s="64" t="s">
        <v>135</v>
      </c>
      <c r="D428" s="64" t="s">
        <v>136</v>
      </c>
      <c r="E428" s="64" t="s">
        <v>137</v>
      </c>
      <c r="F428" s="63">
        <v>2500.0</v>
      </c>
      <c r="G428" s="63">
        <v>27.89</v>
      </c>
      <c r="H428" s="66">
        <f t="shared" si="1"/>
        <v>97.35</v>
      </c>
      <c r="I428" s="81">
        <f>IFERROR(__xludf.DUMMYFUNCTION("IF(G428="""", """", ROUND(G428 / MAX(FILTER($G$2:$G5067, $D$2:$D5067=$D428)) * 100, 2))"),99.61)</f>
        <v>99.61</v>
      </c>
      <c r="J428" s="81">
        <f>IFERROR(__xludf.DUMMYFUNCTION("IF(H428="""", """", ROUND(H428 / MAX(FILTER($H$2:$H5067, $D$2:$D5067=$D428)) * 100, 2))"),56.59)</f>
        <v>56.59</v>
      </c>
      <c r="K428" s="2"/>
      <c r="L428" s="49"/>
      <c r="M428" s="49"/>
      <c r="N428" s="49"/>
      <c r="O428" s="49" t="str">
        <f t="shared" si="2"/>
        <v/>
      </c>
      <c r="P428" s="49" t="str">
        <f t="shared" si="3"/>
        <v/>
      </c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</row>
    <row r="429">
      <c r="A429" s="69">
        <v>29.0</v>
      </c>
      <c r="B429" s="69">
        <v>38.0</v>
      </c>
      <c r="C429" s="86" t="s">
        <v>135</v>
      </c>
      <c r="D429" s="86" t="s">
        <v>136</v>
      </c>
      <c r="E429" s="86" t="s">
        <v>137</v>
      </c>
      <c r="F429" s="69">
        <v>3000.0</v>
      </c>
      <c r="G429" s="69">
        <v>27.1</v>
      </c>
      <c r="H429" s="68">
        <f t="shared" si="1"/>
        <v>113.52</v>
      </c>
      <c r="I429" s="81">
        <f>IFERROR(__xludf.DUMMYFUNCTION("IF(G429="""", """", ROUND(G429 / MAX(FILTER($G$2:$G5067, $D$2:$D5067=$D429)) * 100, 2))"),96.79)</f>
        <v>96.79</v>
      </c>
      <c r="J429" s="81">
        <f>IFERROR(__xludf.DUMMYFUNCTION("IF(H429="""", """", ROUND(H429 / MAX(FILTER($H$2:$H5067, $D$2:$D5067=$D429)) * 100, 2))"),65.99)</f>
        <v>65.99</v>
      </c>
      <c r="K429" s="2"/>
      <c r="L429" s="48"/>
      <c r="M429" s="48"/>
      <c r="N429" s="48"/>
      <c r="O429" s="48" t="str">
        <f t="shared" si="2"/>
        <v/>
      </c>
      <c r="P429" s="48" t="str">
        <f t="shared" si="3"/>
        <v/>
      </c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</row>
    <row r="430">
      <c r="A430" s="63">
        <v>29.0</v>
      </c>
      <c r="B430" s="63">
        <v>38.0</v>
      </c>
      <c r="C430" s="64" t="s">
        <v>135</v>
      </c>
      <c r="D430" s="64" t="s">
        <v>136</v>
      </c>
      <c r="E430" s="64" t="s">
        <v>137</v>
      </c>
      <c r="F430" s="63">
        <v>3500.0</v>
      </c>
      <c r="G430" s="63">
        <v>25.79</v>
      </c>
      <c r="H430" s="66">
        <f t="shared" si="1"/>
        <v>126.03</v>
      </c>
      <c r="I430" s="81">
        <f>IFERROR(__xludf.DUMMYFUNCTION("IF(G430="""", """", ROUND(G430 / MAX(FILTER($G$2:$G5067, $D$2:$D5067=$D430)) * 100, 2))"),92.11)</f>
        <v>92.11</v>
      </c>
      <c r="J430" s="81">
        <f>IFERROR(__xludf.DUMMYFUNCTION("IF(H430="""", """", ROUND(H430 / MAX(FILTER($H$2:$H5067, $D$2:$D5067=$D430)) * 100, 2))"),73.26)</f>
        <v>73.26</v>
      </c>
      <c r="K430" s="2"/>
      <c r="L430" s="49"/>
      <c r="M430" s="49"/>
      <c r="N430" s="49"/>
      <c r="O430" s="49" t="str">
        <f t="shared" si="2"/>
        <v/>
      </c>
      <c r="P430" s="49" t="str">
        <f t="shared" si="3"/>
        <v/>
      </c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</row>
    <row r="431">
      <c r="A431" s="69">
        <v>29.0</v>
      </c>
      <c r="B431" s="69">
        <v>38.0</v>
      </c>
      <c r="C431" s="86" t="s">
        <v>135</v>
      </c>
      <c r="D431" s="86" t="s">
        <v>136</v>
      </c>
      <c r="E431" s="86" t="s">
        <v>137</v>
      </c>
      <c r="F431" s="69">
        <v>4000.0</v>
      </c>
      <c r="G431" s="69">
        <v>24.7</v>
      </c>
      <c r="H431" s="68">
        <f t="shared" si="1"/>
        <v>137.95</v>
      </c>
      <c r="I431" s="81">
        <f>IFERROR(__xludf.DUMMYFUNCTION("IF(G431="""", """", ROUND(G431 / MAX(FILTER($G$2:$G5067, $D$2:$D5067=$D431)) * 100, 2))"),88.21)</f>
        <v>88.21</v>
      </c>
      <c r="J431" s="81">
        <f>IFERROR(__xludf.DUMMYFUNCTION("IF(H431="""", """", ROUND(H431 / MAX(FILTER($H$2:$H5067, $D$2:$D5067=$D431)) * 100, 2))"),80.19)</f>
        <v>80.19</v>
      </c>
      <c r="K431" s="2"/>
      <c r="L431" s="48"/>
      <c r="M431" s="48"/>
      <c r="N431" s="48"/>
      <c r="O431" s="48" t="str">
        <f t="shared" si="2"/>
        <v/>
      </c>
      <c r="P431" s="48" t="str">
        <f t="shared" si="3"/>
        <v/>
      </c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</row>
    <row r="432">
      <c r="A432" s="63">
        <v>29.0</v>
      </c>
      <c r="B432" s="63">
        <v>38.0</v>
      </c>
      <c r="C432" s="64" t="s">
        <v>135</v>
      </c>
      <c r="D432" s="64" t="s">
        <v>136</v>
      </c>
      <c r="E432" s="64" t="s">
        <v>137</v>
      </c>
      <c r="F432" s="63">
        <v>4500.0</v>
      </c>
      <c r="G432" s="63">
        <v>23.93</v>
      </c>
      <c r="H432" s="66">
        <f t="shared" si="1"/>
        <v>150.36</v>
      </c>
      <c r="I432" s="81">
        <f>IFERROR(__xludf.DUMMYFUNCTION("IF(G432="""", """", ROUND(G432 / MAX(FILTER($G$2:$G5067, $D$2:$D5067=$D432)) * 100, 2))"),85.46)</f>
        <v>85.46</v>
      </c>
      <c r="J432" s="81">
        <f>IFERROR(__xludf.DUMMYFUNCTION("IF(H432="""", """", ROUND(H432 / MAX(FILTER($H$2:$H5067, $D$2:$D5067=$D432)) * 100, 2))"),87.41)</f>
        <v>87.41</v>
      </c>
      <c r="K432" s="2"/>
      <c r="L432" s="49"/>
      <c r="M432" s="49"/>
      <c r="N432" s="49"/>
      <c r="O432" s="49" t="str">
        <f t="shared" si="2"/>
        <v/>
      </c>
      <c r="P432" s="49" t="str">
        <f t="shared" si="3"/>
        <v/>
      </c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</row>
    <row r="433">
      <c r="A433" s="69">
        <v>29.0</v>
      </c>
      <c r="B433" s="69">
        <v>38.0</v>
      </c>
      <c r="C433" s="86" t="s">
        <v>135</v>
      </c>
      <c r="D433" s="86" t="s">
        <v>136</v>
      </c>
      <c r="E433" s="86" t="s">
        <v>137</v>
      </c>
      <c r="F433" s="69">
        <v>5000.0</v>
      </c>
      <c r="G433" s="69">
        <v>23.47</v>
      </c>
      <c r="H433" s="68">
        <f t="shared" si="1"/>
        <v>163.85</v>
      </c>
      <c r="I433" s="81">
        <f>IFERROR(__xludf.DUMMYFUNCTION("IF(G433="""", """", ROUND(G433 / MAX(FILTER($G$2:$G5067, $D$2:$D5067=$D433)) * 100, 2))"),83.82)</f>
        <v>83.82</v>
      </c>
      <c r="J433" s="81">
        <f>IFERROR(__xludf.DUMMYFUNCTION("IF(H433="""", """", ROUND(H433 / MAX(FILTER($H$2:$H5067, $D$2:$D5067=$D433)) * 100, 2))"),95.25)</f>
        <v>95.25</v>
      </c>
      <c r="K433" s="2"/>
      <c r="L433" s="48"/>
      <c r="M433" s="48"/>
      <c r="N433" s="48"/>
      <c r="O433" s="48" t="str">
        <f t="shared" si="2"/>
        <v/>
      </c>
      <c r="P433" s="48" t="str">
        <f t="shared" si="3"/>
        <v/>
      </c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</row>
    <row r="434">
      <c r="A434" s="63">
        <v>29.0</v>
      </c>
      <c r="B434" s="63">
        <v>38.0</v>
      </c>
      <c r="C434" s="64" t="s">
        <v>135</v>
      </c>
      <c r="D434" s="64" t="s">
        <v>136</v>
      </c>
      <c r="E434" s="64" t="s">
        <v>137</v>
      </c>
      <c r="F434" s="63">
        <v>5600.0</v>
      </c>
      <c r="G434" s="63">
        <v>22.0</v>
      </c>
      <c r="H434" s="66">
        <f t="shared" si="1"/>
        <v>172.02</v>
      </c>
      <c r="I434" s="81">
        <f>IFERROR(__xludf.DUMMYFUNCTION("IF(G434="""", """", ROUND(G434 / MAX(FILTER($G$2:$G5067, $D$2:$D5067=$D434)) * 100, 2))"),78.57)</f>
        <v>78.57</v>
      </c>
      <c r="J434" s="81">
        <f>IFERROR(__xludf.DUMMYFUNCTION("IF(H434="""", """", ROUND(H434 / MAX(FILTER($H$2:$H5067, $D$2:$D5067=$D434)) * 100, 2))"),100.0)</f>
        <v>100</v>
      </c>
      <c r="K434" s="2"/>
      <c r="L434" s="49"/>
      <c r="M434" s="49"/>
      <c r="N434" s="49"/>
      <c r="O434" s="49" t="str">
        <f t="shared" si="2"/>
        <v/>
      </c>
      <c r="P434" s="49" t="str">
        <f t="shared" si="3"/>
        <v/>
      </c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</row>
    <row r="435">
      <c r="A435" s="69">
        <v>29.0</v>
      </c>
      <c r="B435" s="69">
        <v>38.0</v>
      </c>
      <c r="C435" s="86" t="s">
        <v>135</v>
      </c>
      <c r="D435" s="86" t="s">
        <v>136</v>
      </c>
      <c r="E435" s="86" t="s">
        <v>137</v>
      </c>
      <c r="F435" s="69">
        <v>6000.0</v>
      </c>
      <c r="G435" s="69">
        <v>19.63</v>
      </c>
      <c r="H435" s="68">
        <f t="shared" si="1"/>
        <v>164.45</v>
      </c>
      <c r="I435" s="81">
        <f>IFERROR(__xludf.DUMMYFUNCTION("IF(G435="""", """", ROUND(G435 / MAX(FILTER($G$2:$G5067, $D$2:$D5067=$D435)) * 100, 2))"),70.11)</f>
        <v>70.11</v>
      </c>
      <c r="J435" s="81">
        <f>IFERROR(__xludf.DUMMYFUNCTION("IF(H435="""", """", ROUND(H435 / MAX(FILTER($H$2:$H5067, $D$2:$D5067=$D435)) * 100, 2))"),95.6)</f>
        <v>95.6</v>
      </c>
      <c r="K435" s="2"/>
      <c r="L435" s="48"/>
      <c r="M435" s="48"/>
      <c r="N435" s="48"/>
      <c r="O435" s="48" t="str">
        <f t="shared" si="2"/>
        <v/>
      </c>
      <c r="P435" s="48" t="str">
        <f t="shared" si="3"/>
        <v/>
      </c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</row>
    <row r="436">
      <c r="A436" s="63">
        <v>30.0</v>
      </c>
      <c r="B436" s="63">
        <v>39.0</v>
      </c>
      <c r="C436" s="64" t="s">
        <v>138</v>
      </c>
      <c r="D436" s="64" t="s">
        <v>139</v>
      </c>
      <c r="E436" s="64" t="s">
        <v>140</v>
      </c>
      <c r="F436" s="63">
        <v>500.0</v>
      </c>
      <c r="G436" s="63">
        <v>13.08</v>
      </c>
      <c r="H436" s="66">
        <f t="shared" si="1"/>
        <v>9.13</v>
      </c>
      <c r="I436" s="81">
        <f>IFERROR(__xludf.DUMMYFUNCTION("IF(G436="""", """", ROUND(G436 / MAX(FILTER($G$2:$G5067, $D$2:$D5067=$D436)) * 100, 2))"),76.99)</f>
        <v>76.99</v>
      </c>
      <c r="J436" s="81">
        <f>IFERROR(__xludf.DUMMYFUNCTION("IF(H436="""", """", ROUND(H436 / MAX(FILTER($H$2:$H5067, $D$2:$D5067=$D436)) * 100, 2))"),7.01)</f>
        <v>7.01</v>
      </c>
      <c r="K436" s="2"/>
      <c r="L436" s="49"/>
      <c r="M436" s="49"/>
      <c r="N436" s="49"/>
      <c r="O436" s="49" t="str">
        <f t="shared" si="2"/>
        <v/>
      </c>
      <c r="P436" s="49" t="str">
        <f t="shared" si="3"/>
        <v/>
      </c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</row>
    <row r="437">
      <c r="A437" s="69">
        <v>30.0</v>
      </c>
      <c r="B437" s="69">
        <v>39.0</v>
      </c>
      <c r="C437" s="86" t="s">
        <v>138</v>
      </c>
      <c r="D437" s="86" t="s">
        <v>139</v>
      </c>
      <c r="E437" s="86" t="s">
        <v>140</v>
      </c>
      <c r="F437" s="69">
        <v>1000.0</v>
      </c>
      <c r="G437" s="69">
        <v>14.3</v>
      </c>
      <c r="H437" s="68">
        <f t="shared" si="1"/>
        <v>19.97</v>
      </c>
      <c r="I437" s="81">
        <f>IFERROR(__xludf.DUMMYFUNCTION("IF(G437="""", """", ROUND(G437 / MAX(FILTER($G$2:$G5067, $D$2:$D5067=$D437)) * 100, 2))"),84.17)</f>
        <v>84.17</v>
      </c>
      <c r="J437" s="81">
        <f>IFERROR(__xludf.DUMMYFUNCTION("IF(H437="""", """", ROUND(H437 / MAX(FILTER($H$2:$H5067, $D$2:$D5067=$D437)) * 100, 2))"),15.34)</f>
        <v>15.34</v>
      </c>
      <c r="K437" s="2"/>
      <c r="L437" s="48"/>
      <c r="M437" s="48"/>
      <c r="N437" s="48"/>
      <c r="O437" s="48" t="str">
        <f t="shared" si="2"/>
        <v/>
      </c>
      <c r="P437" s="48" t="str">
        <f t="shared" si="3"/>
        <v/>
      </c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</row>
    <row r="438">
      <c r="A438" s="63">
        <v>30.0</v>
      </c>
      <c r="B438" s="63">
        <v>39.0</v>
      </c>
      <c r="C438" s="64" t="s">
        <v>138</v>
      </c>
      <c r="D438" s="64" t="s">
        <v>139</v>
      </c>
      <c r="E438" s="64" t="s">
        <v>140</v>
      </c>
      <c r="F438" s="63">
        <v>1500.0</v>
      </c>
      <c r="G438" s="63">
        <v>15.08</v>
      </c>
      <c r="H438" s="66">
        <f t="shared" si="1"/>
        <v>31.58</v>
      </c>
      <c r="I438" s="81">
        <f>IFERROR(__xludf.DUMMYFUNCTION("IF(G438="""", """", ROUND(G438 / MAX(FILTER($G$2:$G5067, $D$2:$D5067=$D438)) * 100, 2))"),88.76)</f>
        <v>88.76</v>
      </c>
      <c r="J438" s="81">
        <f>IFERROR(__xludf.DUMMYFUNCTION("IF(H438="""", """", ROUND(H438 / MAX(FILTER($H$2:$H5067, $D$2:$D5067=$D438)) * 100, 2))"),24.26)</f>
        <v>24.26</v>
      </c>
      <c r="K438" s="2"/>
      <c r="L438" s="49"/>
      <c r="M438" s="49"/>
      <c r="N438" s="49"/>
      <c r="O438" s="49" t="str">
        <f t="shared" si="2"/>
        <v/>
      </c>
      <c r="P438" s="49" t="str">
        <f t="shared" si="3"/>
        <v/>
      </c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</row>
    <row r="439">
      <c r="A439" s="69">
        <v>30.0</v>
      </c>
      <c r="B439" s="69">
        <v>39.0</v>
      </c>
      <c r="C439" s="86" t="s">
        <v>138</v>
      </c>
      <c r="D439" s="86" t="s">
        <v>139</v>
      </c>
      <c r="E439" s="86" t="s">
        <v>140</v>
      </c>
      <c r="F439" s="69">
        <v>2000.0</v>
      </c>
      <c r="G439" s="69">
        <v>15.7</v>
      </c>
      <c r="H439" s="68">
        <f t="shared" si="1"/>
        <v>43.84</v>
      </c>
      <c r="I439" s="81">
        <f>IFERROR(__xludf.DUMMYFUNCTION("IF(G439="""", """", ROUND(G439 / MAX(FILTER($G$2:$G5067, $D$2:$D5067=$D439)) * 100, 2))"),92.41)</f>
        <v>92.41</v>
      </c>
      <c r="J439" s="81">
        <f>IFERROR(__xludf.DUMMYFUNCTION("IF(H439="""", """", ROUND(H439 / MAX(FILTER($H$2:$H5067, $D$2:$D5067=$D439)) * 100, 2))"),33.68)</f>
        <v>33.68</v>
      </c>
      <c r="K439" s="2"/>
      <c r="L439" s="48"/>
      <c r="M439" s="48"/>
      <c r="N439" s="48"/>
      <c r="O439" s="48" t="str">
        <f t="shared" si="2"/>
        <v/>
      </c>
      <c r="P439" s="48" t="str">
        <f t="shared" si="3"/>
        <v/>
      </c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</row>
    <row r="440">
      <c r="A440" s="63">
        <v>30.0</v>
      </c>
      <c r="B440" s="63">
        <v>39.0</v>
      </c>
      <c r="C440" s="64" t="s">
        <v>138</v>
      </c>
      <c r="D440" s="64" t="s">
        <v>139</v>
      </c>
      <c r="E440" s="64" t="s">
        <v>140</v>
      </c>
      <c r="F440" s="63">
        <v>2500.0</v>
      </c>
      <c r="G440" s="63">
        <v>15.91</v>
      </c>
      <c r="H440" s="66">
        <f t="shared" si="1"/>
        <v>55.54</v>
      </c>
      <c r="I440" s="81">
        <f>IFERROR(__xludf.DUMMYFUNCTION("IF(G440="""", """", ROUND(G440 / MAX(FILTER($G$2:$G5067, $D$2:$D5067=$D440)) * 100, 2))"),93.64)</f>
        <v>93.64</v>
      </c>
      <c r="J440" s="81">
        <f>IFERROR(__xludf.DUMMYFUNCTION("IF(H440="""", """", ROUND(H440 / MAX(FILTER($H$2:$H5067, $D$2:$D5067=$D440)) * 100, 2))"),42.67)</f>
        <v>42.67</v>
      </c>
      <c r="K440" s="2"/>
      <c r="L440" s="49"/>
      <c r="M440" s="49"/>
      <c r="N440" s="49"/>
      <c r="O440" s="49" t="str">
        <f t="shared" si="2"/>
        <v/>
      </c>
      <c r="P440" s="49" t="str">
        <f t="shared" si="3"/>
        <v/>
      </c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</row>
    <row r="441">
      <c r="A441" s="69">
        <v>30.0</v>
      </c>
      <c r="B441" s="69">
        <v>39.0</v>
      </c>
      <c r="C441" s="86" t="s">
        <v>138</v>
      </c>
      <c r="D441" s="86" t="s">
        <v>139</v>
      </c>
      <c r="E441" s="86" t="s">
        <v>140</v>
      </c>
      <c r="F441" s="69">
        <v>3000.0</v>
      </c>
      <c r="G441" s="69">
        <v>16.11</v>
      </c>
      <c r="H441" s="68">
        <f t="shared" si="1"/>
        <v>67.48</v>
      </c>
      <c r="I441" s="81">
        <f>IFERROR(__xludf.DUMMYFUNCTION("IF(G441="""", """", ROUND(G441 / MAX(FILTER($G$2:$G5067, $D$2:$D5067=$D441)) * 100, 2))"),94.82)</f>
        <v>94.82</v>
      </c>
      <c r="J441" s="81">
        <f>IFERROR(__xludf.DUMMYFUNCTION("IF(H441="""", """", ROUND(H441 / MAX(FILTER($H$2:$H5067, $D$2:$D5067=$D441)) * 100, 2))"),51.85)</f>
        <v>51.85</v>
      </c>
      <c r="K441" s="2"/>
      <c r="L441" s="48"/>
      <c r="M441" s="48"/>
      <c r="N441" s="48"/>
      <c r="O441" s="48" t="str">
        <f t="shared" si="2"/>
        <v/>
      </c>
      <c r="P441" s="48" t="str">
        <f t="shared" si="3"/>
        <v/>
      </c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</row>
    <row r="442">
      <c r="A442" s="63">
        <v>30.0</v>
      </c>
      <c r="B442" s="63">
        <v>39.0</v>
      </c>
      <c r="C442" s="64" t="s">
        <v>138</v>
      </c>
      <c r="D442" s="64" t="s">
        <v>139</v>
      </c>
      <c r="E442" s="64" t="s">
        <v>140</v>
      </c>
      <c r="F442" s="63">
        <v>3500.0</v>
      </c>
      <c r="G442" s="63">
        <v>16.77</v>
      </c>
      <c r="H442" s="66">
        <f t="shared" si="1"/>
        <v>81.95</v>
      </c>
      <c r="I442" s="81">
        <f>IFERROR(__xludf.DUMMYFUNCTION("IF(G442="""", """", ROUND(G442 / MAX(FILTER($G$2:$G5067, $D$2:$D5067=$D442)) * 100, 2))"),98.71)</f>
        <v>98.71</v>
      </c>
      <c r="J442" s="81">
        <f>IFERROR(__xludf.DUMMYFUNCTION("IF(H442="""", """", ROUND(H442 / MAX(FILTER($H$2:$H5067, $D$2:$D5067=$D442)) * 100, 2))"),62.97)</f>
        <v>62.97</v>
      </c>
      <c r="K442" s="2"/>
      <c r="L442" s="49"/>
      <c r="M442" s="49"/>
      <c r="N442" s="49"/>
      <c r="O442" s="49" t="str">
        <f t="shared" si="2"/>
        <v/>
      </c>
      <c r="P442" s="49" t="str">
        <f t="shared" si="3"/>
        <v/>
      </c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</row>
    <row r="443">
      <c r="A443" s="69">
        <v>30.0</v>
      </c>
      <c r="B443" s="69">
        <v>39.0</v>
      </c>
      <c r="C443" s="86" t="s">
        <v>138</v>
      </c>
      <c r="D443" s="86" t="s">
        <v>139</v>
      </c>
      <c r="E443" s="86" t="s">
        <v>140</v>
      </c>
      <c r="F443" s="69">
        <v>4000.0</v>
      </c>
      <c r="G443" s="69">
        <v>16.99</v>
      </c>
      <c r="H443" s="68">
        <f t="shared" si="1"/>
        <v>94.89</v>
      </c>
      <c r="I443" s="81">
        <f>IFERROR(__xludf.DUMMYFUNCTION("IF(G443="""", """", ROUND(G443 / MAX(FILTER($G$2:$G5067, $D$2:$D5067=$D443)) * 100, 2))"),100.0)</f>
        <v>100</v>
      </c>
      <c r="J443" s="81">
        <f>IFERROR(__xludf.DUMMYFUNCTION("IF(H443="""", """", ROUND(H443 / MAX(FILTER($H$2:$H5067, $D$2:$D5067=$D443)) * 100, 2))"),72.91)</f>
        <v>72.91</v>
      </c>
      <c r="K443" s="2"/>
      <c r="L443" s="48"/>
      <c r="M443" s="48"/>
      <c r="N443" s="48"/>
      <c r="O443" s="48" t="str">
        <f t="shared" si="2"/>
        <v/>
      </c>
      <c r="P443" s="48" t="str">
        <f t="shared" si="3"/>
        <v/>
      </c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</row>
    <row r="444">
      <c r="A444" s="63">
        <v>30.0</v>
      </c>
      <c r="B444" s="63">
        <v>39.0</v>
      </c>
      <c r="C444" s="64" t="s">
        <v>138</v>
      </c>
      <c r="D444" s="64" t="s">
        <v>139</v>
      </c>
      <c r="E444" s="64" t="s">
        <v>140</v>
      </c>
      <c r="F444" s="63">
        <v>4500.0</v>
      </c>
      <c r="G444" s="63">
        <v>16.75</v>
      </c>
      <c r="H444" s="66">
        <f t="shared" si="1"/>
        <v>105.24</v>
      </c>
      <c r="I444" s="81">
        <f>IFERROR(__xludf.DUMMYFUNCTION("IF(G444="""", """", ROUND(G444 / MAX(FILTER($G$2:$G5067, $D$2:$D5067=$D444)) * 100, 2))"),98.59)</f>
        <v>98.59</v>
      </c>
      <c r="J444" s="81">
        <f>IFERROR(__xludf.DUMMYFUNCTION("IF(H444="""", """", ROUND(H444 / MAX(FILTER($H$2:$H5067, $D$2:$D5067=$D444)) * 100, 2))"),80.86)</f>
        <v>80.86</v>
      </c>
      <c r="K444" s="2"/>
      <c r="L444" s="49"/>
      <c r="M444" s="49"/>
      <c r="N444" s="49"/>
      <c r="O444" s="49" t="str">
        <f t="shared" si="2"/>
        <v/>
      </c>
      <c r="P444" s="49" t="str">
        <f t="shared" si="3"/>
        <v/>
      </c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</row>
    <row r="445">
      <c r="A445" s="69">
        <v>30.0</v>
      </c>
      <c r="B445" s="69">
        <v>39.0</v>
      </c>
      <c r="C445" s="86" t="s">
        <v>138</v>
      </c>
      <c r="D445" s="86" t="s">
        <v>139</v>
      </c>
      <c r="E445" s="86" t="s">
        <v>140</v>
      </c>
      <c r="F445" s="69">
        <v>5000.0</v>
      </c>
      <c r="G445" s="69">
        <v>16.52</v>
      </c>
      <c r="H445" s="68">
        <f t="shared" si="1"/>
        <v>115.33</v>
      </c>
      <c r="I445" s="81">
        <f>IFERROR(__xludf.DUMMYFUNCTION("IF(G445="""", """", ROUND(G445 / MAX(FILTER($G$2:$G5067, $D$2:$D5067=$D445)) * 100, 2))"),97.23)</f>
        <v>97.23</v>
      </c>
      <c r="J445" s="81">
        <f>IFERROR(__xludf.DUMMYFUNCTION("IF(H445="""", """", ROUND(H445 / MAX(FILTER($H$2:$H5067, $D$2:$D5067=$D445)) * 100, 2))"),88.61)</f>
        <v>88.61</v>
      </c>
      <c r="K445" s="2"/>
      <c r="L445" s="48"/>
      <c r="M445" s="48"/>
      <c r="N445" s="48"/>
      <c r="O445" s="48" t="str">
        <f t="shared" si="2"/>
        <v/>
      </c>
      <c r="P445" s="48" t="str">
        <f t="shared" si="3"/>
        <v/>
      </c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</row>
    <row r="446">
      <c r="A446" s="63">
        <v>30.0</v>
      </c>
      <c r="B446" s="63">
        <v>39.0</v>
      </c>
      <c r="C446" s="64" t="s">
        <v>138</v>
      </c>
      <c r="D446" s="64" t="s">
        <v>139</v>
      </c>
      <c r="E446" s="64" t="s">
        <v>140</v>
      </c>
      <c r="F446" s="63">
        <v>5500.0</v>
      </c>
      <c r="G446" s="63">
        <v>16.02</v>
      </c>
      <c r="H446" s="66">
        <f t="shared" si="1"/>
        <v>123.02</v>
      </c>
      <c r="I446" s="81">
        <f>IFERROR(__xludf.DUMMYFUNCTION("IF(G446="""", """", ROUND(G446 / MAX(FILTER($G$2:$G5067, $D$2:$D5067=$D446)) * 100, 2))"),94.29)</f>
        <v>94.29</v>
      </c>
      <c r="J446" s="81">
        <f>IFERROR(__xludf.DUMMYFUNCTION("IF(H446="""", """", ROUND(H446 / MAX(FILTER($H$2:$H5067, $D$2:$D5067=$D446)) * 100, 2))"),94.52)</f>
        <v>94.52</v>
      </c>
      <c r="K446" s="2"/>
      <c r="L446" s="49"/>
      <c r="M446" s="49"/>
      <c r="N446" s="49"/>
      <c r="O446" s="49" t="str">
        <f t="shared" si="2"/>
        <v/>
      </c>
      <c r="P446" s="49" t="str">
        <f t="shared" si="3"/>
        <v/>
      </c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</row>
    <row r="447">
      <c r="A447" s="69">
        <v>30.0</v>
      </c>
      <c r="B447" s="69">
        <v>39.0</v>
      </c>
      <c r="C447" s="86" t="s">
        <v>138</v>
      </c>
      <c r="D447" s="86" t="s">
        <v>139</v>
      </c>
      <c r="E447" s="86" t="s">
        <v>140</v>
      </c>
      <c r="F447" s="69">
        <v>6000.0</v>
      </c>
      <c r="G447" s="69">
        <v>15.29</v>
      </c>
      <c r="H447" s="68">
        <f t="shared" si="1"/>
        <v>128.09</v>
      </c>
      <c r="I447" s="81">
        <f>IFERROR(__xludf.DUMMYFUNCTION("IF(G447="""", """", ROUND(G447 / MAX(FILTER($G$2:$G5067, $D$2:$D5067=$D447)) * 100, 2))"),89.99)</f>
        <v>89.99</v>
      </c>
      <c r="J447" s="81">
        <f>IFERROR(__xludf.DUMMYFUNCTION("IF(H447="""", """", ROUND(H447 / MAX(FILTER($H$2:$H5067, $D$2:$D5067=$D447)) * 100, 2))"),98.42)</f>
        <v>98.42</v>
      </c>
      <c r="K447" s="2"/>
      <c r="L447" s="48"/>
      <c r="M447" s="48"/>
      <c r="N447" s="48"/>
      <c r="O447" s="48" t="str">
        <f t="shared" si="2"/>
        <v/>
      </c>
      <c r="P447" s="48" t="str">
        <f t="shared" si="3"/>
        <v/>
      </c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</row>
    <row r="448">
      <c r="A448" s="63">
        <v>30.0</v>
      </c>
      <c r="B448" s="63">
        <v>39.0</v>
      </c>
      <c r="C448" s="64" t="s">
        <v>138</v>
      </c>
      <c r="D448" s="64" t="s">
        <v>139</v>
      </c>
      <c r="E448" s="64" t="s">
        <v>140</v>
      </c>
      <c r="F448" s="63">
        <v>6500.0</v>
      </c>
      <c r="G448" s="63">
        <v>14.34</v>
      </c>
      <c r="H448" s="66">
        <f t="shared" si="1"/>
        <v>130.15</v>
      </c>
      <c r="I448" s="81">
        <f>IFERROR(__xludf.DUMMYFUNCTION("IF(G448="""", """", ROUND(G448 / MAX(FILTER($G$2:$G5067, $D$2:$D5067=$D448)) * 100, 2))"),84.4)</f>
        <v>84.4</v>
      </c>
      <c r="J448" s="81">
        <f>IFERROR(__xludf.DUMMYFUNCTION("IF(H448="""", """", ROUND(H448 / MAX(FILTER($H$2:$H5067, $D$2:$D5067=$D448)) * 100, 2))"),100.0)</f>
        <v>100</v>
      </c>
      <c r="K448" s="2"/>
      <c r="L448" s="49"/>
      <c r="M448" s="49"/>
      <c r="N448" s="49"/>
      <c r="O448" s="49" t="str">
        <f t="shared" si="2"/>
        <v/>
      </c>
      <c r="P448" s="49" t="str">
        <f t="shared" si="3"/>
        <v/>
      </c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</row>
    <row r="449">
      <c r="A449" s="69">
        <v>30.0</v>
      </c>
      <c r="B449" s="69">
        <v>39.0</v>
      </c>
      <c r="C449" s="86" t="s">
        <v>138</v>
      </c>
      <c r="D449" s="86" t="s">
        <v>139</v>
      </c>
      <c r="E449" s="86" t="s">
        <v>140</v>
      </c>
      <c r="F449" s="69">
        <v>7000.0</v>
      </c>
      <c r="G449" s="69">
        <v>12.9</v>
      </c>
      <c r="H449" s="68">
        <f t="shared" si="1"/>
        <v>126.08</v>
      </c>
      <c r="I449" s="81">
        <f>IFERROR(__xludf.DUMMYFUNCTION("IF(G449="""", """", ROUND(G449 / MAX(FILTER($G$2:$G5067, $D$2:$D5067=$D449)) * 100, 2))"),75.93)</f>
        <v>75.93</v>
      </c>
      <c r="J449" s="81">
        <f>IFERROR(__xludf.DUMMYFUNCTION("IF(H449="""", """", ROUND(H449 / MAX(FILTER($H$2:$H5067, $D$2:$D5067=$D449)) * 100, 2))"),96.87)</f>
        <v>96.87</v>
      </c>
      <c r="K449" s="2"/>
      <c r="L449" s="48"/>
      <c r="M449" s="48"/>
      <c r="N449" s="48"/>
      <c r="O449" s="48" t="str">
        <f t="shared" si="2"/>
        <v/>
      </c>
      <c r="P449" s="48" t="str">
        <f t="shared" si="3"/>
        <v/>
      </c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</row>
    <row r="450">
      <c r="A450" s="63">
        <v>30.0</v>
      </c>
      <c r="B450" s="63">
        <v>39.0</v>
      </c>
      <c r="C450" s="64" t="s">
        <v>138</v>
      </c>
      <c r="D450" s="64" t="s">
        <v>139</v>
      </c>
      <c r="E450" s="64" t="s">
        <v>140</v>
      </c>
      <c r="F450" s="63">
        <v>7500.0</v>
      </c>
      <c r="G450" s="63">
        <v>10.6</v>
      </c>
      <c r="H450" s="66">
        <f t="shared" si="1"/>
        <v>111</v>
      </c>
      <c r="I450" s="81">
        <f>IFERROR(__xludf.DUMMYFUNCTION("IF(G450="""", """", ROUND(G450 / MAX(FILTER($G$2:$G5067, $D$2:$D5067=$D450)) * 100, 2))"),62.39)</f>
        <v>62.39</v>
      </c>
      <c r="J450" s="81">
        <f>IFERROR(__xludf.DUMMYFUNCTION("IF(H450="""", """", ROUND(H450 / MAX(FILTER($H$2:$H5067, $D$2:$D5067=$D450)) * 100, 2))"),85.29)</f>
        <v>85.29</v>
      </c>
      <c r="K450" s="2"/>
      <c r="L450" s="49"/>
      <c r="M450" s="49"/>
      <c r="N450" s="49"/>
      <c r="O450" s="49" t="str">
        <f t="shared" si="2"/>
        <v/>
      </c>
      <c r="P450" s="49" t="str">
        <f t="shared" si="3"/>
        <v/>
      </c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</row>
    <row r="451">
      <c r="A451" s="69">
        <v>31.0</v>
      </c>
      <c r="B451" s="69">
        <v>40.0</v>
      </c>
      <c r="C451" s="86" t="s">
        <v>141</v>
      </c>
      <c r="D451" s="86" t="s">
        <v>142</v>
      </c>
      <c r="E451" s="86" t="s">
        <v>143</v>
      </c>
      <c r="F451" s="69">
        <v>500.0</v>
      </c>
      <c r="G451" s="69">
        <v>10.96</v>
      </c>
      <c r="H451" s="68">
        <f t="shared" si="1"/>
        <v>7.65</v>
      </c>
      <c r="I451" s="81">
        <f>IFERROR(__xludf.DUMMYFUNCTION("IF(G451="""", """", ROUND(G451 / MAX(FILTER($G$2:$G5067, $D$2:$D5067=$D451)) * 100, 2))"),76.22)</f>
        <v>76.22</v>
      </c>
      <c r="J451" s="81">
        <f>IFERROR(__xludf.DUMMYFUNCTION("IF(H451="""", """", ROUND(H451 / MAX(FILTER($H$2:$H5067, $D$2:$D5067=$D451)) * 100, 2))"),7.02)</f>
        <v>7.02</v>
      </c>
      <c r="K451" s="2"/>
      <c r="L451" s="48"/>
      <c r="M451" s="48"/>
      <c r="N451" s="48"/>
      <c r="O451" s="48" t="str">
        <f t="shared" si="2"/>
        <v/>
      </c>
      <c r="P451" s="48" t="str">
        <f t="shared" si="3"/>
        <v/>
      </c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</row>
    <row r="452">
      <c r="A452" s="63">
        <v>31.0</v>
      </c>
      <c r="B452" s="63">
        <v>40.0</v>
      </c>
      <c r="C452" s="64" t="s">
        <v>141</v>
      </c>
      <c r="D452" s="64" t="s">
        <v>142</v>
      </c>
      <c r="E452" s="64" t="s">
        <v>143</v>
      </c>
      <c r="F452" s="63">
        <v>1000.0</v>
      </c>
      <c r="G452" s="63">
        <v>11.88</v>
      </c>
      <c r="H452" s="66">
        <f t="shared" si="1"/>
        <v>16.59</v>
      </c>
      <c r="I452" s="81">
        <f>IFERROR(__xludf.DUMMYFUNCTION("IF(G452="""", """", ROUND(G452 / MAX(FILTER($G$2:$G5067, $D$2:$D5067=$D452)) * 100, 2))"),82.61)</f>
        <v>82.61</v>
      </c>
      <c r="J452" s="81">
        <f>IFERROR(__xludf.DUMMYFUNCTION("IF(H452="""", """", ROUND(H452 / MAX(FILTER($H$2:$H5067, $D$2:$D5067=$D452)) * 100, 2))"),15.23)</f>
        <v>15.23</v>
      </c>
      <c r="K452" s="2"/>
      <c r="L452" s="49"/>
      <c r="M452" s="49"/>
      <c r="N452" s="49"/>
      <c r="O452" s="49" t="str">
        <f t="shared" si="2"/>
        <v/>
      </c>
      <c r="P452" s="49" t="str">
        <f t="shared" si="3"/>
        <v/>
      </c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</row>
    <row r="453">
      <c r="A453" s="69">
        <v>31.0</v>
      </c>
      <c r="B453" s="69">
        <v>40.0</v>
      </c>
      <c r="C453" s="86" t="s">
        <v>141</v>
      </c>
      <c r="D453" s="86" t="s">
        <v>142</v>
      </c>
      <c r="E453" s="86" t="s">
        <v>143</v>
      </c>
      <c r="F453" s="69">
        <v>1500.0</v>
      </c>
      <c r="G453" s="69">
        <v>12.59</v>
      </c>
      <c r="H453" s="68">
        <f t="shared" si="1"/>
        <v>26.37</v>
      </c>
      <c r="I453" s="81">
        <f>IFERROR(__xludf.DUMMYFUNCTION("IF(G453="""", """", ROUND(G453 / MAX(FILTER($G$2:$G5067, $D$2:$D5067=$D453)) * 100, 2))"),87.55)</f>
        <v>87.55</v>
      </c>
      <c r="J453" s="81">
        <f>IFERROR(__xludf.DUMMYFUNCTION("IF(H453="""", """", ROUND(H453 / MAX(FILTER($H$2:$H5067, $D$2:$D5067=$D453)) * 100, 2))"),24.21)</f>
        <v>24.21</v>
      </c>
      <c r="K453" s="2"/>
      <c r="L453" s="48"/>
      <c r="M453" s="48"/>
      <c r="N453" s="48"/>
      <c r="O453" s="48" t="str">
        <f t="shared" si="2"/>
        <v/>
      </c>
      <c r="P453" s="48" t="str">
        <f t="shared" si="3"/>
        <v/>
      </c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</row>
    <row r="454">
      <c r="A454" s="63">
        <v>31.0</v>
      </c>
      <c r="B454" s="63">
        <v>40.0</v>
      </c>
      <c r="C454" s="64" t="s">
        <v>141</v>
      </c>
      <c r="D454" s="64" t="s">
        <v>142</v>
      </c>
      <c r="E454" s="64" t="s">
        <v>143</v>
      </c>
      <c r="F454" s="63">
        <v>2000.0</v>
      </c>
      <c r="G454" s="63">
        <v>13.05</v>
      </c>
      <c r="H454" s="66">
        <f t="shared" si="1"/>
        <v>36.44</v>
      </c>
      <c r="I454" s="81">
        <f>IFERROR(__xludf.DUMMYFUNCTION("IF(G454="""", """", ROUND(G454 / MAX(FILTER($G$2:$G5067, $D$2:$D5067=$D454)) * 100, 2))"),90.75)</f>
        <v>90.75</v>
      </c>
      <c r="J454" s="81">
        <f>IFERROR(__xludf.DUMMYFUNCTION("IF(H454="""", """", ROUND(H454 / MAX(FILTER($H$2:$H5067, $D$2:$D5067=$D454)) * 100, 2))"),33.46)</f>
        <v>33.46</v>
      </c>
      <c r="K454" s="2"/>
      <c r="L454" s="49"/>
      <c r="M454" s="49"/>
      <c r="N454" s="49"/>
      <c r="O454" s="49" t="str">
        <f t="shared" si="2"/>
        <v/>
      </c>
      <c r="P454" s="49" t="str">
        <f t="shared" si="3"/>
        <v/>
      </c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</row>
    <row r="455">
      <c r="A455" s="69">
        <v>31.0</v>
      </c>
      <c r="B455" s="69">
        <v>40.0</v>
      </c>
      <c r="C455" s="86" t="s">
        <v>141</v>
      </c>
      <c r="D455" s="86" t="s">
        <v>142</v>
      </c>
      <c r="E455" s="86" t="s">
        <v>143</v>
      </c>
      <c r="F455" s="69">
        <v>2500.0</v>
      </c>
      <c r="G455" s="69">
        <v>13.15</v>
      </c>
      <c r="H455" s="68">
        <f t="shared" si="1"/>
        <v>45.9</v>
      </c>
      <c r="I455" s="81">
        <f>IFERROR(__xludf.DUMMYFUNCTION("IF(G455="""", """", ROUND(G455 / MAX(FILTER($G$2:$G5067, $D$2:$D5067=$D455)) * 100, 2))"),91.45)</f>
        <v>91.45</v>
      </c>
      <c r="J455" s="81">
        <f>IFERROR(__xludf.DUMMYFUNCTION("IF(H455="""", """", ROUND(H455 / MAX(FILTER($H$2:$H5067, $D$2:$D5067=$D455)) * 100, 2))"),42.14)</f>
        <v>42.14</v>
      </c>
      <c r="K455" s="2"/>
      <c r="L455" s="48"/>
      <c r="M455" s="48"/>
      <c r="N455" s="48"/>
      <c r="O455" s="48" t="str">
        <f t="shared" si="2"/>
        <v/>
      </c>
      <c r="P455" s="48" t="str">
        <f t="shared" si="3"/>
        <v/>
      </c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</row>
    <row r="456">
      <c r="A456" s="63">
        <v>31.0</v>
      </c>
      <c r="B456" s="63">
        <v>40.0</v>
      </c>
      <c r="C456" s="64" t="s">
        <v>141</v>
      </c>
      <c r="D456" s="64" t="s">
        <v>142</v>
      </c>
      <c r="E456" s="64" t="s">
        <v>143</v>
      </c>
      <c r="F456" s="63">
        <v>3000.0</v>
      </c>
      <c r="G456" s="63">
        <v>13.26</v>
      </c>
      <c r="H456" s="66">
        <f t="shared" si="1"/>
        <v>55.54</v>
      </c>
      <c r="I456" s="81">
        <f>IFERROR(__xludf.DUMMYFUNCTION("IF(G456="""", """", ROUND(G456 / MAX(FILTER($G$2:$G5067, $D$2:$D5067=$D456)) * 100, 2))"),92.21)</f>
        <v>92.21</v>
      </c>
      <c r="J456" s="81">
        <f>IFERROR(__xludf.DUMMYFUNCTION("IF(H456="""", """", ROUND(H456 / MAX(FILTER($H$2:$H5067, $D$2:$D5067=$D456)) * 100, 2))"),51.0)</f>
        <v>51</v>
      </c>
      <c r="K456" s="2"/>
      <c r="L456" s="49"/>
      <c r="M456" s="49"/>
      <c r="N456" s="49"/>
      <c r="O456" s="49" t="str">
        <f t="shared" si="2"/>
        <v/>
      </c>
      <c r="P456" s="49" t="str">
        <f t="shared" si="3"/>
        <v/>
      </c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</row>
    <row r="457">
      <c r="A457" s="69">
        <v>31.0</v>
      </c>
      <c r="B457" s="69">
        <v>40.0</v>
      </c>
      <c r="C457" s="86" t="s">
        <v>141</v>
      </c>
      <c r="D457" s="86" t="s">
        <v>142</v>
      </c>
      <c r="E457" s="86" t="s">
        <v>143</v>
      </c>
      <c r="F457" s="69">
        <v>3500.0</v>
      </c>
      <c r="G457" s="69">
        <v>13.82</v>
      </c>
      <c r="H457" s="68">
        <f t="shared" si="1"/>
        <v>67.54</v>
      </c>
      <c r="I457" s="81">
        <f>IFERROR(__xludf.DUMMYFUNCTION("IF(G457="""", """", ROUND(G457 / MAX(FILTER($G$2:$G5067, $D$2:$D5067=$D457)) * 100, 2))"),96.11)</f>
        <v>96.11</v>
      </c>
      <c r="J457" s="81">
        <f>IFERROR(__xludf.DUMMYFUNCTION("IF(H457="""", """", ROUND(H457 / MAX(FILTER($H$2:$H5067, $D$2:$D5067=$D457)) * 100, 2))"),62.01)</f>
        <v>62.01</v>
      </c>
      <c r="K457" s="2"/>
      <c r="L457" s="48"/>
      <c r="M457" s="48"/>
      <c r="N457" s="48"/>
      <c r="O457" s="48" t="str">
        <f t="shared" si="2"/>
        <v/>
      </c>
      <c r="P457" s="48" t="str">
        <f t="shared" si="3"/>
        <v/>
      </c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</row>
    <row r="458">
      <c r="A458" s="63">
        <v>31.0</v>
      </c>
      <c r="B458" s="63">
        <v>40.0</v>
      </c>
      <c r="C458" s="64" t="s">
        <v>141</v>
      </c>
      <c r="D458" s="64" t="s">
        <v>142</v>
      </c>
      <c r="E458" s="64" t="s">
        <v>143</v>
      </c>
      <c r="F458" s="63">
        <v>4200.0</v>
      </c>
      <c r="G458" s="63">
        <v>14.38</v>
      </c>
      <c r="H458" s="66">
        <f t="shared" si="1"/>
        <v>84.33</v>
      </c>
      <c r="I458" s="81">
        <f>IFERROR(__xludf.DUMMYFUNCTION("IF(G458="""", """", ROUND(G458 / MAX(FILTER($G$2:$G5067, $D$2:$D5067=$D458)) * 100, 2))"),100.0)</f>
        <v>100</v>
      </c>
      <c r="J458" s="81">
        <f>IFERROR(__xludf.DUMMYFUNCTION("IF(H458="""", """", ROUND(H458 / MAX(FILTER($H$2:$H5067, $D$2:$D5067=$D458)) * 100, 2))"),77.43)</f>
        <v>77.43</v>
      </c>
      <c r="K458" s="2"/>
      <c r="L458" s="49"/>
      <c r="M458" s="49"/>
      <c r="N458" s="49"/>
      <c r="O458" s="49" t="str">
        <f t="shared" si="2"/>
        <v/>
      </c>
      <c r="P458" s="49" t="str">
        <f t="shared" si="3"/>
        <v/>
      </c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</row>
    <row r="459">
      <c r="A459" s="69">
        <v>31.0</v>
      </c>
      <c r="B459" s="69">
        <v>40.0</v>
      </c>
      <c r="C459" s="86" t="s">
        <v>141</v>
      </c>
      <c r="D459" s="86" t="s">
        <v>142</v>
      </c>
      <c r="E459" s="86" t="s">
        <v>143</v>
      </c>
      <c r="F459" s="69">
        <v>4700.0</v>
      </c>
      <c r="G459" s="69">
        <v>13.97</v>
      </c>
      <c r="H459" s="68">
        <f t="shared" si="1"/>
        <v>91.68</v>
      </c>
      <c r="I459" s="81">
        <f>IFERROR(__xludf.DUMMYFUNCTION("IF(G459="""", """", ROUND(G459 / MAX(FILTER($G$2:$G5067, $D$2:$D5067=$D459)) * 100, 2))"),97.15)</f>
        <v>97.15</v>
      </c>
      <c r="J459" s="81">
        <f>IFERROR(__xludf.DUMMYFUNCTION("IF(H459="""", """", ROUND(H459 / MAX(FILTER($H$2:$H5067, $D$2:$D5067=$D459)) * 100, 2))"),84.18)</f>
        <v>84.18</v>
      </c>
      <c r="K459" s="2"/>
      <c r="L459" s="48"/>
      <c r="M459" s="48"/>
      <c r="N459" s="48"/>
      <c r="O459" s="48" t="str">
        <f t="shared" si="2"/>
        <v/>
      </c>
      <c r="P459" s="48" t="str">
        <f t="shared" si="3"/>
        <v/>
      </c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</row>
    <row r="460">
      <c r="A460" s="63">
        <v>31.0</v>
      </c>
      <c r="B460" s="63">
        <v>40.0</v>
      </c>
      <c r="C460" s="64" t="s">
        <v>141</v>
      </c>
      <c r="D460" s="64" t="s">
        <v>142</v>
      </c>
      <c r="E460" s="64" t="s">
        <v>143</v>
      </c>
      <c r="F460" s="63">
        <v>5000.0</v>
      </c>
      <c r="G460" s="63">
        <v>13.56</v>
      </c>
      <c r="H460" s="66">
        <f t="shared" si="1"/>
        <v>94.67</v>
      </c>
      <c r="I460" s="81">
        <f>IFERROR(__xludf.DUMMYFUNCTION("IF(G460="""", """", ROUND(G460 / MAX(FILTER($G$2:$G5067, $D$2:$D5067=$D460)) * 100, 2))"),94.3)</f>
        <v>94.3</v>
      </c>
      <c r="J460" s="81">
        <f>IFERROR(__xludf.DUMMYFUNCTION("IF(H460="""", """", ROUND(H460 / MAX(FILTER($H$2:$H5067, $D$2:$D5067=$D460)) * 100, 2))"),86.92)</f>
        <v>86.92</v>
      </c>
      <c r="K460" s="2"/>
      <c r="L460" s="49"/>
      <c r="M460" s="49"/>
      <c r="N460" s="49"/>
      <c r="O460" s="49" t="str">
        <f t="shared" si="2"/>
        <v/>
      </c>
      <c r="P460" s="49" t="str">
        <f t="shared" si="3"/>
        <v/>
      </c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</row>
    <row r="461">
      <c r="A461" s="69">
        <v>31.0</v>
      </c>
      <c r="B461" s="69">
        <v>40.0</v>
      </c>
      <c r="C461" s="86" t="s">
        <v>141</v>
      </c>
      <c r="D461" s="86" t="s">
        <v>142</v>
      </c>
      <c r="E461" s="86" t="s">
        <v>143</v>
      </c>
      <c r="F461" s="69">
        <v>5500.0</v>
      </c>
      <c r="G461" s="69">
        <v>13.15</v>
      </c>
      <c r="H461" s="68">
        <f t="shared" si="1"/>
        <v>100.98</v>
      </c>
      <c r="I461" s="81">
        <f>IFERROR(__xludf.DUMMYFUNCTION("IF(G461="""", """", ROUND(G461 / MAX(FILTER($G$2:$G5067, $D$2:$D5067=$D461)) * 100, 2))"),91.45)</f>
        <v>91.45</v>
      </c>
      <c r="J461" s="81">
        <f>IFERROR(__xludf.DUMMYFUNCTION("IF(H461="""", """", ROUND(H461 / MAX(FILTER($H$2:$H5067, $D$2:$D5067=$D461)) * 100, 2))"),92.72)</f>
        <v>92.72</v>
      </c>
      <c r="K461" s="2"/>
      <c r="L461" s="48"/>
      <c r="M461" s="48"/>
      <c r="N461" s="48"/>
      <c r="O461" s="48" t="str">
        <f t="shared" si="2"/>
        <v/>
      </c>
      <c r="P461" s="48" t="str">
        <f t="shared" si="3"/>
        <v/>
      </c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</row>
    <row r="462">
      <c r="A462" s="63">
        <v>31.0</v>
      </c>
      <c r="B462" s="63">
        <v>40.0</v>
      </c>
      <c r="C462" s="64" t="s">
        <v>141</v>
      </c>
      <c r="D462" s="64" t="s">
        <v>142</v>
      </c>
      <c r="E462" s="64" t="s">
        <v>143</v>
      </c>
      <c r="F462" s="63">
        <v>6000.0</v>
      </c>
      <c r="G462" s="63">
        <v>13.0</v>
      </c>
      <c r="H462" s="66">
        <f t="shared" si="1"/>
        <v>108.91</v>
      </c>
      <c r="I462" s="81">
        <f>IFERROR(__xludf.DUMMYFUNCTION("IF(G462="""", """", ROUND(G462 / MAX(FILTER($G$2:$G5067, $D$2:$D5067=$D462)) * 100, 2))"),90.4)</f>
        <v>90.4</v>
      </c>
      <c r="J462" s="81">
        <f>IFERROR(__xludf.DUMMYFUNCTION("IF(H462="""", """", ROUND(H462 / MAX(FILTER($H$2:$H5067, $D$2:$D5067=$D462)) * 100, 2))"),100.0)</f>
        <v>100</v>
      </c>
      <c r="K462" s="2"/>
      <c r="L462" s="49"/>
      <c r="M462" s="49"/>
      <c r="N462" s="49"/>
      <c r="O462" s="49" t="str">
        <f t="shared" si="2"/>
        <v/>
      </c>
      <c r="P462" s="49" t="str">
        <f t="shared" si="3"/>
        <v/>
      </c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</row>
    <row r="463">
      <c r="A463" s="69">
        <v>31.0</v>
      </c>
      <c r="B463" s="69">
        <v>40.0</v>
      </c>
      <c r="C463" s="86" t="s">
        <v>141</v>
      </c>
      <c r="D463" s="86" t="s">
        <v>142</v>
      </c>
      <c r="E463" s="86" t="s">
        <v>143</v>
      </c>
      <c r="F463" s="69">
        <v>6500.0</v>
      </c>
      <c r="G463" s="69">
        <v>11.91</v>
      </c>
      <c r="H463" s="68">
        <f t="shared" si="1"/>
        <v>108.09</v>
      </c>
      <c r="I463" s="81">
        <f>IFERROR(__xludf.DUMMYFUNCTION("IF(G463="""", """", ROUND(G463 / MAX(FILTER($G$2:$G5067, $D$2:$D5067=$D463)) * 100, 2))"),82.82)</f>
        <v>82.82</v>
      </c>
      <c r="J463" s="81">
        <f>IFERROR(__xludf.DUMMYFUNCTION("IF(H463="""", """", ROUND(H463 / MAX(FILTER($H$2:$H5067, $D$2:$D5067=$D463)) * 100, 2))"),99.25)</f>
        <v>99.25</v>
      </c>
      <c r="K463" s="2"/>
      <c r="L463" s="48"/>
      <c r="M463" s="48"/>
      <c r="N463" s="48"/>
      <c r="O463" s="48" t="str">
        <f t="shared" si="2"/>
        <v/>
      </c>
      <c r="P463" s="48" t="str">
        <f t="shared" si="3"/>
        <v/>
      </c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</row>
    <row r="464">
      <c r="A464" s="63">
        <v>31.0</v>
      </c>
      <c r="B464" s="63">
        <v>40.0</v>
      </c>
      <c r="C464" s="64" t="s">
        <v>141</v>
      </c>
      <c r="D464" s="64" t="s">
        <v>142</v>
      </c>
      <c r="E464" s="64" t="s">
        <v>143</v>
      </c>
      <c r="F464" s="63">
        <v>7000.0</v>
      </c>
      <c r="G464" s="63">
        <v>10.55</v>
      </c>
      <c r="H464" s="66">
        <f t="shared" si="1"/>
        <v>103.11</v>
      </c>
      <c r="I464" s="81">
        <f>IFERROR(__xludf.DUMMYFUNCTION("IF(G464="""", """", ROUND(G464 / MAX(FILTER($G$2:$G5067, $D$2:$D5067=$D464)) * 100, 2))"),73.37)</f>
        <v>73.37</v>
      </c>
      <c r="J464" s="81">
        <f>IFERROR(__xludf.DUMMYFUNCTION("IF(H464="""", """", ROUND(H464 / MAX(FILTER($H$2:$H5067, $D$2:$D5067=$D464)) * 100, 2))"),94.67)</f>
        <v>94.67</v>
      </c>
      <c r="K464" s="2"/>
      <c r="L464" s="49"/>
      <c r="M464" s="49"/>
      <c r="N464" s="49"/>
      <c r="O464" s="49" t="str">
        <f t="shared" si="2"/>
        <v/>
      </c>
      <c r="P464" s="49" t="str">
        <f t="shared" si="3"/>
        <v/>
      </c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</row>
    <row r="465">
      <c r="A465" s="69">
        <v>32.0</v>
      </c>
      <c r="B465" s="69">
        <v>42.0</v>
      </c>
      <c r="C465" s="86" t="s">
        <v>144</v>
      </c>
      <c r="D465" s="86" t="s">
        <v>145</v>
      </c>
      <c r="E465" s="86" t="s">
        <v>146</v>
      </c>
      <c r="F465" s="69">
        <v>500.0</v>
      </c>
      <c r="G465" s="69">
        <v>24.14</v>
      </c>
      <c r="H465" s="68">
        <f t="shared" si="1"/>
        <v>16.85</v>
      </c>
      <c r="I465" s="81">
        <f>IFERROR(__xludf.DUMMYFUNCTION("IF(G465="""", """", ROUND(G465 / MAX(FILTER($G$2:$G5067, $D$2:$D5067=$D465)) * 100, 2))"),67.06)</f>
        <v>67.06</v>
      </c>
      <c r="J465" s="81">
        <f>IFERROR(__xludf.DUMMYFUNCTION("IF(H465="""", """", ROUND(H465 / MAX(FILTER($H$2:$H5067, $D$2:$D5067=$D465)) * 100, 2))"),6.22)</f>
        <v>6.22</v>
      </c>
      <c r="K465" s="2"/>
      <c r="L465" s="48"/>
      <c r="M465" s="48"/>
      <c r="N465" s="48"/>
      <c r="O465" s="48" t="str">
        <f t="shared" si="2"/>
        <v/>
      </c>
      <c r="P465" s="48" t="str">
        <f t="shared" si="3"/>
        <v/>
      </c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</row>
    <row r="466">
      <c r="A466" s="63">
        <v>32.0</v>
      </c>
      <c r="B466" s="63">
        <v>42.0</v>
      </c>
      <c r="C466" s="64" t="s">
        <v>144</v>
      </c>
      <c r="D466" s="64" t="s">
        <v>145</v>
      </c>
      <c r="E466" s="64" t="s">
        <v>146</v>
      </c>
      <c r="F466" s="63">
        <v>1000.0</v>
      </c>
      <c r="G466" s="63">
        <v>27.25</v>
      </c>
      <c r="H466" s="66">
        <f t="shared" si="1"/>
        <v>38.05</v>
      </c>
      <c r="I466" s="81">
        <f>IFERROR(__xludf.DUMMYFUNCTION("IF(G466="""", """", ROUND(G466 / MAX(FILTER($G$2:$G5067, $D$2:$D5067=$D466)) * 100, 2))"),75.69)</f>
        <v>75.69</v>
      </c>
      <c r="J466" s="81">
        <f>IFERROR(__xludf.DUMMYFUNCTION("IF(H466="""", """", ROUND(H466 / MAX(FILTER($H$2:$H5067, $D$2:$D5067=$D466)) * 100, 2))"),14.04)</f>
        <v>14.04</v>
      </c>
      <c r="K466" s="2"/>
      <c r="L466" s="49"/>
      <c r="M466" s="49"/>
      <c r="N466" s="49"/>
      <c r="O466" s="49" t="str">
        <f t="shared" si="2"/>
        <v/>
      </c>
      <c r="P466" s="49" t="str">
        <f t="shared" si="3"/>
        <v/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</row>
    <row r="467">
      <c r="A467" s="69">
        <v>32.0</v>
      </c>
      <c r="B467" s="69">
        <v>42.0</v>
      </c>
      <c r="C467" s="86" t="s">
        <v>144</v>
      </c>
      <c r="D467" s="86" t="s">
        <v>145</v>
      </c>
      <c r="E467" s="86" t="s">
        <v>146</v>
      </c>
      <c r="F467" s="69">
        <v>1500.0</v>
      </c>
      <c r="G467" s="69">
        <v>29.57</v>
      </c>
      <c r="H467" s="68">
        <f t="shared" si="1"/>
        <v>61.93</v>
      </c>
      <c r="I467" s="81">
        <f>IFERROR(__xludf.DUMMYFUNCTION("IF(G467="""", """", ROUND(G467 / MAX(FILTER($G$2:$G5067, $D$2:$D5067=$D467)) * 100, 2))"),82.14)</f>
        <v>82.14</v>
      </c>
      <c r="J467" s="81">
        <f>IFERROR(__xludf.DUMMYFUNCTION("IF(H467="""", """", ROUND(H467 / MAX(FILTER($H$2:$H5067, $D$2:$D5067=$D467)) * 100, 2))"),22.85)</f>
        <v>22.85</v>
      </c>
      <c r="K467" s="2"/>
      <c r="L467" s="48"/>
      <c r="M467" s="48"/>
      <c r="N467" s="48"/>
      <c r="O467" s="48" t="str">
        <f t="shared" si="2"/>
        <v/>
      </c>
      <c r="P467" s="48" t="str">
        <f t="shared" si="3"/>
        <v/>
      </c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</row>
    <row r="468">
      <c r="A468" s="63">
        <v>32.0</v>
      </c>
      <c r="B468" s="63">
        <v>42.0</v>
      </c>
      <c r="C468" s="64" t="s">
        <v>144</v>
      </c>
      <c r="D468" s="64" t="s">
        <v>145</v>
      </c>
      <c r="E468" s="64" t="s">
        <v>146</v>
      </c>
      <c r="F468" s="63">
        <v>2000.0</v>
      </c>
      <c r="G468" s="63">
        <v>31.36</v>
      </c>
      <c r="H468" s="66">
        <f t="shared" si="1"/>
        <v>87.57</v>
      </c>
      <c r="I468" s="81">
        <f>IFERROR(__xludf.DUMMYFUNCTION("IF(G468="""", """", ROUND(G468 / MAX(FILTER($G$2:$G5067, $D$2:$D5067=$D468)) * 100, 2))"),87.11)</f>
        <v>87.11</v>
      </c>
      <c r="J468" s="81">
        <f>IFERROR(__xludf.DUMMYFUNCTION("IF(H468="""", """", ROUND(H468 / MAX(FILTER($H$2:$H5067, $D$2:$D5067=$D468)) * 100, 2))"),32.31)</f>
        <v>32.31</v>
      </c>
      <c r="K468" s="2"/>
      <c r="L468" s="49"/>
      <c r="M468" s="49"/>
      <c r="N468" s="49"/>
      <c r="O468" s="49" t="str">
        <f t="shared" si="2"/>
        <v/>
      </c>
      <c r="P468" s="49" t="str">
        <f t="shared" si="3"/>
        <v/>
      </c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</row>
    <row r="469">
      <c r="A469" s="69">
        <v>32.0</v>
      </c>
      <c r="B469" s="69">
        <v>42.0</v>
      </c>
      <c r="C469" s="86" t="s">
        <v>144</v>
      </c>
      <c r="D469" s="86" t="s">
        <v>145</v>
      </c>
      <c r="E469" s="86" t="s">
        <v>146</v>
      </c>
      <c r="F469" s="69">
        <v>2500.0</v>
      </c>
      <c r="G469" s="69">
        <v>33.14</v>
      </c>
      <c r="H469" s="68">
        <f t="shared" si="1"/>
        <v>115.68</v>
      </c>
      <c r="I469" s="81">
        <f>IFERROR(__xludf.DUMMYFUNCTION("IF(G469="""", """", ROUND(G469 / MAX(FILTER($G$2:$G5067, $D$2:$D5067=$D469)) * 100, 2))"),92.06)</f>
        <v>92.06</v>
      </c>
      <c r="J469" s="81">
        <f>IFERROR(__xludf.DUMMYFUNCTION("IF(H469="""", """", ROUND(H469 / MAX(FILTER($H$2:$H5067, $D$2:$D5067=$D469)) * 100, 2))"),42.68)</f>
        <v>42.68</v>
      </c>
      <c r="K469" s="2"/>
      <c r="L469" s="48"/>
      <c r="M469" s="48"/>
      <c r="N469" s="48"/>
      <c r="O469" s="48" t="str">
        <f t="shared" si="2"/>
        <v/>
      </c>
      <c r="P469" s="48" t="str">
        <f t="shared" si="3"/>
        <v/>
      </c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</row>
    <row r="470">
      <c r="A470" s="63">
        <v>32.0</v>
      </c>
      <c r="B470" s="63">
        <v>42.0</v>
      </c>
      <c r="C470" s="64" t="s">
        <v>144</v>
      </c>
      <c r="D470" s="64" t="s">
        <v>145</v>
      </c>
      <c r="E470" s="64" t="s">
        <v>146</v>
      </c>
      <c r="F470" s="63">
        <v>3000.0</v>
      </c>
      <c r="G470" s="63">
        <v>33.82</v>
      </c>
      <c r="H470" s="66">
        <f t="shared" si="1"/>
        <v>141.66</v>
      </c>
      <c r="I470" s="81">
        <f>IFERROR(__xludf.DUMMYFUNCTION("IF(G470="""", """", ROUND(G470 / MAX(FILTER($G$2:$G5067, $D$2:$D5067=$D470)) * 100, 2))"),93.94)</f>
        <v>93.94</v>
      </c>
      <c r="J470" s="81">
        <f>IFERROR(__xludf.DUMMYFUNCTION("IF(H470="""", """", ROUND(H470 / MAX(FILTER($H$2:$H5067, $D$2:$D5067=$D470)) * 100, 2))"),52.27)</f>
        <v>52.27</v>
      </c>
      <c r="K470" s="2"/>
      <c r="L470" s="49"/>
      <c r="M470" s="49"/>
      <c r="N470" s="49"/>
      <c r="O470" s="49" t="str">
        <f t="shared" si="2"/>
        <v/>
      </c>
      <c r="P470" s="49" t="str">
        <f t="shared" si="3"/>
        <v/>
      </c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</row>
    <row r="471">
      <c r="A471" s="69">
        <v>32.0</v>
      </c>
      <c r="B471" s="69">
        <v>42.0</v>
      </c>
      <c r="C471" s="86" t="s">
        <v>144</v>
      </c>
      <c r="D471" s="86" t="s">
        <v>145</v>
      </c>
      <c r="E471" s="86" t="s">
        <v>146</v>
      </c>
      <c r="F471" s="69">
        <v>3500.0</v>
      </c>
      <c r="G471" s="69">
        <v>34.22</v>
      </c>
      <c r="H471" s="68">
        <f t="shared" si="1"/>
        <v>167.23</v>
      </c>
      <c r="I471" s="81">
        <f>IFERROR(__xludf.DUMMYFUNCTION("IF(G471="""", """", ROUND(G471 / MAX(FILTER($G$2:$G5067, $D$2:$D5067=$D471)) * 100, 2))"),95.06)</f>
        <v>95.06</v>
      </c>
      <c r="J471" s="81">
        <f>IFERROR(__xludf.DUMMYFUNCTION("IF(H471="""", """", ROUND(H471 / MAX(FILTER($H$2:$H5067, $D$2:$D5067=$D471)) * 100, 2))"),61.71)</f>
        <v>61.71</v>
      </c>
      <c r="K471" s="2"/>
      <c r="L471" s="48"/>
      <c r="M471" s="48"/>
      <c r="N471" s="48"/>
      <c r="O471" s="48" t="str">
        <f t="shared" si="2"/>
        <v/>
      </c>
      <c r="P471" s="48" t="str">
        <f t="shared" si="3"/>
        <v/>
      </c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</row>
    <row r="472">
      <c r="A472" s="63">
        <v>32.0</v>
      </c>
      <c r="B472" s="63">
        <v>42.0</v>
      </c>
      <c r="C472" s="64" t="s">
        <v>144</v>
      </c>
      <c r="D472" s="64" t="s">
        <v>145</v>
      </c>
      <c r="E472" s="64" t="s">
        <v>146</v>
      </c>
      <c r="F472" s="63">
        <v>4000.0</v>
      </c>
      <c r="G472" s="63">
        <v>35.18</v>
      </c>
      <c r="H472" s="66">
        <f t="shared" si="1"/>
        <v>196.48</v>
      </c>
      <c r="I472" s="81">
        <f>IFERROR(__xludf.DUMMYFUNCTION("IF(G472="""", """", ROUND(G472 / MAX(FILTER($G$2:$G5067, $D$2:$D5067=$D472)) * 100, 2))"),97.72)</f>
        <v>97.72</v>
      </c>
      <c r="J472" s="81">
        <f>IFERROR(__xludf.DUMMYFUNCTION("IF(H472="""", """", ROUND(H472 / MAX(FILTER($H$2:$H5067, $D$2:$D5067=$D472)) * 100, 2))"),72.5)</f>
        <v>72.5</v>
      </c>
      <c r="K472" s="2"/>
      <c r="L472" s="49"/>
      <c r="M472" s="49"/>
      <c r="N472" s="49"/>
      <c r="O472" s="49" t="str">
        <f t="shared" si="2"/>
        <v/>
      </c>
      <c r="P472" s="49" t="str">
        <f t="shared" si="3"/>
        <v/>
      </c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</row>
    <row r="473">
      <c r="A473" s="69">
        <v>32.0</v>
      </c>
      <c r="B473" s="69">
        <v>42.0</v>
      </c>
      <c r="C473" s="86" t="s">
        <v>144</v>
      </c>
      <c r="D473" s="86" t="s">
        <v>145</v>
      </c>
      <c r="E473" s="86" t="s">
        <v>146</v>
      </c>
      <c r="F473" s="69">
        <v>4500.0</v>
      </c>
      <c r="G473" s="69">
        <v>35.69</v>
      </c>
      <c r="H473" s="68">
        <f t="shared" si="1"/>
        <v>224.25</v>
      </c>
      <c r="I473" s="81">
        <f>IFERROR(__xludf.DUMMYFUNCTION("IF(G473="""", """", ROUND(G473 / MAX(FILTER($G$2:$G5067, $D$2:$D5067=$D473)) * 100, 2))"),99.14)</f>
        <v>99.14</v>
      </c>
      <c r="J473" s="81">
        <f>IFERROR(__xludf.DUMMYFUNCTION("IF(H473="""", """", ROUND(H473 / MAX(FILTER($H$2:$H5067, $D$2:$D5067=$D473)) * 100, 2))"),82.75)</f>
        <v>82.75</v>
      </c>
      <c r="K473" s="2"/>
      <c r="L473" s="48"/>
      <c r="M473" s="48"/>
      <c r="N473" s="48"/>
      <c r="O473" s="48" t="str">
        <f t="shared" si="2"/>
        <v/>
      </c>
      <c r="P473" s="48" t="str">
        <f t="shared" si="3"/>
        <v/>
      </c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</row>
    <row r="474">
      <c r="A474" s="63">
        <v>32.0</v>
      </c>
      <c r="B474" s="63">
        <v>42.0</v>
      </c>
      <c r="C474" s="64" t="s">
        <v>144</v>
      </c>
      <c r="D474" s="64" t="s">
        <v>145</v>
      </c>
      <c r="E474" s="64" t="s">
        <v>146</v>
      </c>
      <c r="F474" s="63">
        <v>5000.0</v>
      </c>
      <c r="G474" s="63">
        <v>36.0</v>
      </c>
      <c r="H474" s="66">
        <f t="shared" si="1"/>
        <v>251.33</v>
      </c>
      <c r="I474" s="81">
        <f>IFERROR(__xludf.DUMMYFUNCTION("IF(G474="""", """", ROUND(G474 / MAX(FILTER($G$2:$G5067, $D$2:$D5067=$D474)) * 100, 2))"),100.0)</f>
        <v>100</v>
      </c>
      <c r="J474" s="81">
        <f>IFERROR(__xludf.DUMMYFUNCTION("IF(H474="""", """", ROUND(H474 / MAX(FILTER($H$2:$H5067, $D$2:$D5067=$D474)) * 100, 2))"),92.74)</f>
        <v>92.74</v>
      </c>
      <c r="K474" s="2"/>
      <c r="L474" s="49"/>
      <c r="M474" s="49"/>
      <c r="N474" s="49"/>
      <c r="O474" s="49" t="str">
        <f t="shared" si="2"/>
        <v/>
      </c>
      <c r="P474" s="49" t="str">
        <f t="shared" si="3"/>
        <v/>
      </c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</row>
    <row r="475">
      <c r="A475" s="69">
        <v>32.0</v>
      </c>
      <c r="B475" s="69">
        <v>42.0</v>
      </c>
      <c r="C475" s="86" t="s">
        <v>144</v>
      </c>
      <c r="D475" s="86" t="s">
        <v>145</v>
      </c>
      <c r="E475" s="86" t="s">
        <v>146</v>
      </c>
      <c r="F475" s="69">
        <v>5500.0</v>
      </c>
      <c r="G475" s="69">
        <v>34.62</v>
      </c>
      <c r="H475" s="68">
        <f t="shared" si="1"/>
        <v>265.86</v>
      </c>
      <c r="I475" s="81">
        <f>IFERROR(__xludf.DUMMYFUNCTION("IF(G475="""", """", ROUND(G475 / MAX(FILTER($G$2:$G5067, $D$2:$D5067=$D475)) * 100, 2))"),96.17)</f>
        <v>96.17</v>
      </c>
      <c r="J475" s="81">
        <f>IFERROR(__xludf.DUMMYFUNCTION("IF(H475="""", """", ROUND(H475 / MAX(FILTER($H$2:$H5067, $D$2:$D5067=$D475)) * 100, 2))"),98.1)</f>
        <v>98.1</v>
      </c>
      <c r="K475" s="2"/>
      <c r="L475" s="48"/>
      <c r="M475" s="48"/>
      <c r="N475" s="48"/>
      <c r="O475" s="48" t="str">
        <f t="shared" si="2"/>
        <v/>
      </c>
      <c r="P475" s="48" t="str">
        <f t="shared" si="3"/>
        <v/>
      </c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</row>
    <row r="476">
      <c r="A476" s="63">
        <v>32.0</v>
      </c>
      <c r="B476" s="63">
        <v>42.0</v>
      </c>
      <c r="C476" s="64" t="s">
        <v>144</v>
      </c>
      <c r="D476" s="64" t="s">
        <v>145</v>
      </c>
      <c r="E476" s="64" t="s">
        <v>146</v>
      </c>
      <c r="F476" s="63">
        <v>6000.0</v>
      </c>
      <c r="G476" s="63">
        <v>32.35</v>
      </c>
      <c r="H476" s="66">
        <f t="shared" si="1"/>
        <v>271.01</v>
      </c>
      <c r="I476" s="81">
        <f>IFERROR(__xludf.DUMMYFUNCTION("IF(G476="""", """", ROUND(G476 / MAX(FILTER($G$2:$G5067, $D$2:$D5067=$D476)) * 100, 2))"),89.86)</f>
        <v>89.86</v>
      </c>
      <c r="J476" s="81">
        <f>IFERROR(__xludf.DUMMYFUNCTION("IF(H476="""", """", ROUND(H476 / MAX(FILTER($H$2:$H5067, $D$2:$D5067=$D476)) * 100, 2))"),100.0)</f>
        <v>100</v>
      </c>
      <c r="K476" s="2"/>
      <c r="L476" s="49"/>
      <c r="M476" s="49"/>
      <c r="N476" s="49"/>
      <c r="O476" s="49" t="str">
        <f t="shared" si="2"/>
        <v/>
      </c>
      <c r="P476" s="49" t="str">
        <f t="shared" si="3"/>
        <v/>
      </c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</row>
    <row r="477">
      <c r="A477" s="69">
        <v>32.0</v>
      </c>
      <c r="B477" s="69">
        <v>42.0</v>
      </c>
      <c r="C477" s="86" t="s">
        <v>144</v>
      </c>
      <c r="D477" s="86" t="s">
        <v>145</v>
      </c>
      <c r="E477" s="86" t="s">
        <v>146</v>
      </c>
      <c r="F477" s="69">
        <v>6500.0</v>
      </c>
      <c r="G477" s="69">
        <v>29.57</v>
      </c>
      <c r="H477" s="68">
        <f t="shared" si="1"/>
        <v>268.37</v>
      </c>
      <c r="I477" s="81">
        <f>IFERROR(__xludf.DUMMYFUNCTION("IF(G477="""", """", ROUND(G477 / MAX(FILTER($G$2:$G5067, $D$2:$D5067=$D477)) * 100, 2))"),82.14)</f>
        <v>82.14</v>
      </c>
      <c r="J477" s="81">
        <f>IFERROR(__xludf.DUMMYFUNCTION("IF(H477="""", """", ROUND(H477 / MAX(FILTER($H$2:$H5067, $D$2:$D5067=$D477)) * 100, 2))"),99.03)</f>
        <v>99.03</v>
      </c>
      <c r="K477" s="2"/>
      <c r="L477" s="48"/>
      <c r="M477" s="48"/>
      <c r="N477" s="48"/>
      <c r="O477" s="48" t="str">
        <f t="shared" si="2"/>
        <v/>
      </c>
      <c r="P477" s="48" t="str">
        <f t="shared" si="3"/>
        <v/>
      </c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</row>
    <row r="478">
      <c r="A478" s="63">
        <v>32.0</v>
      </c>
      <c r="B478" s="63">
        <v>42.0</v>
      </c>
      <c r="C478" s="64" t="s">
        <v>144</v>
      </c>
      <c r="D478" s="64" t="s">
        <v>145</v>
      </c>
      <c r="E478" s="64" t="s">
        <v>146</v>
      </c>
      <c r="F478" s="63">
        <v>7000.0</v>
      </c>
      <c r="G478" s="63">
        <v>25.9</v>
      </c>
      <c r="H478" s="66">
        <f t="shared" si="1"/>
        <v>253.14</v>
      </c>
      <c r="I478" s="81">
        <f>IFERROR(__xludf.DUMMYFUNCTION("IF(G478="""", """", ROUND(G478 / MAX(FILTER($G$2:$G5067, $D$2:$D5067=$D478)) * 100, 2))"),71.94)</f>
        <v>71.94</v>
      </c>
      <c r="J478" s="81">
        <f>IFERROR(__xludf.DUMMYFUNCTION("IF(H478="""", """", ROUND(H478 / MAX(FILTER($H$2:$H5067, $D$2:$D5067=$D478)) * 100, 2))"),93.41)</f>
        <v>93.41</v>
      </c>
      <c r="K478" s="2"/>
      <c r="L478" s="49"/>
      <c r="M478" s="49"/>
      <c r="N478" s="49"/>
      <c r="O478" s="49" t="str">
        <f t="shared" si="2"/>
        <v/>
      </c>
      <c r="P478" s="49" t="str">
        <f t="shared" si="3"/>
        <v/>
      </c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</row>
    <row r="479">
      <c r="A479" s="69">
        <v>32.0</v>
      </c>
      <c r="B479" s="69">
        <v>42.0</v>
      </c>
      <c r="C479" s="86" t="s">
        <v>144</v>
      </c>
      <c r="D479" s="86" t="s">
        <v>145</v>
      </c>
      <c r="E479" s="86" t="s">
        <v>146</v>
      </c>
      <c r="F479" s="69">
        <v>7500.0</v>
      </c>
      <c r="G479" s="69">
        <v>21.5</v>
      </c>
      <c r="H479" s="68">
        <f t="shared" si="1"/>
        <v>225.15</v>
      </c>
      <c r="I479" s="81">
        <f>IFERROR(__xludf.DUMMYFUNCTION("IF(G479="""", """", ROUND(G479 / MAX(FILTER($G$2:$G5067, $D$2:$D5067=$D479)) * 100, 2))"),59.72)</f>
        <v>59.72</v>
      </c>
      <c r="J479" s="81">
        <f>IFERROR(__xludf.DUMMYFUNCTION("IF(H479="""", """", ROUND(H479 / MAX(FILTER($H$2:$H5067, $D$2:$D5067=$D479)) * 100, 2))"),83.08)</f>
        <v>83.08</v>
      </c>
      <c r="K479" s="2"/>
      <c r="L479" s="48"/>
      <c r="M479" s="48"/>
      <c r="N479" s="48"/>
      <c r="O479" s="48" t="str">
        <f t="shared" si="2"/>
        <v/>
      </c>
      <c r="P479" s="48" t="str">
        <f t="shared" si="3"/>
        <v/>
      </c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</row>
    <row r="480">
      <c r="A480" s="63">
        <v>33.0</v>
      </c>
      <c r="B480" s="63">
        <v>45.0</v>
      </c>
      <c r="C480" s="64" t="s">
        <v>147</v>
      </c>
      <c r="D480" s="64" t="s">
        <v>148</v>
      </c>
      <c r="E480" s="64" t="s">
        <v>149</v>
      </c>
      <c r="F480" s="63">
        <v>500.0</v>
      </c>
      <c r="G480" s="63">
        <v>21.66</v>
      </c>
      <c r="H480" s="66">
        <f t="shared" si="1"/>
        <v>15.12</v>
      </c>
      <c r="I480" s="81">
        <f>IFERROR(__xludf.DUMMYFUNCTION("IF(G480="""", """", ROUND(G480 / MAX(FILTER($G$2:$G5067, $D$2:$D5067=$D480)) * 100, 2))"),52.19)</f>
        <v>52.19</v>
      </c>
      <c r="J480" s="81">
        <f>IFERROR(__xludf.DUMMYFUNCTION("IF(H480="""", """", ROUND(H480 / MAX(FILTER($H$2:$H5067, $D$2:$D5067=$D480)) * 100, 2))"),5.41)</f>
        <v>5.41</v>
      </c>
      <c r="K480" s="2"/>
      <c r="L480" s="49"/>
      <c r="M480" s="49"/>
      <c r="N480" s="49"/>
      <c r="O480" s="49" t="str">
        <f t="shared" si="2"/>
        <v/>
      </c>
      <c r="P480" s="49" t="str">
        <f t="shared" si="3"/>
        <v/>
      </c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</row>
    <row r="481">
      <c r="A481" s="69">
        <v>33.0</v>
      </c>
      <c r="B481" s="69">
        <v>45.0</v>
      </c>
      <c r="C481" s="86" t="s">
        <v>147</v>
      </c>
      <c r="D481" s="86" t="s">
        <v>148</v>
      </c>
      <c r="E481" s="86" t="s">
        <v>149</v>
      </c>
      <c r="F481" s="69">
        <v>1000.0</v>
      </c>
      <c r="G481" s="69">
        <v>25.82</v>
      </c>
      <c r="H481" s="68">
        <f t="shared" si="1"/>
        <v>36.05</v>
      </c>
      <c r="I481" s="81">
        <f>IFERROR(__xludf.DUMMYFUNCTION("IF(G481="""", """", ROUND(G481 / MAX(FILTER($G$2:$G5067, $D$2:$D5067=$D481)) * 100, 2))"),62.22)</f>
        <v>62.22</v>
      </c>
      <c r="J481" s="81">
        <f>IFERROR(__xludf.DUMMYFUNCTION("IF(H481="""", """", ROUND(H481 / MAX(FILTER($H$2:$H5067, $D$2:$D5067=$D481)) * 100, 2))"),12.91)</f>
        <v>12.91</v>
      </c>
      <c r="K481" s="2"/>
      <c r="L481" s="48"/>
      <c r="M481" s="48"/>
      <c r="N481" s="48"/>
      <c r="O481" s="48" t="str">
        <f t="shared" si="2"/>
        <v/>
      </c>
      <c r="P481" s="48" t="str">
        <f t="shared" si="3"/>
        <v/>
      </c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</row>
    <row r="482">
      <c r="A482" s="63">
        <v>33.0</v>
      </c>
      <c r="B482" s="63">
        <v>45.0</v>
      </c>
      <c r="C482" s="64" t="s">
        <v>147</v>
      </c>
      <c r="D482" s="64" t="s">
        <v>148</v>
      </c>
      <c r="E482" s="64" t="s">
        <v>149</v>
      </c>
      <c r="F482" s="63">
        <v>1500.0</v>
      </c>
      <c r="G482" s="63">
        <v>29.76</v>
      </c>
      <c r="H482" s="66">
        <f t="shared" si="1"/>
        <v>62.33</v>
      </c>
      <c r="I482" s="81">
        <f>IFERROR(__xludf.DUMMYFUNCTION("IF(G482="""", """", ROUND(G482 / MAX(FILTER($G$2:$G5067, $D$2:$D5067=$D482)) * 100, 2))"),71.71)</f>
        <v>71.71</v>
      </c>
      <c r="J482" s="81">
        <f>IFERROR(__xludf.DUMMYFUNCTION("IF(H482="""", """", ROUND(H482 / MAX(FILTER($H$2:$H5067, $D$2:$D5067=$D482)) * 100, 2))"),22.31)</f>
        <v>22.31</v>
      </c>
      <c r="K482" s="2"/>
      <c r="L482" s="49"/>
      <c r="M482" s="49"/>
      <c r="N482" s="49"/>
      <c r="O482" s="49" t="str">
        <f t="shared" si="2"/>
        <v/>
      </c>
      <c r="P482" s="49" t="str">
        <f t="shared" si="3"/>
        <v/>
      </c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</row>
    <row r="483">
      <c r="A483" s="69">
        <v>33.0</v>
      </c>
      <c r="B483" s="69">
        <v>45.0</v>
      </c>
      <c r="C483" s="86" t="s">
        <v>147</v>
      </c>
      <c r="D483" s="86" t="s">
        <v>148</v>
      </c>
      <c r="E483" s="86" t="s">
        <v>149</v>
      </c>
      <c r="F483" s="69">
        <v>2000.0</v>
      </c>
      <c r="G483" s="69">
        <v>33.52</v>
      </c>
      <c r="H483" s="68">
        <f t="shared" si="1"/>
        <v>93.61</v>
      </c>
      <c r="I483" s="81">
        <f>IFERROR(__xludf.DUMMYFUNCTION("IF(G483="""", """", ROUND(G483 / MAX(FILTER($G$2:$G5067, $D$2:$D5067=$D483)) * 100, 2))"),80.77)</f>
        <v>80.77</v>
      </c>
      <c r="J483" s="81">
        <f>IFERROR(__xludf.DUMMYFUNCTION("IF(H483="""", """", ROUND(H483 / MAX(FILTER($H$2:$H5067, $D$2:$D5067=$D483)) * 100, 2))"),33.51)</f>
        <v>33.51</v>
      </c>
      <c r="K483" s="2"/>
      <c r="L483" s="48"/>
      <c r="M483" s="48"/>
      <c r="N483" s="48"/>
      <c r="O483" s="48" t="str">
        <f t="shared" si="2"/>
        <v/>
      </c>
      <c r="P483" s="48" t="str">
        <f t="shared" si="3"/>
        <v/>
      </c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</row>
    <row r="484">
      <c r="A484" s="63">
        <v>33.0</v>
      </c>
      <c r="B484" s="63">
        <v>45.0</v>
      </c>
      <c r="C484" s="64" t="s">
        <v>147</v>
      </c>
      <c r="D484" s="64" t="s">
        <v>148</v>
      </c>
      <c r="E484" s="64" t="s">
        <v>149</v>
      </c>
      <c r="F484" s="63">
        <v>2800.0</v>
      </c>
      <c r="G484" s="63">
        <v>38.85</v>
      </c>
      <c r="H484" s="66">
        <f t="shared" si="1"/>
        <v>151.88</v>
      </c>
      <c r="I484" s="81">
        <f>IFERROR(__xludf.DUMMYFUNCTION("IF(G484="""", """", ROUND(G484 / MAX(FILTER($G$2:$G5067, $D$2:$D5067=$D484)) * 100, 2))"),93.61)</f>
        <v>93.61</v>
      </c>
      <c r="J484" s="81">
        <f>IFERROR(__xludf.DUMMYFUNCTION("IF(H484="""", """", ROUND(H484 / MAX(FILTER($H$2:$H5067, $D$2:$D5067=$D484)) * 100, 2))"),54.37)</f>
        <v>54.37</v>
      </c>
      <c r="K484" s="2"/>
      <c r="L484" s="49"/>
      <c r="M484" s="49"/>
      <c r="N484" s="49"/>
      <c r="O484" s="49" t="str">
        <f t="shared" si="2"/>
        <v/>
      </c>
      <c r="P484" s="49" t="str">
        <f t="shared" si="3"/>
        <v/>
      </c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</row>
    <row r="485">
      <c r="A485" s="69">
        <v>33.0</v>
      </c>
      <c r="B485" s="69">
        <v>45.0</v>
      </c>
      <c r="C485" s="86" t="s">
        <v>147</v>
      </c>
      <c r="D485" s="86" t="s">
        <v>148</v>
      </c>
      <c r="E485" s="86" t="s">
        <v>149</v>
      </c>
      <c r="F485" s="69">
        <v>3200.0</v>
      </c>
      <c r="G485" s="69">
        <v>41.09</v>
      </c>
      <c r="H485" s="68">
        <f t="shared" si="1"/>
        <v>183.59</v>
      </c>
      <c r="I485" s="81">
        <f>IFERROR(__xludf.DUMMYFUNCTION("IF(G485="""", """", ROUND(G485 / MAX(FILTER($G$2:$G5067, $D$2:$D5067=$D485)) * 100, 2))"),99.01)</f>
        <v>99.01</v>
      </c>
      <c r="J485" s="81">
        <f>IFERROR(__xludf.DUMMYFUNCTION("IF(H485="""", """", ROUND(H485 / MAX(FILTER($H$2:$H5067, $D$2:$D5067=$D485)) * 100, 2))"),65.72)</f>
        <v>65.72</v>
      </c>
      <c r="K485" s="2"/>
      <c r="L485" s="48"/>
      <c r="M485" s="48"/>
      <c r="N485" s="48"/>
      <c r="O485" s="48" t="str">
        <f t="shared" si="2"/>
        <v/>
      </c>
      <c r="P485" s="48" t="str">
        <f t="shared" si="3"/>
        <v/>
      </c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</row>
    <row r="486">
      <c r="A486" s="63">
        <v>33.0</v>
      </c>
      <c r="B486" s="63">
        <v>45.0</v>
      </c>
      <c r="C486" s="64" t="s">
        <v>147</v>
      </c>
      <c r="D486" s="64" t="s">
        <v>148</v>
      </c>
      <c r="E486" s="64" t="s">
        <v>149</v>
      </c>
      <c r="F486" s="63">
        <v>3500.0</v>
      </c>
      <c r="G486" s="63">
        <v>41.5</v>
      </c>
      <c r="H486" s="66">
        <f t="shared" si="1"/>
        <v>202.81</v>
      </c>
      <c r="I486" s="81">
        <f>IFERROR(__xludf.DUMMYFUNCTION("IF(G486="""", """", ROUND(G486 / MAX(FILTER($G$2:$G5067, $D$2:$D5067=$D486)) * 100, 2))"),100.0)</f>
        <v>100</v>
      </c>
      <c r="J486" s="81">
        <f>IFERROR(__xludf.DUMMYFUNCTION("IF(H486="""", """", ROUND(H486 / MAX(FILTER($H$2:$H5067, $D$2:$D5067=$D486)) * 100, 2))"),72.6)</f>
        <v>72.6</v>
      </c>
      <c r="K486" s="2"/>
      <c r="L486" s="49"/>
      <c r="M486" s="49"/>
      <c r="N486" s="49"/>
      <c r="O486" s="49" t="str">
        <f t="shared" si="2"/>
        <v/>
      </c>
      <c r="P486" s="49" t="str">
        <f t="shared" si="3"/>
        <v/>
      </c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</row>
    <row r="487">
      <c r="A487" s="69">
        <v>33.0</v>
      </c>
      <c r="B487" s="69">
        <v>45.0</v>
      </c>
      <c r="C487" s="86" t="s">
        <v>147</v>
      </c>
      <c r="D487" s="86" t="s">
        <v>148</v>
      </c>
      <c r="E487" s="86" t="s">
        <v>149</v>
      </c>
      <c r="F487" s="69">
        <v>4000.0</v>
      </c>
      <c r="G487" s="69">
        <v>39.46</v>
      </c>
      <c r="H487" s="68">
        <f t="shared" si="1"/>
        <v>220.39</v>
      </c>
      <c r="I487" s="81">
        <f>IFERROR(__xludf.DUMMYFUNCTION("IF(G487="""", """", ROUND(G487 / MAX(FILTER($G$2:$G5067, $D$2:$D5067=$D487)) * 100, 2))"),95.08)</f>
        <v>95.08</v>
      </c>
      <c r="J487" s="81">
        <f>IFERROR(__xludf.DUMMYFUNCTION("IF(H487="""", """", ROUND(H487 / MAX(FILTER($H$2:$H5067, $D$2:$D5067=$D487)) * 100, 2))"),78.9)</f>
        <v>78.9</v>
      </c>
      <c r="K487" s="2"/>
      <c r="L487" s="48"/>
      <c r="M487" s="48"/>
      <c r="N487" s="48"/>
      <c r="O487" s="48" t="str">
        <f t="shared" si="2"/>
        <v/>
      </c>
      <c r="P487" s="48" t="str">
        <f t="shared" si="3"/>
        <v/>
      </c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</row>
    <row r="488">
      <c r="A488" s="63">
        <v>33.0</v>
      </c>
      <c r="B488" s="63">
        <v>45.0</v>
      </c>
      <c r="C488" s="64" t="s">
        <v>147</v>
      </c>
      <c r="D488" s="64" t="s">
        <v>148</v>
      </c>
      <c r="E488" s="64" t="s">
        <v>149</v>
      </c>
      <c r="F488" s="63">
        <v>4500.0</v>
      </c>
      <c r="G488" s="63">
        <v>37.93</v>
      </c>
      <c r="H488" s="66">
        <f t="shared" si="1"/>
        <v>238.32</v>
      </c>
      <c r="I488" s="81">
        <f>IFERROR(__xludf.DUMMYFUNCTION("IF(G488="""", """", ROUND(G488 / MAX(FILTER($G$2:$G5067, $D$2:$D5067=$D488)) * 100, 2))"),91.4)</f>
        <v>91.4</v>
      </c>
      <c r="J488" s="81">
        <f>IFERROR(__xludf.DUMMYFUNCTION("IF(H488="""", """", ROUND(H488 / MAX(FILTER($H$2:$H5067, $D$2:$D5067=$D488)) * 100, 2))"),85.32)</f>
        <v>85.32</v>
      </c>
      <c r="K488" s="2"/>
      <c r="L488" s="49"/>
      <c r="M488" s="49"/>
      <c r="N488" s="49"/>
      <c r="O488" s="49" t="str">
        <f t="shared" si="2"/>
        <v/>
      </c>
      <c r="P488" s="49" t="str">
        <f t="shared" si="3"/>
        <v/>
      </c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</row>
    <row r="489">
      <c r="A489" s="69">
        <v>33.0</v>
      </c>
      <c r="B489" s="69">
        <v>45.0</v>
      </c>
      <c r="C489" s="86" t="s">
        <v>147</v>
      </c>
      <c r="D489" s="86" t="s">
        <v>148</v>
      </c>
      <c r="E489" s="86" t="s">
        <v>149</v>
      </c>
      <c r="F489" s="69">
        <v>5000.0</v>
      </c>
      <c r="G489" s="69">
        <v>36.71</v>
      </c>
      <c r="H489" s="68">
        <f t="shared" si="1"/>
        <v>256.28</v>
      </c>
      <c r="I489" s="81">
        <f>IFERROR(__xludf.DUMMYFUNCTION("IF(G489="""", """", ROUND(G489 / MAX(FILTER($G$2:$G5067, $D$2:$D5067=$D489)) * 100, 2))"),88.46)</f>
        <v>88.46</v>
      </c>
      <c r="J489" s="81">
        <f>IFERROR(__xludf.DUMMYFUNCTION("IF(H489="""", """", ROUND(H489 / MAX(FILTER($H$2:$H5067, $D$2:$D5067=$D489)) * 100, 2))"),91.74)</f>
        <v>91.74</v>
      </c>
      <c r="K489" s="2"/>
      <c r="L489" s="48"/>
      <c r="M489" s="48"/>
      <c r="N489" s="48"/>
      <c r="O489" s="48" t="str">
        <f t="shared" si="2"/>
        <v/>
      </c>
      <c r="P489" s="48" t="str">
        <f t="shared" si="3"/>
        <v/>
      </c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</row>
    <row r="490">
      <c r="A490" s="63">
        <v>33.0</v>
      </c>
      <c r="B490" s="63">
        <v>45.0</v>
      </c>
      <c r="C490" s="64" t="s">
        <v>147</v>
      </c>
      <c r="D490" s="64" t="s">
        <v>148</v>
      </c>
      <c r="E490" s="64" t="s">
        <v>149</v>
      </c>
      <c r="F490" s="63">
        <v>5500.0</v>
      </c>
      <c r="G490" s="63">
        <v>35.53</v>
      </c>
      <c r="H490" s="66">
        <f t="shared" si="1"/>
        <v>272.85</v>
      </c>
      <c r="I490" s="81">
        <f>IFERROR(__xludf.DUMMYFUNCTION("IF(G490="""", """", ROUND(G490 / MAX(FILTER($G$2:$G5067, $D$2:$D5067=$D490)) * 100, 2))"),85.61)</f>
        <v>85.61</v>
      </c>
      <c r="J490" s="81">
        <f>IFERROR(__xludf.DUMMYFUNCTION("IF(H490="""", """", ROUND(H490 / MAX(FILTER($H$2:$H5067, $D$2:$D5067=$D490)) * 100, 2))"),97.68)</f>
        <v>97.68</v>
      </c>
      <c r="K490" s="2"/>
      <c r="L490" s="49"/>
      <c r="M490" s="49"/>
      <c r="N490" s="49"/>
      <c r="O490" s="49" t="str">
        <f t="shared" si="2"/>
        <v/>
      </c>
      <c r="P490" s="49" t="str">
        <f t="shared" si="3"/>
        <v/>
      </c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</row>
    <row r="491">
      <c r="A491" s="69">
        <v>33.0</v>
      </c>
      <c r="B491" s="69">
        <v>45.0</v>
      </c>
      <c r="C491" s="86" t="s">
        <v>147</v>
      </c>
      <c r="D491" s="86" t="s">
        <v>148</v>
      </c>
      <c r="E491" s="86" t="s">
        <v>149</v>
      </c>
      <c r="F491" s="69">
        <v>6000.0</v>
      </c>
      <c r="G491" s="69">
        <v>33.2</v>
      </c>
      <c r="H491" s="68">
        <f t="shared" si="1"/>
        <v>278.13</v>
      </c>
      <c r="I491" s="81">
        <f>IFERROR(__xludf.DUMMYFUNCTION("IF(G491="""", """", ROUND(G491 / MAX(FILTER($G$2:$G5067, $D$2:$D5067=$D491)) * 100, 2))"),80.0)</f>
        <v>80</v>
      </c>
      <c r="J491" s="81">
        <f>IFERROR(__xludf.DUMMYFUNCTION("IF(H491="""", """", ROUND(H491 / MAX(FILTER($H$2:$H5067, $D$2:$D5067=$D491)) * 100, 2))"),99.57)</f>
        <v>99.57</v>
      </c>
      <c r="K491" s="2"/>
      <c r="L491" s="48"/>
      <c r="M491" s="48"/>
      <c r="N491" s="48"/>
      <c r="O491" s="48" t="str">
        <f t="shared" si="2"/>
        <v/>
      </c>
      <c r="P491" s="48" t="str">
        <f t="shared" si="3"/>
        <v/>
      </c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</row>
    <row r="492">
      <c r="A492" s="63">
        <v>33.0</v>
      </c>
      <c r="B492" s="63">
        <v>45.0</v>
      </c>
      <c r="C492" s="64" t="s">
        <v>147</v>
      </c>
      <c r="D492" s="64" t="s">
        <v>148</v>
      </c>
      <c r="E492" s="64" t="s">
        <v>149</v>
      </c>
      <c r="F492" s="63">
        <v>6400.0</v>
      </c>
      <c r="G492" s="63">
        <v>31.26</v>
      </c>
      <c r="H492" s="66">
        <f t="shared" si="1"/>
        <v>279.34</v>
      </c>
      <c r="I492" s="81">
        <f>IFERROR(__xludf.DUMMYFUNCTION("IF(G492="""", """", ROUND(G492 / MAX(FILTER($G$2:$G5067, $D$2:$D5067=$D492)) * 100, 2))"),75.33)</f>
        <v>75.33</v>
      </c>
      <c r="J492" s="81">
        <f>IFERROR(__xludf.DUMMYFUNCTION("IF(H492="""", """", ROUND(H492 / MAX(FILTER($H$2:$H5067, $D$2:$D5067=$D492)) * 100, 2))"),100.0)</f>
        <v>100</v>
      </c>
      <c r="K492" s="2"/>
      <c r="L492" s="49"/>
      <c r="M492" s="49"/>
      <c r="N492" s="49"/>
      <c r="O492" s="49" t="str">
        <f t="shared" si="2"/>
        <v/>
      </c>
      <c r="P492" s="49" t="str">
        <f t="shared" si="3"/>
        <v/>
      </c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</row>
    <row r="493">
      <c r="A493" s="69">
        <v>33.0</v>
      </c>
      <c r="B493" s="69">
        <v>45.0</v>
      </c>
      <c r="C493" s="86" t="s">
        <v>147</v>
      </c>
      <c r="D493" s="86" t="s">
        <v>148</v>
      </c>
      <c r="E493" s="86" t="s">
        <v>149</v>
      </c>
      <c r="F493" s="69">
        <v>7000.0</v>
      </c>
      <c r="G493" s="69">
        <v>28.29</v>
      </c>
      <c r="H493" s="68">
        <f t="shared" si="1"/>
        <v>276.5</v>
      </c>
      <c r="I493" s="81">
        <f>IFERROR(__xludf.DUMMYFUNCTION("IF(G493="""", """", ROUND(G493 / MAX(FILTER($G$2:$G5067, $D$2:$D5067=$D493)) * 100, 2))"),68.17)</f>
        <v>68.17</v>
      </c>
      <c r="J493" s="81">
        <f>IFERROR(__xludf.DUMMYFUNCTION("IF(H493="""", """", ROUND(H493 / MAX(FILTER($H$2:$H5067, $D$2:$D5067=$D493)) * 100, 2))"),98.98)</f>
        <v>98.98</v>
      </c>
      <c r="K493" s="2"/>
      <c r="L493" s="48"/>
      <c r="M493" s="48"/>
      <c r="N493" s="48"/>
      <c r="O493" s="48" t="str">
        <f t="shared" si="2"/>
        <v/>
      </c>
      <c r="P493" s="48" t="str">
        <f t="shared" si="3"/>
        <v/>
      </c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</row>
    <row r="494">
      <c r="A494" s="63">
        <v>33.0</v>
      </c>
      <c r="B494" s="63">
        <v>45.0</v>
      </c>
      <c r="C494" s="64" t="s">
        <v>147</v>
      </c>
      <c r="D494" s="64" t="s">
        <v>148</v>
      </c>
      <c r="E494" s="64" t="s">
        <v>149</v>
      </c>
      <c r="F494" s="63">
        <v>7500.0</v>
      </c>
      <c r="G494" s="63">
        <v>25.44</v>
      </c>
      <c r="H494" s="66">
        <f t="shared" si="1"/>
        <v>266.41</v>
      </c>
      <c r="I494" s="81">
        <f>IFERROR(__xludf.DUMMYFUNCTION("IF(G494="""", """", ROUND(G494 / MAX(FILTER($G$2:$G5067, $D$2:$D5067=$D494)) * 100, 2))"),61.3)</f>
        <v>61.3</v>
      </c>
      <c r="J494" s="81">
        <f>IFERROR(__xludf.DUMMYFUNCTION("IF(H494="""", """", ROUND(H494 / MAX(FILTER($H$2:$H5067, $D$2:$D5067=$D494)) * 100, 2))"),95.37)</f>
        <v>95.37</v>
      </c>
      <c r="K494" s="2"/>
      <c r="L494" s="49"/>
      <c r="M494" s="49"/>
      <c r="N494" s="49"/>
      <c r="O494" s="49" t="str">
        <f t="shared" si="2"/>
        <v/>
      </c>
      <c r="P494" s="49" t="str">
        <f t="shared" si="3"/>
        <v/>
      </c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</row>
    <row r="495">
      <c r="A495" s="69">
        <v>33.0</v>
      </c>
      <c r="B495" s="69">
        <v>45.0</v>
      </c>
      <c r="C495" s="86" t="s">
        <v>147</v>
      </c>
      <c r="D495" s="86" t="s">
        <v>148</v>
      </c>
      <c r="E495" s="86" t="s">
        <v>149</v>
      </c>
      <c r="F495" s="69">
        <v>8000.0</v>
      </c>
      <c r="G495" s="69">
        <v>21.72</v>
      </c>
      <c r="H495" s="68">
        <f t="shared" si="1"/>
        <v>242.61</v>
      </c>
      <c r="I495" s="81">
        <f>IFERROR(__xludf.DUMMYFUNCTION("IF(G495="""", """", ROUND(G495 / MAX(FILTER($G$2:$G5067, $D$2:$D5067=$D495)) * 100, 2))"),52.34)</f>
        <v>52.34</v>
      </c>
      <c r="J495" s="81">
        <f>IFERROR(__xludf.DUMMYFUNCTION("IF(H495="""", """", ROUND(H495 / MAX(FILTER($H$2:$H5067, $D$2:$D5067=$D495)) * 100, 2))"),86.85)</f>
        <v>86.85</v>
      </c>
      <c r="K495" s="2"/>
      <c r="L495" s="48"/>
      <c r="M495" s="48"/>
      <c r="N495" s="48"/>
      <c r="O495" s="48" t="str">
        <f t="shared" si="2"/>
        <v/>
      </c>
      <c r="P495" s="48" t="str">
        <f t="shared" si="3"/>
        <v/>
      </c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</row>
    <row r="496">
      <c r="A496" s="63">
        <v>34.0</v>
      </c>
      <c r="B496" s="63">
        <v>46.0</v>
      </c>
      <c r="C496" s="64" t="s">
        <v>150</v>
      </c>
      <c r="D496" s="64" t="s">
        <v>151</v>
      </c>
      <c r="E496" s="64" t="s">
        <v>152</v>
      </c>
      <c r="F496" s="63">
        <v>500.0</v>
      </c>
      <c r="G496" s="63">
        <v>32.27</v>
      </c>
      <c r="H496" s="66">
        <f t="shared" si="1"/>
        <v>22.53</v>
      </c>
      <c r="I496" s="81">
        <f>IFERROR(__xludf.DUMMYFUNCTION("IF(G496="""", """", ROUND(G496 / MAX(FILTER($G$2:$G5067, $D$2:$D5067=$D496)) * 100, 2))"),74.6)</f>
        <v>74.6</v>
      </c>
      <c r="J496" s="81">
        <f>IFERROR(__xludf.DUMMYFUNCTION("IF(H496="""", """", ROUND(H496 / MAX(FILTER($H$2:$H5067, $D$2:$D5067=$D496)) * 100, 2))"),8.42)</f>
        <v>8.42</v>
      </c>
      <c r="K496" s="2"/>
      <c r="L496" s="49"/>
      <c r="M496" s="49"/>
      <c r="N496" s="49"/>
      <c r="O496" s="49" t="str">
        <f t="shared" si="2"/>
        <v/>
      </c>
      <c r="P496" s="49" t="str">
        <f t="shared" si="3"/>
        <v/>
      </c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</row>
    <row r="497">
      <c r="A497" s="69">
        <v>34.0</v>
      </c>
      <c r="B497" s="69">
        <v>46.0</v>
      </c>
      <c r="C497" s="86" t="s">
        <v>150</v>
      </c>
      <c r="D497" s="86" t="s">
        <v>151</v>
      </c>
      <c r="E497" s="86" t="s">
        <v>152</v>
      </c>
      <c r="F497" s="69">
        <v>1000.0</v>
      </c>
      <c r="G497" s="69">
        <v>35.6</v>
      </c>
      <c r="H497" s="68">
        <f t="shared" si="1"/>
        <v>49.71</v>
      </c>
      <c r="I497" s="81">
        <f>IFERROR(__xludf.DUMMYFUNCTION("IF(G497="""", """", ROUND(G497 / MAX(FILTER($G$2:$G5067, $D$2:$D5067=$D497)) * 100, 2))"),82.29)</f>
        <v>82.29</v>
      </c>
      <c r="J497" s="81">
        <f>IFERROR(__xludf.DUMMYFUNCTION("IF(H497="""", """", ROUND(H497 / MAX(FILTER($H$2:$H5067, $D$2:$D5067=$D497)) * 100, 2))"),18.57)</f>
        <v>18.57</v>
      </c>
      <c r="K497" s="2"/>
      <c r="L497" s="48"/>
      <c r="M497" s="48"/>
      <c r="N497" s="48"/>
      <c r="O497" s="48" t="str">
        <f t="shared" si="2"/>
        <v/>
      </c>
      <c r="P497" s="48" t="str">
        <f t="shared" si="3"/>
        <v/>
      </c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</row>
    <row r="498">
      <c r="A498" s="63">
        <v>34.0</v>
      </c>
      <c r="B498" s="63">
        <v>46.0</v>
      </c>
      <c r="C498" s="64" t="s">
        <v>150</v>
      </c>
      <c r="D498" s="64" t="s">
        <v>151</v>
      </c>
      <c r="E498" s="64" t="s">
        <v>152</v>
      </c>
      <c r="F498" s="63">
        <v>1500.0</v>
      </c>
      <c r="G498" s="63">
        <v>37.73</v>
      </c>
      <c r="H498" s="66">
        <f t="shared" si="1"/>
        <v>79.02</v>
      </c>
      <c r="I498" s="81">
        <f>IFERROR(__xludf.DUMMYFUNCTION("IF(G498="""", """", ROUND(G498 / MAX(FILTER($G$2:$G5067, $D$2:$D5067=$D498)) * 100, 2))"),87.22)</f>
        <v>87.22</v>
      </c>
      <c r="J498" s="81">
        <f>IFERROR(__xludf.DUMMYFUNCTION("IF(H498="""", """", ROUND(H498 / MAX(FILTER($H$2:$H5067, $D$2:$D5067=$D498)) * 100, 2))"),29.51)</f>
        <v>29.51</v>
      </c>
      <c r="K498" s="2"/>
      <c r="L498" s="49"/>
      <c r="M498" s="49"/>
      <c r="N498" s="49"/>
      <c r="O498" s="49" t="str">
        <f t="shared" si="2"/>
        <v/>
      </c>
      <c r="P498" s="49" t="str">
        <f t="shared" si="3"/>
        <v/>
      </c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</row>
    <row r="499">
      <c r="A499" s="69">
        <v>34.0</v>
      </c>
      <c r="B499" s="69">
        <v>46.0</v>
      </c>
      <c r="C499" s="86" t="s">
        <v>150</v>
      </c>
      <c r="D499" s="86" t="s">
        <v>151</v>
      </c>
      <c r="E499" s="86" t="s">
        <v>152</v>
      </c>
      <c r="F499" s="69">
        <v>2000.0</v>
      </c>
      <c r="G499" s="69">
        <v>39.79</v>
      </c>
      <c r="H499" s="68">
        <f t="shared" si="1"/>
        <v>111.11</v>
      </c>
      <c r="I499" s="81">
        <f>IFERROR(__xludf.DUMMYFUNCTION("IF(G499="""", """", ROUND(G499 / MAX(FILTER($G$2:$G5067, $D$2:$D5067=$D499)) * 100, 2))"),91.98)</f>
        <v>91.98</v>
      </c>
      <c r="J499" s="81">
        <f>IFERROR(__xludf.DUMMYFUNCTION("IF(H499="""", """", ROUND(H499 / MAX(FILTER($H$2:$H5067, $D$2:$D5067=$D499)) * 100, 2))"),41.5)</f>
        <v>41.5</v>
      </c>
      <c r="K499" s="2"/>
      <c r="L499" s="48"/>
      <c r="M499" s="48"/>
      <c r="N499" s="48"/>
      <c r="O499" s="48" t="str">
        <f t="shared" si="2"/>
        <v/>
      </c>
      <c r="P499" s="48" t="str">
        <f t="shared" si="3"/>
        <v/>
      </c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</row>
    <row r="500">
      <c r="A500" s="63">
        <v>34.0</v>
      </c>
      <c r="B500" s="63">
        <v>46.0</v>
      </c>
      <c r="C500" s="64" t="s">
        <v>150</v>
      </c>
      <c r="D500" s="64" t="s">
        <v>151</v>
      </c>
      <c r="E500" s="64" t="s">
        <v>152</v>
      </c>
      <c r="F500" s="63">
        <v>2500.0</v>
      </c>
      <c r="G500" s="63">
        <v>41.32</v>
      </c>
      <c r="H500" s="66">
        <f t="shared" si="1"/>
        <v>144.23</v>
      </c>
      <c r="I500" s="81">
        <f>IFERROR(__xludf.DUMMYFUNCTION("IF(G500="""", """", ROUND(G500 / MAX(FILTER($G$2:$G5067, $D$2:$D5067=$D500)) * 100, 2))"),95.52)</f>
        <v>95.52</v>
      </c>
      <c r="J500" s="81">
        <f>IFERROR(__xludf.DUMMYFUNCTION("IF(H500="""", """", ROUND(H500 / MAX(FILTER($H$2:$H5067, $D$2:$D5067=$D500)) * 100, 2))"),53.87)</f>
        <v>53.87</v>
      </c>
      <c r="K500" s="2"/>
      <c r="L500" s="49"/>
      <c r="M500" s="49"/>
      <c r="N500" s="49"/>
      <c r="O500" s="49" t="str">
        <f t="shared" si="2"/>
        <v/>
      </c>
      <c r="P500" s="49" t="str">
        <f t="shared" si="3"/>
        <v/>
      </c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</row>
    <row r="501">
      <c r="A501" s="69">
        <v>34.0</v>
      </c>
      <c r="B501" s="69">
        <v>46.0</v>
      </c>
      <c r="C501" s="86" t="s">
        <v>150</v>
      </c>
      <c r="D501" s="86" t="s">
        <v>151</v>
      </c>
      <c r="E501" s="86" t="s">
        <v>152</v>
      </c>
      <c r="F501" s="69">
        <v>3000.0</v>
      </c>
      <c r="G501" s="69">
        <v>42.67</v>
      </c>
      <c r="H501" s="68">
        <f t="shared" si="1"/>
        <v>178.73</v>
      </c>
      <c r="I501" s="81">
        <f>IFERROR(__xludf.DUMMYFUNCTION("IF(G501="""", """", ROUND(G501 / MAX(FILTER($G$2:$G5067, $D$2:$D5067=$D501)) * 100, 2))"),98.64)</f>
        <v>98.64</v>
      </c>
      <c r="J501" s="81">
        <f>IFERROR(__xludf.DUMMYFUNCTION("IF(H501="""", """", ROUND(H501 / MAX(FILTER($H$2:$H5067, $D$2:$D5067=$D501)) * 100, 2))"),66.76)</f>
        <v>66.76</v>
      </c>
      <c r="K501" s="2"/>
      <c r="L501" s="48"/>
      <c r="M501" s="48"/>
      <c r="N501" s="48"/>
      <c r="O501" s="48" t="str">
        <f t="shared" si="2"/>
        <v/>
      </c>
      <c r="P501" s="48" t="str">
        <f t="shared" si="3"/>
        <v/>
      </c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</row>
    <row r="502">
      <c r="A502" s="63">
        <v>34.0</v>
      </c>
      <c r="B502" s="63">
        <v>46.0</v>
      </c>
      <c r="C502" s="64" t="s">
        <v>150</v>
      </c>
      <c r="D502" s="64" t="s">
        <v>151</v>
      </c>
      <c r="E502" s="64" t="s">
        <v>152</v>
      </c>
      <c r="F502" s="63">
        <v>3600.0</v>
      </c>
      <c r="G502" s="63">
        <v>43.24</v>
      </c>
      <c r="H502" s="66">
        <f t="shared" si="1"/>
        <v>217.35</v>
      </c>
      <c r="I502" s="81">
        <f>IFERROR(__xludf.DUMMYFUNCTION("IF(G502="""", """", ROUND(G502 / MAX(FILTER($G$2:$G5067, $D$2:$D5067=$D502)) * 100, 2))"),99.95)</f>
        <v>99.95</v>
      </c>
      <c r="J502" s="81">
        <f>IFERROR(__xludf.DUMMYFUNCTION("IF(H502="""", """", ROUND(H502 / MAX(FILTER($H$2:$H5067, $D$2:$D5067=$D502)) * 100, 2))"),81.18)</f>
        <v>81.18</v>
      </c>
      <c r="K502" s="2"/>
      <c r="L502" s="49"/>
      <c r="M502" s="49"/>
      <c r="N502" s="49"/>
      <c r="O502" s="49" t="str">
        <f t="shared" si="2"/>
        <v/>
      </c>
      <c r="P502" s="49" t="str">
        <f t="shared" si="3"/>
        <v/>
      </c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</row>
    <row r="503">
      <c r="A503" s="69">
        <v>34.0</v>
      </c>
      <c r="B503" s="69">
        <v>46.0</v>
      </c>
      <c r="C503" s="86" t="s">
        <v>150</v>
      </c>
      <c r="D503" s="86" t="s">
        <v>151</v>
      </c>
      <c r="E503" s="86" t="s">
        <v>152</v>
      </c>
      <c r="F503" s="69">
        <v>4000.0</v>
      </c>
      <c r="G503" s="69">
        <v>43.26</v>
      </c>
      <c r="H503" s="68">
        <f t="shared" si="1"/>
        <v>241.61</v>
      </c>
      <c r="I503" s="81">
        <f>IFERROR(__xludf.DUMMYFUNCTION("IF(G503="""", """", ROUND(G503 / MAX(FILTER($G$2:$G5067, $D$2:$D5067=$D503)) * 100, 2))"),100.0)</f>
        <v>100</v>
      </c>
      <c r="J503" s="81">
        <f>IFERROR(__xludf.DUMMYFUNCTION("IF(H503="""", """", ROUND(H503 / MAX(FILTER($H$2:$H5067, $D$2:$D5067=$D503)) * 100, 2))"),90.24)</f>
        <v>90.24</v>
      </c>
      <c r="K503" s="2"/>
      <c r="L503" s="48"/>
      <c r="M503" s="48"/>
      <c r="N503" s="48"/>
      <c r="O503" s="48" t="str">
        <f t="shared" si="2"/>
        <v/>
      </c>
      <c r="P503" s="48" t="str">
        <f t="shared" si="3"/>
        <v/>
      </c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</row>
    <row r="504">
      <c r="A504" s="63">
        <v>34.0</v>
      </c>
      <c r="B504" s="63">
        <v>46.0</v>
      </c>
      <c r="C504" s="64" t="s">
        <v>150</v>
      </c>
      <c r="D504" s="64" t="s">
        <v>151</v>
      </c>
      <c r="E504" s="64" t="s">
        <v>152</v>
      </c>
      <c r="F504" s="63">
        <v>4500.0</v>
      </c>
      <c r="G504" s="63">
        <v>41.52</v>
      </c>
      <c r="H504" s="66">
        <f t="shared" si="1"/>
        <v>260.88</v>
      </c>
      <c r="I504" s="81">
        <f>IFERROR(__xludf.DUMMYFUNCTION("IF(G504="""", """", ROUND(G504 / MAX(FILTER($G$2:$G5067, $D$2:$D5067=$D504)) * 100, 2))"),95.98)</f>
        <v>95.98</v>
      </c>
      <c r="J504" s="81">
        <f>IFERROR(__xludf.DUMMYFUNCTION("IF(H504="""", """", ROUND(H504 / MAX(FILTER($H$2:$H5067, $D$2:$D5067=$D504)) * 100, 2))"),97.44)</f>
        <v>97.44</v>
      </c>
      <c r="K504" s="2"/>
      <c r="L504" s="49"/>
      <c r="M504" s="49"/>
      <c r="N504" s="49"/>
      <c r="O504" s="49" t="str">
        <f t="shared" si="2"/>
        <v/>
      </c>
      <c r="P504" s="49" t="str">
        <f t="shared" si="3"/>
        <v/>
      </c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</row>
    <row r="505">
      <c r="A505" s="69">
        <v>34.0</v>
      </c>
      <c r="B505" s="69">
        <v>46.0</v>
      </c>
      <c r="C505" s="86" t="s">
        <v>150</v>
      </c>
      <c r="D505" s="86" t="s">
        <v>151</v>
      </c>
      <c r="E505" s="86" t="s">
        <v>152</v>
      </c>
      <c r="F505" s="69">
        <v>5000.0</v>
      </c>
      <c r="G505" s="69">
        <v>38.35</v>
      </c>
      <c r="H505" s="68">
        <f t="shared" si="1"/>
        <v>267.73</v>
      </c>
      <c r="I505" s="81">
        <f>IFERROR(__xludf.DUMMYFUNCTION("IF(G505="""", """", ROUND(G505 / MAX(FILTER($G$2:$G5067, $D$2:$D5067=$D505)) * 100, 2))"),88.65)</f>
        <v>88.65</v>
      </c>
      <c r="J505" s="81">
        <f>IFERROR(__xludf.DUMMYFUNCTION("IF(H505="""", """", ROUND(H505 / MAX(FILTER($H$2:$H5067, $D$2:$D5067=$D505)) * 100, 2))"),100.0)</f>
        <v>100</v>
      </c>
      <c r="K505" s="2"/>
      <c r="L505" s="48"/>
      <c r="M505" s="48"/>
      <c r="N505" s="48"/>
      <c r="O505" s="48" t="str">
        <f t="shared" si="2"/>
        <v/>
      </c>
      <c r="P505" s="48" t="str">
        <f t="shared" si="3"/>
        <v/>
      </c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</row>
    <row r="506">
      <c r="A506" s="63">
        <v>34.0</v>
      </c>
      <c r="B506" s="63">
        <v>46.0</v>
      </c>
      <c r="C506" s="64" t="s">
        <v>150</v>
      </c>
      <c r="D506" s="64" t="s">
        <v>151</v>
      </c>
      <c r="E506" s="64" t="s">
        <v>152</v>
      </c>
      <c r="F506" s="63">
        <v>5500.0</v>
      </c>
      <c r="G506" s="63">
        <v>34.64</v>
      </c>
      <c r="H506" s="66">
        <f t="shared" si="1"/>
        <v>266.02</v>
      </c>
      <c r="I506" s="81">
        <f>IFERROR(__xludf.DUMMYFUNCTION("IF(G506="""", """", ROUND(G506 / MAX(FILTER($G$2:$G5067, $D$2:$D5067=$D506)) * 100, 2))"),80.07)</f>
        <v>80.07</v>
      </c>
      <c r="J506" s="81">
        <f>IFERROR(__xludf.DUMMYFUNCTION("IF(H506="""", """", ROUND(H506 / MAX(FILTER($H$2:$H5067, $D$2:$D5067=$D506)) * 100, 2))"),99.36)</f>
        <v>99.36</v>
      </c>
      <c r="K506" s="2"/>
      <c r="L506" s="49"/>
      <c r="M506" s="49"/>
      <c r="N506" s="49"/>
      <c r="O506" s="49" t="str">
        <f t="shared" si="2"/>
        <v/>
      </c>
      <c r="P506" s="49" t="str">
        <f t="shared" si="3"/>
        <v/>
      </c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</row>
    <row r="507">
      <c r="A507" s="69">
        <v>34.0</v>
      </c>
      <c r="B507" s="69">
        <v>46.0</v>
      </c>
      <c r="C507" s="86" t="s">
        <v>150</v>
      </c>
      <c r="D507" s="86" t="s">
        <v>151</v>
      </c>
      <c r="E507" s="86" t="s">
        <v>152</v>
      </c>
      <c r="F507" s="69">
        <v>6000.0</v>
      </c>
      <c r="G507" s="69">
        <v>31.22</v>
      </c>
      <c r="H507" s="68">
        <f t="shared" si="1"/>
        <v>261.55</v>
      </c>
      <c r="I507" s="81">
        <f>IFERROR(__xludf.DUMMYFUNCTION("IF(G507="""", """", ROUND(G507 / MAX(FILTER($G$2:$G5067, $D$2:$D5067=$D507)) * 100, 2))"),72.17)</f>
        <v>72.17</v>
      </c>
      <c r="J507" s="81">
        <f>IFERROR(__xludf.DUMMYFUNCTION("IF(H507="""", """", ROUND(H507 / MAX(FILTER($H$2:$H5067, $D$2:$D5067=$D507)) * 100, 2))"),97.69)</f>
        <v>97.69</v>
      </c>
      <c r="K507" s="2"/>
      <c r="L507" s="48"/>
      <c r="M507" s="48"/>
      <c r="N507" s="48"/>
      <c r="O507" s="48" t="str">
        <f t="shared" si="2"/>
        <v/>
      </c>
      <c r="P507" s="48" t="str">
        <f t="shared" si="3"/>
        <v/>
      </c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</row>
    <row r="508">
      <c r="A508" s="63">
        <v>34.0</v>
      </c>
      <c r="B508" s="63">
        <v>46.0</v>
      </c>
      <c r="C508" s="64" t="s">
        <v>150</v>
      </c>
      <c r="D508" s="64" t="s">
        <v>151</v>
      </c>
      <c r="E508" s="64" t="s">
        <v>152</v>
      </c>
      <c r="F508" s="63">
        <v>6500.0</v>
      </c>
      <c r="G508" s="63">
        <v>27.18</v>
      </c>
      <c r="H508" s="66">
        <f t="shared" si="1"/>
        <v>246.68</v>
      </c>
      <c r="I508" s="81">
        <f>IFERROR(__xludf.DUMMYFUNCTION("IF(G508="""", """", ROUND(G508 / MAX(FILTER($G$2:$G5067, $D$2:$D5067=$D508)) * 100, 2))"),62.83)</f>
        <v>62.83</v>
      </c>
      <c r="J508" s="81">
        <f>IFERROR(__xludf.DUMMYFUNCTION("IF(H508="""", """", ROUND(H508 / MAX(FILTER($H$2:$H5067, $D$2:$D5067=$D508)) * 100, 2))"),92.14)</f>
        <v>92.14</v>
      </c>
      <c r="K508" s="2"/>
      <c r="L508" s="49"/>
      <c r="M508" s="49"/>
      <c r="N508" s="49"/>
      <c r="O508" s="49" t="str">
        <f t="shared" si="2"/>
        <v/>
      </c>
      <c r="P508" s="49" t="str">
        <f t="shared" si="3"/>
        <v/>
      </c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</row>
    <row r="509">
      <c r="A509" s="69">
        <v>34.0</v>
      </c>
      <c r="B509" s="69">
        <v>46.0</v>
      </c>
      <c r="C509" s="86" t="s">
        <v>150</v>
      </c>
      <c r="D509" s="86" t="s">
        <v>151</v>
      </c>
      <c r="E509" s="86" t="s">
        <v>152</v>
      </c>
      <c r="F509" s="69">
        <v>7000.0</v>
      </c>
      <c r="G509" s="69">
        <v>22.5</v>
      </c>
      <c r="H509" s="68">
        <f t="shared" si="1"/>
        <v>219.91</v>
      </c>
      <c r="I509" s="81">
        <f>IFERROR(__xludf.DUMMYFUNCTION("IF(G509="""", """", ROUND(G509 / MAX(FILTER($G$2:$G5067, $D$2:$D5067=$D509)) * 100, 2))"),52.01)</f>
        <v>52.01</v>
      </c>
      <c r="J509" s="81">
        <f>IFERROR(__xludf.DUMMYFUNCTION("IF(H509="""", """", ROUND(H509 / MAX(FILTER($H$2:$H5067, $D$2:$D5067=$D509)) * 100, 2))"),82.14)</f>
        <v>82.14</v>
      </c>
      <c r="K509" s="2"/>
      <c r="L509" s="48"/>
      <c r="M509" s="48"/>
      <c r="N509" s="48"/>
      <c r="O509" s="48" t="str">
        <f t="shared" si="2"/>
        <v/>
      </c>
      <c r="P509" s="48" t="str">
        <f t="shared" si="3"/>
        <v/>
      </c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</row>
    <row r="510">
      <c r="A510" s="63">
        <v>35.0</v>
      </c>
      <c r="B510" s="63">
        <v>47.0</v>
      </c>
      <c r="C510" s="64" t="s">
        <v>153</v>
      </c>
      <c r="D510" s="64" t="s">
        <v>154</v>
      </c>
      <c r="E510" s="64" t="s">
        <v>155</v>
      </c>
      <c r="F510" s="63">
        <v>500.0</v>
      </c>
      <c r="G510" s="63">
        <v>9.84</v>
      </c>
      <c r="H510" s="66">
        <f t="shared" si="1"/>
        <v>6.87</v>
      </c>
      <c r="I510" s="81">
        <f>IFERROR(__xludf.DUMMYFUNCTION("IF(G510="""", """", ROUND(G510 / MAX(FILTER($G$2:$G5067, $D$2:$D5067=$D510)) * 100, 2))"),76.22)</f>
        <v>76.22</v>
      </c>
      <c r="J510" s="81">
        <f>IFERROR(__xludf.DUMMYFUNCTION("IF(H510="""", """", ROUND(H510 / MAX(FILTER($H$2:$H5067, $D$2:$D5067=$D510)) * 100, 2))"),8.77)</f>
        <v>8.77</v>
      </c>
      <c r="K510" s="2"/>
      <c r="L510" s="49"/>
      <c r="M510" s="49"/>
      <c r="N510" s="49"/>
      <c r="O510" s="49" t="str">
        <f t="shared" si="2"/>
        <v/>
      </c>
      <c r="P510" s="49" t="str">
        <f t="shared" si="3"/>
        <v/>
      </c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</row>
    <row r="511">
      <c r="A511" s="69">
        <v>35.0</v>
      </c>
      <c r="B511" s="69">
        <v>47.0</v>
      </c>
      <c r="C511" s="86" t="s">
        <v>153</v>
      </c>
      <c r="D511" s="86" t="s">
        <v>154</v>
      </c>
      <c r="E511" s="86" t="s">
        <v>155</v>
      </c>
      <c r="F511" s="69">
        <v>1000.0</v>
      </c>
      <c r="G511" s="69">
        <v>11.48</v>
      </c>
      <c r="H511" s="68">
        <f t="shared" si="1"/>
        <v>16.03</v>
      </c>
      <c r="I511" s="81">
        <f>IFERROR(__xludf.DUMMYFUNCTION("IF(G511="""", """", ROUND(G511 / MAX(FILTER($G$2:$G5067, $D$2:$D5067=$D511)) * 100, 2))"),88.92)</f>
        <v>88.92</v>
      </c>
      <c r="J511" s="81">
        <f>IFERROR(__xludf.DUMMYFUNCTION("IF(H511="""", """", ROUND(H511 / MAX(FILTER($H$2:$H5067, $D$2:$D5067=$D511)) * 100, 2))"),20.46)</f>
        <v>20.46</v>
      </c>
      <c r="K511" s="2"/>
      <c r="L511" s="48"/>
      <c r="M511" s="48"/>
      <c r="N511" s="48"/>
      <c r="O511" s="48" t="str">
        <f t="shared" si="2"/>
        <v/>
      </c>
      <c r="P511" s="48" t="str">
        <f t="shared" si="3"/>
        <v/>
      </c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</row>
    <row r="512">
      <c r="A512" s="63">
        <v>35.0</v>
      </c>
      <c r="B512" s="63">
        <v>47.0</v>
      </c>
      <c r="C512" s="64" t="s">
        <v>153</v>
      </c>
      <c r="D512" s="64" t="s">
        <v>154</v>
      </c>
      <c r="E512" s="64" t="s">
        <v>155</v>
      </c>
      <c r="F512" s="63">
        <v>1500.0</v>
      </c>
      <c r="G512" s="63">
        <v>12.36</v>
      </c>
      <c r="H512" s="66">
        <f t="shared" si="1"/>
        <v>25.89</v>
      </c>
      <c r="I512" s="81">
        <f>IFERROR(__xludf.DUMMYFUNCTION("IF(G512="""", """", ROUND(G512 / MAX(FILTER($G$2:$G5067, $D$2:$D5067=$D512)) * 100, 2))"),95.74)</f>
        <v>95.74</v>
      </c>
      <c r="J512" s="81">
        <f>IFERROR(__xludf.DUMMYFUNCTION("IF(H512="""", """", ROUND(H512 / MAX(FILTER($H$2:$H5067, $D$2:$D5067=$D512)) * 100, 2))"),33.05)</f>
        <v>33.05</v>
      </c>
      <c r="K512" s="2"/>
      <c r="L512" s="49"/>
      <c r="M512" s="49"/>
      <c r="N512" s="49"/>
      <c r="O512" s="49" t="str">
        <f t="shared" si="2"/>
        <v/>
      </c>
      <c r="P512" s="49" t="str">
        <f t="shared" si="3"/>
        <v/>
      </c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</row>
    <row r="513">
      <c r="A513" s="69">
        <v>35.0</v>
      </c>
      <c r="B513" s="69">
        <v>47.0</v>
      </c>
      <c r="C513" s="86" t="s">
        <v>153</v>
      </c>
      <c r="D513" s="86" t="s">
        <v>154</v>
      </c>
      <c r="E513" s="86" t="s">
        <v>155</v>
      </c>
      <c r="F513" s="69">
        <v>2000.0</v>
      </c>
      <c r="G513" s="69">
        <v>12.91</v>
      </c>
      <c r="H513" s="68">
        <f t="shared" si="1"/>
        <v>36.05</v>
      </c>
      <c r="I513" s="81">
        <f>IFERROR(__xludf.DUMMYFUNCTION("IF(G513="""", """", ROUND(G513 / MAX(FILTER($G$2:$G5067, $D$2:$D5067=$D513)) * 100, 2))"),100.0)</f>
        <v>100</v>
      </c>
      <c r="J513" s="81">
        <f>IFERROR(__xludf.DUMMYFUNCTION("IF(H513="""", """", ROUND(H513 / MAX(FILTER($H$2:$H5067, $D$2:$D5067=$D513)) * 100, 2))"),46.02)</f>
        <v>46.02</v>
      </c>
      <c r="K513" s="2"/>
      <c r="L513" s="48"/>
      <c r="M513" s="48"/>
      <c r="N513" s="48"/>
      <c r="O513" s="48" t="str">
        <f t="shared" si="2"/>
        <v/>
      </c>
      <c r="P513" s="48" t="str">
        <f t="shared" si="3"/>
        <v/>
      </c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</row>
    <row r="514">
      <c r="A514" s="63">
        <v>35.0</v>
      </c>
      <c r="B514" s="63">
        <v>47.0</v>
      </c>
      <c r="C514" s="64" t="s">
        <v>153</v>
      </c>
      <c r="D514" s="64" t="s">
        <v>154</v>
      </c>
      <c r="E514" s="64" t="s">
        <v>155</v>
      </c>
      <c r="F514" s="63">
        <v>2500.0</v>
      </c>
      <c r="G514" s="63">
        <v>12.67</v>
      </c>
      <c r="H514" s="66">
        <f t="shared" si="1"/>
        <v>44.23</v>
      </c>
      <c r="I514" s="81">
        <f>IFERROR(__xludf.DUMMYFUNCTION("IF(G514="""", """", ROUND(G514 / MAX(FILTER($G$2:$G5067, $D$2:$D5067=$D514)) * 100, 2))"),98.14)</f>
        <v>98.14</v>
      </c>
      <c r="J514" s="81">
        <f>IFERROR(__xludf.DUMMYFUNCTION("IF(H514="""", """", ROUND(H514 / MAX(FILTER($H$2:$H5067, $D$2:$D5067=$D514)) * 100, 2))"),56.47)</f>
        <v>56.47</v>
      </c>
      <c r="K514" s="2"/>
      <c r="L514" s="49"/>
      <c r="M514" s="49"/>
      <c r="N514" s="49"/>
      <c r="O514" s="49" t="str">
        <f t="shared" si="2"/>
        <v/>
      </c>
      <c r="P514" s="49" t="str">
        <f t="shared" si="3"/>
        <v/>
      </c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</row>
    <row r="515">
      <c r="A515" s="69">
        <v>35.0</v>
      </c>
      <c r="B515" s="69">
        <v>47.0</v>
      </c>
      <c r="C515" s="86" t="s">
        <v>153</v>
      </c>
      <c r="D515" s="86" t="s">
        <v>154</v>
      </c>
      <c r="E515" s="86" t="s">
        <v>155</v>
      </c>
      <c r="F515" s="69">
        <v>3000.0</v>
      </c>
      <c r="G515" s="69">
        <v>11.77</v>
      </c>
      <c r="H515" s="68">
        <f t="shared" si="1"/>
        <v>49.3</v>
      </c>
      <c r="I515" s="81">
        <f>IFERROR(__xludf.DUMMYFUNCTION("IF(G515="""", """", ROUND(G515 / MAX(FILTER($G$2:$G5067, $D$2:$D5067=$D515)) * 100, 2))"),91.17)</f>
        <v>91.17</v>
      </c>
      <c r="J515" s="81">
        <f>IFERROR(__xludf.DUMMYFUNCTION("IF(H515="""", """", ROUND(H515 / MAX(FILTER($H$2:$H5067, $D$2:$D5067=$D515)) * 100, 2))"),62.94)</f>
        <v>62.94</v>
      </c>
      <c r="K515" s="2"/>
      <c r="L515" s="48"/>
      <c r="M515" s="48"/>
      <c r="N515" s="48"/>
      <c r="O515" s="48" t="str">
        <f t="shared" si="2"/>
        <v/>
      </c>
      <c r="P515" s="48" t="str">
        <f t="shared" si="3"/>
        <v/>
      </c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</row>
    <row r="516">
      <c r="A516" s="63">
        <v>35.0</v>
      </c>
      <c r="B516" s="63">
        <v>47.0</v>
      </c>
      <c r="C516" s="64" t="s">
        <v>153</v>
      </c>
      <c r="D516" s="64" t="s">
        <v>154</v>
      </c>
      <c r="E516" s="64" t="s">
        <v>155</v>
      </c>
      <c r="F516" s="63">
        <v>3500.0</v>
      </c>
      <c r="G516" s="63">
        <v>11.0</v>
      </c>
      <c r="H516" s="66">
        <f t="shared" si="1"/>
        <v>53.76</v>
      </c>
      <c r="I516" s="81">
        <f>IFERROR(__xludf.DUMMYFUNCTION("IF(G516="""", """", ROUND(G516 / MAX(FILTER($G$2:$G5067, $D$2:$D5067=$D516)) * 100, 2))"),85.21)</f>
        <v>85.21</v>
      </c>
      <c r="J516" s="81">
        <f>IFERROR(__xludf.DUMMYFUNCTION("IF(H516="""", """", ROUND(H516 / MAX(FILTER($H$2:$H5067, $D$2:$D5067=$D516)) * 100, 2))"),68.63)</f>
        <v>68.63</v>
      </c>
      <c r="K516" s="2"/>
      <c r="L516" s="49"/>
      <c r="M516" s="49"/>
      <c r="N516" s="49"/>
      <c r="O516" s="49" t="str">
        <f t="shared" si="2"/>
        <v/>
      </c>
      <c r="P516" s="49" t="str">
        <f t="shared" si="3"/>
        <v/>
      </c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</row>
    <row r="517">
      <c r="A517" s="69">
        <v>35.0</v>
      </c>
      <c r="B517" s="69">
        <v>47.0</v>
      </c>
      <c r="C517" s="86" t="s">
        <v>153</v>
      </c>
      <c r="D517" s="86" t="s">
        <v>154</v>
      </c>
      <c r="E517" s="86" t="s">
        <v>155</v>
      </c>
      <c r="F517" s="69">
        <v>4000.0</v>
      </c>
      <c r="G517" s="69">
        <v>10.57</v>
      </c>
      <c r="H517" s="68">
        <f t="shared" si="1"/>
        <v>59.03</v>
      </c>
      <c r="I517" s="81">
        <f>IFERROR(__xludf.DUMMYFUNCTION("IF(G517="""", """", ROUND(G517 / MAX(FILTER($G$2:$G5067, $D$2:$D5067=$D517)) * 100, 2))"),81.87)</f>
        <v>81.87</v>
      </c>
      <c r="J517" s="81">
        <f>IFERROR(__xludf.DUMMYFUNCTION("IF(H517="""", """", ROUND(H517 / MAX(FILTER($H$2:$H5067, $D$2:$D5067=$D517)) * 100, 2))"),75.36)</f>
        <v>75.36</v>
      </c>
      <c r="K517" s="2"/>
      <c r="L517" s="48"/>
      <c r="M517" s="48"/>
      <c r="N517" s="48"/>
      <c r="O517" s="48" t="str">
        <f t="shared" si="2"/>
        <v/>
      </c>
      <c r="P517" s="48" t="str">
        <f t="shared" si="3"/>
        <v/>
      </c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</row>
    <row r="518">
      <c r="A518" s="63">
        <v>35.0</v>
      </c>
      <c r="B518" s="63">
        <v>47.0</v>
      </c>
      <c r="C518" s="64" t="s">
        <v>153</v>
      </c>
      <c r="D518" s="64" t="s">
        <v>154</v>
      </c>
      <c r="E518" s="64" t="s">
        <v>155</v>
      </c>
      <c r="F518" s="63">
        <v>4500.0</v>
      </c>
      <c r="G518" s="63">
        <v>10.33</v>
      </c>
      <c r="H518" s="66">
        <f t="shared" si="1"/>
        <v>64.91</v>
      </c>
      <c r="I518" s="81">
        <f>IFERROR(__xludf.DUMMYFUNCTION("IF(G518="""", """", ROUND(G518 / MAX(FILTER($G$2:$G5067, $D$2:$D5067=$D518)) * 100, 2))"),80.02)</f>
        <v>80.02</v>
      </c>
      <c r="J518" s="81">
        <f>IFERROR(__xludf.DUMMYFUNCTION("IF(H518="""", """", ROUND(H518 / MAX(FILTER($H$2:$H5067, $D$2:$D5067=$D518)) * 100, 2))"),82.87)</f>
        <v>82.87</v>
      </c>
      <c r="K518" s="2"/>
      <c r="L518" s="49"/>
      <c r="M518" s="49"/>
      <c r="N518" s="49"/>
      <c r="O518" s="49" t="str">
        <f t="shared" si="2"/>
        <v/>
      </c>
      <c r="P518" s="49" t="str">
        <f t="shared" si="3"/>
        <v/>
      </c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</row>
    <row r="519">
      <c r="A519" s="69">
        <v>35.0</v>
      </c>
      <c r="B519" s="69">
        <v>47.0</v>
      </c>
      <c r="C519" s="86" t="s">
        <v>153</v>
      </c>
      <c r="D519" s="86" t="s">
        <v>154</v>
      </c>
      <c r="E519" s="86" t="s">
        <v>155</v>
      </c>
      <c r="F519" s="69">
        <v>5000.0</v>
      </c>
      <c r="G519" s="69">
        <v>10.29</v>
      </c>
      <c r="H519" s="68">
        <f t="shared" si="1"/>
        <v>71.84</v>
      </c>
      <c r="I519" s="81">
        <f>IFERROR(__xludf.DUMMYFUNCTION("IF(G519="""", """", ROUND(G519 / MAX(FILTER($G$2:$G5067, $D$2:$D5067=$D519)) * 100, 2))"),79.71)</f>
        <v>79.71</v>
      </c>
      <c r="J519" s="81">
        <f>IFERROR(__xludf.DUMMYFUNCTION("IF(H519="""", """", ROUND(H519 / MAX(FILTER($H$2:$H5067, $D$2:$D5067=$D519)) * 100, 2))"),91.71)</f>
        <v>91.71</v>
      </c>
      <c r="K519" s="2"/>
      <c r="L519" s="48"/>
      <c r="M519" s="48"/>
      <c r="N519" s="48"/>
      <c r="O519" s="48" t="str">
        <f t="shared" si="2"/>
        <v/>
      </c>
      <c r="P519" s="48" t="str">
        <f t="shared" si="3"/>
        <v/>
      </c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</row>
    <row r="520">
      <c r="A520" s="63">
        <v>35.0</v>
      </c>
      <c r="B520" s="63">
        <v>47.0</v>
      </c>
      <c r="C520" s="64" t="s">
        <v>153</v>
      </c>
      <c r="D520" s="64" t="s">
        <v>154</v>
      </c>
      <c r="E520" s="64" t="s">
        <v>155</v>
      </c>
      <c r="F520" s="63">
        <v>5500.0</v>
      </c>
      <c r="G520" s="63">
        <v>10.2</v>
      </c>
      <c r="H520" s="66">
        <f t="shared" si="1"/>
        <v>78.33</v>
      </c>
      <c r="I520" s="81">
        <f>IFERROR(__xludf.DUMMYFUNCTION("IF(G520="""", """", ROUND(G520 / MAX(FILTER($G$2:$G5067, $D$2:$D5067=$D520)) * 100, 2))"),79.01)</f>
        <v>79.01</v>
      </c>
      <c r="J520" s="81">
        <f>IFERROR(__xludf.DUMMYFUNCTION("IF(H520="""", """", ROUND(H520 / MAX(FILTER($H$2:$H5067, $D$2:$D5067=$D520)) * 100, 2))"),100.0)</f>
        <v>100</v>
      </c>
      <c r="K520" s="2"/>
      <c r="L520" s="49"/>
      <c r="M520" s="49"/>
      <c r="N520" s="49"/>
      <c r="O520" s="49" t="str">
        <f t="shared" si="2"/>
        <v/>
      </c>
      <c r="P520" s="49" t="str">
        <f t="shared" si="3"/>
        <v/>
      </c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</row>
    <row r="521">
      <c r="A521" s="69">
        <v>35.0</v>
      </c>
      <c r="B521" s="69">
        <v>47.0</v>
      </c>
      <c r="C521" s="86" t="s">
        <v>153</v>
      </c>
      <c r="D521" s="86" t="s">
        <v>154</v>
      </c>
      <c r="E521" s="86" t="s">
        <v>155</v>
      </c>
      <c r="F521" s="69">
        <v>6000.0</v>
      </c>
      <c r="G521" s="69">
        <v>9.23</v>
      </c>
      <c r="H521" s="68">
        <f t="shared" si="1"/>
        <v>77.32</v>
      </c>
      <c r="I521" s="81">
        <f>IFERROR(__xludf.DUMMYFUNCTION("IF(G521="""", """", ROUND(G521 / MAX(FILTER($G$2:$G5067, $D$2:$D5067=$D521)) * 100, 2))"),71.49)</f>
        <v>71.49</v>
      </c>
      <c r="J521" s="81">
        <f>IFERROR(__xludf.DUMMYFUNCTION("IF(H521="""", """", ROUND(H521 / MAX(FILTER($H$2:$H5067, $D$2:$D5067=$D521)) * 100, 2))"),98.71)</f>
        <v>98.71</v>
      </c>
      <c r="K521" s="2"/>
      <c r="L521" s="48"/>
      <c r="M521" s="48"/>
      <c r="N521" s="48"/>
      <c r="O521" s="48" t="str">
        <f t="shared" si="2"/>
        <v/>
      </c>
      <c r="P521" s="48" t="str">
        <f t="shared" si="3"/>
        <v/>
      </c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</row>
    <row r="522">
      <c r="A522" s="63">
        <v>35.0</v>
      </c>
      <c r="B522" s="63">
        <v>47.0</v>
      </c>
      <c r="C522" s="64" t="s">
        <v>153</v>
      </c>
      <c r="D522" s="64" t="s">
        <v>154</v>
      </c>
      <c r="E522" s="64" t="s">
        <v>155</v>
      </c>
      <c r="F522" s="63">
        <v>6500.0</v>
      </c>
      <c r="G522" s="63">
        <v>6.35</v>
      </c>
      <c r="H522" s="66">
        <f t="shared" si="1"/>
        <v>57.63</v>
      </c>
      <c r="I522" s="81">
        <f>IFERROR(__xludf.DUMMYFUNCTION("IF(G522="""", """", ROUND(G522 / MAX(FILTER($G$2:$G5067, $D$2:$D5067=$D522)) * 100, 2))"),49.19)</f>
        <v>49.19</v>
      </c>
      <c r="J522" s="81">
        <f>IFERROR(__xludf.DUMMYFUNCTION("IF(H522="""", """", ROUND(H522 / MAX(FILTER($H$2:$H5067, $D$2:$D5067=$D522)) * 100, 2))"),73.57)</f>
        <v>73.57</v>
      </c>
      <c r="K522" s="2"/>
      <c r="L522" s="49"/>
      <c r="M522" s="49"/>
      <c r="N522" s="49"/>
      <c r="O522" s="49" t="str">
        <f t="shared" si="2"/>
        <v/>
      </c>
      <c r="P522" s="49" t="str">
        <f t="shared" si="3"/>
        <v/>
      </c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</row>
    <row r="523">
      <c r="A523" s="69">
        <v>36.0</v>
      </c>
      <c r="B523" s="69">
        <v>48.0</v>
      </c>
      <c r="C523" s="86" t="s">
        <v>156</v>
      </c>
      <c r="D523" s="86" t="s">
        <v>157</v>
      </c>
      <c r="E523" s="86" t="s">
        <v>158</v>
      </c>
      <c r="F523" s="69">
        <v>500.0</v>
      </c>
      <c r="G523" s="69">
        <v>13.9</v>
      </c>
      <c r="H523" s="68">
        <f t="shared" si="1"/>
        <v>9.7</v>
      </c>
      <c r="I523" s="81">
        <f>IFERROR(__xludf.DUMMYFUNCTION("IF(G523="""", """", ROUND(G523 / MAX(FILTER($G$2:$G5067, $D$2:$D5067=$D523)) * 100, 2))"),65.85)</f>
        <v>65.85</v>
      </c>
      <c r="J523" s="81">
        <f>IFERROR(__xludf.DUMMYFUNCTION("IF(H523="""", """", ROUND(H523 / MAX(FILTER($H$2:$H5067, $D$2:$D5067=$D523)) * 100, 2))"),4.42)</f>
        <v>4.42</v>
      </c>
      <c r="K523" s="2"/>
      <c r="L523" s="48"/>
      <c r="M523" s="48"/>
      <c r="N523" s="48"/>
      <c r="O523" s="48" t="str">
        <f t="shared" si="2"/>
        <v/>
      </c>
      <c r="P523" s="48" t="str">
        <f t="shared" si="3"/>
        <v/>
      </c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</row>
    <row r="524">
      <c r="A524" s="63">
        <v>36.0</v>
      </c>
      <c r="B524" s="63">
        <v>48.0</v>
      </c>
      <c r="C524" s="64" t="s">
        <v>156</v>
      </c>
      <c r="D524" s="64" t="s">
        <v>157</v>
      </c>
      <c r="E524" s="64" t="s">
        <v>158</v>
      </c>
      <c r="F524" s="63">
        <v>1000.0</v>
      </c>
      <c r="G524" s="63">
        <v>15.75</v>
      </c>
      <c r="H524" s="66">
        <f t="shared" si="1"/>
        <v>21.99</v>
      </c>
      <c r="I524" s="81">
        <f>IFERROR(__xludf.DUMMYFUNCTION("IF(G524="""", """", ROUND(G524 / MAX(FILTER($G$2:$G5067, $D$2:$D5067=$D524)) * 100, 2))"),74.61)</f>
        <v>74.61</v>
      </c>
      <c r="J524" s="81">
        <f>IFERROR(__xludf.DUMMYFUNCTION("IF(H524="""", """", ROUND(H524 / MAX(FILTER($H$2:$H5067, $D$2:$D5067=$D524)) * 100, 2))"),10.03)</f>
        <v>10.03</v>
      </c>
      <c r="K524" s="2"/>
      <c r="L524" s="49"/>
      <c r="M524" s="49"/>
      <c r="N524" s="49"/>
      <c r="O524" s="49" t="str">
        <f t="shared" si="2"/>
        <v/>
      </c>
      <c r="P524" s="49" t="str">
        <f t="shared" si="3"/>
        <v/>
      </c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</row>
    <row r="525">
      <c r="A525" s="69">
        <v>36.0</v>
      </c>
      <c r="B525" s="69">
        <v>48.0</v>
      </c>
      <c r="C525" s="86" t="s">
        <v>156</v>
      </c>
      <c r="D525" s="86" t="s">
        <v>157</v>
      </c>
      <c r="E525" s="86" t="s">
        <v>158</v>
      </c>
      <c r="F525" s="69">
        <v>1500.0</v>
      </c>
      <c r="G525" s="69">
        <v>17.05</v>
      </c>
      <c r="H525" s="68">
        <f t="shared" si="1"/>
        <v>35.71</v>
      </c>
      <c r="I525" s="81">
        <f>IFERROR(__xludf.DUMMYFUNCTION("IF(G525="""", """", ROUND(G525 / MAX(FILTER($G$2:$G5067, $D$2:$D5067=$D525)) * 100, 2))"),80.77)</f>
        <v>80.77</v>
      </c>
      <c r="J525" s="81">
        <f>IFERROR(__xludf.DUMMYFUNCTION("IF(H525="""", """", ROUND(H525 / MAX(FILTER($H$2:$H5067, $D$2:$D5067=$D525)) * 100, 2))"),16.29)</f>
        <v>16.29</v>
      </c>
      <c r="K525" s="2"/>
      <c r="L525" s="48"/>
      <c r="M525" s="48"/>
      <c r="N525" s="48"/>
      <c r="O525" s="48" t="str">
        <f t="shared" si="2"/>
        <v/>
      </c>
      <c r="P525" s="48" t="str">
        <f t="shared" si="3"/>
        <v/>
      </c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</row>
    <row r="526">
      <c r="A526" s="63">
        <v>36.0</v>
      </c>
      <c r="B526" s="63">
        <v>48.0</v>
      </c>
      <c r="C526" s="64" t="s">
        <v>156</v>
      </c>
      <c r="D526" s="64" t="s">
        <v>157</v>
      </c>
      <c r="E526" s="64" t="s">
        <v>158</v>
      </c>
      <c r="F526" s="63">
        <v>2000.0</v>
      </c>
      <c r="G526" s="63">
        <v>18.12</v>
      </c>
      <c r="H526" s="66">
        <f t="shared" si="1"/>
        <v>50.6</v>
      </c>
      <c r="I526" s="81">
        <f>IFERROR(__xludf.DUMMYFUNCTION("IF(G526="""", """", ROUND(G526 / MAX(FILTER($G$2:$G5067, $D$2:$D5067=$D526)) * 100, 2))"),85.84)</f>
        <v>85.84</v>
      </c>
      <c r="J526" s="81">
        <f>IFERROR(__xludf.DUMMYFUNCTION("IF(H526="""", """", ROUND(H526 / MAX(FILTER($H$2:$H5067, $D$2:$D5067=$D526)) * 100, 2))"),23.08)</f>
        <v>23.08</v>
      </c>
      <c r="K526" s="2"/>
      <c r="L526" s="49"/>
      <c r="M526" s="49"/>
      <c r="N526" s="49"/>
      <c r="O526" s="49" t="str">
        <f t="shared" si="2"/>
        <v/>
      </c>
      <c r="P526" s="49" t="str">
        <f t="shared" si="3"/>
        <v/>
      </c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</row>
    <row r="527">
      <c r="A527" s="69">
        <v>36.0</v>
      </c>
      <c r="B527" s="69">
        <v>48.0</v>
      </c>
      <c r="C527" s="86" t="s">
        <v>156</v>
      </c>
      <c r="D527" s="86" t="s">
        <v>157</v>
      </c>
      <c r="E527" s="86" t="s">
        <v>158</v>
      </c>
      <c r="F527" s="69">
        <v>2500.0</v>
      </c>
      <c r="G527" s="69">
        <v>19.17</v>
      </c>
      <c r="H527" s="68">
        <f t="shared" si="1"/>
        <v>66.92</v>
      </c>
      <c r="I527" s="81">
        <f>IFERROR(__xludf.DUMMYFUNCTION("IF(G527="""", """", ROUND(G527 / MAX(FILTER($G$2:$G5067, $D$2:$D5067=$D527)) * 100, 2))"),90.81)</f>
        <v>90.81</v>
      </c>
      <c r="J527" s="81">
        <f>IFERROR(__xludf.DUMMYFUNCTION("IF(H527="""", """", ROUND(H527 / MAX(FILTER($H$2:$H5067, $D$2:$D5067=$D527)) * 100, 2))"),30.52)</f>
        <v>30.52</v>
      </c>
      <c r="K527" s="2"/>
      <c r="L527" s="48"/>
      <c r="M527" s="48"/>
      <c r="N527" s="48"/>
      <c r="O527" s="48" t="str">
        <f t="shared" si="2"/>
        <v/>
      </c>
      <c r="P527" s="48" t="str">
        <f t="shared" si="3"/>
        <v/>
      </c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</row>
    <row r="528">
      <c r="A528" s="63">
        <v>36.0</v>
      </c>
      <c r="B528" s="63">
        <v>48.0</v>
      </c>
      <c r="C528" s="64" t="s">
        <v>156</v>
      </c>
      <c r="D528" s="64" t="s">
        <v>157</v>
      </c>
      <c r="E528" s="64" t="s">
        <v>158</v>
      </c>
      <c r="F528" s="63">
        <v>3000.0</v>
      </c>
      <c r="G528" s="63">
        <v>19.37</v>
      </c>
      <c r="H528" s="66">
        <f t="shared" si="1"/>
        <v>81.14</v>
      </c>
      <c r="I528" s="81">
        <f>IFERROR(__xludf.DUMMYFUNCTION("IF(G528="""", """", ROUND(G528 / MAX(FILTER($G$2:$G5067, $D$2:$D5067=$D528)) * 100, 2))"),91.76)</f>
        <v>91.76</v>
      </c>
      <c r="J528" s="81">
        <f>IFERROR(__xludf.DUMMYFUNCTION("IF(H528="""", """", ROUND(H528 / MAX(FILTER($H$2:$H5067, $D$2:$D5067=$D528)) * 100, 2))"),37.0)</f>
        <v>37</v>
      </c>
      <c r="K528" s="2"/>
      <c r="L528" s="49"/>
      <c r="M528" s="49"/>
      <c r="N528" s="49"/>
      <c r="O528" s="49" t="str">
        <f t="shared" si="2"/>
        <v/>
      </c>
      <c r="P528" s="49" t="str">
        <f t="shared" si="3"/>
        <v/>
      </c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</row>
    <row r="529">
      <c r="A529" s="69">
        <v>36.0</v>
      </c>
      <c r="B529" s="69">
        <v>48.0</v>
      </c>
      <c r="C529" s="86" t="s">
        <v>156</v>
      </c>
      <c r="D529" s="86" t="s">
        <v>157</v>
      </c>
      <c r="E529" s="86" t="s">
        <v>158</v>
      </c>
      <c r="F529" s="69">
        <v>3500.0</v>
      </c>
      <c r="G529" s="69">
        <v>18.97</v>
      </c>
      <c r="H529" s="68">
        <f t="shared" si="1"/>
        <v>92.7</v>
      </c>
      <c r="I529" s="81">
        <f>IFERROR(__xludf.DUMMYFUNCTION("IF(G529="""", """", ROUND(G529 / MAX(FILTER($G$2:$G5067, $D$2:$D5067=$D529)) * 100, 2))"),89.86)</f>
        <v>89.86</v>
      </c>
      <c r="J529" s="81">
        <f>IFERROR(__xludf.DUMMYFUNCTION("IF(H529="""", """", ROUND(H529 / MAX(FILTER($H$2:$H5067, $D$2:$D5067=$D529)) * 100, 2))"),42.28)</f>
        <v>42.28</v>
      </c>
      <c r="K529" s="2"/>
      <c r="L529" s="48"/>
      <c r="M529" s="48"/>
      <c r="N529" s="48"/>
      <c r="O529" s="48" t="str">
        <f t="shared" si="2"/>
        <v/>
      </c>
      <c r="P529" s="48" t="str">
        <f t="shared" si="3"/>
        <v/>
      </c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</row>
    <row r="530">
      <c r="A530" s="63">
        <v>36.0</v>
      </c>
      <c r="B530" s="63">
        <v>48.0</v>
      </c>
      <c r="C530" s="64" t="s">
        <v>156</v>
      </c>
      <c r="D530" s="64" t="s">
        <v>157</v>
      </c>
      <c r="E530" s="64" t="s">
        <v>158</v>
      </c>
      <c r="F530" s="63">
        <v>4000.0</v>
      </c>
      <c r="G530" s="63">
        <v>18.86</v>
      </c>
      <c r="H530" s="66">
        <f t="shared" si="1"/>
        <v>105.33</v>
      </c>
      <c r="I530" s="81">
        <f>IFERROR(__xludf.DUMMYFUNCTION("IF(G530="""", """", ROUND(G530 / MAX(FILTER($G$2:$G5067, $D$2:$D5067=$D530)) * 100, 2))"),89.34)</f>
        <v>89.34</v>
      </c>
      <c r="J530" s="81">
        <f>IFERROR(__xludf.DUMMYFUNCTION("IF(H530="""", """", ROUND(H530 / MAX(FILTER($H$2:$H5067, $D$2:$D5067=$D530)) * 100, 2))"),48.04)</f>
        <v>48.04</v>
      </c>
      <c r="K530" s="2"/>
      <c r="L530" s="49"/>
      <c r="M530" s="49"/>
      <c r="N530" s="49"/>
      <c r="O530" s="49" t="str">
        <f t="shared" si="2"/>
        <v/>
      </c>
      <c r="P530" s="49" t="str">
        <f t="shared" si="3"/>
        <v/>
      </c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</row>
    <row r="531">
      <c r="A531" s="69">
        <v>36.0</v>
      </c>
      <c r="B531" s="69">
        <v>48.0</v>
      </c>
      <c r="C531" s="86" t="s">
        <v>156</v>
      </c>
      <c r="D531" s="86" t="s">
        <v>157</v>
      </c>
      <c r="E531" s="86" t="s">
        <v>158</v>
      </c>
      <c r="F531" s="69">
        <v>4500.0</v>
      </c>
      <c r="G531" s="69">
        <v>18.97</v>
      </c>
      <c r="H531" s="68">
        <f t="shared" si="1"/>
        <v>119.19</v>
      </c>
      <c r="I531" s="81">
        <f>IFERROR(__xludf.DUMMYFUNCTION("IF(G531="""", """", ROUND(G531 / MAX(FILTER($G$2:$G5067, $D$2:$D5067=$D531)) * 100, 2))"),89.86)</f>
        <v>89.86</v>
      </c>
      <c r="J531" s="81">
        <f>IFERROR(__xludf.DUMMYFUNCTION("IF(H531="""", """", ROUND(H531 / MAX(FILTER($H$2:$H5067, $D$2:$D5067=$D531)) * 100, 2))"),54.36)</f>
        <v>54.36</v>
      </c>
      <c r="K531" s="2"/>
      <c r="L531" s="48"/>
      <c r="M531" s="48"/>
      <c r="N531" s="48"/>
      <c r="O531" s="48" t="str">
        <f t="shared" si="2"/>
        <v/>
      </c>
      <c r="P531" s="48" t="str">
        <f t="shared" si="3"/>
        <v/>
      </c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</row>
    <row r="532">
      <c r="A532" s="63">
        <v>36.0</v>
      </c>
      <c r="B532" s="63">
        <v>48.0</v>
      </c>
      <c r="C532" s="64" t="s">
        <v>156</v>
      </c>
      <c r="D532" s="64" t="s">
        <v>157</v>
      </c>
      <c r="E532" s="64" t="s">
        <v>158</v>
      </c>
      <c r="F532" s="63">
        <v>5000.0</v>
      </c>
      <c r="G532" s="63">
        <v>19.17</v>
      </c>
      <c r="H532" s="66">
        <f t="shared" si="1"/>
        <v>133.83</v>
      </c>
      <c r="I532" s="81">
        <f>IFERROR(__xludf.DUMMYFUNCTION("IF(G532="""", """", ROUND(G532 / MAX(FILTER($G$2:$G5067, $D$2:$D5067=$D532)) * 100, 2))"),90.81)</f>
        <v>90.81</v>
      </c>
      <c r="J532" s="81">
        <f>IFERROR(__xludf.DUMMYFUNCTION("IF(H532="""", """", ROUND(H532 / MAX(FILTER($H$2:$H5067, $D$2:$D5067=$D532)) * 100, 2))"),61.03)</f>
        <v>61.03</v>
      </c>
      <c r="K532" s="2"/>
      <c r="L532" s="49"/>
      <c r="M532" s="49"/>
      <c r="N532" s="49"/>
      <c r="O532" s="49" t="str">
        <f t="shared" si="2"/>
        <v/>
      </c>
      <c r="P532" s="49" t="str">
        <f t="shared" si="3"/>
        <v/>
      </c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</row>
    <row r="533">
      <c r="A533" s="69">
        <v>36.0</v>
      </c>
      <c r="B533" s="69">
        <v>48.0</v>
      </c>
      <c r="C533" s="86" t="s">
        <v>156</v>
      </c>
      <c r="D533" s="86" t="s">
        <v>157</v>
      </c>
      <c r="E533" s="86" t="s">
        <v>158</v>
      </c>
      <c r="F533" s="69">
        <v>5500.0</v>
      </c>
      <c r="G533" s="69">
        <v>19.58</v>
      </c>
      <c r="H533" s="68">
        <f t="shared" si="1"/>
        <v>150.36</v>
      </c>
      <c r="I533" s="81">
        <f>IFERROR(__xludf.DUMMYFUNCTION("IF(G533="""", """", ROUND(G533 / MAX(FILTER($G$2:$G5067, $D$2:$D5067=$D533)) * 100, 2))"),92.75)</f>
        <v>92.75</v>
      </c>
      <c r="J533" s="81">
        <f>IFERROR(__xludf.DUMMYFUNCTION("IF(H533="""", """", ROUND(H533 / MAX(FILTER($H$2:$H5067, $D$2:$D5067=$D533)) * 100, 2))"),68.57)</f>
        <v>68.57</v>
      </c>
      <c r="K533" s="2"/>
      <c r="L533" s="48"/>
      <c r="M533" s="48"/>
      <c r="N533" s="48"/>
      <c r="O533" s="48" t="str">
        <f t="shared" si="2"/>
        <v/>
      </c>
      <c r="P533" s="48" t="str">
        <f t="shared" si="3"/>
        <v/>
      </c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</row>
    <row r="534">
      <c r="A534" s="63">
        <v>36.0</v>
      </c>
      <c r="B534" s="63">
        <v>48.0</v>
      </c>
      <c r="C534" s="64" t="s">
        <v>156</v>
      </c>
      <c r="D534" s="64" t="s">
        <v>157</v>
      </c>
      <c r="E534" s="64" t="s">
        <v>158</v>
      </c>
      <c r="F534" s="63">
        <v>6000.0</v>
      </c>
      <c r="G534" s="63">
        <v>20.5</v>
      </c>
      <c r="H534" s="66">
        <f t="shared" si="1"/>
        <v>171.74</v>
      </c>
      <c r="I534" s="81">
        <f>IFERROR(__xludf.DUMMYFUNCTION("IF(G534="""", """", ROUND(G534 / MAX(FILTER($G$2:$G5067, $D$2:$D5067=$D534)) * 100, 2))"),97.11)</f>
        <v>97.11</v>
      </c>
      <c r="J534" s="81">
        <f>IFERROR(__xludf.DUMMYFUNCTION("IF(H534="""", """", ROUND(H534 / MAX(FILTER($H$2:$H5067, $D$2:$D5067=$D534)) * 100, 2))"),78.32)</f>
        <v>78.32</v>
      </c>
      <c r="K534" s="2"/>
      <c r="L534" s="49"/>
      <c r="M534" s="49"/>
      <c r="N534" s="49"/>
      <c r="O534" s="49" t="str">
        <f t="shared" si="2"/>
        <v/>
      </c>
      <c r="P534" s="49" t="str">
        <f t="shared" si="3"/>
        <v/>
      </c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</row>
    <row r="535">
      <c r="A535" s="69">
        <v>36.0</v>
      </c>
      <c r="B535" s="69">
        <v>48.0</v>
      </c>
      <c r="C535" s="86" t="s">
        <v>156</v>
      </c>
      <c r="D535" s="86" t="s">
        <v>157</v>
      </c>
      <c r="E535" s="86" t="s">
        <v>158</v>
      </c>
      <c r="F535" s="69">
        <v>6500.0</v>
      </c>
      <c r="G535" s="69">
        <v>20.9</v>
      </c>
      <c r="H535" s="68">
        <f t="shared" si="1"/>
        <v>189.68</v>
      </c>
      <c r="I535" s="81">
        <f>IFERROR(__xludf.DUMMYFUNCTION("IF(G535="""", """", ROUND(G535 / MAX(FILTER($G$2:$G5067, $D$2:$D5067=$D535)) * 100, 2))"),99.01)</f>
        <v>99.01</v>
      </c>
      <c r="J535" s="81">
        <f>IFERROR(__xludf.DUMMYFUNCTION("IF(H535="""", """", ROUND(H535 / MAX(FILTER($H$2:$H5067, $D$2:$D5067=$D535)) * 100, 2))"),86.51)</f>
        <v>86.51</v>
      </c>
      <c r="K535" s="2"/>
      <c r="L535" s="48"/>
      <c r="M535" s="48"/>
      <c r="N535" s="48"/>
      <c r="O535" s="48" t="str">
        <f t="shared" si="2"/>
        <v/>
      </c>
      <c r="P535" s="48" t="str">
        <f t="shared" si="3"/>
        <v/>
      </c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</row>
    <row r="536">
      <c r="A536" s="63">
        <v>36.0</v>
      </c>
      <c r="B536" s="63">
        <v>48.0</v>
      </c>
      <c r="C536" s="64" t="s">
        <v>156</v>
      </c>
      <c r="D536" s="64" t="s">
        <v>157</v>
      </c>
      <c r="E536" s="64" t="s">
        <v>158</v>
      </c>
      <c r="F536" s="63">
        <v>7000.0</v>
      </c>
      <c r="G536" s="63">
        <v>21.11</v>
      </c>
      <c r="H536" s="66">
        <f t="shared" si="1"/>
        <v>206.33</v>
      </c>
      <c r="I536" s="81">
        <f>IFERROR(__xludf.DUMMYFUNCTION("IF(G536="""", """", ROUND(G536 / MAX(FILTER($G$2:$G5067, $D$2:$D5067=$D536)) * 100, 2))"),100.0)</f>
        <v>100</v>
      </c>
      <c r="J536" s="81">
        <f>IFERROR(__xludf.DUMMYFUNCTION("IF(H536="""", """", ROUND(H536 / MAX(FILTER($H$2:$H5067, $D$2:$D5067=$D536)) * 100, 2))"),94.1)</f>
        <v>94.1</v>
      </c>
      <c r="K536" s="2"/>
      <c r="L536" s="49"/>
      <c r="M536" s="49"/>
      <c r="N536" s="49"/>
      <c r="O536" s="49" t="str">
        <f t="shared" si="2"/>
        <v/>
      </c>
      <c r="P536" s="49" t="str">
        <f t="shared" si="3"/>
        <v/>
      </c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</row>
    <row r="537">
      <c r="A537" s="69">
        <v>36.0</v>
      </c>
      <c r="B537" s="69">
        <v>48.0</v>
      </c>
      <c r="C537" s="86" t="s">
        <v>156</v>
      </c>
      <c r="D537" s="86" t="s">
        <v>157</v>
      </c>
      <c r="E537" s="86" t="s">
        <v>158</v>
      </c>
      <c r="F537" s="69">
        <v>7500.0</v>
      </c>
      <c r="G537" s="69">
        <v>20.6</v>
      </c>
      <c r="H537" s="68">
        <f t="shared" si="1"/>
        <v>215.72</v>
      </c>
      <c r="I537" s="81">
        <f>IFERROR(__xludf.DUMMYFUNCTION("IF(G537="""", """", ROUND(G537 / MAX(FILTER($G$2:$G5067, $D$2:$D5067=$D537)) * 100, 2))"),97.58)</f>
        <v>97.58</v>
      </c>
      <c r="J537" s="81">
        <f>IFERROR(__xludf.DUMMYFUNCTION("IF(H537="""", """", ROUND(H537 / MAX(FILTER($H$2:$H5067, $D$2:$D5067=$D537)) * 100, 2))"),98.38)</f>
        <v>98.38</v>
      </c>
      <c r="K537" s="2"/>
      <c r="L537" s="48"/>
      <c r="M537" s="48"/>
      <c r="N537" s="48"/>
      <c r="O537" s="48" t="str">
        <f t="shared" si="2"/>
        <v/>
      </c>
      <c r="P537" s="48" t="str">
        <f t="shared" si="3"/>
        <v/>
      </c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</row>
    <row r="538">
      <c r="A538" s="63">
        <v>36.0</v>
      </c>
      <c r="B538" s="63">
        <v>48.0</v>
      </c>
      <c r="C538" s="64" t="s">
        <v>156</v>
      </c>
      <c r="D538" s="64" t="s">
        <v>157</v>
      </c>
      <c r="E538" s="64" t="s">
        <v>158</v>
      </c>
      <c r="F538" s="63">
        <v>8000.0</v>
      </c>
      <c r="G538" s="63">
        <v>19.63</v>
      </c>
      <c r="H538" s="66">
        <f t="shared" si="1"/>
        <v>219.27</v>
      </c>
      <c r="I538" s="81">
        <f>IFERROR(__xludf.DUMMYFUNCTION("IF(G538="""", """", ROUND(G538 / MAX(FILTER($G$2:$G5067, $D$2:$D5067=$D538)) * 100, 2))"),92.99)</f>
        <v>92.99</v>
      </c>
      <c r="J538" s="81">
        <f>IFERROR(__xludf.DUMMYFUNCTION("IF(H538="""", """", ROUND(H538 / MAX(FILTER($H$2:$H5067, $D$2:$D5067=$D538)) * 100, 2))"),100.0)</f>
        <v>100</v>
      </c>
      <c r="K538" s="2"/>
      <c r="L538" s="49"/>
      <c r="M538" s="49"/>
      <c r="N538" s="49"/>
      <c r="O538" s="49" t="str">
        <f t="shared" si="2"/>
        <v/>
      </c>
      <c r="P538" s="49" t="str">
        <f t="shared" si="3"/>
        <v/>
      </c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</row>
    <row r="539">
      <c r="A539" s="69">
        <v>36.0</v>
      </c>
      <c r="B539" s="69">
        <v>48.0</v>
      </c>
      <c r="C539" s="86" t="s">
        <v>156</v>
      </c>
      <c r="D539" s="86" t="s">
        <v>157</v>
      </c>
      <c r="E539" s="86" t="s">
        <v>158</v>
      </c>
      <c r="F539" s="69">
        <v>8500.0</v>
      </c>
      <c r="G539" s="69">
        <v>18.15</v>
      </c>
      <c r="H539" s="68">
        <f t="shared" si="1"/>
        <v>215.41</v>
      </c>
      <c r="I539" s="81">
        <f>IFERROR(__xludf.DUMMYFUNCTION("IF(G539="""", """", ROUND(G539 / MAX(FILTER($G$2:$G5067, $D$2:$D5067=$D539)) * 100, 2))"),85.98)</f>
        <v>85.98</v>
      </c>
      <c r="J539" s="81">
        <f>IFERROR(__xludf.DUMMYFUNCTION("IF(H539="""", """", ROUND(H539 / MAX(FILTER($H$2:$H5067, $D$2:$D5067=$D539)) * 100, 2))"),98.24)</f>
        <v>98.24</v>
      </c>
      <c r="K539" s="2"/>
      <c r="L539" s="48"/>
      <c r="M539" s="48"/>
      <c r="N539" s="48"/>
      <c r="O539" s="48" t="str">
        <f t="shared" si="2"/>
        <v/>
      </c>
      <c r="P539" s="48" t="str">
        <f t="shared" si="3"/>
        <v/>
      </c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</row>
    <row r="540">
      <c r="A540" s="63">
        <v>36.0</v>
      </c>
      <c r="B540" s="63">
        <v>48.0</v>
      </c>
      <c r="C540" s="64" t="s">
        <v>156</v>
      </c>
      <c r="D540" s="64" t="s">
        <v>157</v>
      </c>
      <c r="E540" s="64" t="s">
        <v>158</v>
      </c>
      <c r="F540" s="63">
        <v>9000.0</v>
      </c>
      <c r="G540" s="63">
        <v>15.5</v>
      </c>
      <c r="H540" s="66">
        <f t="shared" si="1"/>
        <v>194.78</v>
      </c>
      <c r="I540" s="81">
        <f>IFERROR(__xludf.DUMMYFUNCTION("IF(G540="""", """", ROUND(G540 / MAX(FILTER($G$2:$G5067, $D$2:$D5067=$D540)) * 100, 2))"),73.42)</f>
        <v>73.42</v>
      </c>
      <c r="J540" s="81">
        <f>IFERROR(__xludf.DUMMYFUNCTION("IF(H540="""", """", ROUND(H540 / MAX(FILTER($H$2:$H5067, $D$2:$D5067=$D540)) * 100, 2))"),88.83)</f>
        <v>88.83</v>
      </c>
      <c r="K540" s="2"/>
      <c r="L540" s="49"/>
      <c r="M540" s="49"/>
      <c r="N540" s="49"/>
      <c r="O540" s="49" t="str">
        <f t="shared" si="2"/>
        <v/>
      </c>
      <c r="P540" s="49" t="str">
        <f t="shared" si="3"/>
        <v/>
      </c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</row>
    <row r="541">
      <c r="A541" s="69">
        <v>37.0</v>
      </c>
      <c r="B541" s="69">
        <v>49.0</v>
      </c>
      <c r="C541" s="86" t="s">
        <v>159</v>
      </c>
      <c r="D541" s="86" t="s">
        <v>160</v>
      </c>
      <c r="E541" s="86" t="s">
        <v>161</v>
      </c>
      <c r="F541" s="69">
        <v>500.0</v>
      </c>
      <c r="G541" s="69">
        <v>12.09</v>
      </c>
      <c r="H541" s="68">
        <f t="shared" si="1"/>
        <v>8.44</v>
      </c>
      <c r="I541" s="81">
        <f>IFERROR(__xludf.DUMMYFUNCTION("IF(G541="""", """", ROUND(G541 / MAX(FILTER($G$2:$G5067, $D$2:$D5067=$D541)) * 100, 2))"),58.69)</f>
        <v>58.69</v>
      </c>
      <c r="J541" s="81">
        <f>IFERROR(__xludf.DUMMYFUNCTION("IF(H541="""", """", ROUND(H541 / MAX(FILTER($H$2:$H5067, $D$2:$D5067=$D541)) * 100, 2))"),3.93)</f>
        <v>3.93</v>
      </c>
      <c r="K541" s="2"/>
      <c r="L541" s="48"/>
      <c r="M541" s="48"/>
      <c r="N541" s="48"/>
      <c r="O541" s="48" t="str">
        <f t="shared" si="2"/>
        <v/>
      </c>
      <c r="P541" s="48" t="str">
        <f t="shared" si="3"/>
        <v/>
      </c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</row>
    <row r="542">
      <c r="A542" s="63">
        <v>37.0</v>
      </c>
      <c r="B542" s="63">
        <v>49.0</v>
      </c>
      <c r="C542" s="64" t="s">
        <v>159</v>
      </c>
      <c r="D542" s="64" t="s">
        <v>160</v>
      </c>
      <c r="E542" s="64" t="s">
        <v>161</v>
      </c>
      <c r="F542" s="63">
        <v>1000.0</v>
      </c>
      <c r="G542" s="63">
        <v>14.28</v>
      </c>
      <c r="H542" s="66">
        <f t="shared" si="1"/>
        <v>19.94</v>
      </c>
      <c r="I542" s="81">
        <f>IFERROR(__xludf.DUMMYFUNCTION("IF(G542="""", """", ROUND(G542 / MAX(FILTER($G$2:$G5067, $D$2:$D5067=$D542)) * 100, 2))"),69.32)</f>
        <v>69.32</v>
      </c>
      <c r="J542" s="81">
        <f>IFERROR(__xludf.DUMMYFUNCTION("IF(H542="""", """", ROUND(H542 / MAX(FILTER($H$2:$H5067, $D$2:$D5067=$D542)) * 100, 2))"),9.28)</f>
        <v>9.28</v>
      </c>
      <c r="K542" s="2"/>
      <c r="L542" s="49"/>
      <c r="M542" s="49"/>
      <c r="N542" s="49"/>
      <c r="O542" s="49" t="str">
        <f t="shared" si="2"/>
        <v/>
      </c>
      <c r="P542" s="49" t="str">
        <f t="shared" si="3"/>
        <v/>
      </c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</row>
    <row r="543">
      <c r="A543" s="69">
        <v>37.0</v>
      </c>
      <c r="B543" s="69">
        <v>49.0</v>
      </c>
      <c r="C543" s="86" t="s">
        <v>159</v>
      </c>
      <c r="D543" s="86" t="s">
        <v>160</v>
      </c>
      <c r="E543" s="86" t="s">
        <v>161</v>
      </c>
      <c r="F543" s="69">
        <v>1500.0</v>
      </c>
      <c r="G543" s="69">
        <v>15.75</v>
      </c>
      <c r="H543" s="68">
        <f t="shared" si="1"/>
        <v>32.99</v>
      </c>
      <c r="I543" s="81">
        <f>IFERROR(__xludf.DUMMYFUNCTION("IF(G543="""", """", ROUND(G543 / MAX(FILTER($G$2:$G5067, $D$2:$D5067=$D543)) * 100, 2))"),76.46)</f>
        <v>76.46</v>
      </c>
      <c r="J543" s="81">
        <f>IFERROR(__xludf.DUMMYFUNCTION("IF(H543="""", """", ROUND(H543 / MAX(FILTER($H$2:$H5067, $D$2:$D5067=$D543)) * 100, 2))"),15.35)</f>
        <v>15.35</v>
      </c>
      <c r="K543" s="2"/>
      <c r="L543" s="48"/>
      <c r="M543" s="48"/>
      <c r="N543" s="48"/>
      <c r="O543" s="48" t="str">
        <f t="shared" si="2"/>
        <v/>
      </c>
      <c r="P543" s="48" t="str">
        <f t="shared" si="3"/>
        <v/>
      </c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</row>
    <row r="544">
      <c r="A544" s="63">
        <v>37.0</v>
      </c>
      <c r="B544" s="63">
        <v>49.0</v>
      </c>
      <c r="C544" s="64" t="s">
        <v>159</v>
      </c>
      <c r="D544" s="64" t="s">
        <v>160</v>
      </c>
      <c r="E544" s="64" t="s">
        <v>161</v>
      </c>
      <c r="F544" s="63">
        <v>2000.0</v>
      </c>
      <c r="G544" s="63">
        <v>17.23</v>
      </c>
      <c r="H544" s="66">
        <f t="shared" si="1"/>
        <v>48.12</v>
      </c>
      <c r="I544" s="81">
        <f>IFERROR(__xludf.DUMMYFUNCTION("IF(G544="""", """", ROUND(G544 / MAX(FILTER($G$2:$G5067, $D$2:$D5067=$D544)) * 100, 2))"),83.64)</f>
        <v>83.64</v>
      </c>
      <c r="J544" s="81">
        <f>IFERROR(__xludf.DUMMYFUNCTION("IF(H544="""", """", ROUND(H544 / MAX(FILTER($H$2:$H5067, $D$2:$D5067=$D544)) * 100, 2))"),22.39)</f>
        <v>22.39</v>
      </c>
      <c r="K544" s="2"/>
      <c r="L544" s="49"/>
      <c r="M544" s="49"/>
      <c r="N544" s="49"/>
      <c r="O544" s="49" t="str">
        <f t="shared" si="2"/>
        <v/>
      </c>
      <c r="P544" s="49" t="str">
        <f t="shared" si="3"/>
        <v/>
      </c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</row>
    <row r="545">
      <c r="A545" s="69">
        <v>37.0</v>
      </c>
      <c r="B545" s="69">
        <v>49.0</v>
      </c>
      <c r="C545" s="86" t="s">
        <v>159</v>
      </c>
      <c r="D545" s="86" t="s">
        <v>160</v>
      </c>
      <c r="E545" s="86" t="s">
        <v>161</v>
      </c>
      <c r="F545" s="69">
        <v>2500.0</v>
      </c>
      <c r="G545" s="69">
        <v>18.05</v>
      </c>
      <c r="H545" s="68">
        <f t="shared" si="1"/>
        <v>63.01</v>
      </c>
      <c r="I545" s="81">
        <f>IFERROR(__xludf.DUMMYFUNCTION("IF(G545="""", """", ROUND(G545 / MAX(FILTER($G$2:$G5067, $D$2:$D5067=$D545)) * 100, 2))"),87.62)</f>
        <v>87.62</v>
      </c>
      <c r="J545" s="81">
        <f>IFERROR(__xludf.DUMMYFUNCTION("IF(H545="""", """", ROUND(H545 / MAX(FILTER($H$2:$H5067, $D$2:$D5067=$D545)) * 100, 2))"),29.32)</f>
        <v>29.32</v>
      </c>
      <c r="K545" s="2"/>
      <c r="L545" s="48"/>
      <c r="M545" s="48"/>
      <c r="N545" s="48"/>
      <c r="O545" s="48" t="str">
        <f t="shared" si="2"/>
        <v/>
      </c>
      <c r="P545" s="48" t="str">
        <f t="shared" si="3"/>
        <v/>
      </c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</row>
    <row r="546">
      <c r="A546" s="63">
        <v>37.0</v>
      </c>
      <c r="B546" s="63">
        <v>49.0</v>
      </c>
      <c r="C546" s="64" t="s">
        <v>159</v>
      </c>
      <c r="D546" s="64" t="s">
        <v>160</v>
      </c>
      <c r="E546" s="64" t="s">
        <v>161</v>
      </c>
      <c r="F546" s="63">
        <v>3000.0</v>
      </c>
      <c r="G546" s="63">
        <v>18.86</v>
      </c>
      <c r="H546" s="66">
        <f t="shared" si="1"/>
        <v>79</v>
      </c>
      <c r="I546" s="81">
        <f>IFERROR(__xludf.DUMMYFUNCTION("IF(G546="""", """", ROUND(G546 / MAX(FILTER($G$2:$G5067, $D$2:$D5067=$D546)) * 100, 2))"),91.55)</f>
        <v>91.55</v>
      </c>
      <c r="J546" s="81">
        <f>IFERROR(__xludf.DUMMYFUNCTION("IF(H546="""", """", ROUND(H546 / MAX(FILTER($H$2:$H5067, $D$2:$D5067=$D546)) * 100, 2))"),36.76)</f>
        <v>36.76</v>
      </c>
      <c r="K546" s="2"/>
      <c r="L546" s="49"/>
      <c r="M546" s="49"/>
      <c r="N546" s="49"/>
      <c r="O546" s="49" t="str">
        <f t="shared" si="2"/>
        <v/>
      </c>
      <c r="P546" s="49" t="str">
        <f t="shared" si="3"/>
        <v/>
      </c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</row>
    <row r="547">
      <c r="A547" s="69">
        <v>37.0</v>
      </c>
      <c r="B547" s="69">
        <v>49.0</v>
      </c>
      <c r="C547" s="86" t="s">
        <v>159</v>
      </c>
      <c r="D547" s="86" t="s">
        <v>160</v>
      </c>
      <c r="E547" s="86" t="s">
        <v>161</v>
      </c>
      <c r="F547" s="69">
        <v>3500.0</v>
      </c>
      <c r="G547" s="69">
        <v>18.76</v>
      </c>
      <c r="H547" s="68">
        <f t="shared" si="1"/>
        <v>91.68</v>
      </c>
      <c r="I547" s="81">
        <f>IFERROR(__xludf.DUMMYFUNCTION("IF(G547="""", """", ROUND(G547 / MAX(FILTER($G$2:$G5067, $D$2:$D5067=$D547)) * 100, 2))"),91.07)</f>
        <v>91.07</v>
      </c>
      <c r="J547" s="81">
        <f>IFERROR(__xludf.DUMMYFUNCTION("IF(H547="""", """", ROUND(H547 / MAX(FILTER($H$2:$H5067, $D$2:$D5067=$D547)) * 100, 2))"),42.66)</f>
        <v>42.66</v>
      </c>
      <c r="K547" s="2"/>
      <c r="L547" s="48"/>
      <c r="M547" s="48"/>
      <c r="N547" s="48"/>
      <c r="O547" s="48" t="str">
        <f t="shared" si="2"/>
        <v/>
      </c>
      <c r="P547" s="48" t="str">
        <f t="shared" si="3"/>
        <v/>
      </c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</row>
    <row r="548">
      <c r="A548" s="63">
        <v>37.0</v>
      </c>
      <c r="B548" s="63">
        <v>49.0</v>
      </c>
      <c r="C548" s="64" t="s">
        <v>159</v>
      </c>
      <c r="D548" s="64" t="s">
        <v>160</v>
      </c>
      <c r="E548" s="64" t="s">
        <v>161</v>
      </c>
      <c r="F548" s="63">
        <v>4000.0</v>
      </c>
      <c r="G548" s="63">
        <v>18.66</v>
      </c>
      <c r="H548" s="66">
        <f t="shared" si="1"/>
        <v>104.22</v>
      </c>
      <c r="I548" s="81">
        <f>IFERROR(__xludf.DUMMYFUNCTION("IF(G548="""", """", ROUND(G548 / MAX(FILTER($G$2:$G5067, $D$2:$D5067=$D548)) * 100, 2))"),90.58)</f>
        <v>90.58</v>
      </c>
      <c r="J548" s="81">
        <f>IFERROR(__xludf.DUMMYFUNCTION("IF(H548="""", """", ROUND(H548 / MAX(FILTER($H$2:$H5067, $D$2:$D5067=$D548)) * 100, 2))"),48.49)</f>
        <v>48.49</v>
      </c>
      <c r="K548" s="2"/>
      <c r="L548" s="49"/>
      <c r="M548" s="49"/>
      <c r="N548" s="49"/>
      <c r="O548" s="49" t="str">
        <f t="shared" si="2"/>
        <v/>
      </c>
      <c r="P548" s="49" t="str">
        <f t="shared" si="3"/>
        <v/>
      </c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</row>
    <row r="549">
      <c r="A549" s="69">
        <v>37.0</v>
      </c>
      <c r="B549" s="69">
        <v>49.0</v>
      </c>
      <c r="C549" s="86" t="s">
        <v>159</v>
      </c>
      <c r="D549" s="86" t="s">
        <v>160</v>
      </c>
      <c r="E549" s="86" t="s">
        <v>161</v>
      </c>
      <c r="F549" s="69">
        <v>4500.0</v>
      </c>
      <c r="G549" s="69">
        <v>18.76</v>
      </c>
      <c r="H549" s="68">
        <f t="shared" si="1"/>
        <v>117.87</v>
      </c>
      <c r="I549" s="81">
        <f>IFERROR(__xludf.DUMMYFUNCTION("IF(G549="""", """", ROUND(G549 / MAX(FILTER($G$2:$G5067, $D$2:$D5067=$D549)) * 100, 2))"),91.07)</f>
        <v>91.07</v>
      </c>
      <c r="J549" s="81">
        <f>IFERROR(__xludf.DUMMYFUNCTION("IF(H549="""", """", ROUND(H549 / MAX(FILTER($H$2:$H5067, $D$2:$D5067=$D549)) * 100, 2))"),54.85)</f>
        <v>54.85</v>
      </c>
      <c r="K549" s="2"/>
      <c r="L549" s="48"/>
      <c r="M549" s="48"/>
      <c r="N549" s="48"/>
      <c r="O549" s="48" t="str">
        <f t="shared" si="2"/>
        <v/>
      </c>
      <c r="P549" s="48" t="str">
        <f t="shared" si="3"/>
        <v/>
      </c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</row>
    <row r="550">
      <c r="A550" s="63">
        <v>37.0</v>
      </c>
      <c r="B550" s="63">
        <v>49.0</v>
      </c>
      <c r="C550" s="64" t="s">
        <v>159</v>
      </c>
      <c r="D550" s="64" t="s">
        <v>160</v>
      </c>
      <c r="E550" s="64" t="s">
        <v>161</v>
      </c>
      <c r="F550" s="63">
        <v>5000.0</v>
      </c>
      <c r="G550" s="63">
        <v>18.86</v>
      </c>
      <c r="H550" s="66">
        <f t="shared" si="1"/>
        <v>131.67</v>
      </c>
      <c r="I550" s="81">
        <f>IFERROR(__xludf.DUMMYFUNCTION("IF(G550="""", """", ROUND(G550 / MAX(FILTER($G$2:$G5067, $D$2:$D5067=$D550)) * 100, 2))"),91.55)</f>
        <v>91.55</v>
      </c>
      <c r="J550" s="81">
        <f>IFERROR(__xludf.DUMMYFUNCTION("IF(H550="""", """", ROUND(H550 / MAX(FILTER($H$2:$H5067, $D$2:$D5067=$D550)) * 100, 2))"),61.27)</f>
        <v>61.27</v>
      </c>
      <c r="K550" s="2"/>
      <c r="L550" s="49"/>
      <c r="M550" s="49"/>
      <c r="N550" s="49"/>
      <c r="O550" s="49" t="str">
        <f t="shared" si="2"/>
        <v/>
      </c>
      <c r="P550" s="49" t="str">
        <f t="shared" si="3"/>
        <v/>
      </c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</row>
    <row r="551">
      <c r="A551" s="69">
        <v>37.0</v>
      </c>
      <c r="B551" s="69">
        <v>49.0</v>
      </c>
      <c r="C551" s="86" t="s">
        <v>159</v>
      </c>
      <c r="D551" s="86" t="s">
        <v>160</v>
      </c>
      <c r="E551" s="86" t="s">
        <v>161</v>
      </c>
      <c r="F551" s="69">
        <v>5500.0</v>
      </c>
      <c r="G551" s="69">
        <v>19.53</v>
      </c>
      <c r="H551" s="68">
        <f t="shared" si="1"/>
        <v>149.98</v>
      </c>
      <c r="I551" s="81">
        <f>IFERROR(__xludf.DUMMYFUNCTION("IF(G551="""", """", ROUND(G551 / MAX(FILTER($G$2:$G5067, $D$2:$D5067=$D551)) * 100, 2))"),94.81)</f>
        <v>94.81</v>
      </c>
      <c r="J551" s="81">
        <f>IFERROR(__xludf.DUMMYFUNCTION("IF(H551="""", """", ROUND(H551 / MAX(FILTER($H$2:$H5067, $D$2:$D5067=$D551)) * 100, 2))"),69.79)</f>
        <v>69.79</v>
      </c>
      <c r="K551" s="2"/>
      <c r="L551" s="48"/>
      <c r="M551" s="48"/>
      <c r="N551" s="48"/>
      <c r="O551" s="48" t="str">
        <f t="shared" si="2"/>
        <v/>
      </c>
      <c r="P551" s="48" t="str">
        <f t="shared" si="3"/>
        <v/>
      </c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</row>
    <row r="552">
      <c r="A552" s="63">
        <v>37.0</v>
      </c>
      <c r="B552" s="63">
        <v>49.0</v>
      </c>
      <c r="C552" s="64" t="s">
        <v>159</v>
      </c>
      <c r="D552" s="64" t="s">
        <v>160</v>
      </c>
      <c r="E552" s="64" t="s">
        <v>161</v>
      </c>
      <c r="F552" s="63">
        <v>6000.0</v>
      </c>
      <c r="G552" s="63">
        <v>20.19</v>
      </c>
      <c r="H552" s="66">
        <f t="shared" si="1"/>
        <v>169.14</v>
      </c>
      <c r="I552" s="81">
        <f>IFERROR(__xludf.DUMMYFUNCTION("IF(G552="""", """", ROUND(G552 / MAX(FILTER($G$2:$G5067, $D$2:$D5067=$D552)) * 100, 2))"),98.01)</f>
        <v>98.01</v>
      </c>
      <c r="J552" s="81">
        <f>IFERROR(__xludf.DUMMYFUNCTION("IF(H552="""", """", ROUND(H552 / MAX(FILTER($H$2:$H5067, $D$2:$D5067=$D552)) * 100, 2))"),78.7)</f>
        <v>78.7</v>
      </c>
      <c r="K552" s="2"/>
      <c r="L552" s="49"/>
      <c r="M552" s="49"/>
      <c r="N552" s="49"/>
      <c r="O552" s="49" t="str">
        <f t="shared" si="2"/>
        <v/>
      </c>
      <c r="P552" s="49" t="str">
        <f t="shared" si="3"/>
        <v/>
      </c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</row>
    <row r="553">
      <c r="A553" s="69">
        <v>37.0</v>
      </c>
      <c r="B553" s="69">
        <v>49.0</v>
      </c>
      <c r="C553" s="86" t="s">
        <v>159</v>
      </c>
      <c r="D553" s="86" t="s">
        <v>160</v>
      </c>
      <c r="E553" s="86" t="s">
        <v>161</v>
      </c>
      <c r="F553" s="69">
        <v>6500.0</v>
      </c>
      <c r="G553" s="69">
        <v>20.39</v>
      </c>
      <c r="H553" s="68">
        <f t="shared" si="1"/>
        <v>185.05</v>
      </c>
      <c r="I553" s="81">
        <f>IFERROR(__xludf.DUMMYFUNCTION("IF(G553="""", """", ROUND(G553 / MAX(FILTER($G$2:$G5067, $D$2:$D5067=$D553)) * 100, 2))"),98.98)</f>
        <v>98.98</v>
      </c>
      <c r="J553" s="81">
        <f>IFERROR(__xludf.DUMMYFUNCTION("IF(H553="""", """", ROUND(H553 / MAX(FILTER($H$2:$H5067, $D$2:$D5067=$D553)) * 100, 2))"),86.11)</f>
        <v>86.11</v>
      </c>
      <c r="K553" s="2"/>
      <c r="L553" s="48"/>
      <c r="M553" s="48"/>
      <c r="N553" s="48"/>
      <c r="O553" s="48" t="str">
        <f t="shared" si="2"/>
        <v/>
      </c>
      <c r="P553" s="48" t="str">
        <f t="shared" si="3"/>
        <v/>
      </c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</row>
    <row r="554">
      <c r="A554" s="63">
        <v>37.0</v>
      </c>
      <c r="B554" s="63">
        <v>49.0</v>
      </c>
      <c r="C554" s="64" t="s">
        <v>159</v>
      </c>
      <c r="D554" s="64" t="s">
        <v>160</v>
      </c>
      <c r="E554" s="64" t="s">
        <v>161</v>
      </c>
      <c r="F554" s="63">
        <v>7000.0</v>
      </c>
      <c r="G554" s="63">
        <v>20.6</v>
      </c>
      <c r="H554" s="66">
        <f t="shared" si="1"/>
        <v>201.34</v>
      </c>
      <c r="I554" s="81">
        <f>IFERROR(__xludf.DUMMYFUNCTION("IF(G554="""", """", ROUND(G554 / MAX(FILTER($G$2:$G5067, $D$2:$D5067=$D554)) * 100, 2))"),100.0)</f>
        <v>100</v>
      </c>
      <c r="J554" s="81">
        <f>IFERROR(__xludf.DUMMYFUNCTION("IF(H554="""", """", ROUND(H554 / MAX(FILTER($H$2:$H5067, $D$2:$D5067=$D554)) * 100, 2))"),93.69)</f>
        <v>93.69</v>
      </c>
      <c r="K554" s="2"/>
      <c r="L554" s="49"/>
      <c r="M554" s="49"/>
      <c r="N554" s="49"/>
      <c r="O554" s="49" t="str">
        <f t="shared" si="2"/>
        <v/>
      </c>
      <c r="P554" s="49" t="str">
        <f t="shared" si="3"/>
        <v/>
      </c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</row>
    <row r="555">
      <c r="A555" s="69">
        <v>37.0</v>
      </c>
      <c r="B555" s="69">
        <v>49.0</v>
      </c>
      <c r="C555" s="86" t="s">
        <v>159</v>
      </c>
      <c r="D555" s="86" t="s">
        <v>160</v>
      </c>
      <c r="E555" s="86" t="s">
        <v>161</v>
      </c>
      <c r="F555" s="69">
        <v>7500.0</v>
      </c>
      <c r="G555" s="69">
        <v>20.12</v>
      </c>
      <c r="H555" s="68">
        <f t="shared" si="1"/>
        <v>210.7</v>
      </c>
      <c r="I555" s="81">
        <f>IFERROR(__xludf.DUMMYFUNCTION("IF(G555="""", """", ROUND(G555 / MAX(FILTER($G$2:$G5067, $D$2:$D5067=$D555)) * 100, 2))"),97.67)</f>
        <v>97.67</v>
      </c>
      <c r="J555" s="81">
        <f>IFERROR(__xludf.DUMMYFUNCTION("IF(H555="""", """", ROUND(H555 / MAX(FILTER($H$2:$H5067, $D$2:$D5067=$D555)) * 100, 2))"),98.04)</f>
        <v>98.04</v>
      </c>
      <c r="K555" s="2"/>
      <c r="L555" s="48"/>
      <c r="M555" s="48"/>
      <c r="N555" s="48"/>
      <c r="O555" s="48" t="str">
        <f t="shared" si="2"/>
        <v/>
      </c>
      <c r="P555" s="48" t="str">
        <f t="shared" si="3"/>
        <v/>
      </c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</row>
    <row r="556">
      <c r="A556" s="63">
        <v>37.0</v>
      </c>
      <c r="B556" s="63">
        <v>49.0</v>
      </c>
      <c r="C556" s="64" t="s">
        <v>159</v>
      </c>
      <c r="D556" s="64" t="s">
        <v>160</v>
      </c>
      <c r="E556" s="64" t="s">
        <v>161</v>
      </c>
      <c r="F556" s="63">
        <v>8000.0</v>
      </c>
      <c r="G556" s="63">
        <v>19.24</v>
      </c>
      <c r="H556" s="66">
        <f t="shared" si="1"/>
        <v>214.91</v>
      </c>
      <c r="I556" s="81">
        <f>IFERROR(__xludf.DUMMYFUNCTION("IF(G556="""", """", ROUND(G556 / MAX(FILTER($G$2:$G5067, $D$2:$D5067=$D556)) * 100, 2))"),93.4)</f>
        <v>93.4</v>
      </c>
      <c r="J556" s="81">
        <f>IFERROR(__xludf.DUMMYFUNCTION("IF(H556="""", """", ROUND(H556 / MAX(FILTER($H$2:$H5067, $D$2:$D5067=$D556)) * 100, 2))"),100.0)</f>
        <v>100</v>
      </c>
      <c r="K556" s="2"/>
      <c r="L556" s="49"/>
      <c r="M556" s="49"/>
      <c r="N556" s="49"/>
      <c r="O556" s="49" t="str">
        <f t="shared" si="2"/>
        <v/>
      </c>
      <c r="P556" s="49" t="str">
        <f t="shared" si="3"/>
        <v/>
      </c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</row>
    <row r="557">
      <c r="A557" s="69">
        <v>37.0</v>
      </c>
      <c r="B557" s="69">
        <v>49.0</v>
      </c>
      <c r="C557" s="86" t="s">
        <v>159</v>
      </c>
      <c r="D557" s="86" t="s">
        <v>160</v>
      </c>
      <c r="E557" s="86" t="s">
        <v>161</v>
      </c>
      <c r="F557" s="69">
        <v>8500.0</v>
      </c>
      <c r="G557" s="69">
        <v>17.54</v>
      </c>
      <c r="H557" s="68">
        <f t="shared" si="1"/>
        <v>208.17</v>
      </c>
      <c r="I557" s="81">
        <f>IFERROR(__xludf.DUMMYFUNCTION("IF(G557="""", """", ROUND(G557 / MAX(FILTER($G$2:$G5067, $D$2:$D5067=$D557)) * 100, 2))"),85.15)</f>
        <v>85.15</v>
      </c>
      <c r="J557" s="81">
        <f>IFERROR(__xludf.DUMMYFUNCTION("IF(H557="""", """", ROUND(H557 / MAX(FILTER($H$2:$H5067, $D$2:$D5067=$D557)) * 100, 2))"),96.86)</f>
        <v>96.86</v>
      </c>
      <c r="K557" s="2"/>
      <c r="L557" s="48"/>
      <c r="M557" s="48"/>
      <c r="N557" s="48"/>
      <c r="O557" s="48" t="str">
        <f t="shared" si="2"/>
        <v/>
      </c>
      <c r="P557" s="48" t="str">
        <f t="shared" si="3"/>
        <v/>
      </c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</row>
    <row r="558">
      <c r="A558" s="63">
        <v>38.0</v>
      </c>
      <c r="B558" s="63">
        <v>50.0</v>
      </c>
      <c r="C558" s="64" t="s">
        <v>162</v>
      </c>
      <c r="D558" s="64" t="s">
        <v>163</v>
      </c>
      <c r="E558" s="64" t="s">
        <v>164</v>
      </c>
      <c r="F558" s="63">
        <v>500.0</v>
      </c>
      <c r="G558" s="63">
        <v>11.2</v>
      </c>
      <c r="H558" s="66">
        <f t="shared" si="1"/>
        <v>7.82</v>
      </c>
      <c r="I558" s="81">
        <f>IFERROR(__xludf.DUMMYFUNCTION("IF(G558="""", """", ROUND(G558 / MAX(FILTER($G$2:$G5067, $D$2:$D5067=$D558)) * 100, 2))"),58.3)</f>
        <v>58.3</v>
      </c>
      <c r="J558" s="81">
        <f>IFERROR(__xludf.DUMMYFUNCTION("IF(H558="""", """", ROUND(H558 / MAX(FILTER($H$2:$H5067, $D$2:$D5067=$D558)) * 100, 2))"),3.72)</f>
        <v>3.72</v>
      </c>
      <c r="K558" s="2"/>
      <c r="L558" s="49"/>
      <c r="M558" s="49"/>
      <c r="N558" s="49"/>
      <c r="O558" s="49" t="str">
        <f t="shared" si="2"/>
        <v/>
      </c>
      <c r="P558" s="49" t="str">
        <f t="shared" si="3"/>
        <v/>
      </c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</row>
    <row r="559">
      <c r="A559" s="69">
        <v>38.0</v>
      </c>
      <c r="B559" s="69">
        <v>50.0</v>
      </c>
      <c r="C559" s="86" t="s">
        <v>162</v>
      </c>
      <c r="D559" s="86" t="s">
        <v>163</v>
      </c>
      <c r="E559" s="86" t="s">
        <v>164</v>
      </c>
      <c r="F559" s="69">
        <v>1000.0</v>
      </c>
      <c r="G559" s="69">
        <v>13.0</v>
      </c>
      <c r="H559" s="68">
        <f t="shared" si="1"/>
        <v>18.15</v>
      </c>
      <c r="I559" s="81">
        <f>IFERROR(__xludf.DUMMYFUNCTION("IF(G559="""", """", ROUND(G559 / MAX(FILTER($G$2:$G5067, $D$2:$D5067=$D559)) * 100, 2))"),67.67)</f>
        <v>67.67</v>
      </c>
      <c r="J559" s="81">
        <f>IFERROR(__xludf.DUMMYFUNCTION("IF(H559="""", """", ROUND(H559 / MAX(FILTER($H$2:$H5067, $D$2:$D5067=$D559)) * 100, 2))"),8.64)</f>
        <v>8.64</v>
      </c>
      <c r="K559" s="2"/>
      <c r="L559" s="48"/>
      <c r="M559" s="48"/>
      <c r="N559" s="48"/>
      <c r="O559" s="48" t="str">
        <f t="shared" si="2"/>
        <v/>
      </c>
      <c r="P559" s="48" t="str">
        <f t="shared" si="3"/>
        <v/>
      </c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</row>
    <row r="560">
      <c r="A560" s="63">
        <v>38.0</v>
      </c>
      <c r="B560" s="63">
        <v>50.0</v>
      </c>
      <c r="C560" s="64" t="s">
        <v>162</v>
      </c>
      <c r="D560" s="64" t="s">
        <v>163</v>
      </c>
      <c r="E560" s="64" t="s">
        <v>164</v>
      </c>
      <c r="F560" s="63">
        <v>1500.0</v>
      </c>
      <c r="G560" s="63">
        <v>14.56</v>
      </c>
      <c r="H560" s="66">
        <f t="shared" si="1"/>
        <v>30.49</v>
      </c>
      <c r="I560" s="81">
        <f>IFERROR(__xludf.DUMMYFUNCTION("IF(G560="""", """", ROUND(G560 / MAX(FILTER($G$2:$G5067, $D$2:$D5067=$D560)) * 100, 2))"),75.79)</f>
        <v>75.79</v>
      </c>
      <c r="J560" s="81">
        <f>IFERROR(__xludf.DUMMYFUNCTION("IF(H560="""", """", ROUND(H560 / MAX(FILTER($H$2:$H5067, $D$2:$D5067=$D560)) * 100, 2))"),14.52)</f>
        <v>14.52</v>
      </c>
      <c r="K560" s="2"/>
      <c r="L560" s="49"/>
      <c r="M560" s="49"/>
      <c r="N560" s="49"/>
      <c r="O560" s="49" t="str">
        <f t="shared" si="2"/>
        <v/>
      </c>
      <c r="P560" s="49" t="str">
        <f t="shared" si="3"/>
        <v/>
      </c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</row>
    <row r="561">
      <c r="A561" s="69">
        <v>38.0</v>
      </c>
      <c r="B561" s="69">
        <v>50.0</v>
      </c>
      <c r="C561" s="86" t="s">
        <v>162</v>
      </c>
      <c r="D561" s="86" t="s">
        <v>163</v>
      </c>
      <c r="E561" s="86" t="s">
        <v>164</v>
      </c>
      <c r="F561" s="69">
        <v>2000.0</v>
      </c>
      <c r="G561" s="69">
        <v>15.97</v>
      </c>
      <c r="H561" s="68">
        <f t="shared" si="1"/>
        <v>44.6</v>
      </c>
      <c r="I561" s="81">
        <f>IFERROR(__xludf.DUMMYFUNCTION("IF(G561="""", """", ROUND(G561 / MAX(FILTER($G$2:$G5067, $D$2:$D5067=$D561)) * 100, 2))"),83.13)</f>
        <v>83.13</v>
      </c>
      <c r="J561" s="81">
        <f>IFERROR(__xludf.DUMMYFUNCTION("IF(H561="""", """", ROUND(H561 / MAX(FILTER($H$2:$H5067, $D$2:$D5067=$D561)) * 100, 2))"),21.24)</f>
        <v>21.24</v>
      </c>
      <c r="K561" s="2"/>
      <c r="L561" s="48"/>
      <c r="M561" s="48"/>
      <c r="N561" s="48"/>
      <c r="O561" s="48" t="str">
        <f t="shared" si="2"/>
        <v/>
      </c>
      <c r="P561" s="48" t="str">
        <f t="shared" si="3"/>
        <v/>
      </c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</row>
    <row r="562">
      <c r="A562" s="63">
        <v>38.0</v>
      </c>
      <c r="B562" s="63">
        <v>50.0</v>
      </c>
      <c r="C562" s="64" t="s">
        <v>162</v>
      </c>
      <c r="D562" s="64" t="s">
        <v>163</v>
      </c>
      <c r="E562" s="64" t="s">
        <v>164</v>
      </c>
      <c r="F562" s="63">
        <v>2500.0</v>
      </c>
      <c r="G562" s="63">
        <v>16.67</v>
      </c>
      <c r="H562" s="66">
        <f t="shared" si="1"/>
        <v>58.19</v>
      </c>
      <c r="I562" s="81">
        <f>IFERROR(__xludf.DUMMYFUNCTION("IF(G562="""", """", ROUND(G562 / MAX(FILTER($G$2:$G5067, $D$2:$D5067=$D562)) * 100, 2))"),86.78)</f>
        <v>86.78</v>
      </c>
      <c r="J562" s="81">
        <f>IFERROR(__xludf.DUMMYFUNCTION("IF(H562="""", """", ROUND(H562 / MAX(FILTER($H$2:$H5067, $D$2:$D5067=$D562)) * 100, 2))"),27.71)</f>
        <v>27.71</v>
      </c>
      <c r="K562" s="2"/>
      <c r="L562" s="49"/>
      <c r="M562" s="49"/>
      <c r="N562" s="49"/>
      <c r="O562" s="49" t="str">
        <f t="shared" si="2"/>
        <v/>
      </c>
      <c r="P562" s="49" t="str">
        <f t="shared" si="3"/>
        <v/>
      </c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</row>
    <row r="563">
      <c r="A563" s="69">
        <v>38.0</v>
      </c>
      <c r="B563" s="69">
        <v>50.0</v>
      </c>
      <c r="C563" s="86" t="s">
        <v>162</v>
      </c>
      <c r="D563" s="86" t="s">
        <v>163</v>
      </c>
      <c r="E563" s="86" t="s">
        <v>164</v>
      </c>
      <c r="F563" s="69">
        <v>3000.0</v>
      </c>
      <c r="G563" s="69">
        <v>17.3</v>
      </c>
      <c r="H563" s="68">
        <f t="shared" si="1"/>
        <v>72.47</v>
      </c>
      <c r="I563" s="81">
        <f>IFERROR(__xludf.DUMMYFUNCTION("IF(G563="""", """", ROUND(G563 / MAX(FILTER($G$2:$G5067, $D$2:$D5067=$D563)) * 100, 2))"),90.06)</f>
        <v>90.06</v>
      </c>
      <c r="J563" s="81">
        <f>IFERROR(__xludf.DUMMYFUNCTION("IF(H563="""", """", ROUND(H563 / MAX(FILTER($H$2:$H5067, $D$2:$D5067=$D563)) * 100, 2))"),34.51)</f>
        <v>34.51</v>
      </c>
      <c r="K563" s="2"/>
      <c r="L563" s="48"/>
      <c r="M563" s="48"/>
      <c r="N563" s="48"/>
      <c r="O563" s="48" t="str">
        <f t="shared" si="2"/>
        <v/>
      </c>
      <c r="P563" s="48" t="str">
        <f t="shared" si="3"/>
        <v/>
      </c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</row>
    <row r="564">
      <c r="A564" s="63">
        <v>38.0</v>
      </c>
      <c r="B564" s="63">
        <v>50.0</v>
      </c>
      <c r="C564" s="64" t="s">
        <v>162</v>
      </c>
      <c r="D564" s="64" t="s">
        <v>163</v>
      </c>
      <c r="E564" s="64" t="s">
        <v>164</v>
      </c>
      <c r="F564" s="63">
        <v>3500.0</v>
      </c>
      <c r="G564" s="63">
        <v>17.05</v>
      </c>
      <c r="H564" s="66">
        <f t="shared" si="1"/>
        <v>83.32</v>
      </c>
      <c r="I564" s="81">
        <f>IFERROR(__xludf.DUMMYFUNCTION("IF(G564="""", """", ROUND(G564 / MAX(FILTER($G$2:$G5067, $D$2:$D5067=$D564)) * 100, 2))"),88.76)</f>
        <v>88.76</v>
      </c>
      <c r="J564" s="81">
        <f>IFERROR(__xludf.DUMMYFUNCTION("IF(H564="""", """", ROUND(H564 / MAX(FILTER($H$2:$H5067, $D$2:$D5067=$D564)) * 100, 2))"),39.68)</f>
        <v>39.68</v>
      </c>
      <c r="K564" s="2"/>
      <c r="L564" s="49"/>
      <c r="M564" s="49"/>
      <c r="N564" s="49"/>
      <c r="O564" s="49" t="str">
        <f t="shared" si="2"/>
        <v/>
      </c>
      <c r="P564" s="49" t="str">
        <f t="shared" si="3"/>
        <v/>
      </c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</row>
    <row r="565">
      <c r="A565" s="69">
        <v>38.0</v>
      </c>
      <c r="B565" s="69">
        <v>50.0</v>
      </c>
      <c r="C565" s="86" t="s">
        <v>162</v>
      </c>
      <c r="D565" s="86" t="s">
        <v>163</v>
      </c>
      <c r="E565" s="86" t="s">
        <v>164</v>
      </c>
      <c r="F565" s="69">
        <v>4000.0</v>
      </c>
      <c r="G565" s="69">
        <v>16.63</v>
      </c>
      <c r="H565" s="68">
        <f t="shared" si="1"/>
        <v>92.88</v>
      </c>
      <c r="I565" s="81">
        <f>IFERROR(__xludf.DUMMYFUNCTION("IF(G565="""", """", ROUND(G565 / MAX(FILTER($G$2:$G5067, $D$2:$D5067=$D565)) * 100, 2))"),86.57)</f>
        <v>86.57</v>
      </c>
      <c r="J565" s="81">
        <f>IFERROR(__xludf.DUMMYFUNCTION("IF(H565="""", """", ROUND(H565 / MAX(FILTER($H$2:$H5067, $D$2:$D5067=$D565)) * 100, 2))"),44.23)</f>
        <v>44.23</v>
      </c>
      <c r="K565" s="2"/>
      <c r="L565" s="48"/>
      <c r="M565" s="48"/>
      <c r="N565" s="48"/>
      <c r="O565" s="48" t="str">
        <f t="shared" si="2"/>
        <v/>
      </c>
      <c r="P565" s="48" t="str">
        <f t="shared" si="3"/>
        <v/>
      </c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</row>
    <row r="566">
      <c r="A566" s="63">
        <v>38.0</v>
      </c>
      <c r="B566" s="63">
        <v>50.0</v>
      </c>
      <c r="C566" s="64" t="s">
        <v>162</v>
      </c>
      <c r="D566" s="64" t="s">
        <v>163</v>
      </c>
      <c r="E566" s="64" t="s">
        <v>164</v>
      </c>
      <c r="F566" s="63">
        <v>4500.0</v>
      </c>
      <c r="G566" s="63">
        <v>16.5</v>
      </c>
      <c r="H566" s="66">
        <f t="shared" si="1"/>
        <v>103.67</v>
      </c>
      <c r="I566" s="81">
        <f>IFERROR(__xludf.DUMMYFUNCTION("IF(G566="""", """", ROUND(G566 / MAX(FILTER($G$2:$G5067, $D$2:$D5067=$D566)) * 100, 2))"),85.89)</f>
        <v>85.89</v>
      </c>
      <c r="J566" s="81">
        <f>IFERROR(__xludf.DUMMYFUNCTION("IF(H566="""", """", ROUND(H566 / MAX(FILTER($H$2:$H5067, $D$2:$D5067=$D566)) * 100, 2))"),49.37)</f>
        <v>49.37</v>
      </c>
      <c r="K566" s="2"/>
      <c r="L566" s="49"/>
      <c r="M566" s="49"/>
      <c r="N566" s="49"/>
      <c r="O566" s="49" t="str">
        <f t="shared" si="2"/>
        <v/>
      </c>
      <c r="P566" s="49" t="str">
        <f t="shared" si="3"/>
        <v/>
      </c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</row>
    <row r="567">
      <c r="A567" s="69">
        <v>38.0</v>
      </c>
      <c r="B567" s="69">
        <v>50.0</v>
      </c>
      <c r="C567" s="86" t="s">
        <v>162</v>
      </c>
      <c r="D567" s="86" t="s">
        <v>163</v>
      </c>
      <c r="E567" s="86" t="s">
        <v>164</v>
      </c>
      <c r="F567" s="69">
        <v>5000.0</v>
      </c>
      <c r="G567" s="69">
        <v>16.7</v>
      </c>
      <c r="H567" s="68">
        <f t="shared" si="1"/>
        <v>116.59</v>
      </c>
      <c r="I567" s="81">
        <f>IFERROR(__xludf.DUMMYFUNCTION("IF(G567="""", """", ROUND(G567 / MAX(FILTER($G$2:$G5067, $D$2:$D5067=$D567)) * 100, 2))"),86.93)</f>
        <v>86.93</v>
      </c>
      <c r="J567" s="81">
        <f>IFERROR(__xludf.DUMMYFUNCTION("IF(H567="""", """", ROUND(H567 / MAX(FILTER($H$2:$H5067, $D$2:$D5067=$D567)) * 100, 2))"),55.52)</f>
        <v>55.52</v>
      </c>
      <c r="K567" s="2"/>
      <c r="L567" s="48"/>
      <c r="M567" s="48"/>
      <c r="N567" s="48"/>
      <c r="O567" s="48" t="str">
        <f t="shared" si="2"/>
        <v/>
      </c>
      <c r="P567" s="48" t="str">
        <f t="shared" si="3"/>
        <v/>
      </c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</row>
    <row r="568">
      <c r="A568" s="63">
        <v>38.0</v>
      </c>
      <c r="B568" s="63">
        <v>50.0</v>
      </c>
      <c r="C568" s="64" t="s">
        <v>162</v>
      </c>
      <c r="D568" s="64" t="s">
        <v>163</v>
      </c>
      <c r="E568" s="64" t="s">
        <v>164</v>
      </c>
      <c r="F568" s="63">
        <v>5500.0</v>
      </c>
      <c r="G568" s="63">
        <v>17.5</v>
      </c>
      <c r="H568" s="66">
        <f t="shared" si="1"/>
        <v>134.39</v>
      </c>
      <c r="I568" s="81">
        <f>IFERROR(__xludf.DUMMYFUNCTION("IF(G568="""", """", ROUND(G568 / MAX(FILTER($G$2:$G5067, $D$2:$D5067=$D568)) * 100, 2))"),91.1)</f>
        <v>91.1</v>
      </c>
      <c r="J568" s="81">
        <f>IFERROR(__xludf.DUMMYFUNCTION("IF(H568="""", """", ROUND(H568 / MAX(FILTER($H$2:$H5067, $D$2:$D5067=$D568)) * 100, 2))"),64.0)</f>
        <v>64</v>
      </c>
      <c r="K568" s="2"/>
      <c r="L568" s="49"/>
      <c r="M568" s="49"/>
      <c r="N568" s="49"/>
      <c r="O568" s="49" t="str">
        <f t="shared" si="2"/>
        <v/>
      </c>
      <c r="P568" s="49" t="str">
        <f t="shared" si="3"/>
        <v/>
      </c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</row>
    <row r="569">
      <c r="A569" s="69">
        <v>38.0</v>
      </c>
      <c r="B569" s="69">
        <v>50.0</v>
      </c>
      <c r="C569" s="86" t="s">
        <v>162</v>
      </c>
      <c r="D569" s="86" t="s">
        <v>163</v>
      </c>
      <c r="E569" s="86" t="s">
        <v>164</v>
      </c>
      <c r="F569" s="69">
        <v>6000.0</v>
      </c>
      <c r="G569" s="69">
        <v>18.8</v>
      </c>
      <c r="H569" s="68">
        <f t="shared" si="1"/>
        <v>157.5</v>
      </c>
      <c r="I569" s="81">
        <f>IFERROR(__xludf.DUMMYFUNCTION("IF(G569="""", """", ROUND(G569 / MAX(FILTER($G$2:$G5067, $D$2:$D5067=$D569)) * 100, 2))"),97.87)</f>
        <v>97.87</v>
      </c>
      <c r="J569" s="81">
        <f>IFERROR(__xludf.DUMMYFUNCTION("IF(H569="""", """", ROUND(H569 / MAX(FILTER($H$2:$H5067, $D$2:$D5067=$D569)) * 100, 2))"),75.0)</f>
        <v>75</v>
      </c>
      <c r="K569" s="2"/>
      <c r="L569" s="48"/>
      <c r="M569" s="48"/>
      <c r="N569" s="48"/>
      <c r="O569" s="48" t="str">
        <f t="shared" si="2"/>
        <v/>
      </c>
      <c r="P569" s="48" t="str">
        <f t="shared" si="3"/>
        <v/>
      </c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</row>
    <row r="570">
      <c r="A570" s="63">
        <v>38.0</v>
      </c>
      <c r="B570" s="63">
        <v>50.0</v>
      </c>
      <c r="C570" s="64" t="s">
        <v>162</v>
      </c>
      <c r="D570" s="64" t="s">
        <v>163</v>
      </c>
      <c r="E570" s="64" t="s">
        <v>164</v>
      </c>
      <c r="F570" s="63">
        <v>6200.0</v>
      </c>
      <c r="G570" s="63">
        <v>19.0</v>
      </c>
      <c r="H570" s="66">
        <f t="shared" si="1"/>
        <v>164.48</v>
      </c>
      <c r="I570" s="81">
        <f>IFERROR(__xludf.DUMMYFUNCTION("IF(G570="""", """", ROUND(G570 / MAX(FILTER($G$2:$G5067, $D$2:$D5067=$D570)) * 100, 2))"),98.91)</f>
        <v>98.91</v>
      </c>
      <c r="J570" s="81">
        <f>IFERROR(__xludf.DUMMYFUNCTION("IF(H570="""", """", ROUND(H570 / MAX(FILTER($H$2:$H5067, $D$2:$D5067=$D570)) * 100, 2))"),78.32)</f>
        <v>78.32</v>
      </c>
      <c r="K570" s="2"/>
      <c r="L570" s="49"/>
      <c r="M570" s="49"/>
      <c r="N570" s="49"/>
      <c r="O570" s="49" t="str">
        <f t="shared" si="2"/>
        <v/>
      </c>
      <c r="P570" s="49" t="str">
        <f t="shared" si="3"/>
        <v/>
      </c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</row>
    <row r="571">
      <c r="A571" s="69">
        <v>38.0</v>
      </c>
      <c r="B571" s="69">
        <v>50.0</v>
      </c>
      <c r="C571" s="86" t="s">
        <v>162</v>
      </c>
      <c r="D571" s="86" t="s">
        <v>163</v>
      </c>
      <c r="E571" s="86" t="s">
        <v>164</v>
      </c>
      <c r="F571" s="69">
        <v>6800.0</v>
      </c>
      <c r="G571" s="69">
        <v>19.21</v>
      </c>
      <c r="H571" s="68">
        <f t="shared" si="1"/>
        <v>182.39</v>
      </c>
      <c r="I571" s="81">
        <f>IFERROR(__xludf.DUMMYFUNCTION("IF(G571="""", """", ROUND(G571 / MAX(FILTER($G$2:$G5067, $D$2:$D5067=$D571)) * 100, 2))"),100.0)</f>
        <v>100</v>
      </c>
      <c r="J571" s="81">
        <f>IFERROR(__xludf.DUMMYFUNCTION("IF(H571="""", """", ROUND(H571 / MAX(FILTER($H$2:$H5067, $D$2:$D5067=$D571)) * 100, 2))"),86.85)</f>
        <v>86.85</v>
      </c>
      <c r="K571" s="2"/>
      <c r="L571" s="48"/>
      <c r="M571" s="48"/>
      <c r="N571" s="48"/>
      <c r="O571" s="48" t="str">
        <f t="shared" si="2"/>
        <v/>
      </c>
      <c r="P571" s="48" t="str">
        <f t="shared" si="3"/>
        <v/>
      </c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</row>
    <row r="572">
      <c r="A572" s="63">
        <v>38.0</v>
      </c>
      <c r="B572" s="63">
        <v>50.0</v>
      </c>
      <c r="C572" s="64" t="s">
        <v>162</v>
      </c>
      <c r="D572" s="64" t="s">
        <v>163</v>
      </c>
      <c r="E572" s="64" t="s">
        <v>164</v>
      </c>
      <c r="F572" s="63">
        <v>7300.0</v>
      </c>
      <c r="G572" s="63">
        <v>19.15</v>
      </c>
      <c r="H572" s="66">
        <f t="shared" si="1"/>
        <v>195.19</v>
      </c>
      <c r="I572" s="81">
        <f>IFERROR(__xludf.DUMMYFUNCTION("IF(G572="""", """", ROUND(G572 / MAX(FILTER($G$2:$G5067, $D$2:$D5067=$D572)) * 100, 2))"),99.69)</f>
        <v>99.69</v>
      </c>
      <c r="J572" s="81">
        <f>IFERROR(__xludf.DUMMYFUNCTION("IF(H572="""", """", ROUND(H572 / MAX(FILTER($H$2:$H5067, $D$2:$D5067=$D572)) * 100, 2))"),92.95)</f>
        <v>92.95</v>
      </c>
      <c r="K572" s="2"/>
      <c r="L572" s="49"/>
      <c r="M572" s="49"/>
      <c r="N572" s="49"/>
      <c r="O572" s="49" t="str">
        <f t="shared" si="2"/>
        <v/>
      </c>
      <c r="P572" s="49" t="str">
        <f t="shared" si="3"/>
        <v/>
      </c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</row>
    <row r="573">
      <c r="A573" s="69">
        <v>38.0</v>
      </c>
      <c r="B573" s="69">
        <v>50.0</v>
      </c>
      <c r="C573" s="86" t="s">
        <v>162</v>
      </c>
      <c r="D573" s="86" t="s">
        <v>163</v>
      </c>
      <c r="E573" s="86" t="s">
        <v>164</v>
      </c>
      <c r="F573" s="69">
        <v>8000.0</v>
      </c>
      <c r="G573" s="69">
        <v>18.8</v>
      </c>
      <c r="H573" s="68">
        <f t="shared" si="1"/>
        <v>210</v>
      </c>
      <c r="I573" s="81">
        <f>IFERROR(__xludf.DUMMYFUNCTION("IF(G573="""", """", ROUND(G573 / MAX(FILTER($G$2:$G5067, $D$2:$D5067=$D573)) * 100, 2))"),97.87)</f>
        <v>97.87</v>
      </c>
      <c r="J573" s="81">
        <f>IFERROR(__xludf.DUMMYFUNCTION("IF(H573="""", """", ROUND(H573 / MAX(FILTER($H$2:$H5067, $D$2:$D5067=$D573)) * 100, 2))"),100.0)</f>
        <v>100</v>
      </c>
      <c r="K573" s="2"/>
      <c r="L573" s="48"/>
      <c r="M573" s="48"/>
      <c r="N573" s="48"/>
      <c r="O573" s="48" t="str">
        <f t="shared" si="2"/>
        <v/>
      </c>
      <c r="P573" s="48" t="str">
        <f t="shared" si="3"/>
        <v/>
      </c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</row>
    <row r="574">
      <c r="A574" s="63">
        <v>38.0</v>
      </c>
      <c r="B574" s="63">
        <v>50.0</v>
      </c>
      <c r="C574" s="64" t="s">
        <v>162</v>
      </c>
      <c r="D574" s="64" t="s">
        <v>163</v>
      </c>
      <c r="E574" s="64" t="s">
        <v>164</v>
      </c>
      <c r="F574" s="63">
        <v>8500.0</v>
      </c>
      <c r="G574" s="63">
        <v>17.66</v>
      </c>
      <c r="H574" s="66">
        <f t="shared" si="1"/>
        <v>209.59</v>
      </c>
      <c r="I574" s="81">
        <f>IFERROR(__xludf.DUMMYFUNCTION("IF(G574="""", """", ROUND(G574 / MAX(FILTER($G$2:$G5067, $D$2:$D5067=$D574)) * 100, 2))"),91.93)</f>
        <v>91.93</v>
      </c>
      <c r="J574" s="81">
        <f>IFERROR(__xludf.DUMMYFUNCTION("IF(H574="""", """", ROUND(H574 / MAX(FILTER($H$2:$H5067, $D$2:$D5067=$D574)) * 100, 2))"),99.8)</f>
        <v>99.8</v>
      </c>
      <c r="K574" s="2"/>
      <c r="L574" s="49"/>
      <c r="M574" s="49"/>
      <c r="N574" s="49"/>
      <c r="O574" s="49" t="str">
        <f t="shared" si="2"/>
        <v/>
      </c>
      <c r="P574" s="49" t="str">
        <f t="shared" si="3"/>
        <v/>
      </c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</row>
    <row r="575">
      <c r="A575" s="69">
        <v>38.0</v>
      </c>
      <c r="B575" s="69">
        <v>50.0</v>
      </c>
      <c r="C575" s="86" t="s">
        <v>162</v>
      </c>
      <c r="D575" s="86" t="s">
        <v>163</v>
      </c>
      <c r="E575" s="86" t="s">
        <v>164</v>
      </c>
      <c r="F575" s="69">
        <v>9000.0</v>
      </c>
      <c r="G575" s="69">
        <v>16.25</v>
      </c>
      <c r="H575" s="68">
        <f t="shared" si="1"/>
        <v>204.2</v>
      </c>
      <c r="I575" s="81">
        <f>IFERROR(__xludf.DUMMYFUNCTION("IF(G575="""", """", ROUND(G575 / MAX(FILTER($G$2:$G5067, $D$2:$D5067=$D575)) * 100, 2))"),84.59)</f>
        <v>84.59</v>
      </c>
      <c r="J575" s="81">
        <f>IFERROR(__xludf.DUMMYFUNCTION("IF(H575="""", """", ROUND(H575 / MAX(FILTER($H$2:$H5067, $D$2:$D5067=$D575)) * 100, 2))"),97.24)</f>
        <v>97.24</v>
      </c>
      <c r="K575" s="2"/>
      <c r="L575" s="48"/>
      <c r="M575" s="48"/>
      <c r="N575" s="48"/>
      <c r="O575" s="48" t="str">
        <f t="shared" si="2"/>
        <v/>
      </c>
      <c r="P575" s="48" t="str">
        <f t="shared" si="3"/>
        <v/>
      </c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</row>
    <row r="576">
      <c r="A576" s="63">
        <v>38.0</v>
      </c>
      <c r="B576" s="63">
        <v>50.0</v>
      </c>
      <c r="C576" s="64" t="s">
        <v>162</v>
      </c>
      <c r="D576" s="64" t="s">
        <v>163</v>
      </c>
      <c r="E576" s="64" t="s">
        <v>164</v>
      </c>
      <c r="F576" s="63">
        <v>9500.0</v>
      </c>
      <c r="G576" s="63">
        <v>14.2</v>
      </c>
      <c r="H576" s="66">
        <f t="shared" si="1"/>
        <v>188.36</v>
      </c>
      <c r="I576" s="81">
        <f>IFERROR(__xludf.DUMMYFUNCTION("IF(G576="""", """", ROUND(G576 / MAX(FILTER($G$2:$G5067, $D$2:$D5067=$D576)) * 100, 2))"),73.92)</f>
        <v>73.92</v>
      </c>
      <c r="J576" s="81">
        <f>IFERROR(__xludf.DUMMYFUNCTION("IF(H576="""", """", ROUND(H576 / MAX(FILTER($H$2:$H5067, $D$2:$D5067=$D576)) * 100, 2))"),89.7)</f>
        <v>89.7</v>
      </c>
      <c r="K576" s="2"/>
      <c r="L576" s="49"/>
      <c r="M576" s="49"/>
      <c r="N576" s="49"/>
      <c r="O576" s="49" t="str">
        <f t="shared" si="2"/>
        <v/>
      </c>
      <c r="P576" s="49" t="str">
        <f t="shared" si="3"/>
        <v/>
      </c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</row>
    <row r="577">
      <c r="A577" s="69">
        <v>38.0</v>
      </c>
      <c r="B577" s="69">
        <v>50.0</v>
      </c>
      <c r="C577" s="86" t="s">
        <v>162</v>
      </c>
      <c r="D577" s="86" t="s">
        <v>163</v>
      </c>
      <c r="E577" s="86" t="s">
        <v>164</v>
      </c>
      <c r="F577" s="69">
        <v>10000.0</v>
      </c>
      <c r="G577" s="69">
        <v>11.5</v>
      </c>
      <c r="H577" s="68">
        <f t="shared" si="1"/>
        <v>160.57</v>
      </c>
      <c r="I577" s="81">
        <f>IFERROR(__xludf.DUMMYFUNCTION("IF(G577="""", """", ROUND(G577 / MAX(FILTER($G$2:$G5067, $D$2:$D5067=$D577)) * 100, 2))"),59.86)</f>
        <v>59.86</v>
      </c>
      <c r="J577" s="81">
        <f>IFERROR(__xludf.DUMMYFUNCTION("IF(H577="""", """", ROUND(H577 / MAX(FILTER($H$2:$H5067, $D$2:$D5067=$D577)) * 100, 2))"),76.46)</f>
        <v>76.46</v>
      </c>
      <c r="K577" s="2"/>
      <c r="L577" s="48"/>
      <c r="M577" s="48"/>
      <c r="N577" s="48"/>
      <c r="O577" s="48" t="str">
        <f t="shared" si="2"/>
        <v/>
      </c>
      <c r="P577" s="48" t="str">
        <f t="shared" si="3"/>
        <v/>
      </c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</row>
    <row r="578">
      <c r="A578" s="63">
        <v>39.0</v>
      </c>
      <c r="B578" s="63">
        <v>51.0</v>
      </c>
      <c r="C578" s="64" t="s">
        <v>165</v>
      </c>
      <c r="D578" s="64" t="s">
        <v>166</v>
      </c>
      <c r="E578" s="64" t="s">
        <v>167</v>
      </c>
      <c r="F578" s="63">
        <v>500.0</v>
      </c>
      <c r="G578" s="63">
        <v>14.2</v>
      </c>
      <c r="H578" s="66">
        <f t="shared" si="1"/>
        <v>9.91</v>
      </c>
      <c r="I578" s="81">
        <f>IFERROR(__xludf.DUMMYFUNCTION("IF(G578="""", """", ROUND(G578 / MAX(FILTER($G$2:$G5067, $D$2:$D5067=$D578)) * 100, 2))"),67.72)</f>
        <v>67.72</v>
      </c>
      <c r="J578" s="81">
        <f>IFERROR(__xludf.DUMMYFUNCTION("IF(H578="""", """", ROUND(H578 / MAX(FILTER($H$2:$H5067, $D$2:$D5067=$D578)) * 100, 2))"),4.33)</f>
        <v>4.33</v>
      </c>
      <c r="K578" s="2"/>
      <c r="L578" s="49"/>
      <c r="M578" s="49"/>
      <c r="N578" s="49"/>
      <c r="O578" s="49" t="str">
        <f t="shared" si="2"/>
        <v/>
      </c>
      <c r="P578" s="49" t="str">
        <f t="shared" si="3"/>
        <v/>
      </c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</row>
    <row r="579">
      <c r="A579" s="69">
        <v>39.0</v>
      </c>
      <c r="B579" s="69">
        <v>51.0</v>
      </c>
      <c r="C579" s="86" t="s">
        <v>165</v>
      </c>
      <c r="D579" s="86" t="s">
        <v>166</v>
      </c>
      <c r="E579" s="86" t="s">
        <v>167</v>
      </c>
      <c r="F579" s="69">
        <v>1000.0</v>
      </c>
      <c r="G579" s="69">
        <v>15.1</v>
      </c>
      <c r="H579" s="68">
        <f t="shared" si="1"/>
        <v>21.08</v>
      </c>
      <c r="I579" s="81">
        <f>IFERROR(__xludf.DUMMYFUNCTION("IF(G579="""", """", ROUND(G579 / MAX(FILTER($G$2:$G5067, $D$2:$D5067=$D579)) * 100, 2))"),72.01)</f>
        <v>72.01</v>
      </c>
      <c r="J579" s="81">
        <f>IFERROR(__xludf.DUMMYFUNCTION("IF(H579="""", """", ROUND(H579 / MAX(FILTER($H$2:$H5067, $D$2:$D5067=$D579)) * 100, 2))"),9.2)</f>
        <v>9.2</v>
      </c>
      <c r="K579" s="2"/>
      <c r="L579" s="48"/>
      <c r="M579" s="48"/>
      <c r="N579" s="48"/>
      <c r="O579" s="48" t="str">
        <f t="shared" si="2"/>
        <v/>
      </c>
      <c r="P579" s="48" t="str">
        <f t="shared" si="3"/>
        <v/>
      </c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</row>
    <row r="580">
      <c r="A580" s="63">
        <v>39.0</v>
      </c>
      <c r="B580" s="63">
        <v>51.0</v>
      </c>
      <c r="C580" s="64" t="s">
        <v>165</v>
      </c>
      <c r="D580" s="64" t="s">
        <v>166</v>
      </c>
      <c r="E580" s="64" t="s">
        <v>167</v>
      </c>
      <c r="F580" s="63">
        <v>1500.0</v>
      </c>
      <c r="G580" s="63">
        <v>16.05</v>
      </c>
      <c r="H580" s="66">
        <f t="shared" si="1"/>
        <v>33.61</v>
      </c>
      <c r="I580" s="81">
        <f>IFERROR(__xludf.DUMMYFUNCTION("IF(G580="""", """", ROUND(G580 / MAX(FILTER($G$2:$G5067, $D$2:$D5067=$D580)) * 100, 2))"),76.54)</f>
        <v>76.54</v>
      </c>
      <c r="J580" s="81">
        <f>IFERROR(__xludf.DUMMYFUNCTION("IF(H580="""", """", ROUND(H580 / MAX(FILTER($H$2:$H5067, $D$2:$D5067=$D580)) * 100, 2))"),14.67)</f>
        <v>14.67</v>
      </c>
      <c r="K580" s="2"/>
      <c r="L580" s="49"/>
      <c r="M580" s="49"/>
      <c r="N580" s="49"/>
      <c r="O580" s="49" t="str">
        <f t="shared" si="2"/>
        <v/>
      </c>
      <c r="P580" s="49" t="str">
        <f t="shared" si="3"/>
        <v/>
      </c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</row>
    <row r="581">
      <c r="A581" s="69">
        <v>39.0</v>
      </c>
      <c r="B581" s="69">
        <v>51.0</v>
      </c>
      <c r="C581" s="86" t="s">
        <v>165</v>
      </c>
      <c r="D581" s="86" t="s">
        <v>166</v>
      </c>
      <c r="E581" s="86" t="s">
        <v>167</v>
      </c>
      <c r="F581" s="69">
        <v>2000.0</v>
      </c>
      <c r="G581" s="69">
        <v>16.92</v>
      </c>
      <c r="H581" s="68">
        <f t="shared" si="1"/>
        <v>47.25</v>
      </c>
      <c r="I581" s="81">
        <f>IFERROR(__xludf.DUMMYFUNCTION("IF(G581="""", """", ROUND(G581 / MAX(FILTER($G$2:$G5067, $D$2:$D5067=$D581)) * 100, 2))"),80.69)</f>
        <v>80.69</v>
      </c>
      <c r="J581" s="81">
        <f>IFERROR(__xludf.DUMMYFUNCTION("IF(H581="""", """", ROUND(H581 / MAX(FILTER($H$2:$H5067, $D$2:$D5067=$D581)) * 100, 2))"),20.62)</f>
        <v>20.62</v>
      </c>
      <c r="K581" s="2"/>
      <c r="L581" s="48"/>
      <c r="M581" s="48"/>
      <c r="N581" s="48"/>
      <c r="O581" s="48" t="str">
        <f t="shared" si="2"/>
        <v/>
      </c>
      <c r="P581" s="48" t="str">
        <f t="shared" si="3"/>
        <v/>
      </c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</row>
    <row r="582">
      <c r="A582" s="63">
        <v>39.0</v>
      </c>
      <c r="B582" s="63">
        <v>51.0</v>
      </c>
      <c r="C582" s="64" t="s">
        <v>165</v>
      </c>
      <c r="D582" s="64" t="s">
        <v>166</v>
      </c>
      <c r="E582" s="64" t="s">
        <v>167</v>
      </c>
      <c r="F582" s="63">
        <v>2500.0</v>
      </c>
      <c r="G582" s="63">
        <v>17.61</v>
      </c>
      <c r="H582" s="66">
        <f t="shared" si="1"/>
        <v>61.47</v>
      </c>
      <c r="I582" s="81">
        <f>IFERROR(__xludf.DUMMYFUNCTION("IF(G582="""", """", ROUND(G582 / MAX(FILTER($G$2:$G5067, $D$2:$D5067=$D582)) * 100, 2))"),83.98)</f>
        <v>83.98</v>
      </c>
      <c r="J582" s="81">
        <f>IFERROR(__xludf.DUMMYFUNCTION("IF(H582="""", """", ROUND(H582 / MAX(FILTER($H$2:$H5067, $D$2:$D5067=$D582)) * 100, 2))"),26.83)</f>
        <v>26.83</v>
      </c>
      <c r="K582" s="2"/>
      <c r="L582" s="49"/>
      <c r="M582" s="49"/>
      <c r="N582" s="49"/>
      <c r="O582" s="49" t="str">
        <f t="shared" si="2"/>
        <v/>
      </c>
      <c r="P582" s="49" t="str">
        <f t="shared" si="3"/>
        <v/>
      </c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</row>
    <row r="583">
      <c r="A583" s="69">
        <v>39.0</v>
      </c>
      <c r="B583" s="69">
        <v>51.0</v>
      </c>
      <c r="C583" s="86" t="s">
        <v>165</v>
      </c>
      <c r="D583" s="86" t="s">
        <v>166</v>
      </c>
      <c r="E583" s="86" t="s">
        <v>167</v>
      </c>
      <c r="F583" s="69">
        <v>3000.0</v>
      </c>
      <c r="G583" s="69">
        <v>18.34</v>
      </c>
      <c r="H583" s="68">
        <f t="shared" si="1"/>
        <v>76.82</v>
      </c>
      <c r="I583" s="81">
        <f>IFERROR(__xludf.DUMMYFUNCTION("IF(G583="""", """", ROUND(G583 / MAX(FILTER($G$2:$G5067, $D$2:$D5067=$D583)) * 100, 2))"),87.46)</f>
        <v>87.46</v>
      </c>
      <c r="J583" s="81">
        <f>IFERROR(__xludf.DUMMYFUNCTION("IF(H583="""", """", ROUND(H583 / MAX(FILTER($H$2:$H5067, $D$2:$D5067=$D583)) * 100, 2))"),33.53)</f>
        <v>33.53</v>
      </c>
      <c r="K583" s="2"/>
      <c r="L583" s="48"/>
      <c r="M583" s="48"/>
      <c r="N583" s="48"/>
      <c r="O583" s="48" t="str">
        <f t="shared" si="2"/>
        <v/>
      </c>
      <c r="P583" s="48" t="str">
        <f t="shared" si="3"/>
        <v/>
      </c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</row>
    <row r="584">
      <c r="A584" s="63">
        <v>39.0</v>
      </c>
      <c r="B584" s="63">
        <v>51.0</v>
      </c>
      <c r="C584" s="64" t="s">
        <v>165</v>
      </c>
      <c r="D584" s="64" t="s">
        <v>166</v>
      </c>
      <c r="E584" s="64" t="s">
        <v>167</v>
      </c>
      <c r="F584" s="63">
        <v>3500.0</v>
      </c>
      <c r="G584" s="63">
        <v>18.68</v>
      </c>
      <c r="H584" s="66">
        <f t="shared" si="1"/>
        <v>91.29</v>
      </c>
      <c r="I584" s="81">
        <f>IFERROR(__xludf.DUMMYFUNCTION("IF(G584="""", """", ROUND(G584 / MAX(FILTER($G$2:$G5067, $D$2:$D5067=$D584)) * 100, 2))"),89.08)</f>
        <v>89.08</v>
      </c>
      <c r="J584" s="81">
        <f>IFERROR(__xludf.DUMMYFUNCTION("IF(H584="""", """", ROUND(H584 / MAX(FILTER($H$2:$H5067, $D$2:$D5067=$D584)) * 100, 2))"),39.85)</f>
        <v>39.85</v>
      </c>
      <c r="K584" s="2"/>
      <c r="L584" s="49"/>
      <c r="M584" s="49"/>
      <c r="N584" s="49"/>
      <c r="O584" s="49" t="str">
        <f t="shared" si="2"/>
        <v/>
      </c>
      <c r="P584" s="49" t="str">
        <f t="shared" si="3"/>
        <v/>
      </c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</row>
    <row r="585">
      <c r="A585" s="69">
        <v>39.0</v>
      </c>
      <c r="B585" s="69">
        <v>51.0</v>
      </c>
      <c r="C585" s="86" t="s">
        <v>165</v>
      </c>
      <c r="D585" s="86" t="s">
        <v>166</v>
      </c>
      <c r="E585" s="86" t="s">
        <v>167</v>
      </c>
      <c r="F585" s="69">
        <v>4000.0</v>
      </c>
      <c r="G585" s="69">
        <v>18.72</v>
      </c>
      <c r="H585" s="68">
        <f t="shared" si="1"/>
        <v>104.55</v>
      </c>
      <c r="I585" s="81">
        <f>IFERROR(__xludf.DUMMYFUNCTION("IF(G585="""", """", ROUND(G585 / MAX(FILTER($G$2:$G5067, $D$2:$D5067=$D585)) * 100, 2))"),89.27)</f>
        <v>89.27</v>
      </c>
      <c r="J585" s="81">
        <f>IFERROR(__xludf.DUMMYFUNCTION("IF(H585="""", """", ROUND(H585 / MAX(FILTER($H$2:$H5067, $D$2:$D5067=$D585)) * 100, 2))"),45.63)</f>
        <v>45.63</v>
      </c>
      <c r="K585" s="2"/>
      <c r="L585" s="48"/>
      <c r="M585" s="48"/>
      <c r="N585" s="48"/>
      <c r="O585" s="48" t="str">
        <f t="shared" si="2"/>
        <v/>
      </c>
      <c r="P585" s="48" t="str">
        <f t="shared" si="3"/>
        <v/>
      </c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</row>
    <row r="586">
      <c r="A586" s="63">
        <v>39.0</v>
      </c>
      <c r="B586" s="63">
        <v>51.0</v>
      </c>
      <c r="C586" s="64" t="s">
        <v>165</v>
      </c>
      <c r="D586" s="64" t="s">
        <v>166</v>
      </c>
      <c r="E586" s="64" t="s">
        <v>167</v>
      </c>
      <c r="F586" s="63">
        <v>4500.0</v>
      </c>
      <c r="G586" s="63">
        <v>18.65</v>
      </c>
      <c r="H586" s="66">
        <f t="shared" si="1"/>
        <v>117.18</v>
      </c>
      <c r="I586" s="81">
        <f>IFERROR(__xludf.DUMMYFUNCTION("IF(G586="""", """", ROUND(G586 / MAX(FILTER($G$2:$G5067, $D$2:$D5067=$D586)) * 100, 2))"),88.94)</f>
        <v>88.94</v>
      </c>
      <c r="J586" s="81">
        <f>IFERROR(__xludf.DUMMYFUNCTION("IF(H586="""", """", ROUND(H586 / MAX(FILTER($H$2:$H5067, $D$2:$D5067=$D586)) * 100, 2))"),51.15)</f>
        <v>51.15</v>
      </c>
      <c r="K586" s="2"/>
      <c r="L586" s="49"/>
      <c r="M586" s="49"/>
      <c r="N586" s="49"/>
      <c r="O586" s="49" t="str">
        <f t="shared" si="2"/>
        <v/>
      </c>
      <c r="P586" s="49" t="str">
        <f t="shared" si="3"/>
        <v/>
      </c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</row>
    <row r="587">
      <c r="A587" s="69">
        <v>39.0</v>
      </c>
      <c r="B587" s="69">
        <v>51.0</v>
      </c>
      <c r="C587" s="86" t="s">
        <v>165</v>
      </c>
      <c r="D587" s="86" t="s">
        <v>166</v>
      </c>
      <c r="E587" s="86" t="s">
        <v>167</v>
      </c>
      <c r="F587" s="69">
        <v>5000.0</v>
      </c>
      <c r="G587" s="69">
        <v>18.78</v>
      </c>
      <c r="H587" s="68">
        <f t="shared" si="1"/>
        <v>131.11</v>
      </c>
      <c r="I587" s="81">
        <f>IFERROR(__xludf.DUMMYFUNCTION("IF(G587="""", """", ROUND(G587 / MAX(FILTER($G$2:$G5067, $D$2:$D5067=$D587)) * 100, 2))"),89.56)</f>
        <v>89.56</v>
      </c>
      <c r="J587" s="81">
        <f>IFERROR(__xludf.DUMMYFUNCTION("IF(H587="""", """", ROUND(H587 / MAX(FILTER($H$2:$H5067, $D$2:$D5067=$D587)) * 100, 2))"),57.23)</f>
        <v>57.23</v>
      </c>
      <c r="K587" s="2"/>
      <c r="L587" s="48"/>
      <c r="M587" s="48"/>
      <c r="N587" s="48"/>
      <c r="O587" s="48" t="str">
        <f t="shared" si="2"/>
        <v/>
      </c>
      <c r="P587" s="48" t="str">
        <f t="shared" si="3"/>
        <v/>
      </c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</row>
    <row r="588">
      <c r="A588" s="63">
        <v>39.0</v>
      </c>
      <c r="B588" s="63">
        <v>51.0</v>
      </c>
      <c r="C588" s="64" t="s">
        <v>165</v>
      </c>
      <c r="D588" s="64" t="s">
        <v>166</v>
      </c>
      <c r="E588" s="64" t="s">
        <v>167</v>
      </c>
      <c r="F588" s="63">
        <v>5500.0</v>
      </c>
      <c r="G588" s="63">
        <v>19.69</v>
      </c>
      <c r="H588" s="66">
        <f t="shared" si="1"/>
        <v>151.21</v>
      </c>
      <c r="I588" s="81">
        <f>IFERROR(__xludf.DUMMYFUNCTION("IF(G588="""", """", ROUND(G588 / MAX(FILTER($G$2:$G5067, $D$2:$D5067=$D588)) * 100, 2))"),93.9)</f>
        <v>93.9</v>
      </c>
      <c r="J588" s="81">
        <f>IFERROR(__xludf.DUMMYFUNCTION("IF(H588="""", """", ROUND(H588 / MAX(FILTER($H$2:$H5067, $D$2:$D5067=$D588)) * 100, 2))"),66.0)</f>
        <v>66</v>
      </c>
      <c r="K588" s="2"/>
      <c r="L588" s="49"/>
      <c r="M588" s="49"/>
      <c r="N588" s="49"/>
      <c r="O588" s="49" t="str">
        <f t="shared" si="2"/>
        <v/>
      </c>
      <c r="P588" s="49" t="str">
        <f t="shared" si="3"/>
        <v/>
      </c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</row>
    <row r="589">
      <c r="A589" s="69">
        <v>39.0</v>
      </c>
      <c r="B589" s="69">
        <v>51.0</v>
      </c>
      <c r="C589" s="86" t="s">
        <v>165</v>
      </c>
      <c r="D589" s="86" t="s">
        <v>166</v>
      </c>
      <c r="E589" s="86" t="s">
        <v>167</v>
      </c>
      <c r="F589" s="69">
        <v>6000.0</v>
      </c>
      <c r="G589" s="69">
        <v>20.44</v>
      </c>
      <c r="H589" s="68">
        <f t="shared" si="1"/>
        <v>171.24</v>
      </c>
      <c r="I589" s="81">
        <f>IFERROR(__xludf.DUMMYFUNCTION("IF(G589="""", """", ROUND(G589 / MAX(FILTER($G$2:$G5067, $D$2:$D5067=$D589)) * 100, 2))"),97.47)</f>
        <v>97.47</v>
      </c>
      <c r="J589" s="81">
        <f>IFERROR(__xludf.DUMMYFUNCTION("IF(H589="""", """", ROUND(H589 / MAX(FILTER($H$2:$H5067, $D$2:$D5067=$D589)) * 100, 2))"),74.74)</f>
        <v>74.74</v>
      </c>
      <c r="K589" s="2"/>
      <c r="L589" s="48"/>
      <c r="M589" s="48"/>
      <c r="N589" s="48"/>
      <c r="O589" s="48" t="str">
        <f t="shared" si="2"/>
        <v/>
      </c>
      <c r="P589" s="48" t="str">
        <f t="shared" si="3"/>
        <v/>
      </c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</row>
    <row r="590">
      <c r="A590" s="63">
        <v>39.0</v>
      </c>
      <c r="B590" s="63">
        <v>51.0</v>
      </c>
      <c r="C590" s="64" t="s">
        <v>165</v>
      </c>
      <c r="D590" s="64" t="s">
        <v>166</v>
      </c>
      <c r="E590" s="64" t="s">
        <v>167</v>
      </c>
      <c r="F590" s="63">
        <v>6500.0</v>
      </c>
      <c r="G590" s="63">
        <v>20.79</v>
      </c>
      <c r="H590" s="66">
        <f t="shared" si="1"/>
        <v>188.68</v>
      </c>
      <c r="I590" s="81">
        <f>IFERROR(__xludf.DUMMYFUNCTION("IF(G590="""", """", ROUND(G590 / MAX(FILTER($G$2:$G5067, $D$2:$D5067=$D590)) * 100, 2))"),99.14)</f>
        <v>99.14</v>
      </c>
      <c r="J590" s="81">
        <f>IFERROR(__xludf.DUMMYFUNCTION("IF(H590="""", """", ROUND(H590 / MAX(FILTER($H$2:$H5067, $D$2:$D5067=$D590)) * 100, 2))"),82.35)</f>
        <v>82.35</v>
      </c>
      <c r="K590" s="2"/>
      <c r="L590" s="49"/>
      <c r="M590" s="49"/>
      <c r="N590" s="49"/>
      <c r="O590" s="49" t="str">
        <f t="shared" si="2"/>
        <v/>
      </c>
      <c r="P590" s="49" t="str">
        <f t="shared" si="3"/>
        <v/>
      </c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</row>
    <row r="591">
      <c r="A591" s="69">
        <v>39.0</v>
      </c>
      <c r="B591" s="69">
        <v>51.0</v>
      </c>
      <c r="C591" s="86" t="s">
        <v>165</v>
      </c>
      <c r="D591" s="86" t="s">
        <v>166</v>
      </c>
      <c r="E591" s="86" t="s">
        <v>167</v>
      </c>
      <c r="F591" s="69">
        <v>7000.0</v>
      </c>
      <c r="G591" s="69">
        <v>20.97</v>
      </c>
      <c r="H591" s="68">
        <f t="shared" si="1"/>
        <v>204.96</v>
      </c>
      <c r="I591" s="81">
        <f>IFERROR(__xludf.DUMMYFUNCTION("IF(G591="""", """", ROUND(G591 / MAX(FILTER($G$2:$G5067, $D$2:$D5067=$D591)) * 100, 2))"),100.0)</f>
        <v>100</v>
      </c>
      <c r="J591" s="81">
        <f>IFERROR(__xludf.DUMMYFUNCTION("IF(H591="""", """", ROUND(H591 / MAX(FILTER($H$2:$H5067, $D$2:$D5067=$D591)) * 100, 2))"),89.46)</f>
        <v>89.46</v>
      </c>
      <c r="K591" s="2"/>
      <c r="L591" s="48"/>
      <c r="M591" s="48"/>
      <c r="N591" s="48"/>
      <c r="O591" s="48" t="str">
        <f t="shared" si="2"/>
        <v/>
      </c>
      <c r="P591" s="48" t="str">
        <f t="shared" si="3"/>
        <v/>
      </c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</row>
    <row r="592">
      <c r="A592" s="63">
        <v>39.0</v>
      </c>
      <c r="B592" s="63">
        <v>51.0</v>
      </c>
      <c r="C592" s="64" t="s">
        <v>165</v>
      </c>
      <c r="D592" s="64" t="s">
        <v>166</v>
      </c>
      <c r="E592" s="64" t="s">
        <v>167</v>
      </c>
      <c r="F592" s="63">
        <v>7500.0</v>
      </c>
      <c r="G592" s="63">
        <v>20.73</v>
      </c>
      <c r="H592" s="66">
        <f t="shared" si="1"/>
        <v>217.08</v>
      </c>
      <c r="I592" s="81">
        <f>IFERROR(__xludf.DUMMYFUNCTION("IF(G592="""", """", ROUND(G592 / MAX(FILTER($G$2:$G5067, $D$2:$D5067=$D592)) * 100, 2))"),98.86)</f>
        <v>98.86</v>
      </c>
      <c r="J592" s="81">
        <f>IFERROR(__xludf.DUMMYFUNCTION("IF(H592="""", """", ROUND(H592 / MAX(FILTER($H$2:$H5067, $D$2:$D5067=$D592)) * 100, 2))"),94.75)</f>
        <v>94.75</v>
      </c>
      <c r="K592" s="2"/>
      <c r="L592" s="49"/>
      <c r="M592" s="49"/>
      <c r="N592" s="49"/>
      <c r="O592" s="49" t="str">
        <f t="shared" si="2"/>
        <v/>
      </c>
      <c r="P592" s="49" t="str">
        <f t="shared" si="3"/>
        <v/>
      </c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</row>
    <row r="593">
      <c r="A593" s="69">
        <v>39.0</v>
      </c>
      <c r="B593" s="69">
        <v>51.0</v>
      </c>
      <c r="C593" s="86" t="s">
        <v>165</v>
      </c>
      <c r="D593" s="86" t="s">
        <v>166</v>
      </c>
      <c r="E593" s="86" t="s">
        <v>167</v>
      </c>
      <c r="F593" s="69">
        <v>8000.0</v>
      </c>
      <c r="G593" s="69">
        <v>20.32</v>
      </c>
      <c r="H593" s="68">
        <f t="shared" si="1"/>
        <v>226.98</v>
      </c>
      <c r="I593" s="81">
        <f>IFERROR(__xludf.DUMMYFUNCTION("IF(G593="""", """", ROUND(G593 / MAX(FILTER($G$2:$G5067, $D$2:$D5067=$D593)) * 100, 2))"),96.9)</f>
        <v>96.9</v>
      </c>
      <c r="J593" s="81">
        <f>IFERROR(__xludf.DUMMYFUNCTION("IF(H593="""", """", ROUND(H593 / MAX(FILTER($H$2:$H5067, $D$2:$D5067=$D593)) * 100, 2))"),99.07)</f>
        <v>99.07</v>
      </c>
      <c r="K593" s="2"/>
      <c r="L593" s="48"/>
      <c r="M593" s="48"/>
      <c r="N593" s="48"/>
      <c r="O593" s="48" t="str">
        <f t="shared" si="2"/>
        <v/>
      </c>
      <c r="P593" s="48" t="str">
        <f t="shared" si="3"/>
        <v/>
      </c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</row>
    <row r="594">
      <c r="A594" s="63">
        <v>39.0</v>
      </c>
      <c r="B594" s="63">
        <v>51.0</v>
      </c>
      <c r="C594" s="64" t="s">
        <v>165</v>
      </c>
      <c r="D594" s="64" t="s">
        <v>166</v>
      </c>
      <c r="E594" s="64" t="s">
        <v>167</v>
      </c>
      <c r="F594" s="63">
        <v>8300.0</v>
      </c>
      <c r="G594" s="63">
        <v>19.77</v>
      </c>
      <c r="H594" s="66">
        <f t="shared" si="1"/>
        <v>229.11</v>
      </c>
      <c r="I594" s="81">
        <f>IFERROR(__xludf.DUMMYFUNCTION("IF(G594="""", """", ROUND(G594 / MAX(FILTER($G$2:$G5067, $D$2:$D5067=$D594)) * 100, 2))"),94.28)</f>
        <v>94.28</v>
      </c>
      <c r="J594" s="81">
        <f>IFERROR(__xludf.DUMMYFUNCTION("IF(H594="""", """", ROUND(H594 / MAX(FILTER($H$2:$H5067, $D$2:$D5067=$D594)) * 100, 2))"),100.0)</f>
        <v>100</v>
      </c>
      <c r="K594" s="2"/>
      <c r="L594" s="49"/>
      <c r="M594" s="49"/>
      <c r="N594" s="49"/>
      <c r="O594" s="49" t="str">
        <f t="shared" si="2"/>
        <v/>
      </c>
      <c r="P594" s="49" t="str">
        <f t="shared" si="3"/>
        <v/>
      </c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</row>
    <row r="595">
      <c r="A595" s="69">
        <v>39.0</v>
      </c>
      <c r="B595" s="69">
        <v>51.0</v>
      </c>
      <c r="C595" s="86" t="s">
        <v>165</v>
      </c>
      <c r="D595" s="86" t="s">
        <v>166</v>
      </c>
      <c r="E595" s="86" t="s">
        <v>167</v>
      </c>
      <c r="F595" s="69">
        <v>9000.0</v>
      </c>
      <c r="G595" s="69">
        <v>17.23</v>
      </c>
      <c r="H595" s="68">
        <f t="shared" si="1"/>
        <v>216.52</v>
      </c>
      <c r="I595" s="81">
        <f>IFERROR(__xludf.DUMMYFUNCTION("IF(G595="""", """", ROUND(G595 / MAX(FILTER($G$2:$G5067, $D$2:$D5067=$D595)) * 100, 2))"),82.16)</f>
        <v>82.16</v>
      </c>
      <c r="J595" s="81">
        <f>IFERROR(__xludf.DUMMYFUNCTION("IF(H595="""", """", ROUND(H595 / MAX(FILTER($H$2:$H5067, $D$2:$D5067=$D595)) * 100, 2))"),94.5)</f>
        <v>94.5</v>
      </c>
      <c r="K595" s="2"/>
      <c r="L595" s="48"/>
      <c r="M595" s="48"/>
      <c r="N595" s="48"/>
      <c r="O595" s="48" t="str">
        <f t="shared" si="2"/>
        <v/>
      </c>
      <c r="P595" s="48" t="str">
        <f t="shared" si="3"/>
        <v/>
      </c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</row>
    <row r="596">
      <c r="A596" s="63">
        <v>39.0</v>
      </c>
      <c r="B596" s="63">
        <v>51.0</v>
      </c>
      <c r="C596" s="64" t="s">
        <v>165</v>
      </c>
      <c r="D596" s="64" t="s">
        <v>166</v>
      </c>
      <c r="E596" s="64" t="s">
        <v>167</v>
      </c>
      <c r="F596" s="63">
        <v>9500.0</v>
      </c>
      <c r="G596" s="63">
        <v>14.32</v>
      </c>
      <c r="H596" s="66">
        <f t="shared" si="1"/>
        <v>189.95</v>
      </c>
      <c r="I596" s="81">
        <f>IFERROR(__xludf.DUMMYFUNCTION("IF(G596="""", """", ROUND(G596 / MAX(FILTER($G$2:$G5067, $D$2:$D5067=$D596)) * 100, 2))"),68.29)</f>
        <v>68.29</v>
      </c>
      <c r="J596" s="81">
        <f>IFERROR(__xludf.DUMMYFUNCTION("IF(H596="""", """", ROUND(H596 / MAX(FILTER($H$2:$H5067, $D$2:$D5067=$D596)) * 100, 2))"),82.91)</f>
        <v>82.91</v>
      </c>
      <c r="K596" s="2"/>
      <c r="L596" s="49"/>
      <c r="M596" s="49"/>
      <c r="N596" s="49"/>
      <c r="O596" s="49" t="str">
        <f t="shared" si="2"/>
        <v/>
      </c>
      <c r="P596" s="49" t="str">
        <f t="shared" si="3"/>
        <v/>
      </c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</row>
    <row r="597">
      <c r="A597" s="69">
        <v>40.0</v>
      </c>
      <c r="B597" s="69">
        <v>52.0</v>
      </c>
      <c r="C597" s="86" t="s">
        <v>168</v>
      </c>
      <c r="D597" s="86" t="s">
        <v>169</v>
      </c>
      <c r="E597" s="86" t="s">
        <v>170</v>
      </c>
      <c r="F597" s="69">
        <v>500.0</v>
      </c>
      <c r="G597" s="69">
        <v>16.87</v>
      </c>
      <c r="H597" s="68">
        <f t="shared" si="1"/>
        <v>11.78</v>
      </c>
      <c r="I597" s="81">
        <f>IFERROR(__xludf.DUMMYFUNCTION("IF(G597="""", """", ROUND(G597 / MAX(FILTER($G$2:$G5067, $D$2:$D5067=$D597)) * 100, 2))"),61.28)</f>
        <v>61.28</v>
      </c>
      <c r="J597" s="81">
        <f>IFERROR(__xludf.DUMMYFUNCTION("IF(H597="""", """", ROUND(H597 / MAX(FILTER($H$2:$H5067, $D$2:$D5067=$D597)) * 100, 2))"),5.62)</f>
        <v>5.62</v>
      </c>
      <c r="K597" s="2"/>
      <c r="L597" s="48"/>
      <c r="M597" s="48"/>
      <c r="N597" s="48"/>
      <c r="O597" s="48" t="str">
        <f t="shared" si="2"/>
        <v/>
      </c>
      <c r="P597" s="48" t="str">
        <f t="shared" si="3"/>
        <v/>
      </c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</row>
    <row r="598">
      <c r="A598" s="63">
        <v>40.0</v>
      </c>
      <c r="B598" s="63">
        <v>52.0</v>
      </c>
      <c r="C598" s="64" t="s">
        <v>168</v>
      </c>
      <c r="D598" s="64" t="s">
        <v>169</v>
      </c>
      <c r="E598" s="64" t="s">
        <v>170</v>
      </c>
      <c r="F598" s="63">
        <v>1000.0</v>
      </c>
      <c r="G598" s="63">
        <v>20.84</v>
      </c>
      <c r="H598" s="66">
        <f t="shared" si="1"/>
        <v>29.1</v>
      </c>
      <c r="I598" s="81">
        <f>IFERROR(__xludf.DUMMYFUNCTION("IF(G598="""", """", ROUND(G598 / MAX(FILTER($G$2:$G5067, $D$2:$D5067=$D598)) * 100, 2))"),75.7)</f>
        <v>75.7</v>
      </c>
      <c r="J598" s="81">
        <f>IFERROR(__xludf.DUMMYFUNCTION("IF(H598="""", """", ROUND(H598 / MAX(FILTER($H$2:$H5067, $D$2:$D5067=$D598)) * 100, 2))"),13.88)</f>
        <v>13.88</v>
      </c>
      <c r="K598" s="2"/>
      <c r="L598" s="49"/>
      <c r="M598" s="49"/>
      <c r="N598" s="49"/>
      <c r="O598" s="49" t="str">
        <f t="shared" si="2"/>
        <v/>
      </c>
      <c r="P598" s="49" t="str">
        <f t="shared" si="3"/>
        <v/>
      </c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</row>
    <row r="599">
      <c r="A599" s="69">
        <v>40.0</v>
      </c>
      <c r="B599" s="69">
        <v>52.0</v>
      </c>
      <c r="C599" s="86" t="s">
        <v>168</v>
      </c>
      <c r="D599" s="86" t="s">
        <v>169</v>
      </c>
      <c r="E599" s="86" t="s">
        <v>170</v>
      </c>
      <c r="F599" s="69">
        <v>1500.0</v>
      </c>
      <c r="G599" s="69">
        <v>23.26</v>
      </c>
      <c r="H599" s="68">
        <f t="shared" si="1"/>
        <v>48.72</v>
      </c>
      <c r="I599" s="81">
        <f>IFERROR(__xludf.DUMMYFUNCTION("IF(G599="""", """", ROUND(G599 / MAX(FILTER($G$2:$G5067, $D$2:$D5067=$D599)) * 100, 2))"),84.49)</f>
        <v>84.49</v>
      </c>
      <c r="J599" s="81">
        <f>IFERROR(__xludf.DUMMYFUNCTION("IF(H599="""", """", ROUND(H599 / MAX(FILTER($H$2:$H5067, $D$2:$D5067=$D599)) * 100, 2))"),23.24)</f>
        <v>23.24</v>
      </c>
      <c r="K599" s="2"/>
      <c r="L599" s="48"/>
      <c r="M599" s="48"/>
      <c r="N599" s="48"/>
      <c r="O599" s="48" t="str">
        <f t="shared" si="2"/>
        <v/>
      </c>
      <c r="P599" s="48" t="str">
        <f t="shared" si="3"/>
        <v/>
      </c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</row>
    <row r="600">
      <c r="A600" s="63">
        <v>40.0</v>
      </c>
      <c r="B600" s="63">
        <v>52.0</v>
      </c>
      <c r="C600" s="64" t="s">
        <v>168</v>
      </c>
      <c r="D600" s="64" t="s">
        <v>169</v>
      </c>
      <c r="E600" s="64" t="s">
        <v>170</v>
      </c>
      <c r="F600" s="63">
        <v>2000.0</v>
      </c>
      <c r="G600" s="63">
        <v>24.47</v>
      </c>
      <c r="H600" s="66">
        <f t="shared" si="1"/>
        <v>68.33</v>
      </c>
      <c r="I600" s="81">
        <f>IFERROR(__xludf.DUMMYFUNCTION("IF(G600="""", """", ROUND(G600 / MAX(FILTER($G$2:$G5067, $D$2:$D5067=$D600)) * 100, 2))"),88.88)</f>
        <v>88.88</v>
      </c>
      <c r="J600" s="81">
        <f>IFERROR(__xludf.DUMMYFUNCTION("IF(H600="""", """", ROUND(H600 / MAX(FILTER($H$2:$H5067, $D$2:$D5067=$D600)) * 100, 2))"),32.6)</f>
        <v>32.6</v>
      </c>
      <c r="K600" s="2"/>
      <c r="L600" s="49"/>
      <c r="M600" s="49"/>
      <c r="N600" s="49"/>
      <c r="O600" s="49" t="str">
        <f t="shared" si="2"/>
        <v/>
      </c>
      <c r="P600" s="49" t="str">
        <f t="shared" si="3"/>
        <v/>
      </c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</row>
    <row r="601">
      <c r="A601" s="69">
        <v>40.0</v>
      </c>
      <c r="B601" s="69">
        <v>52.0</v>
      </c>
      <c r="C601" s="86" t="s">
        <v>168</v>
      </c>
      <c r="D601" s="86" t="s">
        <v>169</v>
      </c>
      <c r="E601" s="86" t="s">
        <v>170</v>
      </c>
      <c r="F601" s="69">
        <v>2500.0</v>
      </c>
      <c r="G601" s="69">
        <v>24.98</v>
      </c>
      <c r="H601" s="68">
        <f t="shared" si="1"/>
        <v>87.2</v>
      </c>
      <c r="I601" s="81">
        <f>IFERROR(__xludf.DUMMYFUNCTION("IF(G601="""", """", ROUND(G601 / MAX(FILTER($G$2:$G5067, $D$2:$D5067=$D601)) * 100, 2))"),90.74)</f>
        <v>90.74</v>
      </c>
      <c r="J601" s="81">
        <f>IFERROR(__xludf.DUMMYFUNCTION("IF(H601="""", """", ROUND(H601 / MAX(FILTER($H$2:$H5067, $D$2:$D5067=$D601)) * 100, 2))"),41.6)</f>
        <v>41.6</v>
      </c>
      <c r="K601" s="2"/>
      <c r="L601" s="48"/>
      <c r="M601" s="48"/>
      <c r="N601" s="48"/>
      <c r="O601" s="48" t="str">
        <f t="shared" si="2"/>
        <v/>
      </c>
      <c r="P601" s="48" t="str">
        <f t="shared" si="3"/>
        <v/>
      </c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</row>
    <row r="602">
      <c r="A602" s="63">
        <v>40.0</v>
      </c>
      <c r="B602" s="63">
        <v>52.0</v>
      </c>
      <c r="C602" s="64" t="s">
        <v>168</v>
      </c>
      <c r="D602" s="64" t="s">
        <v>169</v>
      </c>
      <c r="E602" s="64" t="s">
        <v>170</v>
      </c>
      <c r="F602" s="63">
        <v>3000.0</v>
      </c>
      <c r="G602" s="63">
        <v>25.49</v>
      </c>
      <c r="H602" s="66">
        <f t="shared" si="1"/>
        <v>106.77</v>
      </c>
      <c r="I602" s="81">
        <f>IFERROR(__xludf.DUMMYFUNCTION("IF(G602="""", """", ROUND(G602 / MAX(FILTER($G$2:$G5067, $D$2:$D5067=$D602)) * 100, 2))"),92.59)</f>
        <v>92.59</v>
      </c>
      <c r="J602" s="81">
        <f>IFERROR(__xludf.DUMMYFUNCTION("IF(H602="""", """", ROUND(H602 / MAX(FILTER($H$2:$H5067, $D$2:$D5067=$D602)) * 100, 2))"),50.94)</f>
        <v>50.94</v>
      </c>
      <c r="K602" s="2"/>
      <c r="L602" s="49"/>
      <c r="M602" s="49"/>
      <c r="N602" s="49"/>
      <c r="O602" s="49" t="str">
        <f t="shared" si="2"/>
        <v/>
      </c>
      <c r="P602" s="49" t="str">
        <f t="shared" si="3"/>
        <v/>
      </c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</row>
    <row r="603">
      <c r="A603" s="69">
        <v>40.0</v>
      </c>
      <c r="B603" s="69">
        <v>52.0</v>
      </c>
      <c r="C603" s="86" t="s">
        <v>168</v>
      </c>
      <c r="D603" s="86" t="s">
        <v>169</v>
      </c>
      <c r="E603" s="86" t="s">
        <v>170</v>
      </c>
      <c r="F603" s="69">
        <v>3500.0</v>
      </c>
      <c r="G603" s="69">
        <v>26.0</v>
      </c>
      <c r="H603" s="68">
        <f t="shared" si="1"/>
        <v>127.06</v>
      </c>
      <c r="I603" s="81">
        <f>IFERROR(__xludf.DUMMYFUNCTION("IF(G603="""", """", ROUND(G603 / MAX(FILTER($G$2:$G5067, $D$2:$D5067=$D603)) * 100, 2))"),94.44)</f>
        <v>94.44</v>
      </c>
      <c r="J603" s="81">
        <f>IFERROR(__xludf.DUMMYFUNCTION("IF(H603="""", """", ROUND(H603 / MAX(FILTER($H$2:$H5067, $D$2:$D5067=$D603)) * 100, 2))"),60.62)</f>
        <v>60.62</v>
      </c>
      <c r="K603" s="2"/>
      <c r="L603" s="48"/>
      <c r="M603" s="48"/>
      <c r="N603" s="48"/>
      <c r="O603" s="48" t="str">
        <f t="shared" si="2"/>
        <v/>
      </c>
      <c r="P603" s="48" t="str">
        <f t="shared" si="3"/>
        <v/>
      </c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</row>
    <row r="604">
      <c r="A604" s="63">
        <v>40.0</v>
      </c>
      <c r="B604" s="63">
        <v>52.0</v>
      </c>
      <c r="C604" s="64" t="s">
        <v>168</v>
      </c>
      <c r="D604" s="64" t="s">
        <v>169</v>
      </c>
      <c r="E604" s="64" t="s">
        <v>170</v>
      </c>
      <c r="F604" s="63">
        <v>4000.0</v>
      </c>
      <c r="G604" s="63">
        <v>26.51</v>
      </c>
      <c r="H604" s="66">
        <f t="shared" si="1"/>
        <v>148.06</v>
      </c>
      <c r="I604" s="81">
        <f>IFERROR(__xludf.DUMMYFUNCTION("IF(G604="""", """", ROUND(G604 / MAX(FILTER($G$2:$G5067, $D$2:$D5067=$D604)) * 100, 2))"),96.29)</f>
        <v>96.29</v>
      </c>
      <c r="J604" s="81">
        <f>IFERROR(__xludf.DUMMYFUNCTION("IF(H604="""", """", ROUND(H604 / MAX(FILTER($H$2:$H5067, $D$2:$D5067=$D604)) * 100, 2))"),70.64)</f>
        <v>70.64</v>
      </c>
      <c r="K604" s="2"/>
      <c r="L604" s="49"/>
      <c r="M604" s="49"/>
      <c r="N604" s="49"/>
      <c r="O604" s="49" t="str">
        <f t="shared" si="2"/>
        <v/>
      </c>
      <c r="P604" s="49" t="str">
        <f t="shared" si="3"/>
        <v/>
      </c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</row>
    <row r="605">
      <c r="A605" s="69">
        <v>40.0</v>
      </c>
      <c r="B605" s="69">
        <v>52.0</v>
      </c>
      <c r="C605" s="86" t="s">
        <v>168</v>
      </c>
      <c r="D605" s="86" t="s">
        <v>169</v>
      </c>
      <c r="E605" s="86" t="s">
        <v>170</v>
      </c>
      <c r="F605" s="69">
        <v>4500.0</v>
      </c>
      <c r="G605" s="69">
        <v>27.02</v>
      </c>
      <c r="H605" s="68">
        <f t="shared" si="1"/>
        <v>169.77</v>
      </c>
      <c r="I605" s="81">
        <f>IFERROR(__xludf.DUMMYFUNCTION("IF(G605="""", """", ROUND(G605 / MAX(FILTER($G$2:$G5067, $D$2:$D5067=$D605)) * 100, 2))"),98.15)</f>
        <v>98.15</v>
      </c>
      <c r="J605" s="81">
        <f>IFERROR(__xludf.DUMMYFUNCTION("IF(H605="""", """", ROUND(H605 / MAX(FILTER($H$2:$H5067, $D$2:$D5067=$D605)) * 100, 2))"),80.99)</f>
        <v>80.99</v>
      </c>
      <c r="K605" s="2"/>
      <c r="L605" s="48"/>
      <c r="M605" s="48"/>
      <c r="N605" s="48"/>
      <c r="O605" s="48" t="str">
        <f t="shared" si="2"/>
        <v/>
      </c>
      <c r="P605" s="48" t="str">
        <f t="shared" si="3"/>
        <v/>
      </c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</row>
    <row r="606">
      <c r="A606" s="63">
        <v>40.0</v>
      </c>
      <c r="B606" s="63">
        <v>52.0</v>
      </c>
      <c r="C606" s="64" t="s">
        <v>168</v>
      </c>
      <c r="D606" s="64" t="s">
        <v>169</v>
      </c>
      <c r="E606" s="64" t="s">
        <v>170</v>
      </c>
      <c r="F606" s="63">
        <v>5000.0</v>
      </c>
      <c r="G606" s="63">
        <v>27.53</v>
      </c>
      <c r="H606" s="66">
        <f t="shared" si="1"/>
        <v>192.19</v>
      </c>
      <c r="I606" s="81">
        <f>IFERROR(__xludf.DUMMYFUNCTION("IF(G606="""", """", ROUND(G606 / MAX(FILTER($G$2:$G5067, $D$2:$D5067=$D606)) * 100, 2))"),100.0)</f>
        <v>100</v>
      </c>
      <c r="J606" s="81">
        <f>IFERROR(__xludf.DUMMYFUNCTION("IF(H606="""", """", ROUND(H606 / MAX(FILTER($H$2:$H5067, $D$2:$D5067=$D606)) * 100, 2))"),91.69)</f>
        <v>91.69</v>
      </c>
      <c r="K606" s="2"/>
      <c r="L606" s="49"/>
      <c r="M606" s="49"/>
      <c r="N606" s="49"/>
      <c r="O606" s="49" t="str">
        <f t="shared" si="2"/>
        <v/>
      </c>
      <c r="P606" s="49" t="str">
        <f t="shared" si="3"/>
        <v/>
      </c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</row>
    <row r="607">
      <c r="A607" s="69">
        <v>40.0</v>
      </c>
      <c r="B607" s="69">
        <v>52.0</v>
      </c>
      <c r="C607" s="86" t="s">
        <v>168</v>
      </c>
      <c r="D607" s="86" t="s">
        <v>169</v>
      </c>
      <c r="E607" s="86" t="s">
        <v>170</v>
      </c>
      <c r="F607" s="69">
        <v>5500.0</v>
      </c>
      <c r="G607" s="69">
        <v>26.37</v>
      </c>
      <c r="H607" s="68">
        <f t="shared" si="1"/>
        <v>202.51</v>
      </c>
      <c r="I607" s="81">
        <f>IFERROR(__xludf.DUMMYFUNCTION("IF(G607="""", """", ROUND(G607 / MAX(FILTER($G$2:$G5067, $D$2:$D5067=$D607)) * 100, 2))"),95.79)</f>
        <v>95.79</v>
      </c>
      <c r="J607" s="81">
        <f>IFERROR(__xludf.DUMMYFUNCTION("IF(H607="""", """", ROUND(H607 / MAX(FILTER($H$2:$H5067, $D$2:$D5067=$D607)) * 100, 2))"),96.61)</f>
        <v>96.61</v>
      </c>
      <c r="K607" s="2"/>
      <c r="L607" s="48"/>
      <c r="M607" s="48"/>
      <c r="N607" s="48"/>
      <c r="O607" s="48" t="str">
        <f t="shared" si="2"/>
        <v/>
      </c>
      <c r="P607" s="48" t="str">
        <f t="shared" si="3"/>
        <v/>
      </c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</row>
    <row r="608">
      <c r="A608" s="63">
        <v>40.0</v>
      </c>
      <c r="B608" s="63">
        <v>52.0</v>
      </c>
      <c r="C608" s="64" t="s">
        <v>168</v>
      </c>
      <c r="D608" s="64" t="s">
        <v>169</v>
      </c>
      <c r="E608" s="64" t="s">
        <v>170</v>
      </c>
      <c r="F608" s="63">
        <v>6000.0</v>
      </c>
      <c r="G608" s="63">
        <v>25.02</v>
      </c>
      <c r="H608" s="66">
        <f t="shared" si="1"/>
        <v>209.61</v>
      </c>
      <c r="I608" s="81">
        <f>IFERROR(__xludf.DUMMYFUNCTION("IF(G608="""", """", ROUND(G608 / MAX(FILTER($G$2:$G5067, $D$2:$D5067=$D608)) * 100, 2))"),90.88)</f>
        <v>90.88</v>
      </c>
      <c r="J608" s="81">
        <f>IFERROR(__xludf.DUMMYFUNCTION("IF(H608="""", """", ROUND(H608 / MAX(FILTER($H$2:$H5067, $D$2:$D5067=$D608)) * 100, 2))"),100.0)</f>
        <v>100</v>
      </c>
      <c r="K608" s="2"/>
      <c r="L608" s="49"/>
      <c r="M608" s="49"/>
      <c r="N608" s="49"/>
      <c r="O608" s="49" t="str">
        <f t="shared" si="2"/>
        <v/>
      </c>
      <c r="P608" s="49" t="str">
        <f t="shared" si="3"/>
        <v/>
      </c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</row>
    <row r="609">
      <c r="A609" s="69">
        <v>40.0</v>
      </c>
      <c r="B609" s="69">
        <v>52.0</v>
      </c>
      <c r="C609" s="86" t="s">
        <v>168</v>
      </c>
      <c r="D609" s="86" t="s">
        <v>169</v>
      </c>
      <c r="E609" s="86" t="s">
        <v>170</v>
      </c>
      <c r="F609" s="69">
        <v>6500.0</v>
      </c>
      <c r="G609" s="69">
        <v>22.67</v>
      </c>
      <c r="H609" s="68">
        <f t="shared" si="1"/>
        <v>205.75</v>
      </c>
      <c r="I609" s="81">
        <f>IFERROR(__xludf.DUMMYFUNCTION("IF(G609="""", """", ROUND(G609 / MAX(FILTER($G$2:$G5067, $D$2:$D5067=$D609)) * 100, 2))"),82.35)</f>
        <v>82.35</v>
      </c>
      <c r="J609" s="81">
        <f>IFERROR(__xludf.DUMMYFUNCTION("IF(H609="""", """", ROUND(H609 / MAX(FILTER($H$2:$H5067, $D$2:$D5067=$D609)) * 100, 2))"),98.16)</f>
        <v>98.16</v>
      </c>
      <c r="K609" s="2"/>
      <c r="L609" s="48"/>
      <c r="M609" s="48"/>
      <c r="N609" s="48"/>
      <c r="O609" s="48" t="str">
        <f t="shared" si="2"/>
        <v/>
      </c>
      <c r="P609" s="48" t="str">
        <f t="shared" si="3"/>
        <v/>
      </c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</row>
    <row r="610">
      <c r="A610" s="63">
        <v>40.0</v>
      </c>
      <c r="B610" s="63">
        <v>52.0</v>
      </c>
      <c r="C610" s="64" t="s">
        <v>168</v>
      </c>
      <c r="D610" s="64" t="s">
        <v>169</v>
      </c>
      <c r="E610" s="64" t="s">
        <v>170</v>
      </c>
      <c r="F610" s="63">
        <v>7000.0</v>
      </c>
      <c r="G610" s="63">
        <v>18.3</v>
      </c>
      <c r="H610" s="66">
        <f t="shared" si="1"/>
        <v>178.86</v>
      </c>
      <c r="I610" s="81">
        <f>IFERROR(__xludf.DUMMYFUNCTION("IF(G610="""", """", ROUND(G610 / MAX(FILTER($G$2:$G5067, $D$2:$D5067=$D610)) * 100, 2))"),66.47)</f>
        <v>66.47</v>
      </c>
      <c r="J610" s="81">
        <f>IFERROR(__xludf.DUMMYFUNCTION("IF(H610="""", """", ROUND(H610 / MAX(FILTER($H$2:$H5067, $D$2:$D5067=$D610)) * 100, 2))"),85.33)</f>
        <v>85.33</v>
      </c>
      <c r="K610" s="2"/>
      <c r="L610" s="49"/>
      <c r="M610" s="49"/>
      <c r="N610" s="49"/>
      <c r="O610" s="49" t="str">
        <f t="shared" si="2"/>
        <v/>
      </c>
      <c r="P610" s="49" t="str">
        <f t="shared" si="3"/>
        <v/>
      </c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</row>
    <row r="611">
      <c r="A611" s="69">
        <v>41.0</v>
      </c>
      <c r="B611" s="69">
        <v>54.0</v>
      </c>
      <c r="C611" s="86" t="s">
        <v>171</v>
      </c>
      <c r="D611" s="86" t="s">
        <v>172</v>
      </c>
      <c r="E611" s="86" t="s">
        <v>173</v>
      </c>
      <c r="F611" s="69">
        <v>500.0</v>
      </c>
      <c r="G611" s="69">
        <v>17.3</v>
      </c>
      <c r="H611" s="68">
        <f t="shared" si="1"/>
        <v>12.08</v>
      </c>
      <c r="I611" s="81">
        <f>IFERROR(__xludf.DUMMYFUNCTION("IF(G611="""", """", ROUND(G611 / MAX(FILTER($G$2:$G5067, $D$2:$D5067=$D611)) * 100, 2))"),53.07)</f>
        <v>53.07</v>
      </c>
      <c r="J611" s="81">
        <f>IFERROR(__xludf.DUMMYFUNCTION("IF(H611="""", """", ROUND(H611 / MAX(FILTER($H$2:$H5067, $D$2:$D5067=$D611)) * 100, 2))"),4.29)</f>
        <v>4.29</v>
      </c>
      <c r="K611" s="2"/>
      <c r="L611" s="48"/>
      <c r="M611" s="48"/>
      <c r="N611" s="48"/>
      <c r="O611" s="48" t="str">
        <f t="shared" si="2"/>
        <v/>
      </c>
      <c r="P611" s="48" t="str">
        <f t="shared" si="3"/>
        <v/>
      </c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</row>
    <row r="612">
      <c r="A612" s="63">
        <v>41.0</v>
      </c>
      <c r="B612" s="63">
        <v>54.0</v>
      </c>
      <c r="C612" s="64" t="s">
        <v>171</v>
      </c>
      <c r="D612" s="64" t="s">
        <v>172</v>
      </c>
      <c r="E612" s="64" t="s">
        <v>173</v>
      </c>
      <c r="F612" s="63">
        <v>1000.0</v>
      </c>
      <c r="G612" s="63">
        <v>21.2</v>
      </c>
      <c r="H612" s="66">
        <f t="shared" si="1"/>
        <v>29.6</v>
      </c>
      <c r="I612" s="81">
        <f>IFERROR(__xludf.DUMMYFUNCTION("IF(G612="""", """", ROUND(G612 / MAX(FILTER($G$2:$G5067, $D$2:$D5067=$D612)) * 100, 2))"),65.03)</f>
        <v>65.03</v>
      </c>
      <c r="J612" s="81">
        <f>IFERROR(__xludf.DUMMYFUNCTION("IF(H612="""", """", ROUND(H612 / MAX(FILTER($H$2:$H5067, $D$2:$D5067=$D612)) * 100, 2))"),10.52)</f>
        <v>10.52</v>
      </c>
      <c r="K612" s="2"/>
      <c r="L612" s="49"/>
      <c r="M612" s="49"/>
      <c r="N612" s="49"/>
      <c r="O612" s="49" t="str">
        <f t="shared" si="2"/>
        <v/>
      </c>
      <c r="P612" s="49" t="str">
        <f t="shared" si="3"/>
        <v/>
      </c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</row>
    <row r="613">
      <c r="A613" s="69">
        <v>41.0</v>
      </c>
      <c r="B613" s="69">
        <v>54.0</v>
      </c>
      <c r="C613" s="86" t="s">
        <v>171</v>
      </c>
      <c r="D613" s="86" t="s">
        <v>172</v>
      </c>
      <c r="E613" s="86" t="s">
        <v>173</v>
      </c>
      <c r="F613" s="69">
        <v>1500.0</v>
      </c>
      <c r="G613" s="69">
        <v>24.2</v>
      </c>
      <c r="H613" s="68">
        <f t="shared" si="1"/>
        <v>50.68</v>
      </c>
      <c r="I613" s="81">
        <f>IFERROR(__xludf.DUMMYFUNCTION("IF(G613="""", """", ROUND(G613 / MAX(FILTER($G$2:$G5067, $D$2:$D5067=$D613)) * 100, 2))"),74.23)</f>
        <v>74.23</v>
      </c>
      <c r="J613" s="81">
        <f>IFERROR(__xludf.DUMMYFUNCTION("IF(H613="""", """", ROUND(H613 / MAX(FILTER($H$2:$H5067, $D$2:$D5067=$D613)) * 100, 2))"),18.0)</f>
        <v>18</v>
      </c>
      <c r="K613" s="2"/>
      <c r="L613" s="48"/>
      <c r="M613" s="48"/>
      <c r="N613" s="48"/>
      <c r="O613" s="48" t="str">
        <f t="shared" si="2"/>
        <v/>
      </c>
      <c r="P613" s="48" t="str">
        <f t="shared" si="3"/>
        <v/>
      </c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</row>
    <row r="614">
      <c r="A614" s="63">
        <v>41.0</v>
      </c>
      <c r="B614" s="63">
        <v>54.0</v>
      </c>
      <c r="C614" s="64" t="s">
        <v>171</v>
      </c>
      <c r="D614" s="64" t="s">
        <v>172</v>
      </c>
      <c r="E614" s="64" t="s">
        <v>173</v>
      </c>
      <c r="F614" s="63">
        <v>2000.0</v>
      </c>
      <c r="G614" s="63">
        <v>26.3</v>
      </c>
      <c r="H614" s="66">
        <f t="shared" si="1"/>
        <v>73.44</v>
      </c>
      <c r="I614" s="81">
        <f>IFERROR(__xludf.DUMMYFUNCTION("IF(G614="""", """", ROUND(G614 / MAX(FILTER($G$2:$G5067, $D$2:$D5067=$D614)) * 100, 2))"),80.67)</f>
        <v>80.67</v>
      </c>
      <c r="J614" s="81">
        <f>IFERROR(__xludf.DUMMYFUNCTION("IF(H614="""", """", ROUND(H614 / MAX(FILTER($H$2:$H5067, $D$2:$D5067=$D614)) * 100, 2))"),26.09)</f>
        <v>26.09</v>
      </c>
      <c r="K614" s="2"/>
      <c r="L614" s="49"/>
      <c r="M614" s="49"/>
      <c r="N614" s="49"/>
      <c r="O614" s="49" t="str">
        <f t="shared" si="2"/>
        <v/>
      </c>
      <c r="P614" s="49" t="str">
        <f t="shared" si="3"/>
        <v/>
      </c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</row>
    <row r="615">
      <c r="A615" s="69">
        <v>41.0</v>
      </c>
      <c r="B615" s="69">
        <v>54.0</v>
      </c>
      <c r="C615" s="86" t="s">
        <v>171</v>
      </c>
      <c r="D615" s="86" t="s">
        <v>172</v>
      </c>
      <c r="E615" s="86" t="s">
        <v>173</v>
      </c>
      <c r="F615" s="69">
        <v>2500.0</v>
      </c>
      <c r="G615" s="69">
        <v>28.1</v>
      </c>
      <c r="H615" s="68">
        <f t="shared" si="1"/>
        <v>98.09</v>
      </c>
      <c r="I615" s="81">
        <f>IFERROR(__xludf.DUMMYFUNCTION("IF(G615="""", """", ROUND(G615 / MAX(FILTER($G$2:$G5067, $D$2:$D5067=$D615)) * 100, 2))"),86.2)</f>
        <v>86.2</v>
      </c>
      <c r="J615" s="81">
        <f>IFERROR(__xludf.DUMMYFUNCTION("IF(H615="""", """", ROUND(H615 / MAX(FILTER($H$2:$H5067, $D$2:$D5067=$D615)) * 100, 2))"),34.85)</f>
        <v>34.85</v>
      </c>
      <c r="K615" s="2"/>
      <c r="L615" s="48"/>
      <c r="M615" s="48"/>
      <c r="N615" s="48"/>
      <c r="O615" s="48" t="str">
        <f t="shared" si="2"/>
        <v/>
      </c>
      <c r="P615" s="48" t="str">
        <f t="shared" si="3"/>
        <v/>
      </c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</row>
    <row r="616">
      <c r="A616" s="63">
        <v>41.0</v>
      </c>
      <c r="B616" s="63">
        <v>54.0</v>
      </c>
      <c r="C616" s="64" t="s">
        <v>171</v>
      </c>
      <c r="D616" s="64" t="s">
        <v>172</v>
      </c>
      <c r="E616" s="64" t="s">
        <v>173</v>
      </c>
      <c r="F616" s="63">
        <v>3000.0</v>
      </c>
      <c r="G616" s="63">
        <v>29.0</v>
      </c>
      <c r="H616" s="66">
        <f t="shared" si="1"/>
        <v>121.47</v>
      </c>
      <c r="I616" s="81">
        <f>IFERROR(__xludf.DUMMYFUNCTION("IF(G616="""", """", ROUND(G616 / MAX(FILTER($G$2:$G5067, $D$2:$D5067=$D616)) * 100, 2))"),88.96)</f>
        <v>88.96</v>
      </c>
      <c r="J616" s="81">
        <f>IFERROR(__xludf.DUMMYFUNCTION("IF(H616="""", """", ROUND(H616 / MAX(FILTER($H$2:$H5067, $D$2:$D5067=$D616)) * 100, 2))"),43.15)</f>
        <v>43.15</v>
      </c>
      <c r="K616" s="2"/>
      <c r="L616" s="49"/>
      <c r="M616" s="49"/>
      <c r="N616" s="49"/>
      <c r="O616" s="49" t="str">
        <f t="shared" si="2"/>
        <v/>
      </c>
      <c r="P616" s="49" t="str">
        <f t="shared" si="3"/>
        <v/>
      </c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</row>
    <row r="617">
      <c r="A617" s="69">
        <v>41.0</v>
      </c>
      <c r="B617" s="69">
        <v>54.0</v>
      </c>
      <c r="C617" s="86" t="s">
        <v>171</v>
      </c>
      <c r="D617" s="86" t="s">
        <v>172</v>
      </c>
      <c r="E617" s="86" t="s">
        <v>173</v>
      </c>
      <c r="F617" s="69">
        <v>3500.0</v>
      </c>
      <c r="G617" s="69">
        <v>29.4</v>
      </c>
      <c r="H617" s="68">
        <f t="shared" si="1"/>
        <v>143.67</v>
      </c>
      <c r="I617" s="81">
        <f>IFERROR(__xludf.DUMMYFUNCTION("IF(G617="""", """", ROUND(G617 / MAX(FILTER($G$2:$G5067, $D$2:$D5067=$D617)) * 100, 2))"),90.18)</f>
        <v>90.18</v>
      </c>
      <c r="J617" s="81">
        <f>IFERROR(__xludf.DUMMYFUNCTION("IF(H617="""", """", ROUND(H617 / MAX(FILTER($H$2:$H5067, $D$2:$D5067=$D617)) * 100, 2))"),51.04)</f>
        <v>51.04</v>
      </c>
      <c r="K617" s="2"/>
      <c r="L617" s="48"/>
      <c r="M617" s="48"/>
      <c r="N617" s="48"/>
      <c r="O617" s="48" t="str">
        <f t="shared" si="2"/>
        <v/>
      </c>
      <c r="P617" s="48" t="str">
        <f t="shared" si="3"/>
        <v/>
      </c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</row>
    <row r="618">
      <c r="A618" s="63">
        <v>41.0</v>
      </c>
      <c r="B618" s="63">
        <v>54.0</v>
      </c>
      <c r="C618" s="64" t="s">
        <v>171</v>
      </c>
      <c r="D618" s="64" t="s">
        <v>172</v>
      </c>
      <c r="E618" s="64" t="s">
        <v>173</v>
      </c>
      <c r="F618" s="63">
        <v>4000.0</v>
      </c>
      <c r="G618" s="63">
        <v>29.9</v>
      </c>
      <c r="H618" s="66">
        <f t="shared" si="1"/>
        <v>166.99</v>
      </c>
      <c r="I618" s="81">
        <f>IFERROR(__xludf.DUMMYFUNCTION("IF(G618="""", """", ROUND(G618 / MAX(FILTER($G$2:$G5067, $D$2:$D5067=$D618)) * 100, 2))"),91.72)</f>
        <v>91.72</v>
      </c>
      <c r="J618" s="81">
        <f>IFERROR(__xludf.DUMMYFUNCTION("IF(H618="""", """", ROUND(H618 / MAX(FILTER($H$2:$H5067, $D$2:$D5067=$D618)) * 100, 2))"),59.32)</f>
        <v>59.32</v>
      </c>
      <c r="K618" s="2"/>
      <c r="L618" s="49"/>
      <c r="M618" s="49"/>
      <c r="N618" s="49"/>
      <c r="O618" s="49" t="str">
        <f t="shared" si="2"/>
        <v/>
      </c>
      <c r="P618" s="49" t="str">
        <f t="shared" si="3"/>
        <v/>
      </c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</row>
    <row r="619">
      <c r="A619" s="69">
        <v>41.0</v>
      </c>
      <c r="B619" s="69">
        <v>54.0</v>
      </c>
      <c r="C619" s="86" t="s">
        <v>171</v>
      </c>
      <c r="D619" s="86" t="s">
        <v>172</v>
      </c>
      <c r="E619" s="86" t="s">
        <v>173</v>
      </c>
      <c r="F619" s="69">
        <v>4500.0</v>
      </c>
      <c r="G619" s="69">
        <v>30.9</v>
      </c>
      <c r="H619" s="68">
        <f t="shared" si="1"/>
        <v>194.15</v>
      </c>
      <c r="I619" s="81">
        <f>IFERROR(__xludf.DUMMYFUNCTION("IF(G619="""", """", ROUND(G619 / MAX(FILTER($G$2:$G5067, $D$2:$D5067=$D619)) * 100, 2))"),94.79)</f>
        <v>94.79</v>
      </c>
      <c r="J619" s="81">
        <f>IFERROR(__xludf.DUMMYFUNCTION("IF(H619="""", """", ROUND(H619 / MAX(FILTER($H$2:$H5067, $D$2:$D5067=$D619)) * 100, 2))"),68.97)</f>
        <v>68.97</v>
      </c>
      <c r="K619" s="2"/>
      <c r="L619" s="48"/>
      <c r="M619" s="48"/>
      <c r="N619" s="48"/>
      <c r="O619" s="48" t="str">
        <f t="shared" si="2"/>
        <v/>
      </c>
      <c r="P619" s="48" t="str">
        <f t="shared" si="3"/>
        <v/>
      </c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</row>
    <row r="620">
      <c r="A620" s="63">
        <v>41.0</v>
      </c>
      <c r="B620" s="63">
        <v>54.0</v>
      </c>
      <c r="C620" s="64" t="s">
        <v>171</v>
      </c>
      <c r="D620" s="64" t="s">
        <v>172</v>
      </c>
      <c r="E620" s="64" t="s">
        <v>173</v>
      </c>
      <c r="F620" s="63">
        <v>5000.0</v>
      </c>
      <c r="G620" s="63">
        <v>32.0</v>
      </c>
      <c r="H620" s="66">
        <f t="shared" si="1"/>
        <v>223.4</v>
      </c>
      <c r="I620" s="81">
        <f>IFERROR(__xludf.DUMMYFUNCTION("IF(G620="""", """", ROUND(G620 / MAX(FILTER($G$2:$G5067, $D$2:$D5067=$D620)) * 100, 2))"),98.16)</f>
        <v>98.16</v>
      </c>
      <c r="J620" s="81">
        <f>IFERROR(__xludf.DUMMYFUNCTION("IF(H620="""", """", ROUND(H620 / MAX(FILTER($H$2:$H5067, $D$2:$D5067=$D620)) * 100, 2))"),79.36)</f>
        <v>79.36</v>
      </c>
      <c r="K620" s="2"/>
      <c r="L620" s="49"/>
      <c r="M620" s="49"/>
      <c r="N620" s="49"/>
      <c r="O620" s="49" t="str">
        <f t="shared" si="2"/>
        <v/>
      </c>
      <c r="P620" s="49" t="str">
        <f t="shared" si="3"/>
        <v/>
      </c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</row>
    <row r="621">
      <c r="A621" s="69">
        <v>41.0</v>
      </c>
      <c r="B621" s="69">
        <v>54.0</v>
      </c>
      <c r="C621" s="86" t="s">
        <v>171</v>
      </c>
      <c r="D621" s="86" t="s">
        <v>172</v>
      </c>
      <c r="E621" s="86" t="s">
        <v>173</v>
      </c>
      <c r="F621" s="69">
        <v>5500.0</v>
      </c>
      <c r="G621" s="69">
        <v>32.6</v>
      </c>
      <c r="H621" s="68">
        <f t="shared" si="1"/>
        <v>250.35</v>
      </c>
      <c r="I621" s="81">
        <f>IFERROR(__xludf.DUMMYFUNCTION("IF(G621="""", """", ROUND(G621 / MAX(FILTER($G$2:$G5067, $D$2:$D5067=$D621)) * 100, 2))"),100.0)</f>
        <v>100</v>
      </c>
      <c r="J621" s="81">
        <f>IFERROR(__xludf.DUMMYFUNCTION("IF(H621="""", """", ROUND(H621 / MAX(FILTER($H$2:$H5067, $D$2:$D5067=$D621)) * 100, 2))"),88.94)</f>
        <v>88.94</v>
      </c>
      <c r="K621" s="2"/>
      <c r="L621" s="48"/>
      <c r="M621" s="48"/>
      <c r="N621" s="48"/>
      <c r="O621" s="48" t="str">
        <f t="shared" si="2"/>
        <v/>
      </c>
      <c r="P621" s="48" t="str">
        <f t="shared" si="3"/>
        <v/>
      </c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</row>
    <row r="622">
      <c r="A622" s="63">
        <v>41.0</v>
      </c>
      <c r="B622" s="63">
        <v>54.0</v>
      </c>
      <c r="C622" s="64" t="s">
        <v>171</v>
      </c>
      <c r="D622" s="64" t="s">
        <v>172</v>
      </c>
      <c r="E622" s="64" t="s">
        <v>173</v>
      </c>
      <c r="F622" s="63">
        <v>6000.0</v>
      </c>
      <c r="G622" s="63">
        <v>32.2</v>
      </c>
      <c r="H622" s="66">
        <f t="shared" si="1"/>
        <v>269.76</v>
      </c>
      <c r="I622" s="81">
        <f>IFERROR(__xludf.DUMMYFUNCTION("IF(G622="""", """", ROUND(G622 / MAX(FILTER($G$2:$G5067, $D$2:$D5067=$D622)) * 100, 2))"),98.77)</f>
        <v>98.77</v>
      </c>
      <c r="J622" s="81">
        <f>IFERROR(__xludf.DUMMYFUNCTION("IF(H622="""", """", ROUND(H622 / MAX(FILTER($H$2:$H5067, $D$2:$D5067=$D622)) * 100, 2))"),95.83)</f>
        <v>95.83</v>
      </c>
      <c r="K622" s="2"/>
      <c r="L622" s="49"/>
      <c r="M622" s="49"/>
      <c r="N622" s="49"/>
      <c r="O622" s="49" t="str">
        <f t="shared" si="2"/>
        <v/>
      </c>
      <c r="P622" s="49" t="str">
        <f t="shared" si="3"/>
        <v/>
      </c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</row>
    <row r="623">
      <c r="A623" s="69">
        <v>41.0</v>
      </c>
      <c r="B623" s="69">
        <v>54.0</v>
      </c>
      <c r="C623" s="86" t="s">
        <v>171</v>
      </c>
      <c r="D623" s="86" t="s">
        <v>172</v>
      </c>
      <c r="E623" s="86" t="s">
        <v>173</v>
      </c>
      <c r="F623" s="69">
        <v>6500.0</v>
      </c>
      <c r="G623" s="69">
        <v>30.8</v>
      </c>
      <c r="H623" s="68">
        <f t="shared" si="1"/>
        <v>279.53</v>
      </c>
      <c r="I623" s="81">
        <f>IFERROR(__xludf.DUMMYFUNCTION("IF(G623="""", """", ROUND(G623 / MAX(FILTER($G$2:$G5067, $D$2:$D5067=$D623)) * 100, 2))"),94.48)</f>
        <v>94.48</v>
      </c>
      <c r="J623" s="81">
        <f>IFERROR(__xludf.DUMMYFUNCTION("IF(H623="""", """", ROUND(H623 / MAX(FILTER($H$2:$H5067, $D$2:$D5067=$D623)) * 100, 2))"),99.3)</f>
        <v>99.3</v>
      </c>
      <c r="K623" s="2"/>
      <c r="L623" s="48"/>
      <c r="M623" s="48"/>
      <c r="N623" s="48"/>
      <c r="O623" s="48" t="str">
        <f t="shared" si="2"/>
        <v/>
      </c>
      <c r="P623" s="48" t="str">
        <f t="shared" si="3"/>
        <v/>
      </c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</row>
    <row r="624">
      <c r="A624" s="63">
        <v>41.0</v>
      </c>
      <c r="B624" s="63">
        <v>54.0</v>
      </c>
      <c r="C624" s="64" t="s">
        <v>171</v>
      </c>
      <c r="D624" s="64" t="s">
        <v>172</v>
      </c>
      <c r="E624" s="64" t="s">
        <v>173</v>
      </c>
      <c r="F624" s="63">
        <v>7000.0</v>
      </c>
      <c r="G624" s="63">
        <v>28.8</v>
      </c>
      <c r="H624" s="66">
        <f t="shared" si="1"/>
        <v>281.49</v>
      </c>
      <c r="I624" s="81">
        <f>IFERROR(__xludf.DUMMYFUNCTION("IF(G624="""", """", ROUND(G624 / MAX(FILTER($G$2:$G5067, $D$2:$D5067=$D624)) * 100, 2))"),88.34)</f>
        <v>88.34</v>
      </c>
      <c r="J624" s="81">
        <f>IFERROR(__xludf.DUMMYFUNCTION("IF(H624="""", """", ROUND(H624 / MAX(FILTER($H$2:$H5067, $D$2:$D5067=$D624)) * 100, 2))"),100.0)</f>
        <v>100</v>
      </c>
      <c r="K624" s="2"/>
      <c r="L624" s="49"/>
      <c r="M624" s="49"/>
      <c r="N624" s="49"/>
      <c r="O624" s="49" t="str">
        <f t="shared" si="2"/>
        <v/>
      </c>
      <c r="P624" s="49" t="str">
        <f t="shared" si="3"/>
        <v/>
      </c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</row>
    <row r="625">
      <c r="A625" s="69">
        <v>41.0</v>
      </c>
      <c r="B625" s="69">
        <v>54.0</v>
      </c>
      <c r="C625" s="86" t="s">
        <v>171</v>
      </c>
      <c r="D625" s="86" t="s">
        <v>172</v>
      </c>
      <c r="E625" s="86" t="s">
        <v>173</v>
      </c>
      <c r="F625" s="69">
        <v>7500.0</v>
      </c>
      <c r="G625" s="69">
        <v>26.2</v>
      </c>
      <c r="H625" s="68">
        <f t="shared" si="1"/>
        <v>274.36</v>
      </c>
      <c r="I625" s="81">
        <f>IFERROR(__xludf.DUMMYFUNCTION("IF(G625="""", """", ROUND(G625 / MAX(FILTER($G$2:$G5067, $D$2:$D5067=$D625)) * 100, 2))"),80.37)</f>
        <v>80.37</v>
      </c>
      <c r="J625" s="81">
        <f>IFERROR(__xludf.DUMMYFUNCTION("IF(H625="""", """", ROUND(H625 / MAX(FILTER($H$2:$H5067, $D$2:$D5067=$D625)) * 100, 2))"),97.47)</f>
        <v>97.47</v>
      </c>
      <c r="K625" s="2"/>
      <c r="L625" s="48"/>
      <c r="M625" s="48"/>
      <c r="N625" s="48"/>
      <c r="O625" s="48" t="str">
        <f t="shared" si="2"/>
        <v/>
      </c>
      <c r="P625" s="48" t="str">
        <f t="shared" si="3"/>
        <v/>
      </c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</row>
    <row r="626">
      <c r="A626" s="63">
        <v>41.0</v>
      </c>
      <c r="B626" s="63">
        <v>54.0</v>
      </c>
      <c r="C626" s="64" t="s">
        <v>171</v>
      </c>
      <c r="D626" s="64" t="s">
        <v>172</v>
      </c>
      <c r="E626" s="64" t="s">
        <v>173</v>
      </c>
      <c r="F626" s="63">
        <v>8000.0</v>
      </c>
      <c r="G626" s="63">
        <v>22.7</v>
      </c>
      <c r="H626" s="66">
        <f t="shared" si="1"/>
        <v>253.56</v>
      </c>
      <c r="I626" s="81">
        <f>IFERROR(__xludf.DUMMYFUNCTION("IF(G626="""", """", ROUND(G626 / MAX(FILTER($G$2:$G5067, $D$2:$D5067=$D626)) * 100, 2))"),69.63)</f>
        <v>69.63</v>
      </c>
      <c r="J626" s="81">
        <f>IFERROR(__xludf.DUMMYFUNCTION("IF(H626="""", """", ROUND(H626 / MAX(FILTER($H$2:$H5067, $D$2:$D5067=$D626)) * 100, 2))"),90.08)</f>
        <v>90.08</v>
      </c>
      <c r="K626" s="2"/>
      <c r="L626" s="49"/>
      <c r="M626" s="49"/>
      <c r="N626" s="49"/>
      <c r="O626" s="49" t="str">
        <f t="shared" si="2"/>
        <v/>
      </c>
      <c r="P626" s="49" t="str">
        <f t="shared" si="3"/>
        <v/>
      </c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</row>
    <row r="627">
      <c r="A627" s="69">
        <v>41.0</v>
      </c>
      <c r="B627" s="69">
        <v>54.0</v>
      </c>
      <c r="C627" s="86" t="s">
        <v>171</v>
      </c>
      <c r="D627" s="86" t="s">
        <v>172</v>
      </c>
      <c r="E627" s="86" t="s">
        <v>173</v>
      </c>
      <c r="F627" s="69">
        <v>8500.0</v>
      </c>
      <c r="G627" s="69">
        <v>18.0</v>
      </c>
      <c r="H627" s="68">
        <f t="shared" si="1"/>
        <v>213.63</v>
      </c>
      <c r="I627" s="81">
        <f>IFERROR(__xludf.DUMMYFUNCTION("IF(G627="""", """", ROUND(G627 / MAX(FILTER($G$2:$G5067, $D$2:$D5067=$D627)) * 100, 2))"),55.21)</f>
        <v>55.21</v>
      </c>
      <c r="J627" s="81">
        <f>IFERROR(__xludf.DUMMYFUNCTION("IF(H627="""", """", ROUND(H627 / MAX(FILTER($H$2:$H5067, $D$2:$D5067=$D627)) * 100, 2))"),75.89)</f>
        <v>75.89</v>
      </c>
      <c r="K627" s="2"/>
      <c r="L627" s="48"/>
      <c r="M627" s="48"/>
      <c r="N627" s="48"/>
      <c r="O627" s="48" t="str">
        <f t="shared" si="2"/>
        <v/>
      </c>
      <c r="P627" s="48" t="str">
        <f t="shared" si="3"/>
        <v/>
      </c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</row>
    <row r="628">
      <c r="A628" s="63">
        <v>42.0</v>
      </c>
      <c r="B628" s="63">
        <v>56.0</v>
      </c>
      <c r="C628" s="64" t="s">
        <v>174</v>
      </c>
      <c r="D628" s="64" t="s">
        <v>175</v>
      </c>
      <c r="E628" s="64" t="s">
        <v>176</v>
      </c>
      <c r="F628" s="63">
        <v>500.0</v>
      </c>
      <c r="G628" s="63">
        <v>24.34</v>
      </c>
      <c r="H628" s="66">
        <f t="shared" si="1"/>
        <v>16.99</v>
      </c>
      <c r="I628" s="81">
        <f>IFERROR(__xludf.DUMMYFUNCTION("IF(G628="""", """", ROUND(G628 / MAX(FILTER($G$2:$G5067, $D$2:$D5067=$D628)) * 100, 2))"),69.58)</f>
        <v>69.58</v>
      </c>
      <c r="J628" s="81">
        <f>IFERROR(__xludf.DUMMYFUNCTION("IF(H628="""", """", ROUND(H628 / MAX(FILTER($H$2:$H5067, $D$2:$D5067=$D628)) * 100, 2))"),6.08)</f>
        <v>6.08</v>
      </c>
      <c r="K628" s="2"/>
      <c r="L628" s="49"/>
      <c r="M628" s="49"/>
      <c r="N628" s="49"/>
      <c r="O628" s="49" t="str">
        <f t="shared" si="2"/>
        <v/>
      </c>
      <c r="P628" s="49" t="str">
        <f t="shared" si="3"/>
        <v/>
      </c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</row>
    <row r="629">
      <c r="A629" s="69">
        <v>42.0</v>
      </c>
      <c r="B629" s="69">
        <v>56.0</v>
      </c>
      <c r="C629" s="86" t="s">
        <v>174</v>
      </c>
      <c r="D629" s="86" t="s">
        <v>175</v>
      </c>
      <c r="E629" s="86" t="s">
        <v>176</v>
      </c>
      <c r="F629" s="69">
        <v>1000.0</v>
      </c>
      <c r="G629" s="69">
        <v>26.38</v>
      </c>
      <c r="H629" s="68">
        <f t="shared" si="1"/>
        <v>36.83</v>
      </c>
      <c r="I629" s="81">
        <f>IFERROR(__xludf.DUMMYFUNCTION("IF(G629="""", """", ROUND(G629 / MAX(FILTER($G$2:$G5067, $D$2:$D5067=$D629)) * 100, 2))"),75.41)</f>
        <v>75.41</v>
      </c>
      <c r="J629" s="81">
        <f>IFERROR(__xludf.DUMMYFUNCTION("IF(H629="""", """", ROUND(H629 / MAX(FILTER($H$2:$H5067, $D$2:$D5067=$D629)) * 100, 2))"),13.18)</f>
        <v>13.18</v>
      </c>
      <c r="K629" s="2"/>
      <c r="L629" s="48"/>
      <c r="M629" s="48"/>
      <c r="N629" s="48"/>
      <c r="O629" s="48" t="str">
        <f t="shared" si="2"/>
        <v/>
      </c>
      <c r="P629" s="48" t="str">
        <f t="shared" si="3"/>
        <v/>
      </c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</row>
    <row r="630">
      <c r="A630" s="63">
        <v>42.0</v>
      </c>
      <c r="B630" s="63">
        <v>56.0</v>
      </c>
      <c r="C630" s="64" t="s">
        <v>174</v>
      </c>
      <c r="D630" s="64" t="s">
        <v>175</v>
      </c>
      <c r="E630" s="64" t="s">
        <v>176</v>
      </c>
      <c r="F630" s="63">
        <v>1500.0</v>
      </c>
      <c r="G630" s="63">
        <v>27.71</v>
      </c>
      <c r="H630" s="66">
        <f t="shared" si="1"/>
        <v>58.04</v>
      </c>
      <c r="I630" s="81">
        <f>IFERROR(__xludf.DUMMYFUNCTION("IF(G630="""", """", ROUND(G630 / MAX(FILTER($G$2:$G5067, $D$2:$D5067=$D630)) * 100, 2))"),79.22)</f>
        <v>79.22</v>
      </c>
      <c r="J630" s="81">
        <f>IFERROR(__xludf.DUMMYFUNCTION("IF(H630="""", """", ROUND(H630 / MAX(FILTER($H$2:$H5067, $D$2:$D5067=$D630)) * 100, 2))"),20.77)</f>
        <v>20.77</v>
      </c>
      <c r="K630" s="2"/>
      <c r="L630" s="49"/>
      <c r="M630" s="49"/>
      <c r="N630" s="49"/>
      <c r="O630" s="49" t="str">
        <f t="shared" si="2"/>
        <v/>
      </c>
      <c r="P630" s="49" t="str">
        <f t="shared" si="3"/>
        <v/>
      </c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</row>
    <row r="631">
      <c r="A631" s="69">
        <v>42.0</v>
      </c>
      <c r="B631" s="69">
        <v>56.0</v>
      </c>
      <c r="C631" s="86" t="s">
        <v>174</v>
      </c>
      <c r="D631" s="86" t="s">
        <v>175</v>
      </c>
      <c r="E631" s="86" t="s">
        <v>176</v>
      </c>
      <c r="F631" s="69">
        <v>2000.0</v>
      </c>
      <c r="G631" s="69">
        <v>28.55</v>
      </c>
      <c r="H631" s="68">
        <f t="shared" si="1"/>
        <v>79.73</v>
      </c>
      <c r="I631" s="81">
        <f>IFERROR(__xludf.DUMMYFUNCTION("IF(G631="""", """", ROUND(G631 / MAX(FILTER($G$2:$G5067, $D$2:$D5067=$D631)) * 100, 2))"),81.62)</f>
        <v>81.62</v>
      </c>
      <c r="J631" s="81">
        <f>IFERROR(__xludf.DUMMYFUNCTION("IF(H631="""", """", ROUND(H631 / MAX(FILTER($H$2:$H5067, $D$2:$D5067=$D631)) * 100, 2))"),28.53)</f>
        <v>28.53</v>
      </c>
      <c r="K631" s="2"/>
      <c r="L631" s="48"/>
      <c r="M631" s="48"/>
      <c r="N631" s="48"/>
      <c r="O631" s="48" t="str">
        <f t="shared" si="2"/>
        <v/>
      </c>
      <c r="P631" s="48" t="str">
        <f t="shared" si="3"/>
        <v/>
      </c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</row>
    <row r="632">
      <c r="A632" s="63">
        <v>42.0</v>
      </c>
      <c r="B632" s="63">
        <v>56.0</v>
      </c>
      <c r="C632" s="64" t="s">
        <v>174</v>
      </c>
      <c r="D632" s="64" t="s">
        <v>175</v>
      </c>
      <c r="E632" s="64" t="s">
        <v>176</v>
      </c>
      <c r="F632" s="63">
        <v>2500.0</v>
      </c>
      <c r="G632" s="63">
        <v>29.06</v>
      </c>
      <c r="H632" s="66">
        <f t="shared" si="1"/>
        <v>101.44</v>
      </c>
      <c r="I632" s="81">
        <f>IFERROR(__xludf.DUMMYFUNCTION("IF(G632="""", """", ROUND(G632 / MAX(FILTER($G$2:$G5067, $D$2:$D5067=$D632)) * 100, 2))"),83.08)</f>
        <v>83.08</v>
      </c>
      <c r="J632" s="81">
        <f>IFERROR(__xludf.DUMMYFUNCTION("IF(H632="""", """", ROUND(H632 / MAX(FILTER($H$2:$H5067, $D$2:$D5067=$D632)) * 100, 2))"),36.3)</f>
        <v>36.3</v>
      </c>
      <c r="K632" s="2"/>
      <c r="L632" s="49"/>
      <c r="M632" s="49"/>
      <c r="N632" s="49"/>
      <c r="O632" s="49" t="str">
        <f t="shared" si="2"/>
        <v/>
      </c>
      <c r="P632" s="49" t="str">
        <f t="shared" si="3"/>
        <v/>
      </c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</row>
    <row r="633">
      <c r="A633" s="69">
        <v>42.0</v>
      </c>
      <c r="B633" s="69">
        <v>56.0</v>
      </c>
      <c r="C633" s="86" t="s">
        <v>174</v>
      </c>
      <c r="D633" s="86" t="s">
        <v>175</v>
      </c>
      <c r="E633" s="86" t="s">
        <v>176</v>
      </c>
      <c r="F633" s="69">
        <v>3000.0</v>
      </c>
      <c r="G633" s="69">
        <v>29.97</v>
      </c>
      <c r="H633" s="68">
        <f t="shared" si="1"/>
        <v>125.54</v>
      </c>
      <c r="I633" s="81">
        <f>IFERROR(__xludf.DUMMYFUNCTION("IF(G633="""", """", ROUND(G633 / MAX(FILTER($G$2:$G5067, $D$2:$D5067=$D633)) * 100, 2))"),85.68)</f>
        <v>85.68</v>
      </c>
      <c r="J633" s="81">
        <f>IFERROR(__xludf.DUMMYFUNCTION("IF(H633="""", """", ROUND(H633 / MAX(FILTER($H$2:$H5067, $D$2:$D5067=$D633)) * 100, 2))"),44.93)</f>
        <v>44.93</v>
      </c>
      <c r="K633" s="2"/>
      <c r="L633" s="48"/>
      <c r="M633" s="48"/>
      <c r="N633" s="48"/>
      <c r="O633" s="48" t="str">
        <f t="shared" si="2"/>
        <v/>
      </c>
      <c r="P633" s="48" t="str">
        <f t="shared" si="3"/>
        <v/>
      </c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</row>
    <row r="634">
      <c r="A634" s="63">
        <v>42.0</v>
      </c>
      <c r="B634" s="63">
        <v>56.0</v>
      </c>
      <c r="C634" s="64" t="s">
        <v>174</v>
      </c>
      <c r="D634" s="64" t="s">
        <v>175</v>
      </c>
      <c r="E634" s="64" t="s">
        <v>176</v>
      </c>
      <c r="F634" s="63">
        <v>3500.0</v>
      </c>
      <c r="G634" s="63">
        <v>31.81</v>
      </c>
      <c r="H634" s="66">
        <f t="shared" si="1"/>
        <v>155.45</v>
      </c>
      <c r="I634" s="81">
        <f>IFERROR(__xludf.DUMMYFUNCTION("IF(G634="""", """", ROUND(G634 / MAX(FILTER($G$2:$G5067, $D$2:$D5067=$D634)) * 100, 2))"),90.94)</f>
        <v>90.94</v>
      </c>
      <c r="J634" s="81">
        <f>IFERROR(__xludf.DUMMYFUNCTION("IF(H634="""", """", ROUND(H634 / MAX(FILTER($H$2:$H5067, $D$2:$D5067=$D634)) * 100, 2))"),55.63)</f>
        <v>55.63</v>
      </c>
      <c r="K634" s="2"/>
      <c r="L634" s="49"/>
      <c r="M634" s="49"/>
      <c r="N634" s="49"/>
      <c r="O634" s="49" t="str">
        <f t="shared" si="2"/>
        <v/>
      </c>
      <c r="P634" s="49" t="str">
        <f t="shared" si="3"/>
        <v/>
      </c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</row>
    <row r="635">
      <c r="A635" s="69">
        <v>42.0</v>
      </c>
      <c r="B635" s="69">
        <v>56.0</v>
      </c>
      <c r="C635" s="86" t="s">
        <v>174</v>
      </c>
      <c r="D635" s="86" t="s">
        <v>175</v>
      </c>
      <c r="E635" s="86" t="s">
        <v>176</v>
      </c>
      <c r="F635" s="69">
        <v>4000.0</v>
      </c>
      <c r="G635" s="69">
        <v>33.45</v>
      </c>
      <c r="H635" s="68">
        <f t="shared" si="1"/>
        <v>186.82</v>
      </c>
      <c r="I635" s="81">
        <f>IFERROR(__xludf.DUMMYFUNCTION("IF(G635="""", """", ROUND(G635 / MAX(FILTER($G$2:$G5067, $D$2:$D5067=$D635)) * 100, 2))"),95.63)</f>
        <v>95.63</v>
      </c>
      <c r="J635" s="81">
        <f>IFERROR(__xludf.DUMMYFUNCTION("IF(H635="""", """", ROUND(H635 / MAX(FILTER($H$2:$H5067, $D$2:$D5067=$D635)) * 100, 2))"),66.86)</f>
        <v>66.86</v>
      </c>
      <c r="K635" s="2"/>
      <c r="L635" s="48"/>
      <c r="M635" s="48"/>
      <c r="N635" s="48"/>
      <c r="O635" s="48" t="str">
        <f t="shared" si="2"/>
        <v/>
      </c>
      <c r="P635" s="48" t="str">
        <f t="shared" si="3"/>
        <v/>
      </c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</row>
    <row r="636">
      <c r="A636" s="63">
        <v>42.0</v>
      </c>
      <c r="B636" s="63">
        <v>56.0</v>
      </c>
      <c r="C636" s="64" t="s">
        <v>174</v>
      </c>
      <c r="D636" s="64" t="s">
        <v>175</v>
      </c>
      <c r="E636" s="64" t="s">
        <v>176</v>
      </c>
      <c r="F636" s="63">
        <v>4500.0</v>
      </c>
      <c r="G636" s="63">
        <v>34.31</v>
      </c>
      <c r="H636" s="66">
        <f t="shared" si="1"/>
        <v>215.58</v>
      </c>
      <c r="I636" s="81">
        <f>IFERROR(__xludf.DUMMYFUNCTION("IF(G636="""", """", ROUND(G636 / MAX(FILTER($G$2:$G5067, $D$2:$D5067=$D636)) * 100, 2))"),98.08)</f>
        <v>98.08</v>
      </c>
      <c r="J636" s="81">
        <f>IFERROR(__xludf.DUMMYFUNCTION("IF(H636="""", """", ROUND(H636 / MAX(FILTER($H$2:$H5067, $D$2:$D5067=$D636)) * 100, 2))"),77.15)</f>
        <v>77.15</v>
      </c>
      <c r="K636" s="2"/>
      <c r="L636" s="49"/>
      <c r="M636" s="49"/>
      <c r="N636" s="49"/>
      <c r="O636" s="49" t="str">
        <f t="shared" si="2"/>
        <v/>
      </c>
      <c r="P636" s="49" t="str">
        <f t="shared" si="3"/>
        <v/>
      </c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</row>
    <row r="637">
      <c r="A637" s="69">
        <v>42.0</v>
      </c>
      <c r="B637" s="69">
        <v>56.0</v>
      </c>
      <c r="C637" s="86" t="s">
        <v>174</v>
      </c>
      <c r="D637" s="86" t="s">
        <v>175</v>
      </c>
      <c r="E637" s="86" t="s">
        <v>176</v>
      </c>
      <c r="F637" s="69">
        <v>5000.0</v>
      </c>
      <c r="G637" s="69">
        <v>34.98</v>
      </c>
      <c r="H637" s="68">
        <f t="shared" si="1"/>
        <v>244.21</v>
      </c>
      <c r="I637" s="81">
        <f>IFERROR(__xludf.DUMMYFUNCTION("IF(G637="""", """", ROUND(G637 / MAX(FILTER($G$2:$G5067, $D$2:$D5067=$D637)) * 100, 2))"),100.0)</f>
        <v>100</v>
      </c>
      <c r="J637" s="81">
        <f>IFERROR(__xludf.DUMMYFUNCTION("IF(H637="""", """", ROUND(H637 / MAX(FILTER($H$2:$H5067, $D$2:$D5067=$D637)) * 100, 2))"),87.39)</f>
        <v>87.39</v>
      </c>
      <c r="K637" s="2"/>
      <c r="L637" s="48"/>
      <c r="M637" s="48"/>
      <c r="N637" s="48"/>
      <c r="O637" s="48" t="str">
        <f t="shared" si="2"/>
        <v/>
      </c>
      <c r="P637" s="48" t="str">
        <f t="shared" si="3"/>
        <v/>
      </c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</row>
    <row r="638">
      <c r="A638" s="63">
        <v>42.0</v>
      </c>
      <c r="B638" s="63">
        <v>56.0</v>
      </c>
      <c r="C638" s="64" t="s">
        <v>174</v>
      </c>
      <c r="D638" s="64" t="s">
        <v>175</v>
      </c>
      <c r="E638" s="64" t="s">
        <v>176</v>
      </c>
      <c r="F638" s="63">
        <v>5500.0</v>
      </c>
      <c r="G638" s="63">
        <v>34.57</v>
      </c>
      <c r="H638" s="66">
        <f t="shared" si="1"/>
        <v>265.48</v>
      </c>
      <c r="I638" s="81">
        <f>IFERROR(__xludf.DUMMYFUNCTION("IF(G638="""", """", ROUND(G638 / MAX(FILTER($G$2:$G5067, $D$2:$D5067=$D638)) * 100, 2))"),98.83)</f>
        <v>98.83</v>
      </c>
      <c r="J638" s="81">
        <f>IFERROR(__xludf.DUMMYFUNCTION("IF(H638="""", """", ROUND(H638 / MAX(FILTER($H$2:$H5067, $D$2:$D5067=$D638)) * 100, 2))"),95.0)</f>
        <v>95</v>
      </c>
      <c r="K638" s="2"/>
      <c r="L638" s="49"/>
      <c r="M638" s="49"/>
      <c r="N638" s="49"/>
      <c r="O638" s="49" t="str">
        <f t="shared" si="2"/>
        <v/>
      </c>
      <c r="P638" s="49" t="str">
        <f t="shared" si="3"/>
        <v/>
      </c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</row>
    <row r="639">
      <c r="A639" s="69">
        <v>42.0</v>
      </c>
      <c r="B639" s="69">
        <v>56.0</v>
      </c>
      <c r="C639" s="86" t="s">
        <v>174</v>
      </c>
      <c r="D639" s="86" t="s">
        <v>175</v>
      </c>
      <c r="E639" s="86" t="s">
        <v>176</v>
      </c>
      <c r="F639" s="69">
        <v>6000.0</v>
      </c>
      <c r="G639" s="69">
        <v>33.21</v>
      </c>
      <c r="H639" s="68">
        <f t="shared" si="1"/>
        <v>278.22</v>
      </c>
      <c r="I639" s="81">
        <f>IFERROR(__xludf.DUMMYFUNCTION("IF(G639="""", """", ROUND(G639 / MAX(FILTER($G$2:$G5067, $D$2:$D5067=$D639)) * 100, 2))"),94.94)</f>
        <v>94.94</v>
      </c>
      <c r="J639" s="81">
        <f>IFERROR(__xludf.DUMMYFUNCTION("IF(H639="""", """", ROUND(H639 / MAX(FILTER($H$2:$H5067, $D$2:$D5067=$D639)) * 100, 2))"),99.56)</f>
        <v>99.56</v>
      </c>
      <c r="K639" s="2"/>
      <c r="L639" s="48"/>
      <c r="M639" s="48"/>
      <c r="N639" s="48"/>
      <c r="O639" s="48" t="str">
        <f t="shared" si="2"/>
        <v/>
      </c>
      <c r="P639" s="48" t="str">
        <f t="shared" si="3"/>
        <v/>
      </c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</row>
    <row r="640">
      <c r="A640" s="63">
        <v>42.0</v>
      </c>
      <c r="B640" s="63">
        <v>56.0</v>
      </c>
      <c r="C640" s="64" t="s">
        <v>174</v>
      </c>
      <c r="D640" s="64" t="s">
        <v>175</v>
      </c>
      <c r="E640" s="64" t="s">
        <v>176</v>
      </c>
      <c r="F640" s="63">
        <v>6500.0</v>
      </c>
      <c r="G640" s="63">
        <v>30.79</v>
      </c>
      <c r="H640" s="66">
        <f t="shared" si="1"/>
        <v>279.44</v>
      </c>
      <c r="I640" s="81">
        <f>IFERROR(__xludf.DUMMYFUNCTION("IF(G640="""", """", ROUND(G640 / MAX(FILTER($G$2:$G5067, $D$2:$D5067=$D640)) * 100, 2))"),88.02)</f>
        <v>88.02</v>
      </c>
      <c r="J640" s="81">
        <f>IFERROR(__xludf.DUMMYFUNCTION("IF(H640="""", """", ROUND(H640 / MAX(FILTER($H$2:$H5067, $D$2:$D5067=$D640)) * 100, 2))"),100.0)</f>
        <v>100</v>
      </c>
      <c r="K640" s="2"/>
      <c r="L640" s="49"/>
      <c r="M640" s="49"/>
      <c r="N640" s="49"/>
      <c r="O640" s="49" t="str">
        <f t="shared" si="2"/>
        <v/>
      </c>
      <c r="P640" s="49" t="str">
        <f t="shared" si="3"/>
        <v/>
      </c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</row>
    <row r="641">
      <c r="A641" s="69">
        <v>42.0</v>
      </c>
      <c r="B641" s="69">
        <v>56.0</v>
      </c>
      <c r="C641" s="86" t="s">
        <v>174</v>
      </c>
      <c r="D641" s="86" t="s">
        <v>175</v>
      </c>
      <c r="E641" s="86" t="s">
        <v>176</v>
      </c>
      <c r="F641" s="69">
        <v>7000.0</v>
      </c>
      <c r="G641" s="69">
        <v>28.04</v>
      </c>
      <c r="H641" s="68">
        <f t="shared" si="1"/>
        <v>274.06</v>
      </c>
      <c r="I641" s="81">
        <f>IFERROR(__xludf.DUMMYFUNCTION("IF(G641="""", """", ROUND(G641 / MAX(FILTER($G$2:$G5067, $D$2:$D5067=$D641)) * 100, 2))"),80.16)</f>
        <v>80.16</v>
      </c>
      <c r="J641" s="81">
        <f>IFERROR(__xludf.DUMMYFUNCTION("IF(H641="""", """", ROUND(H641 / MAX(FILTER($H$2:$H5067, $D$2:$D5067=$D641)) * 100, 2))"),98.07)</f>
        <v>98.07</v>
      </c>
      <c r="K641" s="2"/>
      <c r="L641" s="48"/>
      <c r="M641" s="48"/>
      <c r="N641" s="48"/>
      <c r="O641" s="48" t="str">
        <f t="shared" si="2"/>
        <v/>
      </c>
      <c r="P641" s="48" t="str">
        <f t="shared" si="3"/>
        <v/>
      </c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</row>
    <row r="642">
      <c r="A642" s="63">
        <v>42.0</v>
      </c>
      <c r="B642" s="63">
        <v>56.0</v>
      </c>
      <c r="C642" s="64" t="s">
        <v>174</v>
      </c>
      <c r="D642" s="64" t="s">
        <v>175</v>
      </c>
      <c r="E642" s="64" t="s">
        <v>176</v>
      </c>
      <c r="F642" s="63">
        <v>7500.0</v>
      </c>
      <c r="G642" s="63">
        <v>24.47</v>
      </c>
      <c r="H642" s="66">
        <f t="shared" si="1"/>
        <v>256.25</v>
      </c>
      <c r="I642" s="81">
        <f>IFERROR(__xludf.DUMMYFUNCTION("IF(G642="""", """", ROUND(G642 / MAX(FILTER($G$2:$G5067, $D$2:$D5067=$D642)) * 100, 2))"),69.95)</f>
        <v>69.95</v>
      </c>
      <c r="J642" s="81">
        <f>IFERROR(__xludf.DUMMYFUNCTION("IF(H642="""", """", ROUND(H642 / MAX(FILTER($H$2:$H5067, $D$2:$D5067=$D642)) * 100, 2))"),91.7)</f>
        <v>91.7</v>
      </c>
      <c r="K642" s="2"/>
      <c r="L642" s="49"/>
      <c r="M642" s="49"/>
      <c r="N642" s="49"/>
      <c r="O642" s="49" t="str">
        <f t="shared" si="2"/>
        <v/>
      </c>
      <c r="P642" s="49" t="str">
        <f t="shared" si="3"/>
        <v/>
      </c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</row>
    <row r="643">
      <c r="A643" s="69">
        <v>43.0</v>
      </c>
      <c r="B643" s="69">
        <v>57.0</v>
      </c>
      <c r="C643" s="86" t="s">
        <v>177</v>
      </c>
      <c r="D643" s="86" t="s">
        <v>178</v>
      </c>
      <c r="E643" s="86" t="s">
        <v>179</v>
      </c>
      <c r="F643" s="69">
        <v>500.0</v>
      </c>
      <c r="G643" s="69">
        <v>24.23</v>
      </c>
      <c r="H643" s="68">
        <f t="shared" si="1"/>
        <v>16.92</v>
      </c>
      <c r="I643" s="81">
        <f>IFERROR(__xludf.DUMMYFUNCTION("IF(G643="""", """", ROUND(G643 / MAX(FILTER($G$2:$G5067, $D$2:$D5067=$D643)) * 100, 2))"),69.27)</f>
        <v>69.27</v>
      </c>
      <c r="J643" s="81">
        <f>IFERROR(__xludf.DUMMYFUNCTION("IF(H643="""", """", ROUND(H643 / MAX(FILTER($H$2:$H5067, $D$2:$D5067=$D643)) * 100, 2))"),6.05)</f>
        <v>6.05</v>
      </c>
      <c r="K643" s="2"/>
      <c r="L643" s="48"/>
      <c r="M643" s="48"/>
      <c r="N643" s="48"/>
      <c r="O643" s="48" t="str">
        <f t="shared" si="2"/>
        <v/>
      </c>
      <c r="P643" s="48" t="str">
        <f t="shared" si="3"/>
        <v/>
      </c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</row>
    <row r="644">
      <c r="A644" s="63">
        <v>43.0</v>
      </c>
      <c r="B644" s="63">
        <v>57.0</v>
      </c>
      <c r="C644" s="64" t="s">
        <v>177</v>
      </c>
      <c r="D644" s="64" t="s">
        <v>178</v>
      </c>
      <c r="E644" s="64" t="s">
        <v>179</v>
      </c>
      <c r="F644" s="63">
        <v>1000.0</v>
      </c>
      <c r="G644" s="63">
        <v>26.64</v>
      </c>
      <c r="H644" s="66">
        <f t="shared" si="1"/>
        <v>37.2</v>
      </c>
      <c r="I644" s="81">
        <f>IFERROR(__xludf.DUMMYFUNCTION("IF(G644="""", """", ROUND(G644 / MAX(FILTER($G$2:$G5067, $D$2:$D5067=$D644)) * 100, 2))"),76.16)</f>
        <v>76.16</v>
      </c>
      <c r="J644" s="81">
        <f>IFERROR(__xludf.DUMMYFUNCTION("IF(H644="""", """", ROUND(H644 / MAX(FILTER($H$2:$H5067, $D$2:$D5067=$D644)) * 100, 2))"),13.31)</f>
        <v>13.31</v>
      </c>
      <c r="K644" s="2"/>
      <c r="L644" s="49"/>
      <c r="M644" s="49"/>
      <c r="N644" s="49"/>
      <c r="O644" s="49" t="str">
        <f t="shared" si="2"/>
        <v/>
      </c>
      <c r="P644" s="49" t="str">
        <f t="shared" si="3"/>
        <v/>
      </c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</row>
    <row r="645">
      <c r="A645" s="69">
        <v>43.0</v>
      </c>
      <c r="B645" s="69">
        <v>57.0</v>
      </c>
      <c r="C645" s="86" t="s">
        <v>177</v>
      </c>
      <c r="D645" s="86" t="s">
        <v>178</v>
      </c>
      <c r="E645" s="86" t="s">
        <v>179</v>
      </c>
      <c r="F645" s="69">
        <v>1500.0</v>
      </c>
      <c r="G645" s="69">
        <v>27.98</v>
      </c>
      <c r="H645" s="68">
        <f t="shared" si="1"/>
        <v>58.6</v>
      </c>
      <c r="I645" s="81">
        <f>IFERROR(__xludf.DUMMYFUNCTION("IF(G645="""", """", ROUND(G645 / MAX(FILTER($G$2:$G5067, $D$2:$D5067=$D645)) * 100, 2))"),79.99)</f>
        <v>79.99</v>
      </c>
      <c r="J645" s="81">
        <f>IFERROR(__xludf.DUMMYFUNCTION("IF(H645="""", """", ROUND(H645 / MAX(FILTER($H$2:$H5067, $D$2:$D5067=$D645)) * 100, 2))"),20.96)</f>
        <v>20.96</v>
      </c>
      <c r="K645" s="2"/>
      <c r="L645" s="48"/>
      <c r="M645" s="48"/>
      <c r="N645" s="48"/>
      <c r="O645" s="48" t="str">
        <f t="shared" si="2"/>
        <v/>
      </c>
      <c r="P645" s="48" t="str">
        <f t="shared" si="3"/>
        <v/>
      </c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</row>
    <row r="646">
      <c r="A646" s="63">
        <v>43.0</v>
      </c>
      <c r="B646" s="63">
        <v>57.0</v>
      </c>
      <c r="C646" s="64" t="s">
        <v>177</v>
      </c>
      <c r="D646" s="64" t="s">
        <v>178</v>
      </c>
      <c r="E646" s="64" t="s">
        <v>179</v>
      </c>
      <c r="F646" s="63">
        <v>2000.0</v>
      </c>
      <c r="G646" s="63">
        <v>29.14</v>
      </c>
      <c r="H646" s="66">
        <f t="shared" si="1"/>
        <v>81.37</v>
      </c>
      <c r="I646" s="81">
        <f>IFERROR(__xludf.DUMMYFUNCTION("IF(G646="""", """", ROUND(G646 / MAX(FILTER($G$2:$G5067, $D$2:$D5067=$D646)) * 100, 2))"),83.3)</f>
        <v>83.3</v>
      </c>
      <c r="J646" s="81">
        <f>IFERROR(__xludf.DUMMYFUNCTION("IF(H646="""", """", ROUND(H646 / MAX(FILTER($H$2:$H5067, $D$2:$D5067=$D646)) * 100, 2))"),29.11)</f>
        <v>29.11</v>
      </c>
      <c r="K646" s="2"/>
      <c r="L646" s="49"/>
      <c r="M646" s="49"/>
      <c r="N646" s="49"/>
      <c r="O646" s="49" t="str">
        <f t="shared" si="2"/>
        <v/>
      </c>
      <c r="P646" s="49" t="str">
        <f t="shared" si="3"/>
        <v/>
      </c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</row>
    <row r="647">
      <c r="A647" s="69">
        <v>43.0</v>
      </c>
      <c r="B647" s="69">
        <v>57.0</v>
      </c>
      <c r="C647" s="86" t="s">
        <v>177</v>
      </c>
      <c r="D647" s="86" t="s">
        <v>178</v>
      </c>
      <c r="E647" s="86" t="s">
        <v>179</v>
      </c>
      <c r="F647" s="69">
        <v>2500.0</v>
      </c>
      <c r="G647" s="69">
        <v>29.97</v>
      </c>
      <c r="H647" s="68">
        <f t="shared" si="1"/>
        <v>104.61</v>
      </c>
      <c r="I647" s="81">
        <f>IFERROR(__xludf.DUMMYFUNCTION("IF(G647="""", """", ROUND(G647 / MAX(FILTER($G$2:$G5067, $D$2:$D5067=$D647)) * 100, 2))"),85.68)</f>
        <v>85.68</v>
      </c>
      <c r="J647" s="81">
        <f>IFERROR(__xludf.DUMMYFUNCTION("IF(H647="""", """", ROUND(H647 / MAX(FILTER($H$2:$H5067, $D$2:$D5067=$D647)) * 100, 2))"),37.42)</f>
        <v>37.42</v>
      </c>
      <c r="K647" s="2"/>
      <c r="L647" s="48"/>
      <c r="M647" s="48"/>
      <c r="N647" s="48"/>
      <c r="O647" s="48" t="str">
        <f t="shared" si="2"/>
        <v/>
      </c>
      <c r="P647" s="48" t="str">
        <f t="shared" si="3"/>
        <v/>
      </c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</row>
    <row r="648">
      <c r="A648" s="63">
        <v>43.0</v>
      </c>
      <c r="B648" s="63">
        <v>57.0</v>
      </c>
      <c r="C648" s="64" t="s">
        <v>177</v>
      </c>
      <c r="D648" s="64" t="s">
        <v>178</v>
      </c>
      <c r="E648" s="64" t="s">
        <v>179</v>
      </c>
      <c r="F648" s="63">
        <v>3000.0</v>
      </c>
      <c r="G648" s="63">
        <v>30.7</v>
      </c>
      <c r="H648" s="66">
        <f t="shared" si="1"/>
        <v>128.6</v>
      </c>
      <c r="I648" s="81">
        <f>IFERROR(__xludf.DUMMYFUNCTION("IF(G648="""", """", ROUND(G648 / MAX(FILTER($G$2:$G5067, $D$2:$D5067=$D648)) * 100, 2))"),87.76)</f>
        <v>87.76</v>
      </c>
      <c r="J648" s="81">
        <f>IFERROR(__xludf.DUMMYFUNCTION("IF(H648="""", """", ROUND(H648 / MAX(FILTER($H$2:$H5067, $D$2:$D5067=$D648)) * 100, 2))"),46.01)</f>
        <v>46.01</v>
      </c>
      <c r="K648" s="2"/>
      <c r="L648" s="49"/>
      <c r="M648" s="49"/>
      <c r="N648" s="49"/>
      <c r="O648" s="49" t="str">
        <f t="shared" si="2"/>
        <v/>
      </c>
      <c r="P648" s="49" t="str">
        <f t="shared" si="3"/>
        <v/>
      </c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</row>
    <row r="649">
      <c r="A649" s="69">
        <v>43.0</v>
      </c>
      <c r="B649" s="69">
        <v>57.0</v>
      </c>
      <c r="C649" s="86" t="s">
        <v>177</v>
      </c>
      <c r="D649" s="86" t="s">
        <v>178</v>
      </c>
      <c r="E649" s="86" t="s">
        <v>179</v>
      </c>
      <c r="F649" s="69">
        <v>3500.0</v>
      </c>
      <c r="G649" s="69">
        <v>31.6</v>
      </c>
      <c r="H649" s="68">
        <f t="shared" si="1"/>
        <v>154.43</v>
      </c>
      <c r="I649" s="81">
        <f>IFERROR(__xludf.DUMMYFUNCTION("IF(G649="""", """", ROUND(G649 / MAX(FILTER($G$2:$G5067, $D$2:$D5067=$D649)) * 100, 2))"),90.34)</f>
        <v>90.34</v>
      </c>
      <c r="J649" s="81">
        <f>IFERROR(__xludf.DUMMYFUNCTION("IF(H649="""", """", ROUND(H649 / MAX(FILTER($H$2:$H5067, $D$2:$D5067=$D649)) * 100, 2))"),55.25)</f>
        <v>55.25</v>
      </c>
      <c r="K649" s="2"/>
      <c r="L649" s="48"/>
      <c r="M649" s="48"/>
      <c r="N649" s="48"/>
      <c r="O649" s="48" t="str">
        <f t="shared" si="2"/>
        <v/>
      </c>
      <c r="P649" s="48" t="str">
        <f t="shared" si="3"/>
        <v/>
      </c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</row>
    <row r="650">
      <c r="A650" s="63">
        <v>43.0</v>
      </c>
      <c r="B650" s="63">
        <v>57.0</v>
      </c>
      <c r="C650" s="64" t="s">
        <v>177</v>
      </c>
      <c r="D650" s="64" t="s">
        <v>178</v>
      </c>
      <c r="E650" s="64" t="s">
        <v>179</v>
      </c>
      <c r="F650" s="63">
        <v>4000.0</v>
      </c>
      <c r="G650" s="63">
        <v>33.69</v>
      </c>
      <c r="H650" s="66">
        <f t="shared" si="1"/>
        <v>188.16</v>
      </c>
      <c r="I650" s="81">
        <f>IFERROR(__xludf.DUMMYFUNCTION("IF(G650="""", """", ROUND(G650 / MAX(FILTER($G$2:$G5067, $D$2:$D5067=$D650)) * 100, 2))"),96.31)</f>
        <v>96.31</v>
      </c>
      <c r="J650" s="81">
        <f>IFERROR(__xludf.DUMMYFUNCTION("IF(H650="""", """", ROUND(H650 / MAX(FILTER($H$2:$H5067, $D$2:$D5067=$D650)) * 100, 2))"),67.31)</f>
        <v>67.31</v>
      </c>
      <c r="K650" s="2"/>
      <c r="L650" s="49"/>
      <c r="M650" s="49"/>
      <c r="N650" s="49"/>
      <c r="O650" s="49" t="str">
        <f t="shared" si="2"/>
        <v/>
      </c>
      <c r="P650" s="49" t="str">
        <f t="shared" si="3"/>
        <v/>
      </c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</row>
    <row r="651">
      <c r="A651" s="69">
        <v>43.0</v>
      </c>
      <c r="B651" s="69">
        <v>57.0</v>
      </c>
      <c r="C651" s="86" t="s">
        <v>177</v>
      </c>
      <c r="D651" s="86" t="s">
        <v>178</v>
      </c>
      <c r="E651" s="86" t="s">
        <v>179</v>
      </c>
      <c r="F651" s="69">
        <v>4500.0</v>
      </c>
      <c r="G651" s="69">
        <v>34.73</v>
      </c>
      <c r="H651" s="68">
        <f t="shared" si="1"/>
        <v>218.21</v>
      </c>
      <c r="I651" s="81">
        <f>IFERROR(__xludf.DUMMYFUNCTION("IF(G651="""", """", ROUND(G651 / MAX(FILTER($G$2:$G5067, $D$2:$D5067=$D651)) * 100, 2))"),99.29)</f>
        <v>99.29</v>
      </c>
      <c r="J651" s="81">
        <f>IFERROR(__xludf.DUMMYFUNCTION("IF(H651="""", """", ROUND(H651 / MAX(FILTER($H$2:$H5067, $D$2:$D5067=$D651)) * 100, 2))"),78.06)</f>
        <v>78.06</v>
      </c>
      <c r="K651" s="2"/>
      <c r="L651" s="48"/>
      <c r="M651" s="48"/>
      <c r="N651" s="48"/>
      <c r="O651" s="48" t="str">
        <f t="shared" si="2"/>
        <v/>
      </c>
      <c r="P651" s="48" t="str">
        <f t="shared" si="3"/>
        <v/>
      </c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</row>
    <row r="652">
      <c r="A652" s="63">
        <v>43.0</v>
      </c>
      <c r="B652" s="63">
        <v>57.0</v>
      </c>
      <c r="C652" s="64" t="s">
        <v>177</v>
      </c>
      <c r="D652" s="64" t="s">
        <v>178</v>
      </c>
      <c r="E652" s="64" t="s">
        <v>179</v>
      </c>
      <c r="F652" s="63">
        <v>5000.0</v>
      </c>
      <c r="G652" s="63">
        <v>34.98</v>
      </c>
      <c r="H652" s="66">
        <f t="shared" si="1"/>
        <v>244.21</v>
      </c>
      <c r="I652" s="81">
        <f>IFERROR(__xludf.DUMMYFUNCTION("IF(G652="""", """", ROUND(G652 / MAX(FILTER($G$2:$G5067, $D$2:$D5067=$D652)) * 100, 2))"),100.0)</f>
        <v>100</v>
      </c>
      <c r="J652" s="81">
        <f>IFERROR(__xludf.DUMMYFUNCTION("IF(H652="""", """", ROUND(H652 / MAX(FILTER($H$2:$H5067, $D$2:$D5067=$D652)) * 100, 2))"),87.36)</f>
        <v>87.36</v>
      </c>
      <c r="K652" s="2"/>
      <c r="L652" s="49"/>
      <c r="M652" s="49"/>
      <c r="N652" s="49"/>
      <c r="O652" s="49" t="str">
        <f t="shared" si="2"/>
        <v/>
      </c>
      <c r="P652" s="49" t="str">
        <f t="shared" si="3"/>
        <v/>
      </c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</row>
    <row r="653">
      <c r="A653" s="69">
        <v>43.0</v>
      </c>
      <c r="B653" s="69">
        <v>57.0</v>
      </c>
      <c r="C653" s="86" t="s">
        <v>177</v>
      </c>
      <c r="D653" s="86" t="s">
        <v>178</v>
      </c>
      <c r="E653" s="86" t="s">
        <v>179</v>
      </c>
      <c r="F653" s="69">
        <v>5500.0</v>
      </c>
      <c r="G653" s="69">
        <v>34.26</v>
      </c>
      <c r="H653" s="68">
        <f t="shared" si="1"/>
        <v>263.1</v>
      </c>
      <c r="I653" s="81">
        <f>IFERROR(__xludf.DUMMYFUNCTION("IF(G653="""", """", ROUND(G653 / MAX(FILTER($G$2:$G5067, $D$2:$D5067=$D653)) * 100, 2))"),97.94)</f>
        <v>97.94</v>
      </c>
      <c r="J653" s="81">
        <f>IFERROR(__xludf.DUMMYFUNCTION("IF(H653="""", """", ROUND(H653 / MAX(FILTER($H$2:$H5067, $D$2:$D5067=$D653)) * 100, 2))"),94.12)</f>
        <v>94.12</v>
      </c>
      <c r="K653" s="2"/>
      <c r="L653" s="48"/>
      <c r="M653" s="48"/>
      <c r="N653" s="48"/>
      <c r="O653" s="48" t="str">
        <f t="shared" si="2"/>
        <v/>
      </c>
      <c r="P653" s="48" t="str">
        <f t="shared" si="3"/>
        <v/>
      </c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</row>
    <row r="654">
      <c r="A654" s="63">
        <v>43.0</v>
      </c>
      <c r="B654" s="63">
        <v>57.0</v>
      </c>
      <c r="C654" s="64" t="s">
        <v>177</v>
      </c>
      <c r="D654" s="64" t="s">
        <v>178</v>
      </c>
      <c r="E654" s="64" t="s">
        <v>179</v>
      </c>
      <c r="F654" s="63">
        <v>6000.0</v>
      </c>
      <c r="G654" s="63">
        <v>32.63</v>
      </c>
      <c r="H654" s="66">
        <f t="shared" si="1"/>
        <v>273.36</v>
      </c>
      <c r="I654" s="81">
        <f>IFERROR(__xludf.DUMMYFUNCTION("IF(G654="""", """", ROUND(G654 / MAX(FILTER($G$2:$G5067, $D$2:$D5067=$D654)) * 100, 2))"),93.28)</f>
        <v>93.28</v>
      </c>
      <c r="J654" s="81">
        <f>IFERROR(__xludf.DUMMYFUNCTION("IF(H654="""", """", ROUND(H654 / MAX(FILTER($H$2:$H5067, $D$2:$D5067=$D654)) * 100, 2))"),97.79)</f>
        <v>97.79</v>
      </c>
      <c r="K654" s="2"/>
      <c r="L654" s="49"/>
      <c r="M654" s="49"/>
      <c r="N654" s="49"/>
      <c r="O654" s="49" t="str">
        <f t="shared" si="2"/>
        <v/>
      </c>
      <c r="P654" s="49" t="str">
        <f t="shared" si="3"/>
        <v/>
      </c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</row>
    <row r="655">
      <c r="A655" s="69">
        <v>43.0</v>
      </c>
      <c r="B655" s="69">
        <v>57.0</v>
      </c>
      <c r="C655" s="86" t="s">
        <v>177</v>
      </c>
      <c r="D655" s="86" t="s">
        <v>178</v>
      </c>
      <c r="E655" s="86" t="s">
        <v>179</v>
      </c>
      <c r="F655" s="69">
        <v>6500.0</v>
      </c>
      <c r="G655" s="69">
        <v>30.8</v>
      </c>
      <c r="H655" s="68">
        <f t="shared" si="1"/>
        <v>279.53</v>
      </c>
      <c r="I655" s="81">
        <f>IFERROR(__xludf.DUMMYFUNCTION("IF(G655="""", """", ROUND(G655 / MAX(FILTER($G$2:$G5067, $D$2:$D5067=$D655)) * 100, 2))"),88.05)</f>
        <v>88.05</v>
      </c>
      <c r="J655" s="81">
        <f>IFERROR(__xludf.DUMMYFUNCTION("IF(H655="""", """", ROUND(H655 / MAX(FILTER($H$2:$H5067, $D$2:$D5067=$D655)) * 100, 2))"),100.0)</f>
        <v>100</v>
      </c>
      <c r="K655" s="2"/>
      <c r="L655" s="48"/>
      <c r="M655" s="48"/>
      <c r="N655" s="48"/>
      <c r="O655" s="48" t="str">
        <f t="shared" si="2"/>
        <v/>
      </c>
      <c r="P655" s="48" t="str">
        <f t="shared" si="3"/>
        <v/>
      </c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</row>
    <row r="656">
      <c r="A656" s="63">
        <v>43.0</v>
      </c>
      <c r="B656" s="63">
        <v>57.0</v>
      </c>
      <c r="C656" s="64" t="s">
        <v>177</v>
      </c>
      <c r="D656" s="64" t="s">
        <v>178</v>
      </c>
      <c r="E656" s="64" t="s">
        <v>179</v>
      </c>
      <c r="F656" s="63">
        <v>7000.0</v>
      </c>
      <c r="G656" s="63">
        <v>28.29</v>
      </c>
      <c r="H656" s="66">
        <f t="shared" si="1"/>
        <v>276.5</v>
      </c>
      <c r="I656" s="81">
        <f>IFERROR(__xludf.DUMMYFUNCTION("IF(G656="""", """", ROUND(G656 / MAX(FILTER($G$2:$G5067, $D$2:$D5067=$D656)) * 100, 2))"),80.87)</f>
        <v>80.87</v>
      </c>
      <c r="J656" s="81">
        <f>IFERROR(__xludf.DUMMYFUNCTION("IF(H656="""", """", ROUND(H656 / MAX(FILTER($H$2:$H5067, $D$2:$D5067=$D656)) * 100, 2))"),98.92)</f>
        <v>98.92</v>
      </c>
      <c r="K656" s="2"/>
      <c r="L656" s="49"/>
      <c r="M656" s="49"/>
      <c r="N656" s="49"/>
      <c r="O656" s="49" t="str">
        <f t="shared" si="2"/>
        <v/>
      </c>
      <c r="P656" s="49" t="str">
        <f t="shared" si="3"/>
        <v/>
      </c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</row>
    <row r="657">
      <c r="A657" s="69">
        <v>43.0</v>
      </c>
      <c r="B657" s="69">
        <v>57.0</v>
      </c>
      <c r="C657" s="86" t="s">
        <v>177</v>
      </c>
      <c r="D657" s="86" t="s">
        <v>178</v>
      </c>
      <c r="E657" s="86" t="s">
        <v>179</v>
      </c>
      <c r="F657" s="69">
        <v>7500.0</v>
      </c>
      <c r="G657" s="69">
        <v>25.49</v>
      </c>
      <c r="H657" s="68">
        <f t="shared" si="1"/>
        <v>266.93</v>
      </c>
      <c r="I657" s="81">
        <f>IFERROR(__xludf.DUMMYFUNCTION("IF(G657="""", """", ROUND(G657 / MAX(FILTER($G$2:$G5067, $D$2:$D5067=$D657)) * 100, 2))"),72.87)</f>
        <v>72.87</v>
      </c>
      <c r="J657" s="81">
        <f>IFERROR(__xludf.DUMMYFUNCTION("IF(H657="""", """", ROUND(H657 / MAX(FILTER($H$2:$H5067, $D$2:$D5067=$D657)) * 100, 2))"),95.49)</f>
        <v>95.49</v>
      </c>
      <c r="K657" s="2"/>
      <c r="L657" s="48"/>
      <c r="M657" s="48"/>
      <c r="N657" s="48"/>
      <c r="O657" s="48" t="str">
        <f t="shared" si="2"/>
        <v/>
      </c>
      <c r="P657" s="48" t="str">
        <f t="shared" si="3"/>
        <v/>
      </c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</row>
    <row r="658">
      <c r="A658" s="63">
        <v>44.0</v>
      </c>
      <c r="B658" s="63">
        <v>58.0</v>
      </c>
      <c r="C658" s="64" t="s">
        <v>180</v>
      </c>
      <c r="D658" s="64" t="s">
        <v>181</v>
      </c>
      <c r="E658" s="64" t="s">
        <v>182</v>
      </c>
      <c r="F658" s="63">
        <v>500.0</v>
      </c>
      <c r="G658" s="63">
        <v>16.09</v>
      </c>
      <c r="H658" s="66">
        <f t="shared" si="1"/>
        <v>11.23</v>
      </c>
      <c r="I658" s="81">
        <f>IFERROR(__xludf.DUMMYFUNCTION("IF(G658="""", """", ROUND(G658 / MAX(FILTER($G$2:$G5067, $D$2:$D5067=$D658)) * 100, 2))"),55.35)</f>
        <v>55.35</v>
      </c>
      <c r="J658" s="81">
        <f>IFERROR(__xludf.DUMMYFUNCTION("IF(H658="""", """", ROUND(H658 / MAX(FILTER($H$2:$H5067, $D$2:$D5067=$D658)) * 100, 2))"),5.77)</f>
        <v>5.77</v>
      </c>
      <c r="K658" s="2"/>
      <c r="L658" s="49"/>
      <c r="M658" s="49"/>
      <c r="N658" s="49"/>
      <c r="O658" s="49" t="str">
        <f t="shared" si="2"/>
        <v/>
      </c>
      <c r="P658" s="49" t="str">
        <f t="shared" si="3"/>
        <v/>
      </c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</row>
    <row r="659">
      <c r="A659" s="69">
        <v>44.0</v>
      </c>
      <c r="B659" s="69">
        <v>58.0</v>
      </c>
      <c r="C659" s="86" t="s">
        <v>180</v>
      </c>
      <c r="D659" s="86" t="s">
        <v>181</v>
      </c>
      <c r="E659" s="86" t="s">
        <v>182</v>
      </c>
      <c r="F659" s="69">
        <v>1000.0</v>
      </c>
      <c r="G659" s="69">
        <v>19.48</v>
      </c>
      <c r="H659" s="68">
        <f t="shared" si="1"/>
        <v>27.2</v>
      </c>
      <c r="I659" s="81">
        <f>IFERROR(__xludf.DUMMYFUNCTION("IF(G659="""", """", ROUND(G659 / MAX(FILTER($G$2:$G5067, $D$2:$D5067=$D659)) * 100, 2))"),67.01)</f>
        <v>67.01</v>
      </c>
      <c r="J659" s="81">
        <f>IFERROR(__xludf.DUMMYFUNCTION("IF(H659="""", """", ROUND(H659 / MAX(FILTER($H$2:$H5067, $D$2:$D5067=$D659)) * 100, 2))"),13.97)</f>
        <v>13.97</v>
      </c>
      <c r="K659" s="2"/>
      <c r="L659" s="48"/>
      <c r="M659" s="48"/>
      <c r="N659" s="48"/>
      <c r="O659" s="48" t="str">
        <f t="shared" si="2"/>
        <v/>
      </c>
      <c r="P659" s="48" t="str">
        <f t="shared" si="3"/>
        <v/>
      </c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</row>
    <row r="660">
      <c r="A660" s="63">
        <v>44.0</v>
      </c>
      <c r="B660" s="63">
        <v>58.0</v>
      </c>
      <c r="C660" s="64" t="s">
        <v>180</v>
      </c>
      <c r="D660" s="64" t="s">
        <v>181</v>
      </c>
      <c r="E660" s="64" t="s">
        <v>182</v>
      </c>
      <c r="F660" s="63">
        <v>1500.0</v>
      </c>
      <c r="G660" s="63">
        <v>22.56</v>
      </c>
      <c r="H660" s="66">
        <f t="shared" si="1"/>
        <v>47.25</v>
      </c>
      <c r="I660" s="81">
        <f>IFERROR(__xludf.DUMMYFUNCTION("IF(G660="""", """", ROUND(G660 / MAX(FILTER($G$2:$G5067, $D$2:$D5067=$D660)) * 100, 2))"),77.61)</f>
        <v>77.61</v>
      </c>
      <c r="J660" s="81">
        <f>IFERROR(__xludf.DUMMYFUNCTION("IF(H660="""", """", ROUND(H660 / MAX(FILTER($H$2:$H5067, $D$2:$D5067=$D660)) * 100, 2))"),24.27)</f>
        <v>24.27</v>
      </c>
      <c r="K660" s="2"/>
      <c r="L660" s="49"/>
      <c r="M660" s="49"/>
      <c r="N660" s="49"/>
      <c r="O660" s="49" t="str">
        <f t="shared" si="2"/>
        <v/>
      </c>
      <c r="P660" s="49" t="str">
        <f t="shared" si="3"/>
        <v/>
      </c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</row>
    <row r="661">
      <c r="A661" s="69">
        <v>44.0</v>
      </c>
      <c r="B661" s="69">
        <v>58.0</v>
      </c>
      <c r="C661" s="86" t="s">
        <v>180</v>
      </c>
      <c r="D661" s="86" t="s">
        <v>181</v>
      </c>
      <c r="E661" s="86" t="s">
        <v>182</v>
      </c>
      <c r="F661" s="69">
        <v>2000.0</v>
      </c>
      <c r="G661" s="69">
        <v>25.49</v>
      </c>
      <c r="H661" s="68">
        <f t="shared" si="1"/>
        <v>71.18</v>
      </c>
      <c r="I661" s="81">
        <f>IFERROR(__xludf.DUMMYFUNCTION("IF(G661="""", """", ROUND(G661 / MAX(FILTER($G$2:$G5067, $D$2:$D5067=$D661)) * 100, 2))"),87.68)</f>
        <v>87.68</v>
      </c>
      <c r="J661" s="81">
        <f>IFERROR(__xludf.DUMMYFUNCTION("IF(H661="""", """", ROUND(H661 / MAX(FILTER($H$2:$H5067, $D$2:$D5067=$D661)) * 100, 2))"),36.56)</f>
        <v>36.56</v>
      </c>
      <c r="K661" s="2"/>
      <c r="L661" s="48"/>
      <c r="M661" s="48"/>
      <c r="N661" s="48"/>
      <c r="O661" s="48" t="str">
        <f t="shared" si="2"/>
        <v/>
      </c>
      <c r="P661" s="48" t="str">
        <f t="shared" si="3"/>
        <v/>
      </c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</row>
    <row r="662">
      <c r="A662" s="63">
        <v>44.0</v>
      </c>
      <c r="B662" s="63">
        <v>58.0</v>
      </c>
      <c r="C662" s="64" t="s">
        <v>180</v>
      </c>
      <c r="D662" s="64" t="s">
        <v>181</v>
      </c>
      <c r="E662" s="64" t="s">
        <v>182</v>
      </c>
      <c r="F662" s="63">
        <v>2500.0</v>
      </c>
      <c r="G662" s="63">
        <v>27.3</v>
      </c>
      <c r="H662" s="66">
        <f t="shared" si="1"/>
        <v>95.29</v>
      </c>
      <c r="I662" s="81">
        <f>IFERROR(__xludf.DUMMYFUNCTION("IF(G662="""", """", ROUND(G662 / MAX(FILTER($G$2:$G5067, $D$2:$D5067=$D662)) * 100, 2))"),93.91)</f>
        <v>93.91</v>
      </c>
      <c r="J662" s="81">
        <f>IFERROR(__xludf.DUMMYFUNCTION("IF(H662="""", """", ROUND(H662 / MAX(FILTER($H$2:$H5067, $D$2:$D5067=$D662)) * 100, 2))"),48.95)</f>
        <v>48.95</v>
      </c>
      <c r="K662" s="2"/>
      <c r="L662" s="49"/>
      <c r="M662" s="49"/>
      <c r="N662" s="49"/>
      <c r="O662" s="49" t="str">
        <f t="shared" si="2"/>
        <v/>
      </c>
      <c r="P662" s="49" t="str">
        <f t="shared" si="3"/>
        <v/>
      </c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</row>
    <row r="663">
      <c r="A663" s="69">
        <v>44.0</v>
      </c>
      <c r="B663" s="69">
        <v>58.0</v>
      </c>
      <c r="C663" s="86" t="s">
        <v>180</v>
      </c>
      <c r="D663" s="86" t="s">
        <v>181</v>
      </c>
      <c r="E663" s="86" t="s">
        <v>182</v>
      </c>
      <c r="F663" s="69">
        <v>3000.0</v>
      </c>
      <c r="G663" s="69">
        <v>28.38</v>
      </c>
      <c r="H663" s="68">
        <f t="shared" si="1"/>
        <v>118.88</v>
      </c>
      <c r="I663" s="81">
        <f>IFERROR(__xludf.DUMMYFUNCTION("IF(G663="""", """", ROUND(G663 / MAX(FILTER($G$2:$G5067, $D$2:$D5067=$D663)) * 100, 2))"),97.63)</f>
        <v>97.63</v>
      </c>
      <c r="J663" s="81">
        <f>IFERROR(__xludf.DUMMYFUNCTION("IF(H663="""", """", ROUND(H663 / MAX(FILTER($H$2:$H5067, $D$2:$D5067=$D663)) * 100, 2))"),61.07)</f>
        <v>61.07</v>
      </c>
      <c r="K663" s="2"/>
      <c r="L663" s="48"/>
      <c r="M663" s="48"/>
      <c r="N663" s="48"/>
      <c r="O663" s="48" t="str">
        <f t="shared" si="2"/>
        <v/>
      </c>
      <c r="P663" s="48" t="str">
        <f t="shared" si="3"/>
        <v/>
      </c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</row>
    <row r="664">
      <c r="A664" s="63">
        <v>44.0</v>
      </c>
      <c r="B664" s="63">
        <v>58.0</v>
      </c>
      <c r="C664" s="64" t="s">
        <v>180</v>
      </c>
      <c r="D664" s="64" t="s">
        <v>181</v>
      </c>
      <c r="E664" s="64" t="s">
        <v>182</v>
      </c>
      <c r="F664" s="63">
        <v>3500.0</v>
      </c>
      <c r="G664" s="63">
        <v>28.91</v>
      </c>
      <c r="H664" s="66">
        <f t="shared" si="1"/>
        <v>141.28</v>
      </c>
      <c r="I664" s="81">
        <f>IFERROR(__xludf.DUMMYFUNCTION("IF(G664="""", """", ROUND(G664 / MAX(FILTER($G$2:$G5067, $D$2:$D5067=$D664)) * 100, 2))"),99.45)</f>
        <v>99.45</v>
      </c>
      <c r="J664" s="81">
        <f>IFERROR(__xludf.DUMMYFUNCTION("IF(H664="""", """", ROUND(H664 / MAX(FILTER($H$2:$H5067, $D$2:$D5067=$D664)) * 100, 2))"),72.57)</f>
        <v>72.57</v>
      </c>
      <c r="K664" s="2"/>
      <c r="L664" s="49"/>
      <c r="M664" s="49"/>
      <c r="N664" s="49"/>
      <c r="O664" s="49" t="str">
        <f t="shared" si="2"/>
        <v/>
      </c>
      <c r="P664" s="49" t="str">
        <f t="shared" si="3"/>
        <v/>
      </c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</row>
    <row r="665">
      <c r="A665" s="69">
        <v>44.0</v>
      </c>
      <c r="B665" s="69">
        <v>58.0</v>
      </c>
      <c r="C665" s="86" t="s">
        <v>180</v>
      </c>
      <c r="D665" s="86" t="s">
        <v>181</v>
      </c>
      <c r="E665" s="86" t="s">
        <v>182</v>
      </c>
      <c r="F665" s="69">
        <v>4000.0</v>
      </c>
      <c r="G665" s="69">
        <v>29.07</v>
      </c>
      <c r="H665" s="68">
        <f t="shared" si="1"/>
        <v>162.36</v>
      </c>
      <c r="I665" s="81">
        <f>IFERROR(__xludf.DUMMYFUNCTION("IF(G665="""", """", ROUND(G665 / MAX(FILTER($G$2:$G5067, $D$2:$D5067=$D665)) * 100, 2))"),100.0)</f>
        <v>100</v>
      </c>
      <c r="J665" s="81">
        <f>IFERROR(__xludf.DUMMYFUNCTION("IF(H665="""", """", ROUND(H665 / MAX(FILTER($H$2:$H5067, $D$2:$D5067=$D665)) * 100, 2))"),83.4)</f>
        <v>83.4</v>
      </c>
      <c r="K665" s="2"/>
      <c r="L665" s="48"/>
      <c r="M665" s="48"/>
      <c r="N665" s="48"/>
      <c r="O665" s="48" t="str">
        <f t="shared" si="2"/>
        <v/>
      </c>
      <c r="P665" s="48" t="str">
        <f t="shared" si="3"/>
        <v/>
      </c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</row>
    <row r="666">
      <c r="A666" s="63">
        <v>44.0</v>
      </c>
      <c r="B666" s="63">
        <v>58.0</v>
      </c>
      <c r="C666" s="64" t="s">
        <v>180</v>
      </c>
      <c r="D666" s="64" t="s">
        <v>181</v>
      </c>
      <c r="E666" s="64" t="s">
        <v>182</v>
      </c>
      <c r="F666" s="63">
        <v>4500.0</v>
      </c>
      <c r="G666" s="63">
        <v>28.89</v>
      </c>
      <c r="H666" s="66">
        <f t="shared" si="1"/>
        <v>181.52</v>
      </c>
      <c r="I666" s="81">
        <f>IFERROR(__xludf.DUMMYFUNCTION("IF(G666="""", """", ROUND(G666 / MAX(FILTER($G$2:$G5067, $D$2:$D5067=$D666)) * 100, 2))"),99.38)</f>
        <v>99.38</v>
      </c>
      <c r="J666" s="81">
        <f>IFERROR(__xludf.DUMMYFUNCTION("IF(H666="""", """", ROUND(H666 / MAX(FILTER($H$2:$H5067, $D$2:$D5067=$D666)) * 100, 2))"),93.24)</f>
        <v>93.24</v>
      </c>
      <c r="K666" s="2"/>
      <c r="L666" s="49"/>
      <c r="M666" s="49"/>
      <c r="N666" s="49"/>
      <c r="O666" s="49" t="str">
        <f t="shared" si="2"/>
        <v/>
      </c>
      <c r="P666" s="49" t="str">
        <f t="shared" si="3"/>
        <v/>
      </c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</row>
    <row r="667">
      <c r="A667" s="69">
        <v>44.0</v>
      </c>
      <c r="B667" s="69">
        <v>58.0</v>
      </c>
      <c r="C667" s="86" t="s">
        <v>180</v>
      </c>
      <c r="D667" s="86" t="s">
        <v>181</v>
      </c>
      <c r="E667" s="86" t="s">
        <v>182</v>
      </c>
      <c r="F667" s="69">
        <v>5000.0</v>
      </c>
      <c r="G667" s="69">
        <v>27.67</v>
      </c>
      <c r="H667" s="68">
        <f t="shared" si="1"/>
        <v>193.17</v>
      </c>
      <c r="I667" s="81">
        <f>IFERROR(__xludf.DUMMYFUNCTION("IF(G667="""", """", ROUND(G667 / MAX(FILTER($G$2:$G5067, $D$2:$D5067=$D667)) * 100, 2))"),95.18)</f>
        <v>95.18</v>
      </c>
      <c r="J667" s="81">
        <f>IFERROR(__xludf.DUMMYFUNCTION("IF(H667="""", """", ROUND(H667 / MAX(FILTER($H$2:$H5067, $D$2:$D5067=$D667)) * 100, 2))"),99.23)</f>
        <v>99.23</v>
      </c>
      <c r="K667" s="2"/>
      <c r="L667" s="48"/>
      <c r="M667" s="48"/>
      <c r="N667" s="48"/>
      <c r="O667" s="48" t="str">
        <f t="shared" si="2"/>
        <v/>
      </c>
      <c r="P667" s="48" t="str">
        <f t="shared" si="3"/>
        <v/>
      </c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</row>
    <row r="668">
      <c r="A668" s="63">
        <v>44.0</v>
      </c>
      <c r="B668" s="63">
        <v>58.0</v>
      </c>
      <c r="C668" s="64" t="s">
        <v>180</v>
      </c>
      <c r="D668" s="64" t="s">
        <v>181</v>
      </c>
      <c r="E668" s="64" t="s">
        <v>182</v>
      </c>
      <c r="F668" s="63">
        <v>5500.0</v>
      </c>
      <c r="G668" s="63">
        <v>25.35</v>
      </c>
      <c r="H668" s="66">
        <f t="shared" si="1"/>
        <v>194.67</v>
      </c>
      <c r="I668" s="81">
        <f>IFERROR(__xludf.DUMMYFUNCTION("IF(G668="""", """", ROUND(G668 / MAX(FILTER($G$2:$G5067, $D$2:$D5067=$D668)) * 100, 2))"),87.2)</f>
        <v>87.2</v>
      </c>
      <c r="J668" s="81">
        <f>IFERROR(__xludf.DUMMYFUNCTION("IF(H668="""", """", ROUND(H668 / MAX(FILTER($H$2:$H5067, $D$2:$D5067=$D668)) * 100, 2))"),100.0)</f>
        <v>100</v>
      </c>
      <c r="K668" s="2"/>
      <c r="L668" s="49"/>
      <c r="M668" s="49"/>
      <c r="N668" s="49"/>
      <c r="O668" s="49" t="str">
        <f t="shared" si="2"/>
        <v/>
      </c>
      <c r="P668" s="49" t="str">
        <f t="shared" si="3"/>
        <v/>
      </c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</row>
    <row r="669">
      <c r="A669" s="69">
        <v>44.0</v>
      </c>
      <c r="B669" s="69">
        <v>58.0</v>
      </c>
      <c r="C669" s="86" t="s">
        <v>180</v>
      </c>
      <c r="D669" s="86" t="s">
        <v>181</v>
      </c>
      <c r="E669" s="86" t="s">
        <v>182</v>
      </c>
      <c r="F669" s="69">
        <v>6000.0</v>
      </c>
      <c r="G669" s="69">
        <v>22.58</v>
      </c>
      <c r="H669" s="68">
        <f t="shared" si="1"/>
        <v>189.17</v>
      </c>
      <c r="I669" s="81">
        <f>IFERROR(__xludf.DUMMYFUNCTION("IF(G669="""", """", ROUND(G669 / MAX(FILTER($G$2:$G5067, $D$2:$D5067=$D669)) * 100, 2))"),77.67)</f>
        <v>77.67</v>
      </c>
      <c r="J669" s="81">
        <f>IFERROR(__xludf.DUMMYFUNCTION("IF(H669="""", """", ROUND(H669 / MAX(FILTER($H$2:$H5067, $D$2:$D5067=$D669)) * 100, 2))"),97.17)</f>
        <v>97.17</v>
      </c>
      <c r="K669" s="2"/>
      <c r="L669" s="48"/>
      <c r="M669" s="48"/>
      <c r="N669" s="48"/>
      <c r="O669" s="48" t="str">
        <f t="shared" si="2"/>
        <v/>
      </c>
      <c r="P669" s="48" t="str">
        <f t="shared" si="3"/>
        <v/>
      </c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</row>
    <row r="670">
      <c r="A670" s="63">
        <v>44.0</v>
      </c>
      <c r="B670" s="63">
        <v>58.0</v>
      </c>
      <c r="C670" s="64" t="s">
        <v>180</v>
      </c>
      <c r="D670" s="64" t="s">
        <v>181</v>
      </c>
      <c r="E670" s="64" t="s">
        <v>182</v>
      </c>
      <c r="F670" s="63">
        <v>6500.0</v>
      </c>
      <c r="G670" s="63">
        <v>19.65</v>
      </c>
      <c r="H670" s="66">
        <f t="shared" si="1"/>
        <v>178.34</v>
      </c>
      <c r="I670" s="81">
        <f>IFERROR(__xludf.DUMMYFUNCTION("IF(G670="""", """", ROUND(G670 / MAX(FILTER($G$2:$G5067, $D$2:$D5067=$D670)) * 100, 2))"),67.6)</f>
        <v>67.6</v>
      </c>
      <c r="J670" s="81">
        <f>IFERROR(__xludf.DUMMYFUNCTION("IF(H670="""", """", ROUND(H670 / MAX(FILTER($H$2:$H5067, $D$2:$D5067=$D670)) * 100, 2))"),91.61)</f>
        <v>91.61</v>
      </c>
      <c r="K670" s="2"/>
      <c r="L670" s="49"/>
      <c r="M670" s="49"/>
      <c r="N670" s="49"/>
      <c r="O670" s="49" t="str">
        <f t="shared" si="2"/>
        <v/>
      </c>
      <c r="P670" s="49" t="str">
        <f t="shared" si="3"/>
        <v/>
      </c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</row>
    <row r="671">
      <c r="A671" s="69">
        <v>44.0</v>
      </c>
      <c r="B671" s="69">
        <v>58.0</v>
      </c>
      <c r="C671" s="86" t="s">
        <v>180</v>
      </c>
      <c r="D671" s="86" t="s">
        <v>181</v>
      </c>
      <c r="E671" s="86" t="s">
        <v>182</v>
      </c>
      <c r="F671" s="69">
        <v>7000.0</v>
      </c>
      <c r="G671" s="69">
        <v>16.0</v>
      </c>
      <c r="H671" s="68">
        <f t="shared" si="1"/>
        <v>156.38</v>
      </c>
      <c r="I671" s="81">
        <f>IFERROR(__xludf.DUMMYFUNCTION("IF(G671="""", """", ROUND(G671 / MAX(FILTER($G$2:$G5067, $D$2:$D5067=$D671)) * 100, 2))"),55.04)</f>
        <v>55.04</v>
      </c>
      <c r="J671" s="81">
        <f>IFERROR(__xludf.DUMMYFUNCTION("IF(H671="""", """", ROUND(H671 / MAX(FILTER($H$2:$H5067, $D$2:$D5067=$D671)) * 100, 2))"),80.33)</f>
        <v>80.33</v>
      </c>
      <c r="K671" s="2"/>
      <c r="L671" s="48"/>
      <c r="M671" s="48"/>
      <c r="N671" s="48"/>
      <c r="O671" s="48" t="str">
        <f t="shared" si="2"/>
        <v/>
      </c>
      <c r="P671" s="48" t="str">
        <f t="shared" si="3"/>
        <v/>
      </c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</row>
    <row r="672">
      <c r="A672" s="63">
        <v>45.0</v>
      </c>
      <c r="B672" s="63">
        <v>60.0</v>
      </c>
      <c r="C672" s="64" t="s">
        <v>183</v>
      </c>
      <c r="D672" s="64" t="s">
        <v>184</v>
      </c>
      <c r="E672" s="64" t="s">
        <v>185</v>
      </c>
      <c r="F672" s="63">
        <v>500.0</v>
      </c>
      <c r="G672" s="63">
        <v>18.75</v>
      </c>
      <c r="H672" s="66">
        <f t="shared" si="1"/>
        <v>13.09</v>
      </c>
      <c r="I672" s="81">
        <f>IFERROR(__xludf.DUMMYFUNCTION("IF(G672="""", """", ROUND(G672 / MAX(FILTER($G$2:$G5067, $D$2:$D5067=$D672)) * 100, 2))"),47.83)</f>
        <v>47.83</v>
      </c>
      <c r="J672" s="81">
        <f>IFERROR(__xludf.DUMMYFUNCTION("IF(H672="""", """", ROUND(H672 / MAX(FILTER($H$2:$H5067, $D$2:$D5067=$D672)) * 100, 2))"),4.36)</f>
        <v>4.36</v>
      </c>
      <c r="K672" s="2"/>
      <c r="L672" s="49"/>
      <c r="M672" s="49"/>
      <c r="N672" s="49"/>
      <c r="O672" s="49" t="str">
        <f t="shared" si="2"/>
        <v/>
      </c>
      <c r="P672" s="49" t="str">
        <f t="shared" si="3"/>
        <v/>
      </c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</row>
    <row r="673">
      <c r="A673" s="69">
        <v>45.0</v>
      </c>
      <c r="B673" s="69">
        <v>60.0</v>
      </c>
      <c r="C673" s="86" t="s">
        <v>183</v>
      </c>
      <c r="D673" s="86" t="s">
        <v>184</v>
      </c>
      <c r="E673" s="86" t="s">
        <v>185</v>
      </c>
      <c r="F673" s="69">
        <v>1000.0</v>
      </c>
      <c r="G673" s="69">
        <v>21.9</v>
      </c>
      <c r="H673" s="68">
        <f t="shared" si="1"/>
        <v>30.58</v>
      </c>
      <c r="I673" s="81">
        <f>IFERROR(__xludf.DUMMYFUNCTION("IF(G673="""", """", ROUND(G673 / MAX(FILTER($G$2:$G5067, $D$2:$D5067=$D673)) * 100, 2))"),55.87)</f>
        <v>55.87</v>
      </c>
      <c r="J673" s="81">
        <f>IFERROR(__xludf.DUMMYFUNCTION("IF(H673="""", """", ROUND(H673 / MAX(FILTER($H$2:$H5067, $D$2:$D5067=$D673)) * 100, 2))"),10.18)</f>
        <v>10.18</v>
      </c>
      <c r="K673" s="2"/>
      <c r="L673" s="48"/>
      <c r="M673" s="48"/>
      <c r="N673" s="48"/>
      <c r="O673" s="48" t="str">
        <f t="shared" si="2"/>
        <v/>
      </c>
      <c r="P673" s="48" t="str">
        <f t="shared" si="3"/>
        <v/>
      </c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</row>
    <row r="674">
      <c r="A674" s="63">
        <v>45.0</v>
      </c>
      <c r="B674" s="63">
        <v>60.0</v>
      </c>
      <c r="C674" s="64" t="s">
        <v>183</v>
      </c>
      <c r="D674" s="64" t="s">
        <v>184</v>
      </c>
      <c r="E674" s="64" t="s">
        <v>185</v>
      </c>
      <c r="F674" s="63">
        <v>1500.0</v>
      </c>
      <c r="G674" s="63">
        <v>23.75</v>
      </c>
      <c r="H674" s="66">
        <f t="shared" si="1"/>
        <v>49.74</v>
      </c>
      <c r="I674" s="81">
        <f>IFERROR(__xludf.DUMMYFUNCTION("IF(G674="""", """", ROUND(G674 / MAX(FILTER($G$2:$G5067, $D$2:$D5067=$D674)) * 100, 2))"),60.59)</f>
        <v>60.59</v>
      </c>
      <c r="J674" s="81">
        <f>IFERROR(__xludf.DUMMYFUNCTION("IF(H674="""", """", ROUND(H674 / MAX(FILTER($H$2:$H5067, $D$2:$D5067=$D674)) * 100, 2))"),16.57)</f>
        <v>16.57</v>
      </c>
      <c r="K674" s="2"/>
      <c r="L674" s="49"/>
      <c r="M674" s="49"/>
      <c r="N674" s="49"/>
      <c r="O674" s="49" t="str">
        <f t="shared" si="2"/>
        <v/>
      </c>
      <c r="P674" s="49" t="str">
        <f t="shared" si="3"/>
        <v/>
      </c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</row>
    <row r="675">
      <c r="A675" s="69">
        <v>45.0</v>
      </c>
      <c r="B675" s="69">
        <v>60.0</v>
      </c>
      <c r="C675" s="86" t="s">
        <v>183</v>
      </c>
      <c r="D675" s="86" t="s">
        <v>184</v>
      </c>
      <c r="E675" s="86" t="s">
        <v>185</v>
      </c>
      <c r="F675" s="69">
        <v>2000.0</v>
      </c>
      <c r="G675" s="69">
        <v>26.39</v>
      </c>
      <c r="H675" s="68">
        <f t="shared" si="1"/>
        <v>73.69</v>
      </c>
      <c r="I675" s="81">
        <f>IFERROR(__xludf.DUMMYFUNCTION("IF(G675="""", """", ROUND(G675 / MAX(FILTER($G$2:$G5067, $D$2:$D5067=$D675)) * 100, 2))"),67.32)</f>
        <v>67.32</v>
      </c>
      <c r="J675" s="81">
        <f>IFERROR(__xludf.DUMMYFUNCTION("IF(H675="""", """", ROUND(H675 / MAX(FILTER($H$2:$H5067, $D$2:$D5067=$D675)) * 100, 2))"),24.54)</f>
        <v>24.54</v>
      </c>
      <c r="K675" s="2"/>
      <c r="L675" s="48"/>
      <c r="M675" s="48"/>
      <c r="N675" s="48"/>
      <c r="O675" s="48" t="str">
        <f t="shared" si="2"/>
        <v/>
      </c>
      <c r="P675" s="48" t="str">
        <f t="shared" si="3"/>
        <v/>
      </c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</row>
    <row r="676">
      <c r="A676" s="63">
        <v>45.0</v>
      </c>
      <c r="B676" s="63">
        <v>60.0</v>
      </c>
      <c r="C676" s="64" t="s">
        <v>183</v>
      </c>
      <c r="D676" s="64" t="s">
        <v>184</v>
      </c>
      <c r="E676" s="64" t="s">
        <v>185</v>
      </c>
      <c r="F676" s="63">
        <v>2500.0</v>
      </c>
      <c r="G676" s="63">
        <v>32.4</v>
      </c>
      <c r="H676" s="66">
        <f t="shared" si="1"/>
        <v>113.1</v>
      </c>
      <c r="I676" s="81">
        <f>IFERROR(__xludf.DUMMYFUNCTION("IF(G676="""", """", ROUND(G676 / MAX(FILTER($G$2:$G5067, $D$2:$D5067=$D676)) * 100, 2))"),82.65)</f>
        <v>82.65</v>
      </c>
      <c r="J676" s="81">
        <f>IFERROR(__xludf.DUMMYFUNCTION("IF(H676="""", """", ROUND(H676 / MAX(FILTER($H$2:$H5067, $D$2:$D5067=$D676)) * 100, 2))"),37.67)</f>
        <v>37.67</v>
      </c>
      <c r="K676" s="2"/>
      <c r="L676" s="49"/>
      <c r="M676" s="49"/>
      <c r="N676" s="49"/>
      <c r="O676" s="49" t="str">
        <f t="shared" si="2"/>
        <v/>
      </c>
      <c r="P676" s="49" t="str">
        <f t="shared" si="3"/>
        <v/>
      </c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</row>
    <row r="677">
      <c r="A677" s="69">
        <v>45.0</v>
      </c>
      <c r="B677" s="69">
        <v>60.0</v>
      </c>
      <c r="C677" s="86" t="s">
        <v>183</v>
      </c>
      <c r="D677" s="86" t="s">
        <v>184</v>
      </c>
      <c r="E677" s="86" t="s">
        <v>185</v>
      </c>
      <c r="F677" s="69">
        <v>3000.0</v>
      </c>
      <c r="G677" s="69">
        <v>35.7</v>
      </c>
      <c r="H677" s="68">
        <f t="shared" si="1"/>
        <v>149.54</v>
      </c>
      <c r="I677" s="81">
        <f>IFERROR(__xludf.DUMMYFUNCTION("IF(G677="""", """", ROUND(G677 / MAX(FILTER($G$2:$G5067, $D$2:$D5067=$D677)) * 100, 2))"),91.07)</f>
        <v>91.07</v>
      </c>
      <c r="J677" s="81">
        <f>IFERROR(__xludf.DUMMYFUNCTION("IF(H677="""", """", ROUND(H677 / MAX(FILTER($H$2:$H5067, $D$2:$D5067=$D677)) * 100, 2))"),49.81)</f>
        <v>49.81</v>
      </c>
      <c r="K677" s="2"/>
      <c r="L677" s="48"/>
      <c r="M677" s="48"/>
      <c r="N677" s="48"/>
      <c r="O677" s="48" t="str">
        <f t="shared" si="2"/>
        <v/>
      </c>
      <c r="P677" s="48" t="str">
        <f t="shared" si="3"/>
        <v/>
      </c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</row>
    <row r="678">
      <c r="A678" s="63">
        <v>45.0</v>
      </c>
      <c r="B678" s="63">
        <v>60.0</v>
      </c>
      <c r="C678" s="64" t="s">
        <v>183</v>
      </c>
      <c r="D678" s="64" t="s">
        <v>184</v>
      </c>
      <c r="E678" s="64" t="s">
        <v>185</v>
      </c>
      <c r="F678" s="63">
        <v>3500.0</v>
      </c>
      <c r="G678" s="63">
        <v>37.94</v>
      </c>
      <c r="H678" s="66">
        <f t="shared" si="1"/>
        <v>185.41</v>
      </c>
      <c r="I678" s="81">
        <f>IFERROR(__xludf.DUMMYFUNCTION("IF(G678="""", """", ROUND(G678 / MAX(FILTER($G$2:$G5067, $D$2:$D5067=$D678)) * 100, 2))"),96.79)</f>
        <v>96.79</v>
      </c>
      <c r="J678" s="81">
        <f>IFERROR(__xludf.DUMMYFUNCTION("IF(H678="""", """", ROUND(H678 / MAX(FILTER($H$2:$H5067, $D$2:$D5067=$D678)) * 100, 2))"),61.75)</f>
        <v>61.75</v>
      </c>
      <c r="K678" s="2"/>
      <c r="L678" s="49"/>
      <c r="M678" s="49"/>
      <c r="N678" s="49"/>
      <c r="O678" s="49" t="str">
        <f t="shared" si="2"/>
        <v/>
      </c>
      <c r="P678" s="49" t="str">
        <f t="shared" si="3"/>
        <v/>
      </c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</row>
    <row r="679">
      <c r="A679" s="69">
        <v>45.0</v>
      </c>
      <c r="B679" s="69">
        <v>60.0</v>
      </c>
      <c r="C679" s="86" t="s">
        <v>183</v>
      </c>
      <c r="D679" s="86" t="s">
        <v>184</v>
      </c>
      <c r="E679" s="86" t="s">
        <v>185</v>
      </c>
      <c r="F679" s="69">
        <v>4000.0</v>
      </c>
      <c r="G679" s="69">
        <v>38.8</v>
      </c>
      <c r="H679" s="68">
        <f t="shared" si="1"/>
        <v>216.7</v>
      </c>
      <c r="I679" s="81">
        <f>IFERROR(__xludf.DUMMYFUNCTION("IF(G679="""", """", ROUND(G679 / MAX(FILTER($G$2:$G5067, $D$2:$D5067=$D679)) * 100, 2))"),98.98)</f>
        <v>98.98</v>
      </c>
      <c r="J679" s="81">
        <f>IFERROR(__xludf.DUMMYFUNCTION("IF(H679="""", """", ROUND(H679 / MAX(FILTER($H$2:$H5067, $D$2:$D5067=$D679)) * 100, 2))"),72.17)</f>
        <v>72.17</v>
      </c>
      <c r="K679" s="2"/>
      <c r="L679" s="48"/>
      <c r="M679" s="48"/>
      <c r="N679" s="48"/>
      <c r="O679" s="48" t="str">
        <f t="shared" si="2"/>
        <v/>
      </c>
      <c r="P679" s="48" t="str">
        <f t="shared" si="3"/>
        <v/>
      </c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</row>
    <row r="680">
      <c r="A680" s="63">
        <v>45.0</v>
      </c>
      <c r="B680" s="63">
        <v>60.0</v>
      </c>
      <c r="C680" s="64" t="s">
        <v>183</v>
      </c>
      <c r="D680" s="64" t="s">
        <v>184</v>
      </c>
      <c r="E680" s="64" t="s">
        <v>185</v>
      </c>
      <c r="F680" s="63">
        <v>4400.0</v>
      </c>
      <c r="G680" s="63">
        <v>39.2</v>
      </c>
      <c r="H680" s="66">
        <f t="shared" si="1"/>
        <v>240.83</v>
      </c>
      <c r="I680" s="81">
        <f>IFERROR(__xludf.DUMMYFUNCTION("IF(G680="""", """", ROUND(G680 / MAX(FILTER($G$2:$G5067, $D$2:$D5067=$D680)) * 100, 2))"),100.0)</f>
        <v>100</v>
      </c>
      <c r="J680" s="81">
        <f>IFERROR(__xludf.DUMMYFUNCTION("IF(H680="""", """", ROUND(H680 / MAX(FILTER($H$2:$H5067, $D$2:$D5067=$D680)) * 100, 2))"),80.21)</f>
        <v>80.21</v>
      </c>
      <c r="K680" s="2"/>
      <c r="L680" s="49"/>
      <c r="M680" s="49"/>
      <c r="N680" s="49"/>
      <c r="O680" s="49" t="str">
        <f t="shared" si="2"/>
        <v/>
      </c>
      <c r="P680" s="49" t="str">
        <f t="shared" si="3"/>
        <v/>
      </c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</row>
    <row r="681">
      <c r="A681" s="69">
        <v>45.0</v>
      </c>
      <c r="B681" s="69">
        <v>60.0</v>
      </c>
      <c r="C681" s="86" t="s">
        <v>183</v>
      </c>
      <c r="D681" s="86" t="s">
        <v>184</v>
      </c>
      <c r="E681" s="86" t="s">
        <v>185</v>
      </c>
      <c r="F681" s="69">
        <v>5000.0</v>
      </c>
      <c r="G681" s="69">
        <v>38.75</v>
      </c>
      <c r="H681" s="68">
        <f t="shared" si="1"/>
        <v>270.52</v>
      </c>
      <c r="I681" s="81">
        <f>IFERROR(__xludf.DUMMYFUNCTION("IF(G681="""", """", ROUND(G681 / MAX(FILTER($G$2:$G5067, $D$2:$D5067=$D681)) * 100, 2))"),98.85)</f>
        <v>98.85</v>
      </c>
      <c r="J681" s="81">
        <f>IFERROR(__xludf.DUMMYFUNCTION("IF(H681="""", """", ROUND(H681 / MAX(FILTER($H$2:$H5067, $D$2:$D5067=$D681)) * 100, 2))"),90.1)</f>
        <v>90.1</v>
      </c>
      <c r="K681" s="2"/>
      <c r="L681" s="48"/>
      <c r="M681" s="48"/>
      <c r="N681" s="48"/>
      <c r="O681" s="48" t="str">
        <f t="shared" si="2"/>
        <v/>
      </c>
      <c r="P681" s="48" t="str">
        <f t="shared" si="3"/>
        <v/>
      </c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</row>
    <row r="682">
      <c r="A682" s="63">
        <v>45.0</v>
      </c>
      <c r="B682" s="63">
        <v>60.0</v>
      </c>
      <c r="C682" s="64" t="s">
        <v>183</v>
      </c>
      <c r="D682" s="64" t="s">
        <v>184</v>
      </c>
      <c r="E682" s="64" t="s">
        <v>185</v>
      </c>
      <c r="F682" s="63">
        <v>5500.0</v>
      </c>
      <c r="G682" s="63">
        <v>37.55</v>
      </c>
      <c r="H682" s="66">
        <f t="shared" si="1"/>
        <v>288.36</v>
      </c>
      <c r="I682" s="81">
        <f>IFERROR(__xludf.DUMMYFUNCTION("IF(G682="""", """", ROUND(G682 / MAX(FILTER($G$2:$G5067, $D$2:$D5067=$D682)) * 100, 2))"),95.79)</f>
        <v>95.79</v>
      </c>
      <c r="J682" s="81">
        <f>IFERROR(__xludf.DUMMYFUNCTION("IF(H682="""", """", ROUND(H682 / MAX(FILTER($H$2:$H5067, $D$2:$D5067=$D682)) * 100, 2))"),96.04)</f>
        <v>96.04</v>
      </c>
      <c r="K682" s="2"/>
      <c r="L682" s="49"/>
      <c r="M682" s="49"/>
      <c r="N682" s="49"/>
      <c r="O682" s="49" t="str">
        <f t="shared" si="2"/>
        <v/>
      </c>
      <c r="P682" s="49" t="str">
        <f t="shared" si="3"/>
        <v/>
      </c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</row>
    <row r="683">
      <c r="A683" s="69">
        <v>45.0</v>
      </c>
      <c r="B683" s="69">
        <v>60.0</v>
      </c>
      <c r="C683" s="86" t="s">
        <v>183</v>
      </c>
      <c r="D683" s="86" t="s">
        <v>184</v>
      </c>
      <c r="E683" s="86" t="s">
        <v>185</v>
      </c>
      <c r="F683" s="69">
        <v>6000.0</v>
      </c>
      <c r="G683" s="69">
        <v>35.64</v>
      </c>
      <c r="H683" s="68">
        <f t="shared" si="1"/>
        <v>298.58</v>
      </c>
      <c r="I683" s="81">
        <f>IFERROR(__xludf.DUMMYFUNCTION("IF(G683="""", """", ROUND(G683 / MAX(FILTER($G$2:$G5067, $D$2:$D5067=$D683)) * 100, 2))"),90.92)</f>
        <v>90.92</v>
      </c>
      <c r="J683" s="81">
        <f>IFERROR(__xludf.DUMMYFUNCTION("IF(H683="""", """", ROUND(H683 / MAX(FILTER($H$2:$H5067, $D$2:$D5067=$D683)) * 100, 2))"),99.44)</f>
        <v>99.44</v>
      </c>
      <c r="K683" s="2"/>
      <c r="L683" s="48"/>
      <c r="M683" s="48"/>
      <c r="N683" s="48"/>
      <c r="O683" s="48" t="str">
        <f t="shared" si="2"/>
        <v/>
      </c>
      <c r="P683" s="48" t="str">
        <f t="shared" si="3"/>
        <v/>
      </c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</row>
    <row r="684">
      <c r="A684" s="63">
        <v>45.0</v>
      </c>
      <c r="B684" s="63">
        <v>60.0</v>
      </c>
      <c r="C684" s="64" t="s">
        <v>183</v>
      </c>
      <c r="D684" s="64" t="s">
        <v>184</v>
      </c>
      <c r="E684" s="64" t="s">
        <v>185</v>
      </c>
      <c r="F684" s="63">
        <v>6400.0</v>
      </c>
      <c r="G684" s="63">
        <v>33.6</v>
      </c>
      <c r="H684" s="66">
        <f t="shared" si="1"/>
        <v>300.25</v>
      </c>
      <c r="I684" s="81">
        <f>IFERROR(__xludf.DUMMYFUNCTION("IF(G684="""", """", ROUND(G684 / MAX(FILTER($G$2:$G5067, $D$2:$D5067=$D684)) * 100, 2))"),85.71)</f>
        <v>85.71</v>
      </c>
      <c r="J684" s="81">
        <f>IFERROR(__xludf.DUMMYFUNCTION("IF(H684="""", """", ROUND(H684 / MAX(FILTER($H$2:$H5067, $D$2:$D5067=$D684)) * 100, 2))"),100.0)</f>
        <v>100</v>
      </c>
      <c r="K684" s="2"/>
      <c r="L684" s="49"/>
      <c r="M684" s="49"/>
      <c r="N684" s="49"/>
      <c r="O684" s="49" t="str">
        <f t="shared" si="2"/>
        <v/>
      </c>
      <c r="P684" s="49" t="str">
        <f t="shared" si="3"/>
        <v/>
      </c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</row>
    <row r="685">
      <c r="A685" s="69">
        <v>45.0</v>
      </c>
      <c r="B685" s="69">
        <v>60.0</v>
      </c>
      <c r="C685" s="86" t="s">
        <v>183</v>
      </c>
      <c r="D685" s="86" t="s">
        <v>184</v>
      </c>
      <c r="E685" s="86" t="s">
        <v>185</v>
      </c>
      <c r="F685" s="69">
        <v>7000.0</v>
      </c>
      <c r="G685" s="69">
        <v>30.54</v>
      </c>
      <c r="H685" s="68">
        <f t="shared" si="1"/>
        <v>298.49</v>
      </c>
      <c r="I685" s="81">
        <f>IFERROR(__xludf.DUMMYFUNCTION("IF(G685="""", """", ROUND(G685 / MAX(FILTER($G$2:$G5067, $D$2:$D5067=$D685)) * 100, 2))"),77.91)</f>
        <v>77.91</v>
      </c>
      <c r="J685" s="81">
        <f>IFERROR(__xludf.DUMMYFUNCTION("IF(H685="""", """", ROUND(H685 / MAX(FILTER($H$2:$H5067, $D$2:$D5067=$D685)) * 100, 2))"),99.41)</f>
        <v>99.41</v>
      </c>
      <c r="K685" s="2"/>
      <c r="L685" s="48"/>
      <c r="M685" s="48"/>
      <c r="N685" s="48"/>
      <c r="O685" s="48" t="str">
        <f t="shared" si="2"/>
        <v/>
      </c>
      <c r="P685" s="48" t="str">
        <f t="shared" si="3"/>
        <v/>
      </c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</row>
    <row r="686">
      <c r="A686" s="63">
        <v>45.0</v>
      </c>
      <c r="B686" s="63">
        <v>60.0</v>
      </c>
      <c r="C686" s="64" t="s">
        <v>183</v>
      </c>
      <c r="D686" s="64" t="s">
        <v>184</v>
      </c>
      <c r="E686" s="64" t="s">
        <v>185</v>
      </c>
      <c r="F686" s="63">
        <v>7500.0</v>
      </c>
      <c r="G686" s="63">
        <v>27.5</v>
      </c>
      <c r="H686" s="66">
        <f t="shared" si="1"/>
        <v>287.98</v>
      </c>
      <c r="I686" s="81">
        <f>IFERROR(__xludf.DUMMYFUNCTION("IF(G686="""", """", ROUND(G686 / MAX(FILTER($G$2:$G5067, $D$2:$D5067=$D686)) * 100, 2))"),70.15)</f>
        <v>70.15</v>
      </c>
      <c r="J686" s="81">
        <f>IFERROR(__xludf.DUMMYFUNCTION("IF(H686="""", """", ROUND(H686 / MAX(FILTER($H$2:$H5067, $D$2:$D5067=$D686)) * 100, 2))"),95.91)</f>
        <v>95.91</v>
      </c>
      <c r="K686" s="2"/>
      <c r="L686" s="49"/>
      <c r="M686" s="49"/>
      <c r="N686" s="49"/>
      <c r="O686" s="49" t="str">
        <f t="shared" si="2"/>
        <v/>
      </c>
      <c r="P686" s="49" t="str">
        <f t="shared" si="3"/>
        <v/>
      </c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</row>
    <row r="687">
      <c r="A687" s="69">
        <v>45.0</v>
      </c>
      <c r="B687" s="69">
        <v>60.0</v>
      </c>
      <c r="C687" s="86" t="s">
        <v>183</v>
      </c>
      <c r="D687" s="86" t="s">
        <v>184</v>
      </c>
      <c r="E687" s="86" t="s">
        <v>185</v>
      </c>
      <c r="F687" s="69">
        <v>8000.0</v>
      </c>
      <c r="G687" s="69">
        <v>23.7</v>
      </c>
      <c r="H687" s="68">
        <f t="shared" si="1"/>
        <v>264.73</v>
      </c>
      <c r="I687" s="81">
        <f>IFERROR(__xludf.DUMMYFUNCTION("IF(G687="""", """", ROUND(G687 / MAX(FILTER($G$2:$G5067, $D$2:$D5067=$D687)) * 100, 2))"),60.46)</f>
        <v>60.46</v>
      </c>
      <c r="J687" s="81">
        <f>IFERROR(__xludf.DUMMYFUNCTION("IF(H687="""", """", ROUND(H687 / MAX(FILTER($H$2:$H5067, $D$2:$D5067=$D687)) * 100, 2))"),88.17)</f>
        <v>88.17</v>
      </c>
      <c r="K687" s="2"/>
      <c r="L687" s="48"/>
      <c r="M687" s="48"/>
      <c r="N687" s="48"/>
      <c r="O687" s="48" t="str">
        <f t="shared" si="2"/>
        <v/>
      </c>
      <c r="P687" s="48" t="str">
        <f t="shared" si="3"/>
        <v/>
      </c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</row>
    <row r="688">
      <c r="A688" s="63">
        <v>46.0</v>
      </c>
      <c r="B688" s="63">
        <v>61.0</v>
      </c>
      <c r="C688" s="64" t="s">
        <v>186</v>
      </c>
      <c r="D688" s="64" t="s">
        <v>187</v>
      </c>
      <c r="E688" s="64" t="s">
        <v>188</v>
      </c>
      <c r="F688" s="63">
        <v>500.0</v>
      </c>
      <c r="G688" s="63">
        <v>4.55</v>
      </c>
      <c r="H688" s="66">
        <f t="shared" si="1"/>
        <v>3.18</v>
      </c>
      <c r="I688" s="81">
        <f>IFERROR(__xludf.DUMMYFUNCTION("IF(G688="""", """", ROUND(G688 / MAX(FILTER($G$2:$G5067, $D$2:$D5067=$D688)) * 100, 2))"),35.0)</f>
        <v>35</v>
      </c>
      <c r="J688" s="81">
        <f>IFERROR(__xludf.DUMMYFUNCTION("IF(H688="""", """", ROUND(H688 / MAX(FILTER($H$2:$H5067, $D$2:$D5067=$D688)) * 100, 2))"),2.64)</f>
        <v>2.64</v>
      </c>
      <c r="K688" s="2"/>
      <c r="L688" s="49"/>
      <c r="M688" s="49"/>
      <c r="N688" s="49"/>
      <c r="O688" s="49" t="str">
        <f t="shared" si="2"/>
        <v/>
      </c>
      <c r="P688" s="49" t="str">
        <f t="shared" si="3"/>
        <v/>
      </c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</row>
    <row r="689">
      <c r="A689" s="69">
        <v>46.0</v>
      </c>
      <c r="B689" s="69">
        <v>61.0</v>
      </c>
      <c r="C689" s="86" t="s">
        <v>186</v>
      </c>
      <c r="D689" s="86" t="s">
        <v>187</v>
      </c>
      <c r="E689" s="86" t="s">
        <v>188</v>
      </c>
      <c r="F689" s="69">
        <v>1000.0</v>
      </c>
      <c r="G689" s="69">
        <v>5.3</v>
      </c>
      <c r="H689" s="68">
        <f t="shared" si="1"/>
        <v>7.4</v>
      </c>
      <c r="I689" s="81">
        <f>IFERROR(__xludf.DUMMYFUNCTION("IF(G689="""", """", ROUND(G689 / MAX(FILTER($G$2:$G5067, $D$2:$D5067=$D689)) * 100, 2))"),40.77)</f>
        <v>40.77</v>
      </c>
      <c r="J689" s="81">
        <f>IFERROR(__xludf.DUMMYFUNCTION("IF(H689="""", """", ROUND(H689 / MAX(FILTER($H$2:$H5067, $D$2:$D5067=$D689)) * 100, 2))"),6.13)</f>
        <v>6.13</v>
      </c>
      <c r="K689" s="2"/>
      <c r="L689" s="48"/>
      <c r="M689" s="48"/>
      <c r="N689" s="48"/>
      <c r="O689" s="48" t="str">
        <f t="shared" si="2"/>
        <v/>
      </c>
      <c r="P689" s="48" t="str">
        <f t="shared" si="3"/>
        <v/>
      </c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</row>
    <row r="690">
      <c r="A690" s="63">
        <v>46.0</v>
      </c>
      <c r="B690" s="63">
        <v>61.0</v>
      </c>
      <c r="C690" s="64" t="s">
        <v>186</v>
      </c>
      <c r="D690" s="64" t="s">
        <v>187</v>
      </c>
      <c r="E690" s="64" t="s">
        <v>188</v>
      </c>
      <c r="F690" s="63">
        <v>1500.0</v>
      </c>
      <c r="G690" s="63">
        <v>5.7</v>
      </c>
      <c r="H690" s="66">
        <f t="shared" si="1"/>
        <v>11.94</v>
      </c>
      <c r="I690" s="81">
        <f>IFERROR(__xludf.DUMMYFUNCTION("IF(G690="""", """", ROUND(G690 / MAX(FILTER($G$2:$G5067, $D$2:$D5067=$D690)) * 100, 2))"),43.85)</f>
        <v>43.85</v>
      </c>
      <c r="J690" s="81">
        <f>IFERROR(__xludf.DUMMYFUNCTION("IF(H690="""", """", ROUND(H690 / MAX(FILTER($H$2:$H5067, $D$2:$D5067=$D690)) * 100, 2))"),9.9)</f>
        <v>9.9</v>
      </c>
      <c r="K690" s="2"/>
      <c r="L690" s="49"/>
      <c r="M690" s="49"/>
      <c r="N690" s="49"/>
      <c r="O690" s="49" t="str">
        <f t="shared" si="2"/>
        <v/>
      </c>
      <c r="P690" s="49" t="str">
        <f t="shared" si="3"/>
        <v/>
      </c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</row>
    <row r="691">
      <c r="A691" s="69">
        <v>46.0</v>
      </c>
      <c r="B691" s="69">
        <v>61.0</v>
      </c>
      <c r="C691" s="86" t="s">
        <v>186</v>
      </c>
      <c r="D691" s="86" t="s">
        <v>187</v>
      </c>
      <c r="E691" s="86" t="s">
        <v>188</v>
      </c>
      <c r="F691" s="69">
        <v>2000.0</v>
      </c>
      <c r="G691" s="69">
        <v>6.25</v>
      </c>
      <c r="H691" s="68">
        <f t="shared" si="1"/>
        <v>17.45</v>
      </c>
      <c r="I691" s="81">
        <f>IFERROR(__xludf.DUMMYFUNCTION("IF(G691="""", """", ROUND(G691 / MAX(FILTER($G$2:$G5067, $D$2:$D5067=$D691)) * 100, 2))"),48.08)</f>
        <v>48.08</v>
      </c>
      <c r="J691" s="81">
        <f>IFERROR(__xludf.DUMMYFUNCTION("IF(H691="""", """", ROUND(H691 / MAX(FILTER($H$2:$H5067, $D$2:$D5067=$D691)) * 100, 2))"),14.46)</f>
        <v>14.46</v>
      </c>
      <c r="K691" s="2"/>
      <c r="L691" s="48"/>
      <c r="M691" s="48"/>
      <c r="N691" s="48"/>
      <c r="O691" s="48" t="str">
        <f t="shared" si="2"/>
        <v/>
      </c>
      <c r="P691" s="48" t="str">
        <f t="shared" si="3"/>
        <v/>
      </c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</row>
    <row r="692">
      <c r="A692" s="63">
        <v>46.0</v>
      </c>
      <c r="B692" s="63">
        <v>61.0</v>
      </c>
      <c r="C692" s="64" t="s">
        <v>186</v>
      </c>
      <c r="D692" s="64" t="s">
        <v>187</v>
      </c>
      <c r="E692" s="64" t="s">
        <v>188</v>
      </c>
      <c r="F692" s="63">
        <v>2500.0</v>
      </c>
      <c r="G692" s="63">
        <v>6.7</v>
      </c>
      <c r="H692" s="66">
        <f t="shared" si="1"/>
        <v>23.39</v>
      </c>
      <c r="I692" s="81">
        <f>IFERROR(__xludf.DUMMYFUNCTION("IF(G692="""", """", ROUND(G692 / MAX(FILTER($G$2:$G5067, $D$2:$D5067=$D692)) * 100, 2))"),51.54)</f>
        <v>51.54</v>
      </c>
      <c r="J692" s="81">
        <f>IFERROR(__xludf.DUMMYFUNCTION("IF(H692="""", """", ROUND(H692 / MAX(FILTER($H$2:$H5067, $D$2:$D5067=$D692)) * 100, 2))"),19.39)</f>
        <v>19.39</v>
      </c>
      <c r="K692" s="2"/>
      <c r="L692" s="49"/>
      <c r="M692" s="49"/>
      <c r="N692" s="49"/>
      <c r="O692" s="49" t="str">
        <f t="shared" si="2"/>
        <v/>
      </c>
      <c r="P692" s="49" t="str">
        <f t="shared" si="3"/>
        <v/>
      </c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</row>
    <row r="693">
      <c r="A693" s="69">
        <v>46.0</v>
      </c>
      <c r="B693" s="69">
        <v>61.0</v>
      </c>
      <c r="C693" s="86" t="s">
        <v>186</v>
      </c>
      <c r="D693" s="86" t="s">
        <v>187</v>
      </c>
      <c r="E693" s="86" t="s">
        <v>188</v>
      </c>
      <c r="F693" s="69">
        <v>3000.0</v>
      </c>
      <c r="G693" s="69">
        <v>7.55</v>
      </c>
      <c r="H693" s="68">
        <f t="shared" si="1"/>
        <v>31.63</v>
      </c>
      <c r="I693" s="81">
        <f>IFERROR(__xludf.DUMMYFUNCTION("IF(G693="""", """", ROUND(G693 / MAX(FILTER($G$2:$G5067, $D$2:$D5067=$D693)) * 100, 2))"),58.08)</f>
        <v>58.08</v>
      </c>
      <c r="J693" s="81">
        <f>IFERROR(__xludf.DUMMYFUNCTION("IF(H693="""", """", ROUND(H693 / MAX(FILTER($H$2:$H5067, $D$2:$D5067=$D693)) * 100, 2))"),26.22)</f>
        <v>26.22</v>
      </c>
      <c r="K693" s="2"/>
      <c r="L693" s="48"/>
      <c r="M693" s="48"/>
      <c r="N693" s="48"/>
      <c r="O693" s="48" t="str">
        <f t="shared" si="2"/>
        <v/>
      </c>
      <c r="P693" s="48" t="str">
        <f t="shared" si="3"/>
        <v/>
      </c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</row>
    <row r="694">
      <c r="A694" s="63">
        <v>46.0</v>
      </c>
      <c r="B694" s="63">
        <v>61.0</v>
      </c>
      <c r="C694" s="64" t="s">
        <v>186</v>
      </c>
      <c r="D694" s="64" t="s">
        <v>187</v>
      </c>
      <c r="E694" s="64" t="s">
        <v>188</v>
      </c>
      <c r="F694" s="63">
        <v>3500.0</v>
      </c>
      <c r="G694" s="63">
        <v>9.8</v>
      </c>
      <c r="H694" s="66">
        <f t="shared" si="1"/>
        <v>47.89</v>
      </c>
      <c r="I694" s="81">
        <f>IFERROR(__xludf.DUMMYFUNCTION("IF(G694="""", """", ROUND(G694 / MAX(FILTER($G$2:$G5067, $D$2:$D5067=$D694)) * 100, 2))"),75.38)</f>
        <v>75.38</v>
      </c>
      <c r="J694" s="81">
        <f>IFERROR(__xludf.DUMMYFUNCTION("IF(H694="""", """", ROUND(H694 / MAX(FILTER($H$2:$H5067, $D$2:$D5067=$D694)) * 100, 2))"),39.7)</f>
        <v>39.7</v>
      </c>
      <c r="K694" s="2"/>
      <c r="L694" s="49"/>
      <c r="M694" s="49"/>
      <c r="N694" s="49"/>
      <c r="O694" s="49" t="str">
        <f t="shared" si="2"/>
        <v/>
      </c>
      <c r="P694" s="49" t="str">
        <f t="shared" si="3"/>
        <v/>
      </c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</row>
    <row r="695">
      <c r="A695" s="69">
        <v>46.0</v>
      </c>
      <c r="B695" s="69">
        <v>61.0</v>
      </c>
      <c r="C695" s="86" t="s">
        <v>186</v>
      </c>
      <c r="D695" s="86" t="s">
        <v>187</v>
      </c>
      <c r="E695" s="86" t="s">
        <v>188</v>
      </c>
      <c r="F695" s="69">
        <v>4000.0</v>
      </c>
      <c r="G695" s="69">
        <v>11.9</v>
      </c>
      <c r="H695" s="68">
        <f t="shared" si="1"/>
        <v>66.46</v>
      </c>
      <c r="I695" s="81">
        <f>IFERROR(__xludf.DUMMYFUNCTION("IF(G695="""", """", ROUND(G695 / MAX(FILTER($G$2:$G5067, $D$2:$D5067=$D695)) * 100, 2))"),91.54)</f>
        <v>91.54</v>
      </c>
      <c r="J695" s="81">
        <f>IFERROR(__xludf.DUMMYFUNCTION("IF(H695="""", """", ROUND(H695 / MAX(FILTER($H$2:$H5067, $D$2:$D5067=$D695)) * 100, 2))"),55.09)</f>
        <v>55.09</v>
      </c>
      <c r="K695" s="2"/>
      <c r="L695" s="48"/>
      <c r="M695" s="48"/>
      <c r="N695" s="48"/>
      <c r="O695" s="48" t="str">
        <f t="shared" si="2"/>
        <v/>
      </c>
      <c r="P695" s="48" t="str">
        <f t="shared" si="3"/>
        <v/>
      </c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</row>
    <row r="696">
      <c r="A696" s="63">
        <v>46.0</v>
      </c>
      <c r="B696" s="63">
        <v>61.0</v>
      </c>
      <c r="C696" s="64" t="s">
        <v>186</v>
      </c>
      <c r="D696" s="64" t="s">
        <v>187</v>
      </c>
      <c r="E696" s="64" t="s">
        <v>188</v>
      </c>
      <c r="F696" s="63">
        <v>4200.0</v>
      </c>
      <c r="G696" s="63">
        <v>12.65</v>
      </c>
      <c r="H696" s="66">
        <f t="shared" si="1"/>
        <v>74.18</v>
      </c>
      <c r="I696" s="81">
        <f>IFERROR(__xludf.DUMMYFUNCTION("IF(G696="""", """", ROUND(G696 / MAX(FILTER($G$2:$G5067, $D$2:$D5067=$D696)) * 100, 2))"),97.31)</f>
        <v>97.31</v>
      </c>
      <c r="J696" s="81">
        <f>IFERROR(__xludf.DUMMYFUNCTION("IF(H696="""", """", ROUND(H696 / MAX(FILTER($H$2:$H5067, $D$2:$D5067=$D696)) * 100, 2))"),61.49)</f>
        <v>61.49</v>
      </c>
      <c r="K696" s="2"/>
      <c r="L696" s="49"/>
      <c r="M696" s="49"/>
      <c r="N696" s="49"/>
      <c r="O696" s="49" t="str">
        <f t="shared" si="2"/>
        <v/>
      </c>
      <c r="P696" s="49" t="str">
        <f t="shared" si="3"/>
        <v/>
      </c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</row>
    <row r="697">
      <c r="A697" s="69">
        <v>46.0</v>
      </c>
      <c r="B697" s="69">
        <v>61.0</v>
      </c>
      <c r="C697" s="86" t="s">
        <v>186</v>
      </c>
      <c r="D697" s="86" t="s">
        <v>187</v>
      </c>
      <c r="E697" s="86" t="s">
        <v>188</v>
      </c>
      <c r="F697" s="69">
        <v>4800.0</v>
      </c>
      <c r="G697" s="69">
        <v>13.0</v>
      </c>
      <c r="H697" s="68">
        <f t="shared" si="1"/>
        <v>87.13</v>
      </c>
      <c r="I697" s="81">
        <f>IFERROR(__xludf.DUMMYFUNCTION("IF(G697="""", """", ROUND(G697 / MAX(FILTER($G$2:$G5067, $D$2:$D5067=$D697)) * 100, 2))"),100.0)</f>
        <v>100</v>
      </c>
      <c r="J697" s="81">
        <f>IFERROR(__xludf.DUMMYFUNCTION("IF(H697="""", """", ROUND(H697 / MAX(FILTER($H$2:$H5067, $D$2:$D5067=$D697)) * 100, 2))"),72.22)</f>
        <v>72.22</v>
      </c>
      <c r="K697" s="2"/>
      <c r="L697" s="48"/>
      <c r="M697" s="48"/>
      <c r="N697" s="48"/>
      <c r="O697" s="48" t="str">
        <f t="shared" si="2"/>
        <v/>
      </c>
      <c r="P697" s="48" t="str">
        <f t="shared" si="3"/>
        <v/>
      </c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</row>
    <row r="698">
      <c r="A698" s="63">
        <v>46.0</v>
      </c>
      <c r="B698" s="63">
        <v>61.0</v>
      </c>
      <c r="C698" s="64" t="s">
        <v>186</v>
      </c>
      <c r="D698" s="64" t="s">
        <v>187</v>
      </c>
      <c r="E698" s="64" t="s">
        <v>188</v>
      </c>
      <c r="F698" s="63">
        <v>5500.0</v>
      </c>
      <c r="G698" s="63">
        <v>12.85</v>
      </c>
      <c r="H698" s="66">
        <f t="shared" si="1"/>
        <v>98.68</v>
      </c>
      <c r="I698" s="81">
        <f>IFERROR(__xludf.DUMMYFUNCTION("IF(G698="""", """", ROUND(G698 / MAX(FILTER($G$2:$G5067, $D$2:$D5067=$D698)) * 100, 2))"),98.85)</f>
        <v>98.85</v>
      </c>
      <c r="J698" s="81">
        <f>IFERROR(__xludf.DUMMYFUNCTION("IF(H698="""", """", ROUND(H698 / MAX(FILTER($H$2:$H5067, $D$2:$D5067=$D698)) * 100, 2))"),81.8)</f>
        <v>81.8</v>
      </c>
      <c r="K698" s="2"/>
      <c r="L698" s="49"/>
      <c r="M698" s="49"/>
      <c r="N698" s="49"/>
      <c r="O698" s="49" t="str">
        <f t="shared" si="2"/>
        <v/>
      </c>
      <c r="P698" s="49" t="str">
        <f t="shared" si="3"/>
        <v/>
      </c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</row>
    <row r="699">
      <c r="A699" s="69">
        <v>46.0</v>
      </c>
      <c r="B699" s="69">
        <v>61.0</v>
      </c>
      <c r="C699" s="86" t="s">
        <v>186</v>
      </c>
      <c r="D699" s="86" t="s">
        <v>187</v>
      </c>
      <c r="E699" s="86" t="s">
        <v>188</v>
      </c>
      <c r="F699" s="69">
        <v>6000.0</v>
      </c>
      <c r="G699" s="69">
        <v>12.65</v>
      </c>
      <c r="H699" s="68">
        <f t="shared" si="1"/>
        <v>105.98</v>
      </c>
      <c r="I699" s="81">
        <f>IFERROR(__xludf.DUMMYFUNCTION("IF(G699="""", """", ROUND(G699 / MAX(FILTER($G$2:$G5067, $D$2:$D5067=$D699)) * 100, 2))"),97.31)</f>
        <v>97.31</v>
      </c>
      <c r="J699" s="81">
        <f>IFERROR(__xludf.DUMMYFUNCTION("IF(H699="""", """", ROUND(H699 / MAX(FILTER($H$2:$H5067, $D$2:$D5067=$D699)) * 100, 2))"),87.85)</f>
        <v>87.85</v>
      </c>
      <c r="K699" s="2"/>
      <c r="L699" s="48"/>
      <c r="M699" s="48"/>
      <c r="N699" s="48"/>
      <c r="O699" s="48" t="str">
        <f t="shared" si="2"/>
        <v/>
      </c>
      <c r="P699" s="48" t="str">
        <f t="shared" si="3"/>
        <v/>
      </c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</row>
    <row r="700">
      <c r="A700" s="63">
        <v>46.0</v>
      </c>
      <c r="B700" s="63">
        <v>61.0</v>
      </c>
      <c r="C700" s="64" t="s">
        <v>186</v>
      </c>
      <c r="D700" s="64" t="s">
        <v>187</v>
      </c>
      <c r="E700" s="64" t="s">
        <v>188</v>
      </c>
      <c r="F700" s="63">
        <v>6800.0</v>
      </c>
      <c r="G700" s="63">
        <v>12.3</v>
      </c>
      <c r="H700" s="66">
        <f t="shared" si="1"/>
        <v>116.78</v>
      </c>
      <c r="I700" s="81">
        <f>IFERROR(__xludf.DUMMYFUNCTION("IF(G700="""", """", ROUND(G700 / MAX(FILTER($G$2:$G5067, $D$2:$D5067=$D700)) * 100, 2))"),94.62)</f>
        <v>94.62</v>
      </c>
      <c r="J700" s="81">
        <f>IFERROR(__xludf.DUMMYFUNCTION("IF(H700="""", """", ROUND(H700 / MAX(FILTER($H$2:$H5067, $D$2:$D5067=$D700)) * 100, 2))"),96.8)</f>
        <v>96.8</v>
      </c>
      <c r="K700" s="2"/>
      <c r="L700" s="49"/>
      <c r="M700" s="49"/>
      <c r="N700" s="49"/>
      <c r="O700" s="49" t="str">
        <f t="shared" si="2"/>
        <v/>
      </c>
      <c r="P700" s="49" t="str">
        <f t="shared" si="3"/>
        <v/>
      </c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</row>
    <row r="701">
      <c r="A701" s="69">
        <v>46.0</v>
      </c>
      <c r="B701" s="69">
        <v>61.0</v>
      </c>
      <c r="C701" s="86" t="s">
        <v>186</v>
      </c>
      <c r="D701" s="86" t="s">
        <v>187</v>
      </c>
      <c r="E701" s="86" t="s">
        <v>188</v>
      </c>
      <c r="F701" s="69">
        <v>7200.0</v>
      </c>
      <c r="G701" s="69">
        <v>12.0</v>
      </c>
      <c r="H701" s="68">
        <f t="shared" si="1"/>
        <v>120.64</v>
      </c>
      <c r="I701" s="81">
        <f>IFERROR(__xludf.DUMMYFUNCTION("IF(G701="""", """", ROUND(G701 / MAX(FILTER($G$2:$G5067, $D$2:$D5067=$D701)) * 100, 2))"),92.31)</f>
        <v>92.31</v>
      </c>
      <c r="J701" s="81">
        <f>IFERROR(__xludf.DUMMYFUNCTION("IF(H701="""", """", ROUND(H701 / MAX(FILTER($H$2:$H5067, $D$2:$D5067=$D701)) * 100, 2))"),100.0)</f>
        <v>100</v>
      </c>
      <c r="K701" s="2"/>
      <c r="L701" s="48"/>
      <c r="M701" s="48"/>
      <c r="N701" s="48"/>
      <c r="O701" s="48" t="str">
        <f t="shared" si="2"/>
        <v/>
      </c>
      <c r="P701" s="48" t="str">
        <f t="shared" si="3"/>
        <v/>
      </c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</row>
    <row r="702">
      <c r="A702" s="63">
        <v>46.0</v>
      </c>
      <c r="B702" s="63">
        <v>61.0</v>
      </c>
      <c r="C702" s="64" t="s">
        <v>186</v>
      </c>
      <c r="D702" s="64" t="s">
        <v>187</v>
      </c>
      <c r="E702" s="64" t="s">
        <v>188</v>
      </c>
      <c r="F702" s="63">
        <v>7500.0</v>
      </c>
      <c r="G702" s="63">
        <v>11.4</v>
      </c>
      <c r="H702" s="66">
        <f t="shared" si="1"/>
        <v>119.38</v>
      </c>
      <c r="I702" s="81">
        <f>IFERROR(__xludf.DUMMYFUNCTION("IF(G702="""", """", ROUND(G702 / MAX(FILTER($G$2:$G5067, $D$2:$D5067=$D702)) * 100, 2))"),87.69)</f>
        <v>87.69</v>
      </c>
      <c r="J702" s="81">
        <f>IFERROR(__xludf.DUMMYFUNCTION("IF(H702="""", """", ROUND(H702 / MAX(FILTER($H$2:$H5067, $D$2:$D5067=$D702)) * 100, 2))"),98.96)</f>
        <v>98.96</v>
      </c>
      <c r="K702" s="2"/>
      <c r="L702" s="49"/>
      <c r="M702" s="49"/>
      <c r="N702" s="49"/>
      <c r="O702" s="49" t="str">
        <f t="shared" si="2"/>
        <v/>
      </c>
      <c r="P702" s="49" t="str">
        <f t="shared" si="3"/>
        <v/>
      </c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</row>
    <row r="703">
      <c r="A703" s="69">
        <v>46.0</v>
      </c>
      <c r="B703" s="69">
        <v>61.0</v>
      </c>
      <c r="C703" s="86" t="s">
        <v>186</v>
      </c>
      <c r="D703" s="86" t="s">
        <v>187</v>
      </c>
      <c r="E703" s="86" t="s">
        <v>188</v>
      </c>
      <c r="F703" s="69">
        <v>8000.0</v>
      </c>
      <c r="G703" s="69">
        <v>10.1</v>
      </c>
      <c r="H703" s="68">
        <f t="shared" si="1"/>
        <v>112.82</v>
      </c>
      <c r="I703" s="81">
        <f>IFERROR(__xludf.DUMMYFUNCTION("IF(G703="""", """", ROUND(G703 / MAX(FILTER($G$2:$G5067, $D$2:$D5067=$D703)) * 100, 2))"),77.69)</f>
        <v>77.69</v>
      </c>
      <c r="J703" s="81">
        <f>IFERROR(__xludf.DUMMYFUNCTION("IF(H703="""", """", ROUND(H703 / MAX(FILTER($H$2:$H5067, $D$2:$D5067=$D703)) * 100, 2))"),93.52)</f>
        <v>93.52</v>
      </c>
      <c r="K703" s="2"/>
      <c r="L703" s="48"/>
      <c r="M703" s="48"/>
      <c r="N703" s="48"/>
      <c r="O703" s="48" t="str">
        <f t="shared" si="2"/>
        <v/>
      </c>
      <c r="P703" s="48" t="str">
        <f t="shared" si="3"/>
        <v/>
      </c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</row>
    <row r="704">
      <c r="A704" s="63">
        <v>46.0</v>
      </c>
      <c r="B704" s="63">
        <v>61.0</v>
      </c>
      <c r="C704" s="64" t="s">
        <v>186</v>
      </c>
      <c r="D704" s="64" t="s">
        <v>187</v>
      </c>
      <c r="E704" s="64" t="s">
        <v>188</v>
      </c>
      <c r="F704" s="63">
        <v>8500.0</v>
      </c>
      <c r="G704" s="63">
        <v>8.55</v>
      </c>
      <c r="H704" s="66">
        <f t="shared" si="1"/>
        <v>101.47</v>
      </c>
      <c r="I704" s="81">
        <f>IFERROR(__xludf.DUMMYFUNCTION("IF(G704="""", """", ROUND(G704 / MAX(FILTER($G$2:$G5067, $D$2:$D5067=$D704)) * 100, 2))"),65.77)</f>
        <v>65.77</v>
      </c>
      <c r="J704" s="81">
        <f>IFERROR(__xludf.DUMMYFUNCTION("IF(H704="""", """", ROUND(H704 / MAX(FILTER($H$2:$H5067, $D$2:$D5067=$D704)) * 100, 2))"),84.11)</f>
        <v>84.11</v>
      </c>
      <c r="K704" s="2"/>
      <c r="L704" s="49"/>
      <c r="M704" s="49"/>
      <c r="N704" s="49"/>
      <c r="O704" s="49" t="str">
        <f t="shared" si="2"/>
        <v/>
      </c>
      <c r="P704" s="49" t="str">
        <f t="shared" si="3"/>
        <v/>
      </c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</row>
    <row r="705">
      <c r="A705" s="69">
        <v>46.0</v>
      </c>
      <c r="B705" s="69">
        <v>61.0</v>
      </c>
      <c r="C705" s="86" t="s">
        <v>186</v>
      </c>
      <c r="D705" s="86" t="s">
        <v>187</v>
      </c>
      <c r="E705" s="86" t="s">
        <v>188</v>
      </c>
      <c r="F705" s="69">
        <v>9000.0</v>
      </c>
      <c r="G705" s="69">
        <v>7.0</v>
      </c>
      <c r="H705" s="68">
        <f t="shared" si="1"/>
        <v>87.96</v>
      </c>
      <c r="I705" s="81">
        <f>IFERROR(__xludf.DUMMYFUNCTION("IF(G705="""", """", ROUND(G705 / MAX(FILTER($G$2:$G5067, $D$2:$D5067=$D705)) * 100, 2))"),53.85)</f>
        <v>53.85</v>
      </c>
      <c r="J705" s="81">
        <f>IFERROR(__xludf.DUMMYFUNCTION("IF(H705="""", """", ROUND(H705 / MAX(FILTER($H$2:$H5067, $D$2:$D5067=$D705)) * 100, 2))"),72.91)</f>
        <v>72.91</v>
      </c>
      <c r="K705" s="2"/>
      <c r="L705" s="48"/>
      <c r="M705" s="48"/>
      <c r="N705" s="48"/>
      <c r="O705" s="48" t="str">
        <f t="shared" si="2"/>
        <v/>
      </c>
      <c r="P705" s="48" t="str">
        <f t="shared" si="3"/>
        <v/>
      </c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</row>
    <row r="706">
      <c r="A706" s="63">
        <v>47.0</v>
      </c>
      <c r="B706" s="63">
        <v>63.0</v>
      </c>
      <c r="C706" s="64" t="s">
        <v>189</v>
      </c>
      <c r="D706" s="64" t="s">
        <v>190</v>
      </c>
      <c r="E706" s="64" t="s">
        <v>191</v>
      </c>
      <c r="F706" s="63">
        <v>500.0</v>
      </c>
      <c r="G706" s="63">
        <v>36.75</v>
      </c>
      <c r="H706" s="66">
        <f t="shared" si="1"/>
        <v>25.66</v>
      </c>
      <c r="I706" s="81">
        <f>IFERROR(__xludf.DUMMYFUNCTION("IF(G706="""", """", ROUND(G706 / MAX(FILTER($G$2:$G5067, $D$2:$D5067=$D706)) * 100, 2))"),79.03)</f>
        <v>79.03</v>
      </c>
      <c r="J706" s="81">
        <f>IFERROR(__xludf.DUMMYFUNCTION("IF(H706="""", """", ROUND(H706 / MAX(FILTER($H$2:$H5067, $D$2:$D5067=$D706)) * 100, 2))"),8.72)</f>
        <v>8.72</v>
      </c>
      <c r="K706" s="2"/>
      <c r="L706" s="49"/>
      <c r="M706" s="49"/>
      <c r="N706" s="49"/>
      <c r="O706" s="49" t="str">
        <f t="shared" si="2"/>
        <v/>
      </c>
      <c r="P706" s="49" t="str">
        <f t="shared" si="3"/>
        <v/>
      </c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</row>
    <row r="707">
      <c r="A707" s="69">
        <v>47.0</v>
      </c>
      <c r="B707" s="69">
        <v>63.0</v>
      </c>
      <c r="C707" s="86" t="s">
        <v>189</v>
      </c>
      <c r="D707" s="86" t="s">
        <v>190</v>
      </c>
      <c r="E707" s="86" t="s">
        <v>191</v>
      </c>
      <c r="F707" s="69">
        <v>1000.0</v>
      </c>
      <c r="G707" s="69">
        <v>41.38</v>
      </c>
      <c r="H707" s="68">
        <f t="shared" si="1"/>
        <v>57.78</v>
      </c>
      <c r="I707" s="81">
        <f>IFERROR(__xludf.DUMMYFUNCTION("IF(G707="""", """", ROUND(G707 / MAX(FILTER($G$2:$G5067, $D$2:$D5067=$D707)) * 100, 2))"),88.99)</f>
        <v>88.99</v>
      </c>
      <c r="J707" s="81">
        <f>IFERROR(__xludf.DUMMYFUNCTION("IF(H707="""", """", ROUND(H707 / MAX(FILTER($H$2:$H5067, $D$2:$D5067=$D707)) * 100, 2))"),19.65)</f>
        <v>19.65</v>
      </c>
      <c r="K707" s="2"/>
      <c r="L707" s="48"/>
      <c r="M707" s="48"/>
      <c r="N707" s="48"/>
      <c r="O707" s="48" t="str">
        <f t="shared" si="2"/>
        <v/>
      </c>
      <c r="P707" s="48" t="str">
        <f t="shared" si="3"/>
        <v/>
      </c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</row>
    <row r="708">
      <c r="A708" s="63">
        <v>47.0</v>
      </c>
      <c r="B708" s="63">
        <v>63.0</v>
      </c>
      <c r="C708" s="64" t="s">
        <v>189</v>
      </c>
      <c r="D708" s="64" t="s">
        <v>190</v>
      </c>
      <c r="E708" s="64" t="s">
        <v>191</v>
      </c>
      <c r="F708" s="63">
        <v>1500.0</v>
      </c>
      <c r="G708" s="63">
        <v>43.75</v>
      </c>
      <c r="H708" s="66">
        <f t="shared" si="1"/>
        <v>91.63</v>
      </c>
      <c r="I708" s="81">
        <f>IFERROR(__xludf.DUMMYFUNCTION("IF(G708="""", """", ROUND(G708 / MAX(FILTER($G$2:$G5067, $D$2:$D5067=$D708)) * 100, 2))"),94.09)</f>
        <v>94.09</v>
      </c>
      <c r="J708" s="81">
        <f>IFERROR(__xludf.DUMMYFUNCTION("IF(H708="""", """", ROUND(H708 / MAX(FILTER($H$2:$H5067, $D$2:$D5067=$D708)) * 100, 2))"),31.15)</f>
        <v>31.15</v>
      </c>
      <c r="K708" s="2"/>
      <c r="L708" s="49"/>
      <c r="M708" s="49"/>
      <c r="N708" s="49"/>
      <c r="O708" s="49" t="str">
        <f t="shared" si="2"/>
        <v/>
      </c>
      <c r="P708" s="49" t="str">
        <f t="shared" si="3"/>
        <v/>
      </c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</row>
    <row r="709">
      <c r="A709" s="69">
        <v>47.0</v>
      </c>
      <c r="B709" s="69">
        <v>63.0</v>
      </c>
      <c r="C709" s="86" t="s">
        <v>189</v>
      </c>
      <c r="D709" s="86" t="s">
        <v>190</v>
      </c>
      <c r="E709" s="86" t="s">
        <v>191</v>
      </c>
      <c r="F709" s="69">
        <v>2300.0</v>
      </c>
      <c r="G709" s="69">
        <v>45.75</v>
      </c>
      <c r="H709" s="68">
        <f t="shared" si="1"/>
        <v>146.92</v>
      </c>
      <c r="I709" s="81">
        <f>IFERROR(__xludf.DUMMYFUNCTION("IF(G709="""", """", ROUND(G709 / MAX(FILTER($G$2:$G5067, $D$2:$D5067=$D709)) * 100, 2))"),98.39)</f>
        <v>98.39</v>
      </c>
      <c r="J709" s="81">
        <f>IFERROR(__xludf.DUMMYFUNCTION("IF(H709="""", """", ROUND(H709 / MAX(FILTER($H$2:$H5067, $D$2:$D5067=$D709)) * 100, 2))"),49.95)</f>
        <v>49.95</v>
      </c>
      <c r="K709" s="2"/>
      <c r="L709" s="48"/>
      <c r="M709" s="48"/>
      <c r="N709" s="48"/>
      <c r="O709" s="48" t="str">
        <f t="shared" si="2"/>
        <v/>
      </c>
      <c r="P709" s="48" t="str">
        <f t="shared" si="3"/>
        <v/>
      </c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</row>
    <row r="710">
      <c r="A710" s="63">
        <v>47.0</v>
      </c>
      <c r="B710" s="63">
        <v>63.0</v>
      </c>
      <c r="C710" s="64" t="s">
        <v>189</v>
      </c>
      <c r="D710" s="64" t="s">
        <v>190</v>
      </c>
      <c r="E710" s="64" t="s">
        <v>191</v>
      </c>
      <c r="F710" s="63">
        <v>2800.0</v>
      </c>
      <c r="G710" s="63">
        <v>46.5</v>
      </c>
      <c r="H710" s="66">
        <f t="shared" si="1"/>
        <v>181.79</v>
      </c>
      <c r="I710" s="81">
        <f>IFERROR(__xludf.DUMMYFUNCTION("IF(G710="""", """", ROUND(G710 / MAX(FILTER($G$2:$G5067, $D$2:$D5067=$D710)) * 100, 2))"),100.0)</f>
        <v>100</v>
      </c>
      <c r="J710" s="81">
        <f>IFERROR(__xludf.DUMMYFUNCTION("IF(H710="""", """", ROUND(H710 / MAX(FILTER($H$2:$H5067, $D$2:$D5067=$D710)) * 100, 2))"),61.81)</f>
        <v>61.81</v>
      </c>
      <c r="K710" s="2"/>
      <c r="L710" s="49"/>
      <c r="M710" s="49"/>
      <c r="N710" s="49"/>
      <c r="O710" s="49" t="str">
        <f t="shared" si="2"/>
        <v/>
      </c>
      <c r="P710" s="49" t="str">
        <f t="shared" si="3"/>
        <v/>
      </c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</row>
    <row r="711">
      <c r="A711" s="69">
        <v>47.0</v>
      </c>
      <c r="B711" s="69">
        <v>63.0</v>
      </c>
      <c r="C711" s="86" t="s">
        <v>189</v>
      </c>
      <c r="D711" s="86" t="s">
        <v>190</v>
      </c>
      <c r="E711" s="86" t="s">
        <v>191</v>
      </c>
      <c r="F711" s="69">
        <v>3200.0</v>
      </c>
      <c r="G711" s="69">
        <v>46.13</v>
      </c>
      <c r="H711" s="68">
        <f t="shared" si="1"/>
        <v>206.11</v>
      </c>
      <c r="I711" s="81">
        <f>IFERROR(__xludf.DUMMYFUNCTION("IF(G711="""", """", ROUND(G711 / MAX(FILTER($G$2:$G5067, $D$2:$D5067=$D711)) * 100, 2))"),99.2)</f>
        <v>99.2</v>
      </c>
      <c r="J711" s="81">
        <f>IFERROR(__xludf.DUMMYFUNCTION("IF(H711="""", """", ROUND(H711 / MAX(FILTER($H$2:$H5067, $D$2:$D5067=$D711)) * 100, 2))"),70.08)</f>
        <v>70.08</v>
      </c>
      <c r="K711" s="2"/>
      <c r="L711" s="48"/>
      <c r="M711" s="48"/>
      <c r="N711" s="48"/>
      <c r="O711" s="48" t="str">
        <f t="shared" si="2"/>
        <v/>
      </c>
      <c r="P711" s="48" t="str">
        <f t="shared" si="3"/>
        <v/>
      </c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</row>
    <row r="712">
      <c r="A712" s="63">
        <v>47.0</v>
      </c>
      <c r="B712" s="63">
        <v>63.0</v>
      </c>
      <c r="C712" s="64" t="s">
        <v>189</v>
      </c>
      <c r="D712" s="64" t="s">
        <v>190</v>
      </c>
      <c r="E712" s="64" t="s">
        <v>191</v>
      </c>
      <c r="F712" s="63">
        <v>3500.0</v>
      </c>
      <c r="G712" s="63">
        <v>45.88</v>
      </c>
      <c r="H712" s="66">
        <f t="shared" si="1"/>
        <v>224.21</v>
      </c>
      <c r="I712" s="81">
        <f>IFERROR(__xludf.DUMMYFUNCTION("IF(G712="""", """", ROUND(G712 / MAX(FILTER($G$2:$G5067, $D$2:$D5067=$D712)) * 100, 2))"),98.67)</f>
        <v>98.67</v>
      </c>
      <c r="J712" s="81">
        <f>IFERROR(__xludf.DUMMYFUNCTION("IF(H712="""", """", ROUND(H712 / MAX(FILTER($H$2:$H5067, $D$2:$D5067=$D712)) * 100, 2))"),76.23)</f>
        <v>76.23</v>
      </c>
      <c r="K712" s="2"/>
      <c r="L712" s="49"/>
      <c r="M712" s="49"/>
      <c r="N712" s="49"/>
      <c r="O712" s="49" t="str">
        <f t="shared" si="2"/>
        <v/>
      </c>
      <c r="P712" s="49" t="str">
        <f t="shared" si="3"/>
        <v/>
      </c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</row>
    <row r="713">
      <c r="A713" s="69">
        <v>47.0</v>
      </c>
      <c r="B713" s="69">
        <v>63.0</v>
      </c>
      <c r="C713" s="86" t="s">
        <v>189</v>
      </c>
      <c r="D713" s="86" t="s">
        <v>190</v>
      </c>
      <c r="E713" s="86" t="s">
        <v>191</v>
      </c>
      <c r="F713" s="69">
        <v>4000.0</v>
      </c>
      <c r="G713" s="69">
        <v>45.0</v>
      </c>
      <c r="H713" s="68">
        <f t="shared" si="1"/>
        <v>251.33</v>
      </c>
      <c r="I713" s="81">
        <f>IFERROR(__xludf.DUMMYFUNCTION("IF(G713="""", """", ROUND(G713 / MAX(FILTER($G$2:$G5067, $D$2:$D5067=$D713)) * 100, 2))"),96.77)</f>
        <v>96.77</v>
      </c>
      <c r="J713" s="81">
        <f>IFERROR(__xludf.DUMMYFUNCTION("IF(H713="""", """", ROUND(H713 / MAX(FILTER($H$2:$H5067, $D$2:$D5067=$D713)) * 100, 2))"),85.45)</f>
        <v>85.45</v>
      </c>
      <c r="K713" s="2"/>
      <c r="L713" s="48"/>
      <c r="M713" s="48"/>
      <c r="N713" s="48"/>
      <c r="O713" s="48" t="str">
        <f t="shared" si="2"/>
        <v/>
      </c>
      <c r="P713" s="48" t="str">
        <f t="shared" si="3"/>
        <v/>
      </c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</row>
    <row r="714">
      <c r="A714" s="63">
        <v>47.0</v>
      </c>
      <c r="B714" s="63">
        <v>63.0</v>
      </c>
      <c r="C714" s="64" t="s">
        <v>189</v>
      </c>
      <c r="D714" s="64" t="s">
        <v>190</v>
      </c>
      <c r="E714" s="64" t="s">
        <v>191</v>
      </c>
      <c r="F714" s="63">
        <v>4500.0</v>
      </c>
      <c r="G714" s="63">
        <v>43.75</v>
      </c>
      <c r="H714" s="66">
        <f t="shared" si="1"/>
        <v>274.89</v>
      </c>
      <c r="I714" s="81">
        <f>IFERROR(__xludf.DUMMYFUNCTION("IF(G714="""", """", ROUND(G714 / MAX(FILTER($G$2:$G5067, $D$2:$D5067=$D714)) * 100, 2))"),94.09)</f>
        <v>94.09</v>
      </c>
      <c r="J714" s="81">
        <f>IFERROR(__xludf.DUMMYFUNCTION("IF(H714="""", """", ROUND(H714 / MAX(FILTER($H$2:$H5067, $D$2:$D5067=$D714)) * 100, 2))"),93.46)</f>
        <v>93.46</v>
      </c>
      <c r="K714" s="2"/>
      <c r="L714" s="49"/>
      <c r="M714" s="49"/>
      <c r="N714" s="49"/>
      <c r="O714" s="49" t="str">
        <f t="shared" si="2"/>
        <v/>
      </c>
      <c r="P714" s="49" t="str">
        <f t="shared" si="3"/>
        <v/>
      </c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</row>
    <row r="715">
      <c r="A715" s="69">
        <v>47.0</v>
      </c>
      <c r="B715" s="69">
        <v>63.0</v>
      </c>
      <c r="C715" s="86" t="s">
        <v>189</v>
      </c>
      <c r="D715" s="86" t="s">
        <v>190</v>
      </c>
      <c r="E715" s="86" t="s">
        <v>191</v>
      </c>
      <c r="F715" s="69">
        <v>5000.0</v>
      </c>
      <c r="G715" s="69">
        <v>41.5</v>
      </c>
      <c r="H715" s="68">
        <f t="shared" si="1"/>
        <v>289.72</v>
      </c>
      <c r="I715" s="81">
        <f>IFERROR(__xludf.DUMMYFUNCTION("IF(G715="""", """", ROUND(G715 / MAX(FILTER($G$2:$G5067, $D$2:$D5067=$D715)) * 100, 2))"),89.25)</f>
        <v>89.25</v>
      </c>
      <c r="J715" s="81">
        <f>IFERROR(__xludf.DUMMYFUNCTION("IF(H715="""", """", ROUND(H715 / MAX(FILTER($H$2:$H5067, $D$2:$D5067=$D715)) * 100, 2))"),98.5)</f>
        <v>98.5</v>
      </c>
      <c r="K715" s="2"/>
      <c r="L715" s="48"/>
      <c r="M715" s="48"/>
      <c r="N715" s="48"/>
      <c r="O715" s="48" t="str">
        <f t="shared" si="2"/>
        <v/>
      </c>
      <c r="P715" s="48" t="str">
        <f t="shared" si="3"/>
        <v/>
      </c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</row>
    <row r="716">
      <c r="A716" s="63">
        <v>47.0</v>
      </c>
      <c r="B716" s="63">
        <v>63.0</v>
      </c>
      <c r="C716" s="64" t="s">
        <v>189</v>
      </c>
      <c r="D716" s="64" t="s">
        <v>190</v>
      </c>
      <c r="E716" s="64" t="s">
        <v>191</v>
      </c>
      <c r="F716" s="63">
        <v>5500.0</v>
      </c>
      <c r="G716" s="63">
        <v>38.3</v>
      </c>
      <c r="H716" s="66">
        <f t="shared" si="1"/>
        <v>294.12</v>
      </c>
      <c r="I716" s="81">
        <f>IFERROR(__xludf.DUMMYFUNCTION("IF(G716="""", """", ROUND(G716 / MAX(FILTER($G$2:$G5067, $D$2:$D5067=$D716)) * 100, 2))"),82.37)</f>
        <v>82.37</v>
      </c>
      <c r="J716" s="81">
        <f>IFERROR(__xludf.DUMMYFUNCTION("IF(H716="""", """", ROUND(H716 / MAX(FILTER($H$2:$H5067, $D$2:$D5067=$D716)) * 100, 2))"),100.0)</f>
        <v>100</v>
      </c>
      <c r="K716" s="2"/>
      <c r="L716" s="49"/>
      <c r="M716" s="49"/>
      <c r="N716" s="49"/>
      <c r="O716" s="49" t="str">
        <f t="shared" si="2"/>
        <v/>
      </c>
      <c r="P716" s="49" t="str">
        <f t="shared" si="3"/>
        <v/>
      </c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</row>
    <row r="717">
      <c r="A717" s="69">
        <v>47.0</v>
      </c>
      <c r="B717" s="69">
        <v>63.0</v>
      </c>
      <c r="C717" s="86" t="s">
        <v>189</v>
      </c>
      <c r="D717" s="86" t="s">
        <v>190</v>
      </c>
      <c r="E717" s="86" t="s">
        <v>191</v>
      </c>
      <c r="F717" s="69">
        <v>6000.0</v>
      </c>
      <c r="G717" s="69">
        <v>31.38</v>
      </c>
      <c r="H717" s="68">
        <f t="shared" si="1"/>
        <v>262.89</v>
      </c>
      <c r="I717" s="81">
        <f>IFERROR(__xludf.DUMMYFUNCTION("IF(G717="""", """", ROUND(G717 / MAX(FILTER($G$2:$G5067, $D$2:$D5067=$D717)) * 100, 2))"),67.48)</f>
        <v>67.48</v>
      </c>
      <c r="J717" s="81">
        <f>IFERROR(__xludf.DUMMYFUNCTION("IF(H717="""", """", ROUND(H717 / MAX(FILTER($H$2:$H5067, $D$2:$D5067=$D717)) * 100, 2))"),89.38)</f>
        <v>89.38</v>
      </c>
      <c r="K717" s="2"/>
      <c r="L717" s="48"/>
      <c r="M717" s="48"/>
      <c r="N717" s="48"/>
      <c r="O717" s="48" t="str">
        <f t="shared" si="2"/>
        <v/>
      </c>
      <c r="P717" s="48" t="str">
        <f t="shared" si="3"/>
        <v/>
      </c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</row>
    <row r="718">
      <c r="A718" s="63">
        <v>48.0</v>
      </c>
      <c r="B718" s="63">
        <v>64.0</v>
      </c>
      <c r="C718" s="64" t="s">
        <v>192</v>
      </c>
      <c r="D718" s="64" t="s">
        <v>193</v>
      </c>
      <c r="E718" s="64" t="s">
        <v>194</v>
      </c>
      <c r="F718" s="63">
        <v>500.0</v>
      </c>
      <c r="G718" s="63">
        <v>37.38</v>
      </c>
      <c r="H718" s="66">
        <f t="shared" si="1"/>
        <v>26.1</v>
      </c>
      <c r="I718" s="81">
        <f>IFERROR(__xludf.DUMMYFUNCTION("IF(G718="""", """", ROUND(G718 / MAX(FILTER($G$2:$G5067, $D$2:$D5067=$D718)) * 100, 2))"),81.44)</f>
        <v>81.44</v>
      </c>
      <c r="J718" s="81">
        <f>IFERROR(__xludf.DUMMYFUNCTION("IF(H718="""", """", ROUND(H718 / MAX(FILTER($H$2:$H5067, $D$2:$D5067=$D718)) * 100, 2))"),7.42)</f>
        <v>7.42</v>
      </c>
      <c r="K718" s="2"/>
      <c r="L718" s="49"/>
      <c r="M718" s="49"/>
      <c r="N718" s="49"/>
      <c r="O718" s="49" t="str">
        <f t="shared" si="2"/>
        <v/>
      </c>
      <c r="P718" s="49" t="str">
        <f t="shared" si="3"/>
        <v/>
      </c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</row>
    <row r="719">
      <c r="A719" s="69">
        <v>48.0</v>
      </c>
      <c r="B719" s="69">
        <v>64.0</v>
      </c>
      <c r="C719" s="86" t="s">
        <v>192</v>
      </c>
      <c r="D719" s="86" t="s">
        <v>193</v>
      </c>
      <c r="E719" s="86" t="s">
        <v>194</v>
      </c>
      <c r="F719" s="69">
        <v>1000.0</v>
      </c>
      <c r="G719" s="69">
        <v>41.5</v>
      </c>
      <c r="H719" s="68">
        <f t="shared" si="1"/>
        <v>57.94</v>
      </c>
      <c r="I719" s="81">
        <f>IFERROR(__xludf.DUMMYFUNCTION("IF(G719="""", """", ROUND(G719 / MAX(FILTER($G$2:$G5067, $D$2:$D5067=$D719)) * 100, 2))"),90.41)</f>
        <v>90.41</v>
      </c>
      <c r="J719" s="81">
        <f>IFERROR(__xludf.DUMMYFUNCTION("IF(H719="""", """", ROUND(H719 / MAX(FILTER($H$2:$H5067, $D$2:$D5067=$D719)) * 100, 2))"),16.47)</f>
        <v>16.47</v>
      </c>
      <c r="K719" s="2"/>
      <c r="L719" s="48"/>
      <c r="M719" s="48"/>
      <c r="N719" s="48"/>
      <c r="O719" s="48" t="str">
        <f t="shared" si="2"/>
        <v/>
      </c>
      <c r="P719" s="48" t="str">
        <f t="shared" si="3"/>
        <v/>
      </c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</row>
    <row r="720">
      <c r="A720" s="63">
        <v>48.0</v>
      </c>
      <c r="B720" s="63">
        <v>64.0</v>
      </c>
      <c r="C720" s="64" t="s">
        <v>192</v>
      </c>
      <c r="D720" s="64" t="s">
        <v>193</v>
      </c>
      <c r="E720" s="64" t="s">
        <v>194</v>
      </c>
      <c r="F720" s="63">
        <v>1500.0</v>
      </c>
      <c r="G720" s="63">
        <v>43.25</v>
      </c>
      <c r="H720" s="66">
        <f t="shared" si="1"/>
        <v>90.58</v>
      </c>
      <c r="I720" s="81">
        <f>IFERROR(__xludf.DUMMYFUNCTION("IF(G720="""", """", ROUND(G720 / MAX(FILTER($G$2:$G5067, $D$2:$D5067=$D720)) * 100, 2))"),94.23)</f>
        <v>94.23</v>
      </c>
      <c r="J720" s="81">
        <f>IFERROR(__xludf.DUMMYFUNCTION("IF(H720="""", """", ROUND(H720 / MAX(FILTER($H$2:$H5067, $D$2:$D5067=$D720)) * 100, 2))"),25.75)</f>
        <v>25.75</v>
      </c>
      <c r="K720" s="2"/>
      <c r="L720" s="49"/>
      <c r="M720" s="49"/>
      <c r="N720" s="49"/>
      <c r="O720" s="49" t="str">
        <f t="shared" si="2"/>
        <v/>
      </c>
      <c r="P720" s="49" t="str">
        <f t="shared" si="3"/>
        <v/>
      </c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</row>
    <row r="721">
      <c r="A721" s="69">
        <v>48.0</v>
      </c>
      <c r="B721" s="69">
        <v>64.0</v>
      </c>
      <c r="C721" s="86" t="s">
        <v>192</v>
      </c>
      <c r="D721" s="86" t="s">
        <v>193</v>
      </c>
      <c r="E721" s="86" t="s">
        <v>194</v>
      </c>
      <c r="F721" s="69">
        <v>2000.0</v>
      </c>
      <c r="G721" s="69">
        <v>43.88</v>
      </c>
      <c r="H721" s="68">
        <f t="shared" si="1"/>
        <v>122.54</v>
      </c>
      <c r="I721" s="81">
        <f>IFERROR(__xludf.DUMMYFUNCTION("IF(G721="""", """", ROUND(G721 / MAX(FILTER($G$2:$G5067, $D$2:$D5067=$D721)) * 100, 2))"),95.6)</f>
        <v>95.6</v>
      </c>
      <c r="J721" s="81">
        <f>IFERROR(__xludf.DUMMYFUNCTION("IF(H721="""", """", ROUND(H721 / MAX(FILTER($H$2:$H5067, $D$2:$D5067=$D721)) * 100, 2))"),34.84)</f>
        <v>34.84</v>
      </c>
      <c r="K721" s="2"/>
      <c r="L721" s="48"/>
      <c r="M721" s="48"/>
      <c r="N721" s="48"/>
      <c r="O721" s="48" t="str">
        <f t="shared" si="2"/>
        <v/>
      </c>
      <c r="P721" s="48" t="str">
        <f t="shared" si="3"/>
        <v/>
      </c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</row>
    <row r="722">
      <c r="A722" s="63">
        <v>48.0</v>
      </c>
      <c r="B722" s="63">
        <v>64.0</v>
      </c>
      <c r="C722" s="64" t="s">
        <v>192</v>
      </c>
      <c r="D722" s="64" t="s">
        <v>193</v>
      </c>
      <c r="E722" s="64" t="s">
        <v>194</v>
      </c>
      <c r="F722" s="63">
        <v>2500.0</v>
      </c>
      <c r="G722" s="63">
        <v>44.5</v>
      </c>
      <c r="H722" s="66">
        <f t="shared" si="1"/>
        <v>155.33</v>
      </c>
      <c r="I722" s="81">
        <f>IFERROR(__xludf.DUMMYFUNCTION("IF(G722="""", """", ROUND(G722 / MAX(FILTER($G$2:$G5067, $D$2:$D5067=$D722)) * 100, 2))"),96.95)</f>
        <v>96.95</v>
      </c>
      <c r="J722" s="81">
        <f>IFERROR(__xludf.DUMMYFUNCTION("IF(H722="""", """", ROUND(H722 / MAX(FILTER($H$2:$H5067, $D$2:$D5067=$D722)) * 100, 2))"),44.16)</f>
        <v>44.16</v>
      </c>
      <c r="K722" s="2"/>
      <c r="L722" s="49"/>
      <c r="M722" s="49"/>
      <c r="N722" s="49"/>
      <c r="O722" s="49" t="str">
        <f t="shared" si="2"/>
        <v/>
      </c>
      <c r="P722" s="49" t="str">
        <f t="shared" si="3"/>
        <v/>
      </c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</row>
    <row r="723">
      <c r="A723" s="69">
        <v>48.0</v>
      </c>
      <c r="B723" s="69">
        <v>64.0</v>
      </c>
      <c r="C723" s="86" t="s">
        <v>192</v>
      </c>
      <c r="D723" s="86" t="s">
        <v>193</v>
      </c>
      <c r="E723" s="86" t="s">
        <v>194</v>
      </c>
      <c r="F723" s="69">
        <v>3000.0</v>
      </c>
      <c r="G723" s="69">
        <v>45.0</v>
      </c>
      <c r="H723" s="68">
        <f t="shared" si="1"/>
        <v>188.49</v>
      </c>
      <c r="I723" s="81">
        <f>IFERROR(__xludf.DUMMYFUNCTION("IF(G723="""", """", ROUND(G723 / MAX(FILTER($G$2:$G5067, $D$2:$D5067=$D723)) * 100, 2))"),98.04)</f>
        <v>98.04</v>
      </c>
      <c r="J723" s="81">
        <f>IFERROR(__xludf.DUMMYFUNCTION("IF(H723="""", """", ROUND(H723 / MAX(FILTER($H$2:$H5067, $D$2:$D5067=$D723)) * 100, 2))"),53.58)</f>
        <v>53.58</v>
      </c>
      <c r="K723" s="2"/>
      <c r="L723" s="48"/>
      <c r="M723" s="48"/>
      <c r="N723" s="48"/>
      <c r="O723" s="48" t="str">
        <f t="shared" si="2"/>
        <v/>
      </c>
      <c r="P723" s="48" t="str">
        <f t="shared" si="3"/>
        <v/>
      </c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</row>
    <row r="724">
      <c r="A724" s="63">
        <v>48.0</v>
      </c>
      <c r="B724" s="63">
        <v>64.0</v>
      </c>
      <c r="C724" s="64" t="s">
        <v>192</v>
      </c>
      <c r="D724" s="64" t="s">
        <v>193</v>
      </c>
      <c r="E724" s="64" t="s">
        <v>194</v>
      </c>
      <c r="F724" s="63">
        <v>3500.0</v>
      </c>
      <c r="G724" s="63">
        <v>45.38</v>
      </c>
      <c r="H724" s="66">
        <f t="shared" si="1"/>
        <v>221.77</v>
      </c>
      <c r="I724" s="81">
        <f>IFERROR(__xludf.DUMMYFUNCTION("IF(G724="""", """", ROUND(G724 / MAX(FILTER($G$2:$G5067, $D$2:$D5067=$D724)) * 100, 2))"),98.87)</f>
        <v>98.87</v>
      </c>
      <c r="J724" s="81">
        <f>IFERROR(__xludf.DUMMYFUNCTION("IF(H724="""", """", ROUND(H724 / MAX(FILTER($H$2:$H5067, $D$2:$D5067=$D724)) * 100, 2))"),63.05)</f>
        <v>63.05</v>
      </c>
      <c r="K724" s="2"/>
      <c r="L724" s="49"/>
      <c r="M724" s="49"/>
      <c r="N724" s="49"/>
      <c r="O724" s="49" t="str">
        <f t="shared" si="2"/>
        <v/>
      </c>
      <c r="P724" s="49" t="str">
        <f t="shared" si="3"/>
        <v/>
      </c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</row>
    <row r="725">
      <c r="A725" s="69">
        <v>48.0</v>
      </c>
      <c r="B725" s="69">
        <v>64.0</v>
      </c>
      <c r="C725" s="86" t="s">
        <v>192</v>
      </c>
      <c r="D725" s="86" t="s">
        <v>193</v>
      </c>
      <c r="E725" s="86" t="s">
        <v>194</v>
      </c>
      <c r="F725" s="69">
        <v>4000.0</v>
      </c>
      <c r="G725" s="69">
        <v>45.75</v>
      </c>
      <c r="H725" s="68">
        <f t="shared" si="1"/>
        <v>255.52</v>
      </c>
      <c r="I725" s="81">
        <f>IFERROR(__xludf.DUMMYFUNCTION("IF(G725="""", """", ROUND(G725 / MAX(FILTER($G$2:$G5067, $D$2:$D5067=$D725)) * 100, 2))"),99.67)</f>
        <v>99.67</v>
      </c>
      <c r="J725" s="81">
        <f>IFERROR(__xludf.DUMMYFUNCTION("IF(H725="""", """", ROUND(H725 / MAX(FILTER($H$2:$H5067, $D$2:$D5067=$D725)) * 100, 2))"),72.64)</f>
        <v>72.64</v>
      </c>
      <c r="K725" s="2"/>
      <c r="L725" s="48"/>
      <c r="M725" s="48"/>
      <c r="N725" s="48"/>
      <c r="O725" s="48" t="str">
        <f t="shared" si="2"/>
        <v/>
      </c>
      <c r="P725" s="48" t="str">
        <f t="shared" si="3"/>
        <v/>
      </c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</row>
    <row r="726">
      <c r="A726" s="63">
        <v>48.0</v>
      </c>
      <c r="B726" s="63">
        <v>64.0</v>
      </c>
      <c r="C726" s="64" t="s">
        <v>192</v>
      </c>
      <c r="D726" s="64" t="s">
        <v>193</v>
      </c>
      <c r="E726" s="64" t="s">
        <v>194</v>
      </c>
      <c r="F726" s="63">
        <v>4400.0</v>
      </c>
      <c r="G726" s="63">
        <v>45.9</v>
      </c>
      <c r="H726" s="66">
        <f t="shared" si="1"/>
        <v>281.99</v>
      </c>
      <c r="I726" s="81">
        <f>IFERROR(__xludf.DUMMYFUNCTION("IF(G726="""", """", ROUND(G726 / MAX(FILTER($G$2:$G5067, $D$2:$D5067=$D726)) * 100, 2))"),100.0)</f>
        <v>100</v>
      </c>
      <c r="J726" s="81">
        <f>IFERROR(__xludf.DUMMYFUNCTION("IF(H726="""", """", ROUND(H726 / MAX(FILTER($H$2:$H5067, $D$2:$D5067=$D726)) * 100, 2))"),80.17)</f>
        <v>80.17</v>
      </c>
      <c r="K726" s="2"/>
      <c r="L726" s="49"/>
      <c r="M726" s="49"/>
      <c r="N726" s="49"/>
      <c r="O726" s="49" t="str">
        <f t="shared" si="2"/>
        <v/>
      </c>
      <c r="P726" s="49" t="str">
        <f t="shared" si="3"/>
        <v/>
      </c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</row>
    <row r="727">
      <c r="A727" s="69">
        <v>48.0</v>
      </c>
      <c r="B727" s="69">
        <v>64.0</v>
      </c>
      <c r="C727" s="86" t="s">
        <v>192</v>
      </c>
      <c r="D727" s="86" t="s">
        <v>193</v>
      </c>
      <c r="E727" s="86" t="s">
        <v>194</v>
      </c>
      <c r="F727" s="69">
        <v>5000.0</v>
      </c>
      <c r="G727" s="69">
        <v>45.38</v>
      </c>
      <c r="H727" s="68">
        <f t="shared" si="1"/>
        <v>316.81</v>
      </c>
      <c r="I727" s="81">
        <f>IFERROR(__xludf.DUMMYFUNCTION("IF(G727="""", """", ROUND(G727 / MAX(FILTER($G$2:$G5067, $D$2:$D5067=$D727)) * 100, 2))"),98.87)</f>
        <v>98.87</v>
      </c>
      <c r="J727" s="81">
        <f>IFERROR(__xludf.DUMMYFUNCTION("IF(H727="""", """", ROUND(H727 / MAX(FILTER($H$2:$H5067, $D$2:$D5067=$D727)) * 100, 2))"),90.06)</f>
        <v>90.06</v>
      </c>
      <c r="K727" s="2"/>
      <c r="L727" s="48"/>
      <c r="M727" s="48"/>
      <c r="N727" s="48"/>
      <c r="O727" s="48" t="str">
        <f t="shared" si="2"/>
        <v/>
      </c>
      <c r="P727" s="48" t="str">
        <f t="shared" si="3"/>
        <v/>
      </c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</row>
    <row r="728">
      <c r="A728" s="63">
        <v>48.0</v>
      </c>
      <c r="B728" s="63">
        <v>64.0</v>
      </c>
      <c r="C728" s="64" t="s">
        <v>192</v>
      </c>
      <c r="D728" s="64" t="s">
        <v>193</v>
      </c>
      <c r="E728" s="64" t="s">
        <v>194</v>
      </c>
      <c r="F728" s="63">
        <v>5500.0</v>
      </c>
      <c r="G728" s="63">
        <v>44.38</v>
      </c>
      <c r="H728" s="66">
        <f t="shared" si="1"/>
        <v>340.81</v>
      </c>
      <c r="I728" s="81">
        <f>IFERROR(__xludf.DUMMYFUNCTION("IF(G728="""", """", ROUND(G728 / MAX(FILTER($G$2:$G5067, $D$2:$D5067=$D728)) * 100, 2))"),96.69)</f>
        <v>96.69</v>
      </c>
      <c r="J728" s="81">
        <f>IFERROR(__xludf.DUMMYFUNCTION("IF(H728="""", """", ROUND(H728 / MAX(FILTER($H$2:$H5067, $D$2:$D5067=$D728)) * 100, 2))"),96.89)</f>
        <v>96.89</v>
      </c>
      <c r="K728" s="2"/>
      <c r="L728" s="49"/>
      <c r="M728" s="49"/>
      <c r="N728" s="49"/>
      <c r="O728" s="49" t="str">
        <f t="shared" si="2"/>
        <v/>
      </c>
      <c r="P728" s="49" t="str">
        <f t="shared" si="3"/>
        <v/>
      </c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</row>
    <row r="729">
      <c r="A729" s="69">
        <v>48.0</v>
      </c>
      <c r="B729" s="69">
        <v>64.0</v>
      </c>
      <c r="C729" s="86" t="s">
        <v>192</v>
      </c>
      <c r="D729" s="86" t="s">
        <v>193</v>
      </c>
      <c r="E729" s="86" t="s">
        <v>194</v>
      </c>
      <c r="F729" s="69">
        <v>6100.0</v>
      </c>
      <c r="G729" s="69">
        <v>41.3</v>
      </c>
      <c r="H729" s="68">
        <f t="shared" si="1"/>
        <v>351.76</v>
      </c>
      <c r="I729" s="81">
        <f>IFERROR(__xludf.DUMMYFUNCTION("IF(G729="""", """", ROUND(G729 / MAX(FILTER($G$2:$G5067, $D$2:$D5067=$D729)) * 100, 2))"),89.98)</f>
        <v>89.98</v>
      </c>
      <c r="J729" s="81">
        <f>IFERROR(__xludf.DUMMYFUNCTION("IF(H729="""", """", ROUND(H729 / MAX(FILTER($H$2:$H5067, $D$2:$D5067=$D729)) * 100, 2))"),100.0)</f>
        <v>100</v>
      </c>
      <c r="K729" s="2"/>
      <c r="L729" s="48"/>
      <c r="M729" s="48"/>
      <c r="N729" s="48"/>
      <c r="O729" s="48" t="str">
        <f t="shared" si="2"/>
        <v/>
      </c>
      <c r="P729" s="48" t="str">
        <f t="shared" si="3"/>
        <v/>
      </c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</row>
    <row r="730">
      <c r="A730" s="63">
        <v>48.0</v>
      </c>
      <c r="B730" s="63">
        <v>64.0</v>
      </c>
      <c r="C730" s="64" t="s">
        <v>192</v>
      </c>
      <c r="D730" s="64" t="s">
        <v>193</v>
      </c>
      <c r="E730" s="64" t="s">
        <v>194</v>
      </c>
      <c r="F730" s="63">
        <v>6500.0</v>
      </c>
      <c r="G730" s="63">
        <v>37.63</v>
      </c>
      <c r="H730" s="66">
        <f t="shared" si="1"/>
        <v>341.52</v>
      </c>
      <c r="I730" s="81">
        <f>IFERROR(__xludf.DUMMYFUNCTION("IF(G730="""", """", ROUND(G730 / MAX(FILTER($G$2:$G5067, $D$2:$D5067=$D730)) * 100, 2))"),81.98)</f>
        <v>81.98</v>
      </c>
      <c r="J730" s="81">
        <f>IFERROR(__xludf.DUMMYFUNCTION("IF(H730="""", """", ROUND(H730 / MAX(FILTER($H$2:$H5067, $D$2:$D5067=$D730)) * 100, 2))"),97.09)</f>
        <v>97.09</v>
      </c>
      <c r="K730" s="2"/>
      <c r="L730" s="49"/>
      <c r="M730" s="49"/>
      <c r="N730" s="49"/>
      <c r="O730" s="49" t="str">
        <f t="shared" si="2"/>
        <v/>
      </c>
      <c r="P730" s="49" t="str">
        <f t="shared" si="3"/>
        <v/>
      </c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</row>
    <row r="731">
      <c r="A731" s="69">
        <v>48.0</v>
      </c>
      <c r="B731" s="69">
        <v>64.0</v>
      </c>
      <c r="C731" s="86" t="s">
        <v>192</v>
      </c>
      <c r="D731" s="86" t="s">
        <v>193</v>
      </c>
      <c r="E731" s="86" t="s">
        <v>194</v>
      </c>
      <c r="F731" s="69">
        <v>7000.0</v>
      </c>
      <c r="G731" s="69">
        <v>32.5</v>
      </c>
      <c r="H731" s="68">
        <f t="shared" si="1"/>
        <v>317.65</v>
      </c>
      <c r="I731" s="81">
        <f>IFERROR(__xludf.DUMMYFUNCTION("IF(G731="""", """", ROUND(G731 / MAX(FILTER($G$2:$G5067, $D$2:$D5067=$D731)) * 100, 2))"),70.81)</f>
        <v>70.81</v>
      </c>
      <c r="J731" s="81">
        <f>IFERROR(__xludf.DUMMYFUNCTION("IF(H731="""", """", ROUND(H731 / MAX(FILTER($H$2:$H5067, $D$2:$D5067=$D731)) * 100, 2))"),90.3)</f>
        <v>90.3</v>
      </c>
      <c r="K731" s="2"/>
      <c r="L731" s="48"/>
      <c r="M731" s="48"/>
      <c r="N731" s="48"/>
      <c r="O731" s="48" t="str">
        <f t="shared" si="2"/>
        <v/>
      </c>
      <c r="P731" s="48" t="str">
        <f t="shared" si="3"/>
        <v/>
      </c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</row>
    <row r="732">
      <c r="A732" s="63">
        <v>49.0</v>
      </c>
      <c r="B732" s="63">
        <v>66.0</v>
      </c>
      <c r="C732" s="64" t="s">
        <v>195</v>
      </c>
      <c r="D732" s="64" t="s">
        <v>196</v>
      </c>
      <c r="E732" s="64" t="s">
        <v>197</v>
      </c>
      <c r="F732" s="63">
        <v>500.0</v>
      </c>
      <c r="G732" s="63">
        <v>57.6</v>
      </c>
      <c r="H732" s="66">
        <f t="shared" si="1"/>
        <v>40.21</v>
      </c>
      <c r="I732" s="81">
        <f>IFERROR(__xludf.DUMMYFUNCTION("IF(G732="""", """", ROUND(G732 / MAX(FILTER($G$2:$G5067, $D$2:$D5067=$D732)) * 100, 2))"),74.85)</f>
        <v>74.85</v>
      </c>
      <c r="J732" s="81">
        <f>IFERROR(__xludf.DUMMYFUNCTION("IF(H732="""", """", ROUND(H732 / MAX(FILTER($H$2:$H5067, $D$2:$D5067=$D732)) * 100, 2))"),8.39)</f>
        <v>8.39</v>
      </c>
      <c r="K732" s="2"/>
      <c r="L732" s="49"/>
      <c r="M732" s="49"/>
      <c r="N732" s="49"/>
      <c r="O732" s="49" t="str">
        <f t="shared" si="2"/>
        <v/>
      </c>
      <c r="P732" s="49" t="str">
        <f t="shared" si="3"/>
        <v/>
      </c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</row>
    <row r="733">
      <c r="A733" s="69">
        <v>49.0</v>
      </c>
      <c r="B733" s="69">
        <v>66.0</v>
      </c>
      <c r="C733" s="86" t="s">
        <v>195</v>
      </c>
      <c r="D733" s="86" t="s">
        <v>196</v>
      </c>
      <c r="E733" s="86" t="s">
        <v>197</v>
      </c>
      <c r="F733" s="69">
        <v>1000.0</v>
      </c>
      <c r="G733" s="69">
        <v>72.23</v>
      </c>
      <c r="H733" s="68">
        <f t="shared" si="1"/>
        <v>100.85</v>
      </c>
      <c r="I733" s="81">
        <f>IFERROR(__xludf.DUMMYFUNCTION("IF(G733="""", """", ROUND(G733 / MAX(FILTER($G$2:$G5067, $D$2:$D5067=$D733)) * 100, 2))"),93.87)</f>
        <v>93.87</v>
      </c>
      <c r="J733" s="81">
        <f>IFERROR(__xludf.DUMMYFUNCTION("IF(H733="""", """", ROUND(H733 / MAX(FILTER($H$2:$H5067, $D$2:$D5067=$D733)) * 100, 2))"),21.04)</f>
        <v>21.04</v>
      </c>
      <c r="K733" s="2"/>
      <c r="L733" s="48"/>
      <c r="M733" s="48"/>
      <c r="N733" s="48"/>
      <c r="O733" s="48" t="str">
        <f t="shared" si="2"/>
        <v/>
      </c>
      <c r="P733" s="48" t="str">
        <f t="shared" si="3"/>
        <v/>
      </c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</row>
    <row r="734">
      <c r="A734" s="63">
        <v>49.0</v>
      </c>
      <c r="B734" s="63">
        <v>66.0</v>
      </c>
      <c r="C734" s="64" t="s">
        <v>195</v>
      </c>
      <c r="D734" s="64" t="s">
        <v>196</v>
      </c>
      <c r="E734" s="64" t="s">
        <v>197</v>
      </c>
      <c r="F734" s="63">
        <v>1300.0</v>
      </c>
      <c r="G734" s="63">
        <v>75.65</v>
      </c>
      <c r="H734" s="66">
        <f t="shared" si="1"/>
        <v>137.31</v>
      </c>
      <c r="I734" s="81">
        <f>IFERROR(__xludf.DUMMYFUNCTION("IF(G734="""", """", ROUND(G734 / MAX(FILTER($G$2:$G5067, $D$2:$D5067=$D734)) * 100, 2))"),98.31)</f>
        <v>98.31</v>
      </c>
      <c r="J734" s="81">
        <f>IFERROR(__xludf.DUMMYFUNCTION("IF(H734="""", """", ROUND(H734 / MAX(FILTER($H$2:$H5067, $D$2:$D5067=$D734)) * 100, 2))"),28.65)</f>
        <v>28.65</v>
      </c>
      <c r="K734" s="2"/>
      <c r="L734" s="49"/>
      <c r="M734" s="49"/>
      <c r="N734" s="49"/>
      <c r="O734" s="49" t="str">
        <f t="shared" si="2"/>
        <v/>
      </c>
      <c r="P734" s="49" t="str">
        <f t="shared" si="3"/>
        <v/>
      </c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</row>
    <row r="735">
      <c r="A735" s="69">
        <v>49.0</v>
      </c>
      <c r="B735" s="69">
        <v>66.0</v>
      </c>
      <c r="C735" s="86" t="s">
        <v>195</v>
      </c>
      <c r="D735" s="86" t="s">
        <v>196</v>
      </c>
      <c r="E735" s="86" t="s">
        <v>197</v>
      </c>
      <c r="F735" s="69">
        <v>1800.0</v>
      </c>
      <c r="G735" s="69">
        <v>76.95</v>
      </c>
      <c r="H735" s="68">
        <f t="shared" si="1"/>
        <v>193.4</v>
      </c>
      <c r="I735" s="81">
        <f>IFERROR(__xludf.DUMMYFUNCTION("IF(G735="""", """", ROUND(G735 / MAX(FILTER($G$2:$G5067, $D$2:$D5067=$D735)) * 100, 2))"),100.0)</f>
        <v>100</v>
      </c>
      <c r="J735" s="81">
        <f>IFERROR(__xludf.DUMMYFUNCTION("IF(H735="""", """", ROUND(H735 / MAX(FILTER($H$2:$H5067, $D$2:$D5067=$D735)) * 100, 2))"),40.35)</f>
        <v>40.35</v>
      </c>
      <c r="K735" s="2"/>
      <c r="L735" s="48"/>
      <c r="M735" s="48"/>
      <c r="N735" s="48"/>
      <c r="O735" s="48" t="str">
        <f t="shared" si="2"/>
        <v/>
      </c>
      <c r="P735" s="48" t="str">
        <f t="shared" si="3"/>
        <v/>
      </c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</row>
    <row r="736">
      <c r="A736" s="63">
        <v>49.0</v>
      </c>
      <c r="B736" s="63">
        <v>66.0</v>
      </c>
      <c r="C736" s="64" t="s">
        <v>195</v>
      </c>
      <c r="D736" s="64" t="s">
        <v>196</v>
      </c>
      <c r="E736" s="64" t="s">
        <v>197</v>
      </c>
      <c r="F736" s="63">
        <v>2200.0</v>
      </c>
      <c r="G736" s="63">
        <v>76.95</v>
      </c>
      <c r="H736" s="66">
        <f t="shared" si="1"/>
        <v>236.37</v>
      </c>
      <c r="I736" s="81">
        <f>IFERROR(__xludf.DUMMYFUNCTION("IF(G736="""", """", ROUND(G736 / MAX(FILTER($G$2:$G5067, $D$2:$D5067=$D736)) * 100, 2))"),100.0)</f>
        <v>100</v>
      </c>
      <c r="J736" s="81">
        <f>IFERROR(__xludf.DUMMYFUNCTION("IF(H736="""", """", ROUND(H736 / MAX(FILTER($H$2:$H5067, $D$2:$D5067=$D736)) * 100, 2))"),49.32)</f>
        <v>49.32</v>
      </c>
      <c r="K736" s="2"/>
      <c r="L736" s="49"/>
      <c r="M736" s="49"/>
      <c r="N736" s="49"/>
      <c r="O736" s="49" t="str">
        <f t="shared" si="2"/>
        <v/>
      </c>
      <c r="P736" s="49" t="str">
        <f t="shared" si="3"/>
        <v/>
      </c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</row>
    <row r="737">
      <c r="A737" s="69">
        <v>49.0</v>
      </c>
      <c r="B737" s="69">
        <v>66.0</v>
      </c>
      <c r="C737" s="86" t="s">
        <v>195</v>
      </c>
      <c r="D737" s="86" t="s">
        <v>196</v>
      </c>
      <c r="E737" s="86" t="s">
        <v>197</v>
      </c>
      <c r="F737" s="69">
        <v>3000.0</v>
      </c>
      <c r="G737" s="69">
        <v>76.95</v>
      </c>
      <c r="H737" s="68">
        <f t="shared" si="1"/>
        <v>322.33</v>
      </c>
      <c r="I737" s="81">
        <f>IFERROR(__xludf.DUMMYFUNCTION("IF(G737="""", """", ROUND(G737 / MAX(FILTER($G$2:$G5067, $D$2:$D5067=$D737)) * 100, 2))"),100.0)</f>
        <v>100</v>
      </c>
      <c r="J737" s="81">
        <f>IFERROR(__xludf.DUMMYFUNCTION("IF(H737="""", """", ROUND(H737 / MAX(FILTER($H$2:$H5067, $D$2:$D5067=$D737)) * 100, 2))"),67.25)</f>
        <v>67.25</v>
      </c>
      <c r="K737" s="2"/>
      <c r="L737" s="48"/>
      <c r="M737" s="48"/>
      <c r="N737" s="48"/>
      <c r="O737" s="48" t="str">
        <f t="shared" si="2"/>
        <v/>
      </c>
      <c r="P737" s="48" t="str">
        <f t="shared" si="3"/>
        <v/>
      </c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</row>
    <row r="738">
      <c r="A738" s="63">
        <v>49.0</v>
      </c>
      <c r="B738" s="63">
        <v>66.0</v>
      </c>
      <c r="C738" s="64" t="s">
        <v>195</v>
      </c>
      <c r="D738" s="64" t="s">
        <v>196</v>
      </c>
      <c r="E738" s="64" t="s">
        <v>197</v>
      </c>
      <c r="F738" s="63">
        <v>3500.0</v>
      </c>
      <c r="G738" s="63">
        <v>76.55</v>
      </c>
      <c r="H738" s="66">
        <f t="shared" si="1"/>
        <v>374.09</v>
      </c>
      <c r="I738" s="81">
        <f>IFERROR(__xludf.DUMMYFUNCTION("IF(G738="""", """", ROUND(G738 / MAX(FILTER($G$2:$G5067, $D$2:$D5067=$D738)) * 100, 2))"),99.48)</f>
        <v>99.48</v>
      </c>
      <c r="J738" s="81">
        <f>IFERROR(__xludf.DUMMYFUNCTION("IF(H738="""", """", ROUND(H738 / MAX(FILTER($H$2:$H5067, $D$2:$D5067=$D738)) * 100, 2))"),78.05)</f>
        <v>78.05</v>
      </c>
      <c r="K738" s="2"/>
      <c r="L738" s="49"/>
      <c r="M738" s="49"/>
      <c r="N738" s="49"/>
      <c r="O738" s="49" t="str">
        <f t="shared" si="2"/>
        <v/>
      </c>
      <c r="P738" s="49" t="str">
        <f t="shared" si="3"/>
        <v/>
      </c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</row>
    <row r="739">
      <c r="A739" s="69">
        <v>49.0</v>
      </c>
      <c r="B739" s="69">
        <v>66.0</v>
      </c>
      <c r="C739" s="86" t="s">
        <v>195</v>
      </c>
      <c r="D739" s="86" t="s">
        <v>196</v>
      </c>
      <c r="E739" s="86" t="s">
        <v>197</v>
      </c>
      <c r="F739" s="69">
        <v>4000.0</v>
      </c>
      <c r="G739" s="69">
        <v>75.07</v>
      </c>
      <c r="H739" s="68">
        <f t="shared" si="1"/>
        <v>419.27</v>
      </c>
      <c r="I739" s="81">
        <f>IFERROR(__xludf.DUMMYFUNCTION("IF(G739="""", """", ROUND(G739 / MAX(FILTER($G$2:$G5067, $D$2:$D5067=$D739)) * 100, 2))"),97.56)</f>
        <v>97.56</v>
      </c>
      <c r="J739" s="81">
        <f>IFERROR(__xludf.DUMMYFUNCTION("IF(H739="""", """", ROUND(H739 / MAX(FILTER($H$2:$H5067, $D$2:$D5067=$D739)) * 100, 2))"),87.48)</f>
        <v>87.48</v>
      </c>
      <c r="K739" s="2"/>
      <c r="L739" s="48"/>
      <c r="M739" s="48"/>
      <c r="N739" s="48"/>
      <c r="O739" s="48" t="str">
        <f t="shared" si="2"/>
        <v/>
      </c>
      <c r="P739" s="48" t="str">
        <f t="shared" si="3"/>
        <v/>
      </c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</row>
    <row r="740">
      <c r="A740" s="63">
        <v>49.0</v>
      </c>
      <c r="B740" s="63">
        <v>66.0</v>
      </c>
      <c r="C740" s="64" t="s">
        <v>195</v>
      </c>
      <c r="D740" s="64" t="s">
        <v>196</v>
      </c>
      <c r="E740" s="64" t="s">
        <v>197</v>
      </c>
      <c r="F740" s="63">
        <v>4500.0</v>
      </c>
      <c r="G740" s="63">
        <v>72.87</v>
      </c>
      <c r="H740" s="66">
        <f t="shared" si="1"/>
        <v>457.85</v>
      </c>
      <c r="I740" s="81">
        <f>IFERROR(__xludf.DUMMYFUNCTION("IF(G740="""", """", ROUND(G740 / MAX(FILTER($G$2:$G5067, $D$2:$D5067=$D740)) * 100, 2))"),94.7)</f>
        <v>94.7</v>
      </c>
      <c r="J740" s="81">
        <f>IFERROR(__xludf.DUMMYFUNCTION("IF(H740="""", """", ROUND(H740 / MAX(FILTER($H$2:$H5067, $D$2:$D5067=$D740)) * 100, 2))"),95.53)</f>
        <v>95.53</v>
      </c>
      <c r="K740" s="2"/>
      <c r="L740" s="49"/>
      <c r="M740" s="49"/>
      <c r="N740" s="49"/>
      <c r="O740" s="49" t="str">
        <f t="shared" si="2"/>
        <v/>
      </c>
      <c r="P740" s="49" t="str">
        <f t="shared" si="3"/>
        <v/>
      </c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</row>
    <row r="741">
      <c r="A741" s="69">
        <v>49.0</v>
      </c>
      <c r="B741" s="69">
        <v>66.0</v>
      </c>
      <c r="C741" s="86" t="s">
        <v>195</v>
      </c>
      <c r="D741" s="86" t="s">
        <v>196</v>
      </c>
      <c r="E741" s="86" t="s">
        <v>197</v>
      </c>
      <c r="F741" s="69">
        <v>5000.0</v>
      </c>
      <c r="G741" s="69">
        <v>68.65</v>
      </c>
      <c r="H741" s="68">
        <f t="shared" si="1"/>
        <v>479.27</v>
      </c>
      <c r="I741" s="81">
        <f>IFERROR(__xludf.DUMMYFUNCTION("IF(G741="""", """", ROUND(G741 / MAX(FILTER($G$2:$G5067, $D$2:$D5067=$D741)) * 100, 2))"),89.21)</f>
        <v>89.21</v>
      </c>
      <c r="J741" s="81">
        <f>IFERROR(__xludf.DUMMYFUNCTION("IF(H741="""", """", ROUND(H741 / MAX(FILTER($H$2:$H5067, $D$2:$D5067=$D741)) * 100, 2))"),100.0)</f>
        <v>100</v>
      </c>
      <c r="K741" s="2"/>
      <c r="L741" s="48"/>
      <c r="M741" s="48"/>
      <c r="N741" s="48"/>
      <c r="O741" s="48" t="str">
        <f t="shared" si="2"/>
        <v/>
      </c>
      <c r="P741" s="48" t="str">
        <f t="shared" si="3"/>
        <v/>
      </c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</row>
    <row r="742">
      <c r="A742" s="63">
        <v>49.0</v>
      </c>
      <c r="B742" s="63">
        <v>66.0</v>
      </c>
      <c r="C742" s="64" t="s">
        <v>195</v>
      </c>
      <c r="D742" s="64" t="s">
        <v>196</v>
      </c>
      <c r="E742" s="64" t="s">
        <v>197</v>
      </c>
      <c r="F742" s="63">
        <v>5500.0</v>
      </c>
      <c r="G742" s="63">
        <v>61.08</v>
      </c>
      <c r="H742" s="66">
        <f t="shared" si="1"/>
        <v>469.06</v>
      </c>
      <c r="I742" s="81">
        <f>IFERROR(__xludf.DUMMYFUNCTION("IF(G742="""", """", ROUND(G742 / MAX(FILTER($G$2:$G5067, $D$2:$D5067=$D742)) * 100, 2))"),79.38)</f>
        <v>79.38</v>
      </c>
      <c r="J742" s="81">
        <f>IFERROR(__xludf.DUMMYFUNCTION("IF(H742="""", """", ROUND(H742 / MAX(FILTER($H$2:$H5067, $D$2:$D5067=$D742)) * 100, 2))"),97.87)</f>
        <v>97.87</v>
      </c>
      <c r="K742" s="2"/>
      <c r="L742" s="49"/>
      <c r="M742" s="49"/>
      <c r="N742" s="49"/>
      <c r="O742" s="49" t="str">
        <f t="shared" si="2"/>
        <v/>
      </c>
      <c r="P742" s="49" t="str">
        <f t="shared" si="3"/>
        <v/>
      </c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</row>
    <row r="743">
      <c r="A743" s="69">
        <v>49.0</v>
      </c>
      <c r="B743" s="69">
        <v>66.0</v>
      </c>
      <c r="C743" s="86" t="s">
        <v>195</v>
      </c>
      <c r="D743" s="86" t="s">
        <v>196</v>
      </c>
      <c r="E743" s="86" t="s">
        <v>197</v>
      </c>
      <c r="F743" s="69">
        <v>6000.0</v>
      </c>
      <c r="G743" s="69">
        <v>50.01</v>
      </c>
      <c r="H743" s="68">
        <f t="shared" si="1"/>
        <v>418.96</v>
      </c>
      <c r="I743" s="81">
        <f>IFERROR(__xludf.DUMMYFUNCTION("IF(G743="""", """", ROUND(G743 / MAX(FILTER($G$2:$G5067, $D$2:$D5067=$D743)) * 100, 2))"),64.99)</f>
        <v>64.99</v>
      </c>
      <c r="J743" s="81">
        <f>IFERROR(__xludf.DUMMYFUNCTION("IF(H743="""", """", ROUND(H743 / MAX(FILTER($H$2:$H5067, $D$2:$D5067=$D743)) * 100, 2))"),87.42)</f>
        <v>87.42</v>
      </c>
      <c r="K743" s="2"/>
      <c r="L743" s="48"/>
      <c r="M743" s="48"/>
      <c r="N743" s="48"/>
      <c r="O743" s="48" t="str">
        <f t="shared" si="2"/>
        <v/>
      </c>
      <c r="P743" s="48" t="str">
        <f t="shared" si="3"/>
        <v/>
      </c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</row>
    <row r="744">
      <c r="A744" s="63">
        <v>50.0</v>
      </c>
      <c r="B744" s="63">
        <v>67.0</v>
      </c>
      <c r="C744" s="64" t="s">
        <v>198</v>
      </c>
      <c r="D744" s="64" t="s">
        <v>199</v>
      </c>
      <c r="E744" s="64" t="s">
        <v>200</v>
      </c>
      <c r="F744" s="63">
        <v>500.0</v>
      </c>
      <c r="G744" s="63">
        <v>27.4</v>
      </c>
      <c r="H744" s="66">
        <f t="shared" si="1"/>
        <v>19.13</v>
      </c>
      <c r="I744" s="81">
        <f>IFERROR(__xludf.DUMMYFUNCTION("IF(G744="""", """", ROUND(G744 / MAX(FILTER($G$2:$G5067, $D$2:$D5067=$D744)) * 100, 2))"),53.73)</f>
        <v>53.73</v>
      </c>
      <c r="J744" s="81">
        <f>IFERROR(__xludf.DUMMYFUNCTION("IF(H744="""", """", ROUND(H744 / MAX(FILTER($H$2:$H5067, $D$2:$D5067=$D744)) * 100, 2))"),6.02)</f>
        <v>6.02</v>
      </c>
      <c r="K744" s="2"/>
      <c r="L744" s="49"/>
      <c r="M744" s="49"/>
      <c r="N744" s="49"/>
      <c r="O744" s="49" t="str">
        <f t="shared" si="2"/>
        <v/>
      </c>
      <c r="P744" s="49" t="str">
        <f t="shared" si="3"/>
        <v/>
      </c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</row>
    <row r="745">
      <c r="A745" s="69">
        <v>50.0</v>
      </c>
      <c r="B745" s="69">
        <v>67.0</v>
      </c>
      <c r="C745" s="86" t="s">
        <v>198</v>
      </c>
      <c r="D745" s="86" t="s">
        <v>199</v>
      </c>
      <c r="E745" s="86" t="s">
        <v>200</v>
      </c>
      <c r="F745" s="69">
        <v>1000.0</v>
      </c>
      <c r="G745" s="69">
        <v>35.8</v>
      </c>
      <c r="H745" s="68">
        <f t="shared" si="1"/>
        <v>49.99</v>
      </c>
      <c r="I745" s="81">
        <f>IFERROR(__xludf.DUMMYFUNCTION("IF(G745="""", """", ROUND(G745 / MAX(FILTER($G$2:$G5067, $D$2:$D5067=$D745)) * 100, 2))"),70.2)</f>
        <v>70.2</v>
      </c>
      <c r="J745" s="81">
        <f>IFERROR(__xludf.DUMMYFUNCTION("IF(H745="""", """", ROUND(H745 / MAX(FILTER($H$2:$H5067, $D$2:$D5067=$D745)) * 100, 2))"),15.74)</f>
        <v>15.74</v>
      </c>
      <c r="K745" s="2"/>
      <c r="L745" s="48"/>
      <c r="M745" s="48"/>
      <c r="N745" s="48"/>
      <c r="O745" s="48" t="str">
        <f t="shared" si="2"/>
        <v/>
      </c>
      <c r="P745" s="48" t="str">
        <f t="shared" si="3"/>
        <v/>
      </c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</row>
    <row r="746">
      <c r="A746" s="63">
        <v>50.0</v>
      </c>
      <c r="B746" s="63">
        <v>67.0</v>
      </c>
      <c r="C746" s="64" t="s">
        <v>198</v>
      </c>
      <c r="D746" s="64" t="s">
        <v>199</v>
      </c>
      <c r="E746" s="64" t="s">
        <v>200</v>
      </c>
      <c r="F746" s="63">
        <v>1500.0</v>
      </c>
      <c r="G746" s="63">
        <v>42.8</v>
      </c>
      <c r="H746" s="66">
        <f t="shared" si="1"/>
        <v>89.64</v>
      </c>
      <c r="I746" s="81">
        <f>IFERROR(__xludf.DUMMYFUNCTION("IF(G746="""", """", ROUND(G746 / MAX(FILTER($G$2:$G5067, $D$2:$D5067=$D746)) * 100, 2))"),83.92)</f>
        <v>83.92</v>
      </c>
      <c r="J746" s="81">
        <f>IFERROR(__xludf.DUMMYFUNCTION("IF(H746="""", """", ROUND(H746 / MAX(FILTER($H$2:$H5067, $D$2:$D5067=$D746)) * 100, 2))"),28.23)</f>
        <v>28.23</v>
      </c>
      <c r="K746" s="2"/>
      <c r="L746" s="49"/>
      <c r="M746" s="49"/>
      <c r="N746" s="49"/>
      <c r="O746" s="49" t="str">
        <f t="shared" si="2"/>
        <v/>
      </c>
      <c r="P746" s="49" t="str">
        <f t="shared" si="3"/>
        <v/>
      </c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</row>
    <row r="747">
      <c r="A747" s="69">
        <v>50.0</v>
      </c>
      <c r="B747" s="69">
        <v>67.0</v>
      </c>
      <c r="C747" s="86" t="s">
        <v>198</v>
      </c>
      <c r="D747" s="86" t="s">
        <v>199</v>
      </c>
      <c r="E747" s="86" t="s">
        <v>200</v>
      </c>
      <c r="F747" s="69">
        <v>2000.0</v>
      </c>
      <c r="G747" s="69">
        <v>48.2</v>
      </c>
      <c r="H747" s="68">
        <f t="shared" si="1"/>
        <v>134.6</v>
      </c>
      <c r="I747" s="81">
        <f>IFERROR(__xludf.DUMMYFUNCTION("IF(G747="""", """", ROUND(G747 / MAX(FILTER($G$2:$G5067, $D$2:$D5067=$D747)) * 100, 2))"),94.51)</f>
        <v>94.51</v>
      </c>
      <c r="J747" s="81">
        <f>IFERROR(__xludf.DUMMYFUNCTION("IF(H747="""", """", ROUND(H747 / MAX(FILTER($H$2:$H5067, $D$2:$D5067=$D747)) * 100, 2))"),42.39)</f>
        <v>42.39</v>
      </c>
      <c r="K747" s="2"/>
      <c r="L747" s="48"/>
      <c r="M747" s="48"/>
      <c r="N747" s="48"/>
      <c r="O747" s="48" t="str">
        <f t="shared" si="2"/>
        <v/>
      </c>
      <c r="P747" s="48" t="str">
        <f t="shared" si="3"/>
        <v/>
      </c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</row>
    <row r="748">
      <c r="A748" s="63">
        <v>50.0</v>
      </c>
      <c r="B748" s="63">
        <v>67.0</v>
      </c>
      <c r="C748" s="64" t="s">
        <v>198</v>
      </c>
      <c r="D748" s="64" t="s">
        <v>199</v>
      </c>
      <c r="E748" s="64" t="s">
        <v>200</v>
      </c>
      <c r="F748" s="63">
        <v>2500.0</v>
      </c>
      <c r="G748" s="63">
        <v>50.25</v>
      </c>
      <c r="H748" s="66">
        <f t="shared" si="1"/>
        <v>175.4</v>
      </c>
      <c r="I748" s="81">
        <f>IFERROR(__xludf.DUMMYFUNCTION("IF(G748="""", """", ROUND(G748 / MAX(FILTER($G$2:$G5067, $D$2:$D5067=$D748)) * 100, 2))"),98.53)</f>
        <v>98.53</v>
      </c>
      <c r="J748" s="81">
        <f>IFERROR(__xludf.DUMMYFUNCTION("IF(H748="""", """", ROUND(H748 / MAX(FILTER($H$2:$H5067, $D$2:$D5067=$D748)) * 100, 2))"),55.24)</f>
        <v>55.24</v>
      </c>
      <c r="K748" s="2"/>
      <c r="L748" s="49"/>
      <c r="M748" s="49"/>
      <c r="N748" s="49"/>
      <c r="O748" s="49" t="str">
        <f t="shared" si="2"/>
        <v/>
      </c>
      <c r="P748" s="49" t="str">
        <f t="shared" si="3"/>
        <v/>
      </c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</row>
    <row r="749">
      <c r="A749" s="69">
        <v>50.0</v>
      </c>
      <c r="B749" s="69">
        <v>67.0</v>
      </c>
      <c r="C749" s="86" t="s">
        <v>198</v>
      </c>
      <c r="D749" s="86" t="s">
        <v>199</v>
      </c>
      <c r="E749" s="86" t="s">
        <v>200</v>
      </c>
      <c r="F749" s="69">
        <v>2750.0</v>
      </c>
      <c r="G749" s="69">
        <v>50.55</v>
      </c>
      <c r="H749" s="68">
        <f t="shared" si="1"/>
        <v>194.1</v>
      </c>
      <c r="I749" s="81">
        <f>IFERROR(__xludf.DUMMYFUNCTION("IF(G749="""", """", ROUND(G749 / MAX(FILTER($G$2:$G5067, $D$2:$D5067=$D749)) * 100, 2))"),99.12)</f>
        <v>99.12</v>
      </c>
      <c r="J749" s="81">
        <f>IFERROR(__xludf.DUMMYFUNCTION("IF(H749="""", """", ROUND(H749 / MAX(FILTER($H$2:$H5067, $D$2:$D5067=$D749)) * 100, 2))"),61.13)</f>
        <v>61.13</v>
      </c>
      <c r="K749" s="2"/>
      <c r="L749" s="48"/>
      <c r="M749" s="48"/>
      <c r="N749" s="48"/>
      <c r="O749" s="48" t="str">
        <f t="shared" si="2"/>
        <v/>
      </c>
      <c r="P749" s="48" t="str">
        <f t="shared" si="3"/>
        <v/>
      </c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</row>
    <row r="750">
      <c r="A750" s="63">
        <v>50.0</v>
      </c>
      <c r="B750" s="63">
        <v>67.0</v>
      </c>
      <c r="C750" s="64" t="s">
        <v>198</v>
      </c>
      <c r="D750" s="64" t="s">
        <v>199</v>
      </c>
      <c r="E750" s="64" t="s">
        <v>200</v>
      </c>
      <c r="F750" s="63">
        <v>3150.0</v>
      </c>
      <c r="G750" s="63">
        <v>51.0</v>
      </c>
      <c r="H750" s="66">
        <f t="shared" si="1"/>
        <v>224.31</v>
      </c>
      <c r="I750" s="81">
        <f>IFERROR(__xludf.DUMMYFUNCTION("IF(G750="""", """", ROUND(G750 / MAX(FILTER($G$2:$G5067, $D$2:$D5067=$D750)) * 100, 2))"),100.0)</f>
        <v>100</v>
      </c>
      <c r="J750" s="81">
        <f>IFERROR(__xludf.DUMMYFUNCTION("IF(H750="""", """", ROUND(H750 / MAX(FILTER($H$2:$H5067, $D$2:$D5067=$D750)) * 100, 2))"),70.64)</f>
        <v>70.64</v>
      </c>
      <c r="K750" s="2"/>
      <c r="L750" s="49"/>
      <c r="M750" s="49"/>
      <c r="N750" s="49"/>
      <c r="O750" s="49" t="str">
        <f t="shared" si="2"/>
        <v/>
      </c>
      <c r="P750" s="49" t="str">
        <f t="shared" si="3"/>
        <v/>
      </c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</row>
    <row r="751">
      <c r="A751" s="69">
        <v>50.0</v>
      </c>
      <c r="B751" s="69">
        <v>67.0</v>
      </c>
      <c r="C751" s="86" t="s">
        <v>198</v>
      </c>
      <c r="D751" s="86" t="s">
        <v>199</v>
      </c>
      <c r="E751" s="86" t="s">
        <v>200</v>
      </c>
      <c r="F751" s="69">
        <v>4000.0</v>
      </c>
      <c r="G751" s="69">
        <v>50.25</v>
      </c>
      <c r="H751" s="68">
        <f t="shared" si="1"/>
        <v>280.65</v>
      </c>
      <c r="I751" s="81">
        <f>IFERROR(__xludf.DUMMYFUNCTION("IF(G751="""", """", ROUND(G751 / MAX(FILTER($G$2:$G5067, $D$2:$D5067=$D751)) * 100, 2))"),98.53)</f>
        <v>98.53</v>
      </c>
      <c r="J751" s="81">
        <f>IFERROR(__xludf.DUMMYFUNCTION("IF(H751="""", """", ROUND(H751 / MAX(FILTER($H$2:$H5067, $D$2:$D5067=$D751)) * 100, 2))"),88.38)</f>
        <v>88.38</v>
      </c>
      <c r="K751" s="2"/>
      <c r="L751" s="48"/>
      <c r="M751" s="48"/>
      <c r="N751" s="48"/>
      <c r="O751" s="48" t="str">
        <f t="shared" si="2"/>
        <v/>
      </c>
      <c r="P751" s="48" t="str">
        <f t="shared" si="3"/>
        <v/>
      </c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</row>
    <row r="752">
      <c r="A752" s="63">
        <v>50.0</v>
      </c>
      <c r="B752" s="63">
        <v>67.0</v>
      </c>
      <c r="C752" s="64" t="s">
        <v>198</v>
      </c>
      <c r="D752" s="64" t="s">
        <v>199</v>
      </c>
      <c r="E752" s="64" t="s">
        <v>200</v>
      </c>
      <c r="F752" s="63">
        <v>4500.0</v>
      </c>
      <c r="G752" s="63">
        <v>48.35</v>
      </c>
      <c r="H752" s="66">
        <f t="shared" si="1"/>
        <v>303.79</v>
      </c>
      <c r="I752" s="81">
        <f>IFERROR(__xludf.DUMMYFUNCTION("IF(G752="""", """", ROUND(G752 / MAX(FILTER($G$2:$G5067, $D$2:$D5067=$D752)) * 100, 2))"),94.8)</f>
        <v>94.8</v>
      </c>
      <c r="J752" s="81">
        <f>IFERROR(__xludf.DUMMYFUNCTION("IF(H752="""", """", ROUND(H752 / MAX(FILTER($H$2:$H5067, $D$2:$D5067=$D752)) * 100, 2))"),95.67)</f>
        <v>95.67</v>
      </c>
      <c r="K752" s="2"/>
      <c r="L752" s="49"/>
      <c r="M752" s="49"/>
      <c r="N752" s="49"/>
      <c r="O752" s="49" t="str">
        <f t="shared" si="2"/>
        <v/>
      </c>
      <c r="P752" s="49" t="str">
        <f t="shared" si="3"/>
        <v/>
      </c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</row>
    <row r="753">
      <c r="A753" s="69">
        <v>50.0</v>
      </c>
      <c r="B753" s="69">
        <v>67.0</v>
      </c>
      <c r="C753" s="86" t="s">
        <v>198</v>
      </c>
      <c r="D753" s="86" t="s">
        <v>199</v>
      </c>
      <c r="E753" s="86" t="s">
        <v>200</v>
      </c>
      <c r="F753" s="69">
        <v>5000.0</v>
      </c>
      <c r="G753" s="69">
        <v>45.25</v>
      </c>
      <c r="H753" s="68">
        <f t="shared" si="1"/>
        <v>315.9</v>
      </c>
      <c r="I753" s="81">
        <f>IFERROR(__xludf.DUMMYFUNCTION("IF(G753="""", """", ROUND(G753 / MAX(FILTER($G$2:$G5067, $D$2:$D5067=$D753)) * 100, 2))"),88.73)</f>
        <v>88.73</v>
      </c>
      <c r="J753" s="81">
        <f>IFERROR(__xludf.DUMMYFUNCTION("IF(H753="""", """", ROUND(H753 / MAX(FILTER($H$2:$H5067, $D$2:$D5067=$D753)) * 100, 2))"),99.48)</f>
        <v>99.48</v>
      </c>
      <c r="K753" s="2"/>
      <c r="L753" s="48"/>
      <c r="M753" s="48"/>
      <c r="N753" s="48"/>
      <c r="O753" s="48" t="str">
        <f t="shared" si="2"/>
        <v/>
      </c>
      <c r="P753" s="48" t="str">
        <f t="shared" si="3"/>
        <v/>
      </c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</row>
    <row r="754">
      <c r="A754" s="63">
        <v>50.0</v>
      </c>
      <c r="B754" s="63">
        <v>67.0</v>
      </c>
      <c r="C754" s="64" t="s">
        <v>198</v>
      </c>
      <c r="D754" s="64" t="s">
        <v>199</v>
      </c>
      <c r="E754" s="64" t="s">
        <v>200</v>
      </c>
      <c r="F754" s="63">
        <v>5500.0</v>
      </c>
      <c r="G754" s="63">
        <v>41.35</v>
      </c>
      <c r="H754" s="66">
        <f t="shared" si="1"/>
        <v>317.54</v>
      </c>
      <c r="I754" s="81">
        <f>IFERROR(__xludf.DUMMYFUNCTION("IF(G754="""", """", ROUND(G754 / MAX(FILTER($G$2:$G5067, $D$2:$D5067=$D754)) * 100, 2))"),81.08)</f>
        <v>81.08</v>
      </c>
      <c r="J754" s="81">
        <f>IFERROR(__xludf.DUMMYFUNCTION("IF(H754="""", """", ROUND(H754 / MAX(FILTER($H$2:$H5067, $D$2:$D5067=$D754)) * 100, 2))"),100.0)</f>
        <v>100</v>
      </c>
      <c r="K754" s="2"/>
      <c r="L754" s="49"/>
      <c r="M754" s="49"/>
      <c r="N754" s="49"/>
      <c r="O754" s="49" t="str">
        <f t="shared" si="2"/>
        <v/>
      </c>
      <c r="P754" s="49" t="str">
        <f t="shared" si="3"/>
        <v/>
      </c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</row>
    <row r="755">
      <c r="A755" s="69">
        <v>50.0</v>
      </c>
      <c r="B755" s="69">
        <v>67.0</v>
      </c>
      <c r="C755" s="86" t="s">
        <v>198</v>
      </c>
      <c r="D755" s="86" t="s">
        <v>199</v>
      </c>
      <c r="E755" s="86" t="s">
        <v>200</v>
      </c>
      <c r="F755" s="69">
        <v>6100.0</v>
      </c>
      <c r="G755" s="69">
        <v>35.75</v>
      </c>
      <c r="H755" s="68">
        <f t="shared" si="1"/>
        <v>304.49</v>
      </c>
      <c r="I755" s="81">
        <f>IFERROR(__xludf.DUMMYFUNCTION("IF(G755="""", """", ROUND(G755 / MAX(FILTER($G$2:$G5067, $D$2:$D5067=$D755)) * 100, 2))"),70.1)</f>
        <v>70.1</v>
      </c>
      <c r="J755" s="81">
        <f>IFERROR(__xludf.DUMMYFUNCTION("IF(H755="""", """", ROUND(H755 / MAX(FILTER($H$2:$H5067, $D$2:$D5067=$D755)) * 100, 2))"),95.89)</f>
        <v>95.89</v>
      </c>
      <c r="K755" s="2"/>
      <c r="L755" s="48"/>
      <c r="M755" s="48"/>
      <c r="N755" s="48"/>
      <c r="O755" s="48" t="str">
        <f t="shared" si="2"/>
        <v/>
      </c>
      <c r="P755" s="48" t="str">
        <f t="shared" si="3"/>
        <v/>
      </c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</row>
    <row r="756">
      <c r="A756" s="63">
        <v>50.0</v>
      </c>
      <c r="B756" s="63">
        <v>67.0</v>
      </c>
      <c r="C756" s="64" t="s">
        <v>198</v>
      </c>
      <c r="D756" s="64" t="s">
        <v>199</v>
      </c>
      <c r="E756" s="64" t="s">
        <v>200</v>
      </c>
      <c r="F756" s="63">
        <v>6500.0</v>
      </c>
      <c r="G756" s="63">
        <v>31.1</v>
      </c>
      <c r="H756" s="66">
        <f t="shared" si="1"/>
        <v>282.25</v>
      </c>
      <c r="I756" s="81">
        <f>IFERROR(__xludf.DUMMYFUNCTION("IF(G756="""", """", ROUND(G756 / MAX(FILTER($G$2:$G5067, $D$2:$D5067=$D756)) * 100, 2))"),60.98)</f>
        <v>60.98</v>
      </c>
      <c r="J756" s="81">
        <f>IFERROR(__xludf.DUMMYFUNCTION("IF(H756="""", """", ROUND(H756 / MAX(FILTER($H$2:$H5067, $D$2:$D5067=$D756)) * 100, 2))"),88.89)</f>
        <v>88.89</v>
      </c>
      <c r="K756" s="2"/>
      <c r="L756" s="49"/>
      <c r="M756" s="49"/>
      <c r="N756" s="49"/>
      <c r="O756" s="49" t="str">
        <f t="shared" si="2"/>
        <v/>
      </c>
      <c r="P756" s="49" t="str">
        <f t="shared" si="3"/>
        <v/>
      </c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</row>
    <row r="757">
      <c r="A757" s="69">
        <v>50.0</v>
      </c>
      <c r="B757" s="69">
        <v>67.0</v>
      </c>
      <c r="C757" s="86" t="s">
        <v>198</v>
      </c>
      <c r="D757" s="86" t="s">
        <v>199</v>
      </c>
      <c r="E757" s="86" t="s">
        <v>200</v>
      </c>
      <c r="F757" s="69">
        <v>7000.0</v>
      </c>
      <c r="G757" s="69">
        <v>24.65</v>
      </c>
      <c r="H757" s="68">
        <f t="shared" si="1"/>
        <v>240.92</v>
      </c>
      <c r="I757" s="81">
        <f>IFERROR(__xludf.DUMMYFUNCTION("IF(G757="""", """", ROUND(G757 / MAX(FILTER($G$2:$G5067, $D$2:$D5067=$D757)) * 100, 2))"),48.33)</f>
        <v>48.33</v>
      </c>
      <c r="J757" s="81">
        <f>IFERROR(__xludf.DUMMYFUNCTION("IF(H757="""", """", ROUND(H757 / MAX(FILTER($H$2:$H5067, $D$2:$D5067=$D757)) * 100, 2))"),75.87)</f>
        <v>75.87</v>
      </c>
      <c r="K757" s="2"/>
      <c r="L757" s="48"/>
      <c r="M757" s="48"/>
      <c r="N757" s="48"/>
      <c r="O757" s="48" t="str">
        <f t="shared" si="2"/>
        <v/>
      </c>
      <c r="P757" s="48" t="str">
        <f t="shared" si="3"/>
        <v/>
      </c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</row>
    <row r="758">
      <c r="A758" s="63">
        <v>51.0</v>
      </c>
      <c r="B758" s="63">
        <v>69.0</v>
      </c>
      <c r="C758" s="64" t="s">
        <v>201</v>
      </c>
      <c r="D758" s="64" t="s">
        <v>202</v>
      </c>
      <c r="E758" s="64" t="s">
        <v>203</v>
      </c>
      <c r="F758" s="63">
        <v>500.0</v>
      </c>
      <c r="G758" s="63">
        <v>35.25</v>
      </c>
      <c r="H758" s="66">
        <f t="shared" si="1"/>
        <v>24.61</v>
      </c>
      <c r="I758" s="81">
        <f>IFERROR(__xludf.DUMMYFUNCTION("IF(G758="""", """", ROUND(G758 / MAX(FILTER($G$2:$G5067, $D$2:$D5067=$D758)) * 100, 2))"),75.16)</f>
        <v>75.16</v>
      </c>
      <c r="J758" s="81">
        <f>IFERROR(__xludf.DUMMYFUNCTION("IF(H758="""", """", ROUND(H758 / MAX(FILTER($H$2:$H5067, $D$2:$D5067=$D758)) * 100, 2))"),8.07)</f>
        <v>8.07</v>
      </c>
      <c r="K758" s="2"/>
      <c r="L758" s="49"/>
      <c r="M758" s="49"/>
      <c r="N758" s="49"/>
      <c r="O758" s="49" t="str">
        <f t="shared" si="2"/>
        <v/>
      </c>
      <c r="P758" s="49" t="str">
        <f t="shared" si="3"/>
        <v/>
      </c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</row>
    <row r="759">
      <c r="A759" s="69">
        <v>51.0</v>
      </c>
      <c r="B759" s="69">
        <v>69.0</v>
      </c>
      <c r="C759" s="86" t="s">
        <v>201</v>
      </c>
      <c r="D759" s="86" t="s">
        <v>202</v>
      </c>
      <c r="E759" s="86" t="s">
        <v>203</v>
      </c>
      <c r="F759" s="69">
        <v>1000.0</v>
      </c>
      <c r="G759" s="69">
        <v>40.13</v>
      </c>
      <c r="H759" s="68">
        <f t="shared" si="1"/>
        <v>56.03</v>
      </c>
      <c r="I759" s="81">
        <f>IFERROR(__xludf.DUMMYFUNCTION("IF(G759="""", """", ROUND(G759 / MAX(FILTER($G$2:$G5067, $D$2:$D5067=$D759)) * 100, 2))"),85.57)</f>
        <v>85.57</v>
      </c>
      <c r="J759" s="81">
        <f>IFERROR(__xludf.DUMMYFUNCTION("IF(H759="""", """", ROUND(H759 / MAX(FILTER($H$2:$H5067, $D$2:$D5067=$D759)) * 100, 2))"),18.37)</f>
        <v>18.37</v>
      </c>
      <c r="K759" s="2"/>
      <c r="L759" s="48"/>
      <c r="M759" s="48"/>
      <c r="N759" s="48"/>
      <c r="O759" s="48" t="str">
        <f t="shared" si="2"/>
        <v/>
      </c>
      <c r="P759" s="48" t="str">
        <f t="shared" si="3"/>
        <v/>
      </c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</row>
    <row r="760">
      <c r="A760" s="63">
        <v>51.0</v>
      </c>
      <c r="B760" s="63">
        <v>69.0</v>
      </c>
      <c r="C760" s="64" t="s">
        <v>201</v>
      </c>
      <c r="D760" s="64" t="s">
        <v>202</v>
      </c>
      <c r="E760" s="64" t="s">
        <v>203</v>
      </c>
      <c r="F760" s="63">
        <v>1500.0</v>
      </c>
      <c r="G760" s="63">
        <v>43.5</v>
      </c>
      <c r="H760" s="66">
        <f t="shared" si="1"/>
        <v>91.11</v>
      </c>
      <c r="I760" s="81">
        <f>IFERROR(__xludf.DUMMYFUNCTION("IF(G760="""", """", ROUND(G760 / MAX(FILTER($G$2:$G5067, $D$2:$D5067=$D760)) * 100, 2))"),92.75)</f>
        <v>92.75</v>
      </c>
      <c r="J760" s="81">
        <f>IFERROR(__xludf.DUMMYFUNCTION("IF(H760="""", """", ROUND(H760 / MAX(FILTER($H$2:$H5067, $D$2:$D5067=$D760)) * 100, 2))"),29.88)</f>
        <v>29.88</v>
      </c>
      <c r="K760" s="2"/>
      <c r="L760" s="49"/>
      <c r="M760" s="49"/>
      <c r="N760" s="49"/>
      <c r="O760" s="49" t="str">
        <f t="shared" si="2"/>
        <v/>
      </c>
      <c r="P760" s="49" t="str">
        <f t="shared" si="3"/>
        <v/>
      </c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</row>
    <row r="761">
      <c r="A761" s="69">
        <v>51.0</v>
      </c>
      <c r="B761" s="69">
        <v>69.0</v>
      </c>
      <c r="C761" s="86" t="s">
        <v>201</v>
      </c>
      <c r="D761" s="86" t="s">
        <v>202</v>
      </c>
      <c r="E761" s="86" t="s">
        <v>203</v>
      </c>
      <c r="F761" s="69">
        <v>2000.0</v>
      </c>
      <c r="G761" s="69">
        <v>45.88</v>
      </c>
      <c r="H761" s="68">
        <f t="shared" si="1"/>
        <v>128.12</v>
      </c>
      <c r="I761" s="81">
        <f>IFERROR(__xludf.DUMMYFUNCTION("IF(G761="""", """", ROUND(G761 / MAX(FILTER($G$2:$G5067, $D$2:$D5067=$D761)) * 100, 2))"),97.83)</f>
        <v>97.83</v>
      </c>
      <c r="J761" s="81">
        <f>IFERROR(__xludf.DUMMYFUNCTION("IF(H761="""", """", ROUND(H761 / MAX(FILTER($H$2:$H5067, $D$2:$D5067=$D761)) * 100, 2))"),42.01)</f>
        <v>42.01</v>
      </c>
      <c r="K761" s="2"/>
      <c r="L761" s="48"/>
      <c r="M761" s="48"/>
      <c r="N761" s="48"/>
      <c r="O761" s="48" t="str">
        <f t="shared" si="2"/>
        <v/>
      </c>
      <c r="P761" s="48" t="str">
        <f t="shared" si="3"/>
        <v/>
      </c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</row>
    <row r="762">
      <c r="A762" s="63">
        <v>51.0</v>
      </c>
      <c r="B762" s="63">
        <v>69.0</v>
      </c>
      <c r="C762" s="64" t="s">
        <v>201</v>
      </c>
      <c r="D762" s="64" t="s">
        <v>202</v>
      </c>
      <c r="E762" s="64" t="s">
        <v>203</v>
      </c>
      <c r="F762" s="63">
        <v>2700.0</v>
      </c>
      <c r="G762" s="63">
        <v>46.9</v>
      </c>
      <c r="H762" s="66">
        <f t="shared" si="1"/>
        <v>176.81</v>
      </c>
      <c r="I762" s="81">
        <f>IFERROR(__xludf.DUMMYFUNCTION("IF(G762="""", """", ROUND(G762 / MAX(FILTER($G$2:$G5067, $D$2:$D5067=$D762)) * 100, 2))"),100.0)</f>
        <v>100</v>
      </c>
      <c r="J762" s="81">
        <f>IFERROR(__xludf.DUMMYFUNCTION("IF(H762="""", """", ROUND(H762 / MAX(FILTER($H$2:$H5067, $D$2:$D5067=$D762)) * 100, 2))"),57.98)</f>
        <v>57.98</v>
      </c>
      <c r="K762" s="2"/>
      <c r="L762" s="49"/>
      <c r="M762" s="49"/>
      <c r="N762" s="49"/>
      <c r="O762" s="49" t="str">
        <f t="shared" si="2"/>
        <v/>
      </c>
      <c r="P762" s="49" t="str">
        <f t="shared" si="3"/>
        <v/>
      </c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</row>
    <row r="763">
      <c r="A763" s="69">
        <v>51.0</v>
      </c>
      <c r="B763" s="69">
        <v>69.0</v>
      </c>
      <c r="C763" s="86" t="s">
        <v>201</v>
      </c>
      <c r="D763" s="86" t="s">
        <v>202</v>
      </c>
      <c r="E763" s="86" t="s">
        <v>203</v>
      </c>
      <c r="F763" s="69">
        <v>3000.0</v>
      </c>
      <c r="G763" s="69">
        <v>46.75</v>
      </c>
      <c r="H763" s="68">
        <f t="shared" si="1"/>
        <v>195.83</v>
      </c>
      <c r="I763" s="81">
        <f>IFERROR(__xludf.DUMMYFUNCTION("IF(G763="""", """", ROUND(G763 / MAX(FILTER($G$2:$G5067, $D$2:$D5067=$D763)) * 100, 2))"),99.68)</f>
        <v>99.68</v>
      </c>
      <c r="J763" s="81">
        <f>IFERROR(__xludf.DUMMYFUNCTION("IF(H763="""", """", ROUND(H763 / MAX(FILTER($H$2:$H5067, $D$2:$D5067=$D763)) * 100, 2))"),64.22)</f>
        <v>64.22</v>
      </c>
      <c r="K763" s="2"/>
      <c r="L763" s="48"/>
      <c r="M763" s="48"/>
      <c r="N763" s="48"/>
      <c r="O763" s="48" t="str">
        <f t="shared" si="2"/>
        <v/>
      </c>
      <c r="P763" s="48" t="str">
        <f t="shared" si="3"/>
        <v/>
      </c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</row>
    <row r="764">
      <c r="A764" s="63">
        <v>51.0</v>
      </c>
      <c r="B764" s="63">
        <v>69.0</v>
      </c>
      <c r="C764" s="64" t="s">
        <v>201</v>
      </c>
      <c r="D764" s="64" t="s">
        <v>202</v>
      </c>
      <c r="E764" s="64" t="s">
        <v>203</v>
      </c>
      <c r="F764" s="63">
        <v>3500.0</v>
      </c>
      <c r="G764" s="63">
        <v>46.5</v>
      </c>
      <c r="H764" s="66">
        <f t="shared" si="1"/>
        <v>227.24</v>
      </c>
      <c r="I764" s="81">
        <f>IFERROR(__xludf.DUMMYFUNCTION("IF(G764="""", """", ROUND(G764 / MAX(FILTER($G$2:$G5067, $D$2:$D5067=$D764)) * 100, 2))"),99.15)</f>
        <v>99.15</v>
      </c>
      <c r="J764" s="81">
        <f>IFERROR(__xludf.DUMMYFUNCTION("IF(H764="""", """", ROUND(H764 / MAX(FILTER($H$2:$H5067, $D$2:$D5067=$D764)) * 100, 2))"),74.52)</f>
        <v>74.52</v>
      </c>
      <c r="K764" s="2"/>
      <c r="L764" s="49"/>
      <c r="M764" s="49"/>
      <c r="N764" s="49"/>
      <c r="O764" s="49" t="str">
        <f t="shared" si="2"/>
        <v/>
      </c>
      <c r="P764" s="49" t="str">
        <f t="shared" si="3"/>
        <v/>
      </c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</row>
    <row r="765">
      <c r="A765" s="69">
        <v>51.0</v>
      </c>
      <c r="B765" s="69">
        <v>69.0</v>
      </c>
      <c r="C765" s="86" t="s">
        <v>201</v>
      </c>
      <c r="D765" s="86" t="s">
        <v>202</v>
      </c>
      <c r="E765" s="86" t="s">
        <v>203</v>
      </c>
      <c r="F765" s="69">
        <v>4000.0</v>
      </c>
      <c r="G765" s="69">
        <v>46.13</v>
      </c>
      <c r="H765" s="68">
        <f t="shared" si="1"/>
        <v>257.64</v>
      </c>
      <c r="I765" s="81">
        <f>IFERROR(__xludf.DUMMYFUNCTION("IF(G765="""", """", ROUND(G765 / MAX(FILTER($G$2:$G5067, $D$2:$D5067=$D765)) * 100, 2))"),98.36)</f>
        <v>98.36</v>
      </c>
      <c r="J765" s="81">
        <f>IFERROR(__xludf.DUMMYFUNCTION("IF(H765="""", """", ROUND(H765 / MAX(FILTER($H$2:$H5067, $D$2:$D5067=$D765)) * 100, 2))"),84.49)</f>
        <v>84.49</v>
      </c>
      <c r="K765" s="2"/>
      <c r="L765" s="48"/>
      <c r="M765" s="48"/>
      <c r="N765" s="48"/>
      <c r="O765" s="48" t="str">
        <f t="shared" si="2"/>
        <v/>
      </c>
      <c r="P765" s="48" t="str">
        <f t="shared" si="3"/>
        <v/>
      </c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</row>
    <row r="766">
      <c r="A766" s="63">
        <v>51.0</v>
      </c>
      <c r="B766" s="63">
        <v>69.0</v>
      </c>
      <c r="C766" s="64" t="s">
        <v>201</v>
      </c>
      <c r="D766" s="64" t="s">
        <v>202</v>
      </c>
      <c r="E766" s="64" t="s">
        <v>203</v>
      </c>
      <c r="F766" s="63">
        <v>4500.0</v>
      </c>
      <c r="G766" s="63">
        <v>45.0</v>
      </c>
      <c r="H766" s="66">
        <f t="shared" si="1"/>
        <v>282.74</v>
      </c>
      <c r="I766" s="81">
        <f>IFERROR(__xludf.DUMMYFUNCTION("IF(G766="""", """", ROUND(G766 / MAX(FILTER($G$2:$G5067, $D$2:$D5067=$D766)) * 100, 2))"),95.95)</f>
        <v>95.95</v>
      </c>
      <c r="J766" s="81">
        <f>IFERROR(__xludf.DUMMYFUNCTION("IF(H766="""", """", ROUND(H766 / MAX(FILTER($H$2:$H5067, $D$2:$D5067=$D766)) * 100, 2))"),92.72)</f>
        <v>92.72</v>
      </c>
      <c r="K766" s="2"/>
      <c r="L766" s="49"/>
      <c r="M766" s="49"/>
      <c r="N766" s="49"/>
      <c r="O766" s="49" t="str">
        <f t="shared" si="2"/>
        <v/>
      </c>
      <c r="P766" s="49" t="str">
        <f t="shared" si="3"/>
        <v/>
      </c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</row>
    <row r="767">
      <c r="A767" s="69">
        <v>51.0</v>
      </c>
      <c r="B767" s="69">
        <v>69.0</v>
      </c>
      <c r="C767" s="86" t="s">
        <v>201</v>
      </c>
      <c r="D767" s="86" t="s">
        <v>202</v>
      </c>
      <c r="E767" s="86" t="s">
        <v>203</v>
      </c>
      <c r="F767" s="69">
        <v>5000.0</v>
      </c>
      <c r="G767" s="69">
        <v>43.13</v>
      </c>
      <c r="H767" s="68">
        <f t="shared" si="1"/>
        <v>301.1</v>
      </c>
      <c r="I767" s="81">
        <f>IFERROR(__xludf.DUMMYFUNCTION("IF(G767="""", """", ROUND(G767 / MAX(FILTER($G$2:$G5067, $D$2:$D5067=$D767)) * 100, 2))"),91.96)</f>
        <v>91.96</v>
      </c>
      <c r="J767" s="81">
        <f>IFERROR(__xludf.DUMMYFUNCTION("IF(H767="""", """", ROUND(H767 / MAX(FILTER($H$2:$H5067, $D$2:$D5067=$D767)) * 100, 2))"),98.74)</f>
        <v>98.74</v>
      </c>
      <c r="K767" s="2"/>
      <c r="L767" s="48"/>
      <c r="M767" s="48"/>
      <c r="N767" s="48"/>
      <c r="O767" s="48" t="str">
        <f t="shared" si="2"/>
        <v/>
      </c>
      <c r="P767" s="48" t="str">
        <f t="shared" si="3"/>
        <v/>
      </c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</row>
    <row r="768">
      <c r="A768" s="63">
        <v>51.0</v>
      </c>
      <c r="B768" s="63">
        <v>69.0</v>
      </c>
      <c r="C768" s="64" t="s">
        <v>201</v>
      </c>
      <c r="D768" s="64" t="s">
        <v>202</v>
      </c>
      <c r="E768" s="64" t="s">
        <v>203</v>
      </c>
      <c r="F768" s="63">
        <v>5600.0</v>
      </c>
      <c r="G768" s="63">
        <v>39.0</v>
      </c>
      <c r="H768" s="66">
        <f t="shared" si="1"/>
        <v>304.94</v>
      </c>
      <c r="I768" s="81">
        <f>IFERROR(__xludf.DUMMYFUNCTION("IF(G768="""", """", ROUND(G768 / MAX(FILTER($G$2:$G5067, $D$2:$D5067=$D768)) * 100, 2))"),83.16)</f>
        <v>83.16</v>
      </c>
      <c r="J768" s="81">
        <f>IFERROR(__xludf.DUMMYFUNCTION("IF(H768="""", """", ROUND(H768 / MAX(FILTER($H$2:$H5067, $D$2:$D5067=$D768)) * 100, 2))"),100.0)</f>
        <v>100</v>
      </c>
      <c r="K768" s="2"/>
      <c r="L768" s="49"/>
      <c r="M768" s="49"/>
      <c r="N768" s="49"/>
      <c r="O768" s="49" t="str">
        <f t="shared" si="2"/>
        <v/>
      </c>
      <c r="P768" s="49" t="str">
        <f t="shared" si="3"/>
        <v/>
      </c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</row>
    <row r="769">
      <c r="A769" s="69">
        <v>51.0</v>
      </c>
      <c r="B769" s="69">
        <v>69.0</v>
      </c>
      <c r="C769" s="86" t="s">
        <v>201</v>
      </c>
      <c r="D769" s="86" t="s">
        <v>202</v>
      </c>
      <c r="E769" s="86" t="s">
        <v>203</v>
      </c>
      <c r="F769" s="69">
        <v>6000.0</v>
      </c>
      <c r="G769" s="69">
        <v>35.25</v>
      </c>
      <c r="H769" s="68">
        <f t="shared" si="1"/>
        <v>295.31</v>
      </c>
      <c r="I769" s="81">
        <f>IFERROR(__xludf.DUMMYFUNCTION("IF(G769="""", """", ROUND(G769 / MAX(FILTER($G$2:$G5067, $D$2:$D5067=$D769)) * 100, 2))"),75.16)</f>
        <v>75.16</v>
      </c>
      <c r="J769" s="81">
        <f>IFERROR(__xludf.DUMMYFUNCTION("IF(H769="""", """", ROUND(H769 / MAX(FILTER($H$2:$H5067, $D$2:$D5067=$D769)) * 100, 2))"),96.84)</f>
        <v>96.84</v>
      </c>
      <c r="K769" s="2"/>
      <c r="L769" s="48"/>
      <c r="M769" s="48"/>
      <c r="N769" s="48"/>
      <c r="O769" s="48" t="str">
        <f t="shared" si="2"/>
        <v/>
      </c>
      <c r="P769" s="48" t="str">
        <f t="shared" si="3"/>
        <v/>
      </c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</row>
    <row r="770">
      <c r="A770" s="63">
        <v>51.0</v>
      </c>
      <c r="B770" s="63">
        <v>69.0</v>
      </c>
      <c r="C770" s="64" t="s">
        <v>201</v>
      </c>
      <c r="D770" s="64" t="s">
        <v>202</v>
      </c>
      <c r="E770" s="64" t="s">
        <v>203</v>
      </c>
      <c r="F770" s="63">
        <v>6500.0</v>
      </c>
      <c r="G770" s="63">
        <v>29.5</v>
      </c>
      <c r="H770" s="66">
        <f t="shared" si="1"/>
        <v>267.73</v>
      </c>
      <c r="I770" s="81">
        <f>IFERROR(__xludf.DUMMYFUNCTION("IF(G770="""", """", ROUND(G770 / MAX(FILTER($G$2:$G5067, $D$2:$D5067=$D770)) * 100, 2))"),62.9)</f>
        <v>62.9</v>
      </c>
      <c r="J770" s="81">
        <f>IFERROR(__xludf.DUMMYFUNCTION("IF(H770="""", """", ROUND(H770 / MAX(FILTER($H$2:$H5067, $D$2:$D5067=$D770)) * 100, 2))"),87.8)</f>
        <v>87.8</v>
      </c>
      <c r="K770" s="2"/>
      <c r="L770" s="49"/>
      <c r="M770" s="49"/>
      <c r="N770" s="49"/>
      <c r="O770" s="49" t="str">
        <f t="shared" si="2"/>
        <v/>
      </c>
      <c r="P770" s="49" t="str">
        <f t="shared" si="3"/>
        <v/>
      </c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</row>
    <row r="771">
      <c r="A771" s="69">
        <v>52.0</v>
      </c>
      <c r="B771" s="69">
        <v>79.0</v>
      </c>
      <c r="C771" s="86" t="s">
        <v>204</v>
      </c>
      <c r="D771" s="86" t="s">
        <v>205</v>
      </c>
      <c r="E771" s="86" t="s">
        <v>206</v>
      </c>
      <c r="F771" s="69">
        <v>500.0</v>
      </c>
      <c r="G771" s="69">
        <v>9.05</v>
      </c>
      <c r="H771" s="68">
        <f t="shared" si="1"/>
        <v>6.32</v>
      </c>
      <c r="I771" s="81">
        <f>IFERROR(__xludf.DUMMYFUNCTION("IF(G771="""", """", ROUND(G771 / MAX(FILTER($G$2:$G5067, $D$2:$D5067=$D771)) * 100, 2))"),70.43)</f>
        <v>70.43</v>
      </c>
      <c r="J771" s="81">
        <f>IFERROR(__xludf.DUMMYFUNCTION("IF(H771="""", """", ROUND(H771 / MAX(FILTER($H$2:$H5067, $D$2:$D5067=$D771)) * 100, 2))"),8.45)</f>
        <v>8.45</v>
      </c>
      <c r="K771" s="2"/>
      <c r="L771" s="48"/>
      <c r="M771" s="48"/>
      <c r="N771" s="48"/>
      <c r="O771" s="48" t="str">
        <f t="shared" si="2"/>
        <v/>
      </c>
      <c r="P771" s="48" t="str">
        <f t="shared" si="3"/>
        <v/>
      </c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</row>
    <row r="772">
      <c r="A772" s="63">
        <v>52.0</v>
      </c>
      <c r="B772" s="63">
        <v>79.0</v>
      </c>
      <c r="C772" s="64" t="s">
        <v>204</v>
      </c>
      <c r="D772" s="64" t="s">
        <v>205</v>
      </c>
      <c r="E772" s="64" t="s">
        <v>206</v>
      </c>
      <c r="F772" s="63">
        <v>1000.0</v>
      </c>
      <c r="G772" s="63">
        <v>10.71</v>
      </c>
      <c r="H772" s="66">
        <f t="shared" si="1"/>
        <v>14.95</v>
      </c>
      <c r="I772" s="81">
        <f>IFERROR(__xludf.DUMMYFUNCTION("IF(G772="""", """", ROUND(G772 / MAX(FILTER($G$2:$G5067, $D$2:$D5067=$D772)) * 100, 2))"),83.35)</f>
        <v>83.35</v>
      </c>
      <c r="J772" s="81">
        <f>IFERROR(__xludf.DUMMYFUNCTION("IF(H772="""", """", ROUND(H772 / MAX(FILTER($H$2:$H5067, $D$2:$D5067=$D772)) * 100, 2))"),19.99)</f>
        <v>19.99</v>
      </c>
      <c r="K772" s="2"/>
      <c r="L772" s="49"/>
      <c r="M772" s="49"/>
      <c r="N772" s="49"/>
      <c r="O772" s="49" t="str">
        <f t="shared" si="2"/>
        <v/>
      </c>
      <c r="P772" s="49" t="str">
        <f t="shared" si="3"/>
        <v/>
      </c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</row>
    <row r="773">
      <c r="A773" s="69">
        <v>52.0</v>
      </c>
      <c r="B773" s="69">
        <v>79.0</v>
      </c>
      <c r="C773" s="86" t="s">
        <v>204</v>
      </c>
      <c r="D773" s="86" t="s">
        <v>205</v>
      </c>
      <c r="E773" s="86" t="s">
        <v>206</v>
      </c>
      <c r="F773" s="69">
        <v>1500.0</v>
      </c>
      <c r="G773" s="69">
        <v>11.22</v>
      </c>
      <c r="H773" s="68">
        <f t="shared" si="1"/>
        <v>23.5</v>
      </c>
      <c r="I773" s="81">
        <f>IFERROR(__xludf.DUMMYFUNCTION("IF(G773="""", """", ROUND(G773 / MAX(FILTER($G$2:$G5067, $D$2:$D5067=$D773)) * 100, 2))"),87.32)</f>
        <v>87.32</v>
      </c>
      <c r="J773" s="81">
        <f>IFERROR(__xludf.DUMMYFUNCTION("IF(H773="""", """", ROUND(H773 / MAX(FILTER($H$2:$H5067, $D$2:$D5067=$D773)) * 100, 2))"),31.43)</f>
        <v>31.43</v>
      </c>
      <c r="K773" s="2"/>
      <c r="L773" s="48"/>
      <c r="M773" s="48"/>
      <c r="N773" s="48"/>
      <c r="O773" s="48" t="str">
        <f t="shared" si="2"/>
        <v/>
      </c>
      <c r="P773" s="48" t="str">
        <f t="shared" si="3"/>
        <v/>
      </c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</row>
    <row r="774">
      <c r="A774" s="63">
        <v>52.0</v>
      </c>
      <c r="B774" s="63">
        <v>79.0</v>
      </c>
      <c r="C774" s="64" t="s">
        <v>204</v>
      </c>
      <c r="D774" s="64" t="s">
        <v>205</v>
      </c>
      <c r="E774" s="64" t="s">
        <v>206</v>
      </c>
      <c r="F774" s="63">
        <v>2000.0</v>
      </c>
      <c r="G774" s="63">
        <v>11.59</v>
      </c>
      <c r="H774" s="66">
        <f t="shared" si="1"/>
        <v>32.37</v>
      </c>
      <c r="I774" s="81">
        <f>IFERROR(__xludf.DUMMYFUNCTION("IF(G774="""", """", ROUND(G774 / MAX(FILTER($G$2:$G5067, $D$2:$D5067=$D774)) * 100, 2))"),90.19)</f>
        <v>90.19</v>
      </c>
      <c r="J774" s="81">
        <f>IFERROR(__xludf.DUMMYFUNCTION("IF(H774="""", """", ROUND(H774 / MAX(FILTER($H$2:$H5067, $D$2:$D5067=$D774)) * 100, 2))"),43.29)</f>
        <v>43.29</v>
      </c>
      <c r="K774" s="2"/>
      <c r="L774" s="49"/>
      <c r="M774" s="49"/>
      <c r="N774" s="49"/>
      <c r="O774" s="49" t="str">
        <f t="shared" si="2"/>
        <v/>
      </c>
      <c r="P774" s="49" t="str">
        <f t="shared" si="3"/>
        <v/>
      </c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</row>
    <row r="775">
      <c r="A775" s="69">
        <v>52.0</v>
      </c>
      <c r="B775" s="69">
        <v>79.0</v>
      </c>
      <c r="C775" s="86" t="s">
        <v>204</v>
      </c>
      <c r="D775" s="86" t="s">
        <v>205</v>
      </c>
      <c r="E775" s="86" t="s">
        <v>206</v>
      </c>
      <c r="F775" s="69">
        <v>2500.0</v>
      </c>
      <c r="G775" s="69">
        <v>12.24</v>
      </c>
      <c r="H775" s="68">
        <f t="shared" si="1"/>
        <v>42.73</v>
      </c>
      <c r="I775" s="81">
        <f>IFERROR(__xludf.DUMMYFUNCTION("IF(G775="""", """", ROUND(G775 / MAX(FILTER($G$2:$G5067, $D$2:$D5067=$D775)) * 100, 2))"),95.25)</f>
        <v>95.25</v>
      </c>
      <c r="J775" s="81">
        <f>IFERROR(__xludf.DUMMYFUNCTION("IF(H775="""", """", ROUND(H775 / MAX(FILTER($H$2:$H5067, $D$2:$D5067=$D775)) * 100, 2))"),57.15)</f>
        <v>57.15</v>
      </c>
      <c r="K775" s="2"/>
      <c r="L775" s="48"/>
      <c r="M775" s="48"/>
      <c r="N775" s="48"/>
      <c r="O775" s="48" t="str">
        <f t="shared" si="2"/>
        <v/>
      </c>
      <c r="P775" s="48" t="str">
        <f t="shared" si="3"/>
        <v/>
      </c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</row>
    <row r="776">
      <c r="A776" s="63">
        <v>52.0</v>
      </c>
      <c r="B776" s="63">
        <v>79.0</v>
      </c>
      <c r="C776" s="64" t="s">
        <v>204</v>
      </c>
      <c r="D776" s="64" t="s">
        <v>205</v>
      </c>
      <c r="E776" s="64" t="s">
        <v>206</v>
      </c>
      <c r="F776" s="63">
        <v>3000.0</v>
      </c>
      <c r="G776" s="63">
        <v>12.75</v>
      </c>
      <c r="H776" s="66">
        <f t="shared" si="1"/>
        <v>53.41</v>
      </c>
      <c r="I776" s="81">
        <f>IFERROR(__xludf.DUMMYFUNCTION("IF(G776="""", """", ROUND(G776 / MAX(FILTER($G$2:$G5067, $D$2:$D5067=$D776)) * 100, 2))"),99.22)</f>
        <v>99.22</v>
      </c>
      <c r="J776" s="81">
        <f>IFERROR(__xludf.DUMMYFUNCTION("IF(H776="""", """", ROUND(H776 / MAX(FILTER($H$2:$H5067, $D$2:$D5067=$D776)) * 100, 2))"),71.43)</f>
        <v>71.43</v>
      </c>
      <c r="K776" s="2"/>
      <c r="L776" s="49"/>
      <c r="M776" s="49"/>
      <c r="N776" s="49"/>
      <c r="O776" s="49" t="str">
        <f t="shared" si="2"/>
        <v/>
      </c>
      <c r="P776" s="49" t="str">
        <f t="shared" si="3"/>
        <v/>
      </c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</row>
    <row r="777">
      <c r="A777" s="69">
        <v>52.0</v>
      </c>
      <c r="B777" s="69">
        <v>79.0</v>
      </c>
      <c r="C777" s="86" t="s">
        <v>204</v>
      </c>
      <c r="D777" s="86" t="s">
        <v>205</v>
      </c>
      <c r="E777" s="86" t="s">
        <v>206</v>
      </c>
      <c r="F777" s="69">
        <v>3800.0</v>
      </c>
      <c r="G777" s="69">
        <v>12.8</v>
      </c>
      <c r="H777" s="68">
        <f t="shared" si="1"/>
        <v>67.91</v>
      </c>
      <c r="I777" s="81">
        <f>IFERROR(__xludf.DUMMYFUNCTION("IF(G777="""", """", ROUND(G777 / MAX(FILTER($G$2:$G5067, $D$2:$D5067=$D777)) * 100, 2))"),99.61)</f>
        <v>99.61</v>
      </c>
      <c r="J777" s="81">
        <f>IFERROR(__xludf.DUMMYFUNCTION("IF(H777="""", """", ROUND(H777 / MAX(FILTER($H$2:$H5067, $D$2:$D5067=$D777)) * 100, 2))"),90.83)</f>
        <v>90.83</v>
      </c>
      <c r="K777" s="2"/>
      <c r="L777" s="48"/>
      <c r="M777" s="48"/>
      <c r="N777" s="48"/>
      <c r="O777" s="48" t="str">
        <f t="shared" si="2"/>
        <v/>
      </c>
      <c r="P777" s="48" t="str">
        <f t="shared" si="3"/>
        <v/>
      </c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</row>
    <row r="778">
      <c r="A778" s="63">
        <v>52.0</v>
      </c>
      <c r="B778" s="63">
        <v>79.0</v>
      </c>
      <c r="C778" s="64" t="s">
        <v>204</v>
      </c>
      <c r="D778" s="64" t="s">
        <v>205</v>
      </c>
      <c r="E778" s="64" t="s">
        <v>206</v>
      </c>
      <c r="F778" s="63">
        <v>4000.0</v>
      </c>
      <c r="G778" s="63">
        <v>12.85</v>
      </c>
      <c r="H778" s="66">
        <f t="shared" si="1"/>
        <v>71.77</v>
      </c>
      <c r="I778" s="81">
        <f>IFERROR(__xludf.DUMMYFUNCTION("IF(G778="""", """", ROUND(G778 / MAX(FILTER($G$2:$G5067, $D$2:$D5067=$D778)) * 100, 2))"),100.0)</f>
        <v>100</v>
      </c>
      <c r="J778" s="81">
        <f>IFERROR(__xludf.DUMMYFUNCTION("IF(H778="""", """", ROUND(H778 / MAX(FILTER($H$2:$H5067, $D$2:$D5067=$D778)) * 100, 2))"),95.99)</f>
        <v>95.99</v>
      </c>
      <c r="K778" s="2"/>
      <c r="L778" s="49"/>
      <c r="M778" s="49"/>
      <c r="N778" s="49"/>
      <c r="O778" s="49" t="str">
        <f t="shared" si="2"/>
        <v/>
      </c>
      <c r="P778" s="49" t="str">
        <f t="shared" si="3"/>
        <v/>
      </c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</row>
    <row r="779">
      <c r="A779" s="69">
        <v>52.0</v>
      </c>
      <c r="B779" s="69">
        <v>79.0</v>
      </c>
      <c r="C779" s="86" t="s">
        <v>204</v>
      </c>
      <c r="D779" s="86" t="s">
        <v>205</v>
      </c>
      <c r="E779" s="86" t="s">
        <v>206</v>
      </c>
      <c r="F779" s="69">
        <v>4500.0</v>
      </c>
      <c r="G779" s="69">
        <v>11.83</v>
      </c>
      <c r="H779" s="68">
        <f t="shared" si="1"/>
        <v>74.33</v>
      </c>
      <c r="I779" s="81">
        <f>IFERROR(__xludf.DUMMYFUNCTION("IF(G779="""", """", ROUND(G779 / MAX(FILTER($G$2:$G5067, $D$2:$D5067=$D779)) * 100, 2))"),92.06)</f>
        <v>92.06</v>
      </c>
      <c r="J779" s="81">
        <f>IFERROR(__xludf.DUMMYFUNCTION("IF(H779="""", """", ROUND(H779 / MAX(FILTER($H$2:$H5067, $D$2:$D5067=$D779)) * 100, 2))"),99.41)</f>
        <v>99.41</v>
      </c>
      <c r="K779" s="2"/>
      <c r="L779" s="48"/>
      <c r="M779" s="48"/>
      <c r="N779" s="48"/>
      <c r="O779" s="48" t="str">
        <f t="shared" si="2"/>
        <v/>
      </c>
      <c r="P779" s="48" t="str">
        <f t="shared" si="3"/>
        <v/>
      </c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</row>
    <row r="780">
      <c r="A780" s="63">
        <v>52.0</v>
      </c>
      <c r="B780" s="63">
        <v>79.0</v>
      </c>
      <c r="C780" s="64" t="s">
        <v>204</v>
      </c>
      <c r="D780" s="64" t="s">
        <v>205</v>
      </c>
      <c r="E780" s="64" t="s">
        <v>206</v>
      </c>
      <c r="F780" s="63">
        <v>5000.0</v>
      </c>
      <c r="G780" s="63">
        <v>10.71</v>
      </c>
      <c r="H780" s="66">
        <f t="shared" si="1"/>
        <v>74.77</v>
      </c>
      <c r="I780" s="81">
        <f>IFERROR(__xludf.DUMMYFUNCTION("IF(G780="""", """", ROUND(G780 / MAX(FILTER($G$2:$G5067, $D$2:$D5067=$D780)) * 100, 2))"),83.35)</f>
        <v>83.35</v>
      </c>
      <c r="J780" s="81">
        <f>IFERROR(__xludf.DUMMYFUNCTION("IF(H780="""", """", ROUND(H780 / MAX(FILTER($H$2:$H5067, $D$2:$D5067=$D780)) * 100, 2))"),100.0)</f>
        <v>100</v>
      </c>
      <c r="K780" s="2"/>
      <c r="L780" s="49"/>
      <c r="M780" s="49"/>
      <c r="N780" s="49"/>
      <c r="O780" s="49" t="str">
        <f t="shared" si="2"/>
        <v/>
      </c>
      <c r="P780" s="49" t="str">
        <f t="shared" si="3"/>
        <v/>
      </c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</row>
    <row r="781">
      <c r="A781" s="69">
        <v>52.0</v>
      </c>
      <c r="B781" s="69">
        <v>79.0</v>
      </c>
      <c r="C781" s="86" t="s">
        <v>204</v>
      </c>
      <c r="D781" s="86" t="s">
        <v>205</v>
      </c>
      <c r="E781" s="86" t="s">
        <v>206</v>
      </c>
      <c r="F781" s="69">
        <v>5500.0</v>
      </c>
      <c r="G781" s="69">
        <v>9.53</v>
      </c>
      <c r="H781" s="68">
        <f t="shared" si="1"/>
        <v>73.18</v>
      </c>
      <c r="I781" s="81">
        <f>IFERROR(__xludf.DUMMYFUNCTION("IF(G781="""", """", ROUND(G781 / MAX(FILTER($G$2:$G5067, $D$2:$D5067=$D781)) * 100, 2))"),74.16)</f>
        <v>74.16</v>
      </c>
      <c r="J781" s="81">
        <f>IFERROR(__xludf.DUMMYFUNCTION("IF(H781="""", """", ROUND(H781 / MAX(FILTER($H$2:$H5067, $D$2:$D5067=$D781)) * 100, 2))"),97.87)</f>
        <v>97.87</v>
      </c>
      <c r="K781" s="2"/>
      <c r="L781" s="48"/>
      <c r="M781" s="48"/>
      <c r="N781" s="48"/>
      <c r="O781" s="48" t="str">
        <f t="shared" si="2"/>
        <v/>
      </c>
      <c r="P781" s="48" t="str">
        <f t="shared" si="3"/>
        <v/>
      </c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</row>
    <row r="782">
      <c r="A782" s="63">
        <v>52.0</v>
      </c>
      <c r="B782" s="63">
        <v>79.0</v>
      </c>
      <c r="C782" s="64" t="s">
        <v>204</v>
      </c>
      <c r="D782" s="64" t="s">
        <v>205</v>
      </c>
      <c r="E782" s="64" t="s">
        <v>206</v>
      </c>
      <c r="F782" s="63">
        <v>6000.0</v>
      </c>
      <c r="G782" s="63">
        <v>8.35</v>
      </c>
      <c r="H782" s="66">
        <f t="shared" si="1"/>
        <v>69.95</v>
      </c>
      <c r="I782" s="81">
        <f>IFERROR(__xludf.DUMMYFUNCTION("IF(G782="""", """", ROUND(G782 / MAX(FILTER($G$2:$G5067, $D$2:$D5067=$D782)) * 100, 2))"),64.98)</f>
        <v>64.98</v>
      </c>
      <c r="J782" s="81">
        <f>IFERROR(__xludf.DUMMYFUNCTION("IF(H782="""", """", ROUND(H782 / MAX(FILTER($H$2:$H5067, $D$2:$D5067=$D782)) * 100, 2))"),93.55)</f>
        <v>93.55</v>
      </c>
      <c r="K782" s="2"/>
      <c r="L782" s="49"/>
      <c r="M782" s="49"/>
      <c r="N782" s="49"/>
      <c r="O782" s="49" t="str">
        <f t="shared" si="2"/>
        <v/>
      </c>
      <c r="P782" s="49" t="str">
        <f t="shared" si="3"/>
        <v/>
      </c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</row>
    <row r="783">
      <c r="A783" s="69">
        <v>52.0</v>
      </c>
      <c r="B783" s="69">
        <v>79.0</v>
      </c>
      <c r="C783" s="86" t="s">
        <v>204</v>
      </c>
      <c r="D783" s="86" t="s">
        <v>205</v>
      </c>
      <c r="E783" s="86" t="s">
        <v>206</v>
      </c>
      <c r="F783" s="69">
        <v>6500.0</v>
      </c>
      <c r="G783" s="69">
        <v>7.25</v>
      </c>
      <c r="H783" s="68">
        <f t="shared" si="1"/>
        <v>65.8</v>
      </c>
      <c r="I783" s="81">
        <f>IFERROR(__xludf.DUMMYFUNCTION("IF(G783="""", """", ROUND(G783 / MAX(FILTER($G$2:$G5067, $D$2:$D5067=$D783)) * 100, 2))"),56.42)</f>
        <v>56.42</v>
      </c>
      <c r="J783" s="81">
        <f>IFERROR(__xludf.DUMMYFUNCTION("IF(H783="""", """", ROUND(H783 / MAX(FILTER($H$2:$H5067, $D$2:$D5067=$D783)) * 100, 2))"),88.0)</f>
        <v>88</v>
      </c>
      <c r="K783" s="2"/>
      <c r="L783" s="48"/>
      <c r="M783" s="48"/>
      <c r="N783" s="48"/>
      <c r="O783" s="48" t="str">
        <f t="shared" si="2"/>
        <v/>
      </c>
      <c r="P783" s="48" t="str">
        <f t="shared" si="3"/>
        <v/>
      </c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</row>
    <row r="784">
      <c r="A784" s="63">
        <v>52.0</v>
      </c>
      <c r="B784" s="63">
        <v>79.0</v>
      </c>
      <c r="C784" s="64" t="s">
        <v>204</v>
      </c>
      <c r="D784" s="64" t="s">
        <v>205</v>
      </c>
      <c r="E784" s="64" t="s">
        <v>206</v>
      </c>
      <c r="F784" s="63">
        <v>7000.0</v>
      </c>
      <c r="G784" s="63">
        <v>5.45</v>
      </c>
      <c r="H784" s="66">
        <f t="shared" si="1"/>
        <v>53.27</v>
      </c>
      <c r="I784" s="81">
        <f>IFERROR(__xludf.DUMMYFUNCTION("IF(G784="""", """", ROUND(G784 / MAX(FILTER($G$2:$G5067, $D$2:$D5067=$D784)) * 100, 2))"),42.41)</f>
        <v>42.41</v>
      </c>
      <c r="J784" s="81">
        <f>IFERROR(__xludf.DUMMYFUNCTION("IF(H784="""", """", ROUND(H784 / MAX(FILTER($H$2:$H5067, $D$2:$D5067=$D784)) * 100, 2))"),71.25)</f>
        <v>71.25</v>
      </c>
      <c r="K784" s="2"/>
      <c r="L784" s="49"/>
      <c r="M784" s="49"/>
      <c r="N784" s="49"/>
      <c r="O784" s="49" t="str">
        <f t="shared" si="2"/>
        <v/>
      </c>
      <c r="P784" s="49" t="str">
        <f t="shared" si="3"/>
        <v/>
      </c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</row>
    <row r="785">
      <c r="A785" s="69">
        <v>53.0</v>
      </c>
      <c r="B785" s="69">
        <v>82.0</v>
      </c>
      <c r="C785" s="86" t="s">
        <v>207</v>
      </c>
      <c r="D785" s="86" t="s">
        <v>208</v>
      </c>
      <c r="E785" s="86" t="s">
        <v>209</v>
      </c>
      <c r="F785" s="69">
        <v>500.0</v>
      </c>
      <c r="G785" s="69">
        <v>23.94</v>
      </c>
      <c r="H785" s="68">
        <f t="shared" si="1"/>
        <v>16.71</v>
      </c>
      <c r="I785" s="81">
        <f>IFERROR(__xludf.DUMMYFUNCTION("IF(G785="""", """", ROUND(G785 / MAX(FILTER($G$2:$G5067, $D$2:$D5067=$D785)) * 100, 2))"),67.08)</f>
        <v>67.08</v>
      </c>
      <c r="J785" s="81">
        <f>IFERROR(__xludf.DUMMYFUNCTION("IF(H785="""", """", ROUND(H785 / MAX(FILTER($H$2:$H5067, $D$2:$D5067=$D785)) * 100, 2))"),6.7)</f>
        <v>6.7</v>
      </c>
      <c r="K785" s="2"/>
      <c r="L785" s="48"/>
      <c r="M785" s="48"/>
      <c r="N785" s="48"/>
      <c r="O785" s="48" t="str">
        <f t="shared" si="2"/>
        <v/>
      </c>
      <c r="P785" s="48" t="str">
        <f t="shared" si="3"/>
        <v/>
      </c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</row>
    <row r="786">
      <c r="A786" s="63">
        <v>53.0</v>
      </c>
      <c r="B786" s="63">
        <v>82.0</v>
      </c>
      <c r="C786" s="64" t="s">
        <v>207</v>
      </c>
      <c r="D786" s="64" t="s">
        <v>208</v>
      </c>
      <c r="E786" s="64" t="s">
        <v>209</v>
      </c>
      <c r="F786" s="63">
        <v>1000.0</v>
      </c>
      <c r="G786" s="63">
        <v>31.87</v>
      </c>
      <c r="H786" s="66">
        <f t="shared" si="1"/>
        <v>44.5</v>
      </c>
      <c r="I786" s="81">
        <f>IFERROR(__xludf.DUMMYFUNCTION("IF(G786="""", """", ROUND(G786 / MAX(FILTER($G$2:$G5067, $D$2:$D5067=$D786)) * 100, 2))"),89.3)</f>
        <v>89.3</v>
      </c>
      <c r="J786" s="81">
        <f>IFERROR(__xludf.DUMMYFUNCTION("IF(H786="""", """", ROUND(H786 / MAX(FILTER($H$2:$H5067, $D$2:$D5067=$D786)) * 100, 2))"),17.84)</f>
        <v>17.84</v>
      </c>
      <c r="K786" s="2"/>
      <c r="L786" s="49"/>
      <c r="M786" s="49"/>
      <c r="N786" s="49"/>
      <c r="O786" s="49" t="str">
        <f t="shared" si="2"/>
        <v/>
      </c>
      <c r="P786" s="49" t="str">
        <f t="shared" si="3"/>
        <v/>
      </c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</row>
    <row r="787">
      <c r="A787" s="69">
        <v>53.0</v>
      </c>
      <c r="B787" s="69">
        <v>82.0</v>
      </c>
      <c r="C787" s="86" t="s">
        <v>207</v>
      </c>
      <c r="D787" s="86" t="s">
        <v>208</v>
      </c>
      <c r="E787" s="86" t="s">
        <v>209</v>
      </c>
      <c r="F787" s="69">
        <v>1500.0</v>
      </c>
      <c r="G787" s="69">
        <v>34.78</v>
      </c>
      <c r="H787" s="68">
        <f t="shared" si="1"/>
        <v>72.84</v>
      </c>
      <c r="I787" s="81">
        <f>IFERROR(__xludf.DUMMYFUNCTION("IF(G787="""", """", ROUND(G787 / MAX(FILTER($G$2:$G5067, $D$2:$D5067=$D787)) * 100, 2))"),97.45)</f>
        <v>97.45</v>
      </c>
      <c r="J787" s="81">
        <f>IFERROR(__xludf.DUMMYFUNCTION("IF(H787="""", """", ROUND(H787 / MAX(FILTER($H$2:$H5067, $D$2:$D5067=$D787)) * 100, 2))"),29.2)</f>
        <v>29.2</v>
      </c>
      <c r="K787" s="2"/>
      <c r="L787" s="48"/>
      <c r="M787" s="48"/>
      <c r="N787" s="48"/>
      <c r="O787" s="48" t="str">
        <f t="shared" si="2"/>
        <v/>
      </c>
      <c r="P787" s="48" t="str">
        <f t="shared" si="3"/>
        <v/>
      </c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</row>
    <row r="788">
      <c r="A788" s="63">
        <v>53.0</v>
      </c>
      <c r="B788" s="63">
        <v>82.0</v>
      </c>
      <c r="C788" s="64" t="s">
        <v>207</v>
      </c>
      <c r="D788" s="64" t="s">
        <v>208</v>
      </c>
      <c r="E788" s="64" t="s">
        <v>209</v>
      </c>
      <c r="F788" s="63">
        <v>2000.0</v>
      </c>
      <c r="G788" s="63">
        <v>35.69</v>
      </c>
      <c r="H788" s="66">
        <f t="shared" si="1"/>
        <v>99.66</v>
      </c>
      <c r="I788" s="81">
        <f>IFERROR(__xludf.DUMMYFUNCTION("IF(G788="""", """", ROUND(G788 / MAX(FILTER($G$2:$G5067, $D$2:$D5067=$D788)) * 100, 2))"),100.0)</f>
        <v>100</v>
      </c>
      <c r="J788" s="81">
        <f>IFERROR(__xludf.DUMMYFUNCTION("IF(H788="""", """", ROUND(H788 / MAX(FILTER($H$2:$H5067, $D$2:$D5067=$D788)) * 100, 2))"),39.95)</f>
        <v>39.95</v>
      </c>
      <c r="K788" s="2"/>
      <c r="L788" s="49"/>
      <c r="M788" s="49"/>
      <c r="N788" s="49"/>
      <c r="O788" s="49" t="str">
        <f t="shared" si="2"/>
        <v/>
      </c>
      <c r="P788" s="49" t="str">
        <f t="shared" si="3"/>
        <v/>
      </c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</row>
    <row r="789">
      <c r="A789" s="69">
        <v>53.0</v>
      </c>
      <c r="B789" s="69">
        <v>82.0</v>
      </c>
      <c r="C789" s="86" t="s">
        <v>207</v>
      </c>
      <c r="D789" s="86" t="s">
        <v>208</v>
      </c>
      <c r="E789" s="86" t="s">
        <v>209</v>
      </c>
      <c r="F789" s="69">
        <v>2500.0</v>
      </c>
      <c r="G789" s="69">
        <v>35.69</v>
      </c>
      <c r="H789" s="68">
        <f t="shared" si="1"/>
        <v>124.58</v>
      </c>
      <c r="I789" s="81">
        <f>IFERROR(__xludf.DUMMYFUNCTION("IF(G789="""", """", ROUND(G789 / MAX(FILTER($G$2:$G5067, $D$2:$D5067=$D789)) * 100, 2))"),100.0)</f>
        <v>100</v>
      </c>
      <c r="J789" s="81">
        <f>IFERROR(__xludf.DUMMYFUNCTION("IF(H789="""", """", ROUND(H789 / MAX(FILTER($H$2:$H5067, $D$2:$D5067=$D789)) * 100, 2))"),49.94)</f>
        <v>49.94</v>
      </c>
      <c r="K789" s="2"/>
      <c r="L789" s="48"/>
      <c r="M789" s="48"/>
      <c r="N789" s="48"/>
      <c r="O789" s="48" t="str">
        <f t="shared" si="2"/>
        <v/>
      </c>
      <c r="P789" s="48" t="str">
        <f t="shared" si="3"/>
        <v/>
      </c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</row>
    <row r="790">
      <c r="A790" s="63">
        <v>53.0</v>
      </c>
      <c r="B790" s="63">
        <v>82.0</v>
      </c>
      <c r="C790" s="64" t="s">
        <v>207</v>
      </c>
      <c r="D790" s="64" t="s">
        <v>208</v>
      </c>
      <c r="E790" s="64" t="s">
        <v>209</v>
      </c>
      <c r="F790" s="63">
        <v>3000.0</v>
      </c>
      <c r="G790" s="63">
        <v>35.69</v>
      </c>
      <c r="H790" s="66">
        <f t="shared" si="1"/>
        <v>149.5</v>
      </c>
      <c r="I790" s="81">
        <f>IFERROR(__xludf.DUMMYFUNCTION("IF(G790="""", """", ROUND(G790 / MAX(FILTER($G$2:$G5067, $D$2:$D5067=$D790)) * 100, 2))"),100.0)</f>
        <v>100</v>
      </c>
      <c r="J790" s="81">
        <f>IFERROR(__xludf.DUMMYFUNCTION("IF(H790="""", """", ROUND(H790 / MAX(FILTER($H$2:$H5067, $D$2:$D5067=$D790)) * 100, 2))"),59.92)</f>
        <v>59.92</v>
      </c>
      <c r="K790" s="2"/>
      <c r="L790" s="49"/>
      <c r="M790" s="49"/>
      <c r="N790" s="49"/>
      <c r="O790" s="49" t="str">
        <f t="shared" si="2"/>
        <v/>
      </c>
      <c r="P790" s="49" t="str">
        <f t="shared" si="3"/>
        <v/>
      </c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</row>
    <row r="791">
      <c r="A791" s="69">
        <v>53.0</v>
      </c>
      <c r="B791" s="69">
        <v>82.0</v>
      </c>
      <c r="C791" s="86" t="s">
        <v>207</v>
      </c>
      <c r="D791" s="86" t="s">
        <v>208</v>
      </c>
      <c r="E791" s="86" t="s">
        <v>209</v>
      </c>
      <c r="F791" s="69">
        <v>3500.0</v>
      </c>
      <c r="G791" s="69">
        <v>35.69</v>
      </c>
      <c r="H791" s="68">
        <f t="shared" si="1"/>
        <v>174.41</v>
      </c>
      <c r="I791" s="81">
        <f>IFERROR(__xludf.DUMMYFUNCTION("IF(G791="""", """", ROUND(G791 / MAX(FILTER($G$2:$G5067, $D$2:$D5067=$D791)) * 100, 2))"),100.0)</f>
        <v>100</v>
      </c>
      <c r="J791" s="81">
        <f>IFERROR(__xludf.DUMMYFUNCTION("IF(H791="""", """", ROUND(H791 / MAX(FILTER($H$2:$H5067, $D$2:$D5067=$D791)) * 100, 2))"),69.91)</f>
        <v>69.91</v>
      </c>
      <c r="K791" s="2"/>
      <c r="L791" s="48"/>
      <c r="M791" s="48"/>
      <c r="N791" s="48"/>
      <c r="O791" s="48" t="str">
        <f t="shared" si="2"/>
        <v/>
      </c>
      <c r="P791" s="48" t="str">
        <f t="shared" si="3"/>
        <v/>
      </c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</row>
    <row r="792">
      <c r="A792" s="63">
        <v>53.0</v>
      </c>
      <c r="B792" s="63">
        <v>82.0</v>
      </c>
      <c r="C792" s="64" t="s">
        <v>207</v>
      </c>
      <c r="D792" s="64" t="s">
        <v>208</v>
      </c>
      <c r="E792" s="64" t="s">
        <v>209</v>
      </c>
      <c r="F792" s="63">
        <v>4000.0</v>
      </c>
      <c r="G792" s="63">
        <v>35.69</v>
      </c>
      <c r="H792" s="66">
        <f t="shared" si="1"/>
        <v>199.33</v>
      </c>
      <c r="I792" s="81">
        <f>IFERROR(__xludf.DUMMYFUNCTION("IF(G792="""", """", ROUND(G792 / MAX(FILTER($G$2:$G5067, $D$2:$D5067=$D792)) * 100, 2))"),100.0)</f>
        <v>100</v>
      </c>
      <c r="J792" s="81">
        <f>IFERROR(__xludf.DUMMYFUNCTION("IF(H792="""", """", ROUND(H792 / MAX(FILTER($H$2:$H5067, $D$2:$D5067=$D792)) * 100, 2))"),79.9)</f>
        <v>79.9</v>
      </c>
      <c r="K792" s="2"/>
      <c r="L792" s="49"/>
      <c r="M792" s="49"/>
      <c r="N792" s="49"/>
      <c r="O792" s="49" t="str">
        <f t="shared" si="2"/>
        <v/>
      </c>
      <c r="P792" s="49" t="str">
        <f t="shared" si="3"/>
        <v/>
      </c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</row>
    <row r="793">
      <c r="A793" s="69">
        <v>53.0</v>
      </c>
      <c r="B793" s="69">
        <v>82.0</v>
      </c>
      <c r="C793" s="86" t="s">
        <v>207</v>
      </c>
      <c r="D793" s="86" t="s">
        <v>208</v>
      </c>
      <c r="E793" s="86" t="s">
        <v>209</v>
      </c>
      <c r="F793" s="69">
        <v>4500.0</v>
      </c>
      <c r="G793" s="69">
        <v>35.69</v>
      </c>
      <c r="H793" s="68">
        <f t="shared" si="1"/>
        <v>224.25</v>
      </c>
      <c r="I793" s="81">
        <f>IFERROR(__xludf.DUMMYFUNCTION("IF(G793="""", """", ROUND(G793 / MAX(FILTER($G$2:$G5067, $D$2:$D5067=$D793)) * 100, 2))"),100.0)</f>
        <v>100</v>
      </c>
      <c r="J793" s="81">
        <f>IFERROR(__xludf.DUMMYFUNCTION("IF(H793="""", """", ROUND(H793 / MAX(FILTER($H$2:$H5067, $D$2:$D5067=$D793)) * 100, 2))"),89.89)</f>
        <v>89.89</v>
      </c>
      <c r="K793" s="2"/>
      <c r="L793" s="48"/>
      <c r="M793" s="48"/>
      <c r="N793" s="48"/>
      <c r="O793" s="48" t="str">
        <f t="shared" si="2"/>
        <v/>
      </c>
      <c r="P793" s="48" t="str">
        <f t="shared" si="3"/>
        <v/>
      </c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</row>
    <row r="794">
      <c r="A794" s="63">
        <v>53.0</v>
      </c>
      <c r="B794" s="63">
        <v>82.0</v>
      </c>
      <c r="C794" s="64" t="s">
        <v>207</v>
      </c>
      <c r="D794" s="64" t="s">
        <v>208</v>
      </c>
      <c r="E794" s="64" t="s">
        <v>209</v>
      </c>
      <c r="F794" s="63">
        <v>5000.0</v>
      </c>
      <c r="G794" s="63">
        <v>35.29</v>
      </c>
      <c r="H794" s="66">
        <f t="shared" si="1"/>
        <v>246.37</v>
      </c>
      <c r="I794" s="81">
        <f>IFERROR(__xludf.DUMMYFUNCTION("IF(G794="""", """", ROUND(G794 / MAX(FILTER($G$2:$G5067, $D$2:$D5067=$D794)) * 100, 2))"),98.88)</f>
        <v>98.88</v>
      </c>
      <c r="J794" s="81">
        <f>IFERROR(__xludf.DUMMYFUNCTION("IF(H794="""", """", ROUND(H794 / MAX(FILTER($H$2:$H5067, $D$2:$D5067=$D794)) * 100, 2))"),98.75)</f>
        <v>98.75</v>
      </c>
      <c r="K794" s="2"/>
      <c r="L794" s="49"/>
      <c r="M794" s="49"/>
      <c r="N794" s="49"/>
      <c r="O794" s="49" t="str">
        <f t="shared" si="2"/>
        <v/>
      </c>
      <c r="P794" s="49" t="str">
        <f t="shared" si="3"/>
        <v/>
      </c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</row>
    <row r="795">
      <c r="A795" s="69">
        <v>53.0</v>
      </c>
      <c r="B795" s="69">
        <v>82.0</v>
      </c>
      <c r="C795" s="86" t="s">
        <v>207</v>
      </c>
      <c r="D795" s="86" t="s">
        <v>208</v>
      </c>
      <c r="E795" s="86" t="s">
        <v>209</v>
      </c>
      <c r="F795" s="69">
        <v>5500.0</v>
      </c>
      <c r="G795" s="69">
        <v>32.43</v>
      </c>
      <c r="H795" s="68">
        <f t="shared" si="1"/>
        <v>249.04</v>
      </c>
      <c r="I795" s="81">
        <f>IFERROR(__xludf.DUMMYFUNCTION("IF(G795="""", """", ROUND(G795 / MAX(FILTER($G$2:$G5067, $D$2:$D5067=$D795)) * 100, 2))"),90.87)</f>
        <v>90.87</v>
      </c>
      <c r="J795" s="81">
        <f>IFERROR(__xludf.DUMMYFUNCTION("IF(H795="""", """", ROUND(H795 / MAX(FILTER($H$2:$H5067, $D$2:$D5067=$D795)) * 100, 2))"),99.82)</f>
        <v>99.82</v>
      </c>
      <c r="K795" s="2"/>
      <c r="L795" s="48"/>
      <c r="M795" s="48"/>
      <c r="N795" s="48"/>
      <c r="O795" s="48" t="str">
        <f t="shared" si="2"/>
        <v/>
      </c>
      <c r="P795" s="48" t="str">
        <f t="shared" si="3"/>
        <v/>
      </c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</row>
    <row r="796">
      <c r="A796" s="63">
        <v>53.0</v>
      </c>
      <c r="B796" s="63">
        <v>82.0</v>
      </c>
      <c r="C796" s="64" t="s">
        <v>207</v>
      </c>
      <c r="D796" s="64" t="s">
        <v>208</v>
      </c>
      <c r="E796" s="64" t="s">
        <v>209</v>
      </c>
      <c r="F796" s="63">
        <v>6000.0</v>
      </c>
      <c r="G796" s="63">
        <v>29.78</v>
      </c>
      <c r="H796" s="66">
        <f t="shared" si="1"/>
        <v>249.48</v>
      </c>
      <c r="I796" s="81">
        <f>IFERROR(__xludf.DUMMYFUNCTION("IF(G796="""", """", ROUND(G796 / MAX(FILTER($G$2:$G5067, $D$2:$D5067=$D796)) * 100, 2))"),83.44)</f>
        <v>83.44</v>
      </c>
      <c r="J796" s="81">
        <f>IFERROR(__xludf.DUMMYFUNCTION("IF(H796="""", """", ROUND(H796 / MAX(FILTER($H$2:$H5067, $D$2:$D5067=$D796)) * 100, 2))"),100.0)</f>
        <v>100</v>
      </c>
      <c r="K796" s="2"/>
      <c r="L796" s="49"/>
      <c r="M796" s="49"/>
      <c r="N796" s="49"/>
      <c r="O796" s="49" t="str">
        <f t="shared" si="2"/>
        <v/>
      </c>
      <c r="P796" s="49" t="str">
        <f t="shared" si="3"/>
        <v/>
      </c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</row>
    <row r="797">
      <c r="A797" s="69">
        <v>53.0</v>
      </c>
      <c r="B797" s="69">
        <v>82.0</v>
      </c>
      <c r="C797" s="86" t="s">
        <v>207</v>
      </c>
      <c r="D797" s="86" t="s">
        <v>208</v>
      </c>
      <c r="E797" s="86" t="s">
        <v>209</v>
      </c>
      <c r="F797" s="69">
        <v>6500.0</v>
      </c>
      <c r="G797" s="69">
        <v>26.41</v>
      </c>
      <c r="H797" s="68">
        <f t="shared" si="1"/>
        <v>239.69</v>
      </c>
      <c r="I797" s="81">
        <f>IFERROR(__xludf.DUMMYFUNCTION("IF(G797="""", """", ROUND(G797 / MAX(FILTER($G$2:$G5067, $D$2:$D5067=$D797)) * 100, 2))"),74.0)</f>
        <v>74</v>
      </c>
      <c r="J797" s="81">
        <f>IFERROR(__xludf.DUMMYFUNCTION("IF(H797="""", """", ROUND(H797 / MAX(FILTER($H$2:$H5067, $D$2:$D5067=$D797)) * 100, 2))"),96.08)</f>
        <v>96.08</v>
      </c>
      <c r="K797" s="2"/>
      <c r="L797" s="48"/>
      <c r="M797" s="48"/>
      <c r="N797" s="48"/>
      <c r="O797" s="48" t="str">
        <f t="shared" si="2"/>
        <v/>
      </c>
      <c r="P797" s="48" t="str">
        <f t="shared" si="3"/>
        <v/>
      </c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</row>
    <row r="798">
      <c r="A798" s="63">
        <v>53.0</v>
      </c>
      <c r="B798" s="63">
        <v>82.0</v>
      </c>
      <c r="C798" s="64" t="s">
        <v>207</v>
      </c>
      <c r="D798" s="64" t="s">
        <v>208</v>
      </c>
      <c r="E798" s="64" t="s">
        <v>209</v>
      </c>
      <c r="F798" s="63">
        <v>7000.0</v>
      </c>
      <c r="G798" s="63">
        <v>22.6</v>
      </c>
      <c r="H798" s="66">
        <f t="shared" si="1"/>
        <v>220.89</v>
      </c>
      <c r="I798" s="81">
        <f>IFERROR(__xludf.DUMMYFUNCTION("IF(G798="""", """", ROUND(G798 / MAX(FILTER($G$2:$G5067, $D$2:$D5067=$D798)) * 100, 2))"),63.32)</f>
        <v>63.32</v>
      </c>
      <c r="J798" s="81">
        <f>IFERROR(__xludf.DUMMYFUNCTION("IF(H798="""", """", ROUND(H798 / MAX(FILTER($H$2:$H5067, $D$2:$D5067=$D798)) * 100, 2))"),88.54)</f>
        <v>88.54</v>
      </c>
      <c r="K798" s="2"/>
      <c r="L798" s="49"/>
      <c r="M798" s="49"/>
      <c r="N798" s="49"/>
      <c r="O798" s="49" t="str">
        <f t="shared" si="2"/>
        <v/>
      </c>
      <c r="P798" s="49" t="str">
        <f t="shared" si="3"/>
        <v/>
      </c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</row>
    <row r="799">
      <c r="A799" s="69">
        <v>53.0</v>
      </c>
      <c r="B799" s="69">
        <v>82.0</v>
      </c>
      <c r="C799" s="86" t="s">
        <v>207</v>
      </c>
      <c r="D799" s="86" t="s">
        <v>208</v>
      </c>
      <c r="E799" s="86" t="s">
        <v>209</v>
      </c>
      <c r="F799" s="69">
        <v>7500.0</v>
      </c>
      <c r="G799" s="69">
        <v>18.1</v>
      </c>
      <c r="H799" s="68">
        <f t="shared" si="1"/>
        <v>189.54</v>
      </c>
      <c r="I799" s="81">
        <f>IFERROR(__xludf.DUMMYFUNCTION("IF(G799="""", """", ROUND(G799 / MAX(FILTER($G$2:$G5067, $D$2:$D5067=$D799)) * 100, 2))"),50.71)</f>
        <v>50.71</v>
      </c>
      <c r="J799" s="81">
        <f>IFERROR(__xludf.DUMMYFUNCTION("IF(H799="""", """", ROUND(H799 / MAX(FILTER($H$2:$H5067, $D$2:$D5067=$D799)) * 100, 2))"),75.97)</f>
        <v>75.97</v>
      </c>
      <c r="K799" s="2"/>
      <c r="L799" s="48"/>
      <c r="M799" s="48"/>
      <c r="N799" s="48"/>
      <c r="O799" s="48" t="str">
        <f t="shared" si="2"/>
        <v/>
      </c>
      <c r="P799" s="48" t="str">
        <f t="shared" si="3"/>
        <v/>
      </c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</row>
    <row r="800">
      <c r="A800" s="63">
        <v>54.0</v>
      </c>
      <c r="B800" s="63">
        <v>83.0</v>
      </c>
      <c r="C800" s="64" t="s">
        <v>210</v>
      </c>
      <c r="D800" s="64" t="s">
        <v>211</v>
      </c>
      <c r="E800" s="64" t="s">
        <v>212</v>
      </c>
      <c r="F800" s="63">
        <v>500.0</v>
      </c>
      <c r="G800" s="63">
        <v>16.7</v>
      </c>
      <c r="H800" s="66">
        <f t="shared" si="1"/>
        <v>11.66</v>
      </c>
      <c r="I800" s="81">
        <f>IFERROR(__xludf.DUMMYFUNCTION("IF(G800="""", """", ROUND(G800 / MAX(FILTER($G$2:$G5067, $D$2:$D5067=$D800)) * 100, 2))"),61.85)</f>
        <v>61.85</v>
      </c>
      <c r="J800" s="81">
        <f>IFERROR(__xludf.DUMMYFUNCTION("IF(H800="""", """", ROUND(H800 / MAX(FILTER($H$2:$H5067, $D$2:$D5067=$D800)) * 100, 2))"),5.28)</f>
        <v>5.28</v>
      </c>
      <c r="K800" s="2"/>
      <c r="L800" s="49"/>
      <c r="M800" s="49"/>
      <c r="N800" s="49"/>
      <c r="O800" s="49" t="str">
        <f t="shared" si="2"/>
        <v/>
      </c>
      <c r="P800" s="49" t="str">
        <f t="shared" si="3"/>
        <v/>
      </c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</row>
    <row r="801">
      <c r="A801" s="69">
        <v>54.0</v>
      </c>
      <c r="B801" s="69">
        <v>83.0</v>
      </c>
      <c r="C801" s="86" t="s">
        <v>210</v>
      </c>
      <c r="D801" s="86" t="s">
        <v>211</v>
      </c>
      <c r="E801" s="86" t="s">
        <v>212</v>
      </c>
      <c r="F801" s="69">
        <v>1000.0</v>
      </c>
      <c r="G801" s="69">
        <v>19.62</v>
      </c>
      <c r="H801" s="68">
        <f t="shared" si="1"/>
        <v>27.39</v>
      </c>
      <c r="I801" s="81">
        <f>IFERROR(__xludf.DUMMYFUNCTION("IF(G801="""", """", ROUND(G801 / MAX(FILTER($G$2:$G5067, $D$2:$D5067=$D801)) * 100, 2))"),72.67)</f>
        <v>72.67</v>
      </c>
      <c r="J801" s="81">
        <f>IFERROR(__xludf.DUMMYFUNCTION("IF(H801="""", """", ROUND(H801 / MAX(FILTER($H$2:$H5067, $D$2:$D5067=$D801)) * 100, 2))"),12.41)</f>
        <v>12.41</v>
      </c>
      <c r="K801" s="2"/>
      <c r="L801" s="48"/>
      <c r="M801" s="48"/>
      <c r="N801" s="48"/>
      <c r="O801" s="48" t="str">
        <f t="shared" si="2"/>
        <v/>
      </c>
      <c r="P801" s="48" t="str">
        <f t="shared" si="3"/>
        <v/>
      </c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</row>
    <row r="802">
      <c r="A802" s="63">
        <v>54.0</v>
      </c>
      <c r="B802" s="63">
        <v>83.0</v>
      </c>
      <c r="C802" s="64" t="s">
        <v>210</v>
      </c>
      <c r="D802" s="64" t="s">
        <v>211</v>
      </c>
      <c r="E802" s="64" t="s">
        <v>212</v>
      </c>
      <c r="F802" s="63">
        <v>1500.0</v>
      </c>
      <c r="G802" s="63">
        <v>22.8</v>
      </c>
      <c r="H802" s="66">
        <f t="shared" si="1"/>
        <v>47.75</v>
      </c>
      <c r="I802" s="81">
        <f>IFERROR(__xludf.DUMMYFUNCTION("IF(G802="""", """", ROUND(G802 / MAX(FILTER($G$2:$G5067, $D$2:$D5067=$D802)) * 100, 2))"),84.44)</f>
        <v>84.44</v>
      </c>
      <c r="J802" s="81">
        <f>IFERROR(__xludf.DUMMYFUNCTION("IF(H802="""", """", ROUND(H802 / MAX(FILTER($H$2:$H5067, $D$2:$D5067=$D802)) * 100, 2))"),21.63)</f>
        <v>21.63</v>
      </c>
      <c r="K802" s="2"/>
      <c r="L802" s="49"/>
      <c r="M802" s="49"/>
      <c r="N802" s="49"/>
      <c r="O802" s="49" t="str">
        <f t="shared" si="2"/>
        <v/>
      </c>
      <c r="P802" s="49" t="str">
        <f t="shared" si="3"/>
        <v/>
      </c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</row>
    <row r="803">
      <c r="A803" s="69">
        <v>54.0</v>
      </c>
      <c r="B803" s="69">
        <v>83.0</v>
      </c>
      <c r="C803" s="86" t="s">
        <v>210</v>
      </c>
      <c r="D803" s="86" t="s">
        <v>211</v>
      </c>
      <c r="E803" s="86" t="s">
        <v>212</v>
      </c>
      <c r="F803" s="69">
        <v>2200.0</v>
      </c>
      <c r="G803" s="69">
        <v>27.0</v>
      </c>
      <c r="H803" s="68">
        <f t="shared" si="1"/>
        <v>82.94</v>
      </c>
      <c r="I803" s="81">
        <f>IFERROR(__xludf.DUMMYFUNCTION("IF(G803="""", """", ROUND(G803 / MAX(FILTER($G$2:$G5067, $D$2:$D5067=$D803)) * 100, 2))"),100.0)</f>
        <v>100</v>
      </c>
      <c r="J803" s="81">
        <f>IFERROR(__xludf.DUMMYFUNCTION("IF(H803="""", """", ROUND(H803 / MAX(FILTER($H$2:$H5067, $D$2:$D5067=$D803)) * 100, 2))"),37.57)</f>
        <v>37.57</v>
      </c>
      <c r="K803" s="2"/>
      <c r="L803" s="48"/>
      <c r="M803" s="48"/>
      <c r="N803" s="48"/>
      <c r="O803" s="48" t="str">
        <f t="shared" si="2"/>
        <v/>
      </c>
      <c r="P803" s="48" t="str">
        <f t="shared" si="3"/>
        <v/>
      </c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</row>
    <row r="804">
      <c r="A804" s="63">
        <v>54.0</v>
      </c>
      <c r="B804" s="63">
        <v>83.0</v>
      </c>
      <c r="C804" s="64" t="s">
        <v>210</v>
      </c>
      <c r="D804" s="64" t="s">
        <v>211</v>
      </c>
      <c r="E804" s="64" t="s">
        <v>212</v>
      </c>
      <c r="F804" s="63">
        <v>2500.0</v>
      </c>
      <c r="G804" s="63">
        <v>27.0</v>
      </c>
      <c r="H804" s="66">
        <f t="shared" si="1"/>
        <v>94.25</v>
      </c>
      <c r="I804" s="81">
        <f>IFERROR(__xludf.DUMMYFUNCTION("IF(G804="""", """", ROUND(G804 / MAX(FILTER($G$2:$G5067, $D$2:$D5067=$D804)) * 100, 2))"),100.0)</f>
        <v>100</v>
      </c>
      <c r="J804" s="81">
        <f>IFERROR(__xludf.DUMMYFUNCTION("IF(H804="""", """", ROUND(H804 / MAX(FILTER($H$2:$H5067, $D$2:$D5067=$D804)) * 100, 2))"),42.69)</f>
        <v>42.69</v>
      </c>
      <c r="K804" s="2"/>
      <c r="L804" s="49"/>
      <c r="M804" s="49"/>
      <c r="N804" s="49"/>
      <c r="O804" s="49" t="str">
        <f t="shared" si="2"/>
        <v/>
      </c>
      <c r="P804" s="49" t="str">
        <f t="shared" si="3"/>
        <v/>
      </c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</row>
    <row r="805">
      <c r="A805" s="69">
        <v>54.0</v>
      </c>
      <c r="B805" s="69">
        <v>83.0</v>
      </c>
      <c r="C805" s="86" t="s">
        <v>210</v>
      </c>
      <c r="D805" s="86" t="s">
        <v>211</v>
      </c>
      <c r="E805" s="86" t="s">
        <v>212</v>
      </c>
      <c r="F805" s="69">
        <v>3000.0</v>
      </c>
      <c r="G805" s="69">
        <v>27.0</v>
      </c>
      <c r="H805" s="68">
        <f t="shared" si="1"/>
        <v>113.1</v>
      </c>
      <c r="I805" s="81">
        <f>IFERROR(__xludf.DUMMYFUNCTION("IF(G805="""", """", ROUND(G805 / MAX(FILTER($G$2:$G5067, $D$2:$D5067=$D805)) * 100, 2))"),100.0)</f>
        <v>100</v>
      </c>
      <c r="J805" s="81">
        <f>IFERROR(__xludf.DUMMYFUNCTION("IF(H805="""", """", ROUND(H805 / MAX(FILTER($H$2:$H5067, $D$2:$D5067=$D805)) * 100, 2))"),51.23)</f>
        <v>51.23</v>
      </c>
      <c r="K805" s="2"/>
      <c r="L805" s="48"/>
      <c r="M805" s="48"/>
      <c r="N805" s="48"/>
      <c r="O805" s="48" t="str">
        <f t="shared" si="2"/>
        <v/>
      </c>
      <c r="P805" s="48" t="str">
        <f t="shared" si="3"/>
        <v/>
      </c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</row>
    <row r="806">
      <c r="A806" s="63">
        <v>54.0</v>
      </c>
      <c r="B806" s="63">
        <v>83.0</v>
      </c>
      <c r="C806" s="64" t="s">
        <v>210</v>
      </c>
      <c r="D806" s="64" t="s">
        <v>211</v>
      </c>
      <c r="E806" s="64" t="s">
        <v>212</v>
      </c>
      <c r="F806" s="63">
        <v>3500.0</v>
      </c>
      <c r="G806" s="63">
        <v>27.0</v>
      </c>
      <c r="H806" s="66">
        <f t="shared" si="1"/>
        <v>131.95</v>
      </c>
      <c r="I806" s="81">
        <f>IFERROR(__xludf.DUMMYFUNCTION("IF(G806="""", """", ROUND(G806 / MAX(FILTER($G$2:$G5067, $D$2:$D5067=$D806)) * 100, 2))"),100.0)</f>
        <v>100</v>
      </c>
      <c r="J806" s="81">
        <f>IFERROR(__xludf.DUMMYFUNCTION("IF(H806="""", """", ROUND(H806 / MAX(FILTER($H$2:$H5067, $D$2:$D5067=$D806)) * 100, 2))"),59.77)</f>
        <v>59.77</v>
      </c>
      <c r="K806" s="2"/>
      <c r="L806" s="49"/>
      <c r="M806" s="49"/>
      <c r="N806" s="49"/>
      <c r="O806" s="49" t="str">
        <f t="shared" si="2"/>
        <v/>
      </c>
      <c r="P806" s="49" t="str">
        <f t="shared" si="3"/>
        <v/>
      </c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</row>
    <row r="807">
      <c r="A807" s="69">
        <v>54.0</v>
      </c>
      <c r="B807" s="69">
        <v>83.0</v>
      </c>
      <c r="C807" s="86" t="s">
        <v>210</v>
      </c>
      <c r="D807" s="86" t="s">
        <v>211</v>
      </c>
      <c r="E807" s="86" t="s">
        <v>212</v>
      </c>
      <c r="F807" s="69">
        <v>4000.0</v>
      </c>
      <c r="G807" s="69">
        <v>27.0</v>
      </c>
      <c r="H807" s="68">
        <f t="shared" si="1"/>
        <v>150.8</v>
      </c>
      <c r="I807" s="81">
        <f>IFERROR(__xludf.DUMMYFUNCTION("IF(G807="""", """", ROUND(G807 / MAX(FILTER($G$2:$G5067, $D$2:$D5067=$D807)) * 100, 2))"),100.0)</f>
        <v>100</v>
      </c>
      <c r="J807" s="81">
        <f>IFERROR(__xludf.DUMMYFUNCTION("IF(H807="""", """", ROUND(H807 / MAX(FILTER($H$2:$H5067, $D$2:$D5067=$D807)) * 100, 2))"),68.3)</f>
        <v>68.3</v>
      </c>
      <c r="K807" s="2"/>
      <c r="L807" s="48"/>
      <c r="M807" s="48"/>
      <c r="N807" s="48"/>
      <c r="O807" s="48" t="str">
        <f t="shared" si="2"/>
        <v/>
      </c>
      <c r="P807" s="48" t="str">
        <f t="shared" si="3"/>
        <v/>
      </c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</row>
    <row r="808">
      <c r="A808" s="63">
        <v>54.0</v>
      </c>
      <c r="B808" s="63">
        <v>83.0</v>
      </c>
      <c r="C808" s="64" t="s">
        <v>210</v>
      </c>
      <c r="D808" s="64" t="s">
        <v>211</v>
      </c>
      <c r="E808" s="64" t="s">
        <v>212</v>
      </c>
      <c r="F808" s="63">
        <v>4500.0</v>
      </c>
      <c r="G808" s="63">
        <v>27.0</v>
      </c>
      <c r="H808" s="66">
        <f t="shared" si="1"/>
        <v>169.65</v>
      </c>
      <c r="I808" s="81">
        <f>IFERROR(__xludf.DUMMYFUNCTION("IF(G808="""", """", ROUND(G808 / MAX(FILTER($G$2:$G5067, $D$2:$D5067=$D808)) * 100, 2))"),100.0)</f>
        <v>100</v>
      </c>
      <c r="J808" s="81">
        <f>IFERROR(__xludf.DUMMYFUNCTION("IF(H808="""", """", ROUND(H808 / MAX(FILTER($H$2:$H5067, $D$2:$D5067=$D808)) * 100, 2))"),76.84)</f>
        <v>76.84</v>
      </c>
      <c r="K808" s="2"/>
      <c r="L808" s="49"/>
      <c r="M808" s="49"/>
      <c r="N808" s="49"/>
      <c r="O808" s="49" t="str">
        <f t="shared" si="2"/>
        <v/>
      </c>
      <c r="P808" s="49" t="str">
        <f t="shared" si="3"/>
        <v/>
      </c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</row>
    <row r="809">
      <c r="A809" s="69">
        <v>54.0</v>
      </c>
      <c r="B809" s="69">
        <v>83.0</v>
      </c>
      <c r="C809" s="86" t="s">
        <v>210</v>
      </c>
      <c r="D809" s="86" t="s">
        <v>211</v>
      </c>
      <c r="E809" s="86" t="s">
        <v>212</v>
      </c>
      <c r="F809" s="69">
        <v>5000.0</v>
      </c>
      <c r="G809" s="69">
        <v>27.0</v>
      </c>
      <c r="H809" s="68">
        <f t="shared" si="1"/>
        <v>188.49</v>
      </c>
      <c r="I809" s="81">
        <f>IFERROR(__xludf.DUMMYFUNCTION("IF(G809="""", """", ROUND(G809 / MAX(FILTER($G$2:$G5067, $D$2:$D5067=$D809)) * 100, 2))"),100.0)</f>
        <v>100</v>
      </c>
      <c r="J809" s="81">
        <f>IFERROR(__xludf.DUMMYFUNCTION("IF(H809="""", """", ROUND(H809 / MAX(FILTER($H$2:$H5067, $D$2:$D5067=$D809)) * 100, 2))"),85.37)</f>
        <v>85.37</v>
      </c>
      <c r="K809" s="2"/>
      <c r="L809" s="48"/>
      <c r="M809" s="48"/>
      <c r="N809" s="48"/>
      <c r="O809" s="48" t="str">
        <f t="shared" si="2"/>
        <v/>
      </c>
      <c r="P809" s="48" t="str">
        <f t="shared" si="3"/>
        <v/>
      </c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</row>
    <row r="810">
      <c r="A810" s="63">
        <v>54.0</v>
      </c>
      <c r="B810" s="63">
        <v>83.0</v>
      </c>
      <c r="C810" s="64" t="s">
        <v>210</v>
      </c>
      <c r="D810" s="64" t="s">
        <v>211</v>
      </c>
      <c r="E810" s="64" t="s">
        <v>212</v>
      </c>
      <c r="F810" s="63">
        <v>5500.0</v>
      </c>
      <c r="G810" s="63">
        <v>27.0</v>
      </c>
      <c r="H810" s="66">
        <f t="shared" si="1"/>
        <v>207.34</v>
      </c>
      <c r="I810" s="81">
        <f>IFERROR(__xludf.DUMMYFUNCTION("IF(G810="""", """", ROUND(G810 / MAX(FILTER($G$2:$G5067, $D$2:$D5067=$D810)) * 100, 2))"),100.0)</f>
        <v>100</v>
      </c>
      <c r="J810" s="81">
        <f>IFERROR(__xludf.DUMMYFUNCTION("IF(H810="""", """", ROUND(H810 / MAX(FILTER($H$2:$H5067, $D$2:$D5067=$D810)) * 100, 2))"),93.91)</f>
        <v>93.91</v>
      </c>
      <c r="K810" s="2"/>
      <c r="L810" s="49"/>
      <c r="M810" s="49"/>
      <c r="N810" s="49"/>
      <c r="O810" s="49" t="str">
        <f t="shared" si="2"/>
        <v/>
      </c>
      <c r="P810" s="49" t="str">
        <f t="shared" si="3"/>
        <v/>
      </c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</row>
    <row r="811">
      <c r="A811" s="69">
        <v>54.0</v>
      </c>
      <c r="B811" s="69">
        <v>83.0</v>
      </c>
      <c r="C811" s="86" t="s">
        <v>210</v>
      </c>
      <c r="D811" s="86" t="s">
        <v>211</v>
      </c>
      <c r="E811" s="86" t="s">
        <v>212</v>
      </c>
      <c r="F811" s="69">
        <v>5900.0</v>
      </c>
      <c r="G811" s="69">
        <v>26.8</v>
      </c>
      <c r="H811" s="68">
        <f t="shared" si="1"/>
        <v>220.78</v>
      </c>
      <c r="I811" s="81">
        <f>IFERROR(__xludf.DUMMYFUNCTION("IF(G811="""", """", ROUND(G811 / MAX(FILTER($G$2:$G5067, $D$2:$D5067=$D811)) * 100, 2))"),99.26)</f>
        <v>99.26</v>
      </c>
      <c r="J811" s="81">
        <f>IFERROR(__xludf.DUMMYFUNCTION("IF(H811="""", """", ROUND(H811 / MAX(FILTER($H$2:$H5067, $D$2:$D5067=$D811)) * 100, 2))"),100.0)</f>
        <v>100</v>
      </c>
      <c r="K811" s="2"/>
      <c r="L811" s="48"/>
      <c r="M811" s="48"/>
      <c r="N811" s="48"/>
      <c r="O811" s="48" t="str">
        <f t="shared" si="2"/>
        <v/>
      </c>
      <c r="P811" s="48" t="str">
        <f t="shared" si="3"/>
        <v/>
      </c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</row>
    <row r="812">
      <c r="A812" s="63">
        <v>54.0</v>
      </c>
      <c r="B812" s="63">
        <v>83.0</v>
      </c>
      <c r="C812" s="64" t="s">
        <v>210</v>
      </c>
      <c r="D812" s="64" t="s">
        <v>211</v>
      </c>
      <c r="E812" s="64" t="s">
        <v>212</v>
      </c>
      <c r="F812" s="63">
        <v>6500.0</v>
      </c>
      <c r="G812" s="63">
        <v>23.74</v>
      </c>
      <c r="H812" s="66">
        <f t="shared" si="1"/>
        <v>215.46</v>
      </c>
      <c r="I812" s="81">
        <f>IFERROR(__xludf.DUMMYFUNCTION("IF(G812="""", """", ROUND(G812 / MAX(FILTER($G$2:$G5067, $D$2:$D5067=$D812)) * 100, 2))"),87.93)</f>
        <v>87.93</v>
      </c>
      <c r="J812" s="81">
        <f>IFERROR(__xludf.DUMMYFUNCTION("IF(H812="""", """", ROUND(H812 / MAX(FILTER($H$2:$H5067, $D$2:$D5067=$D812)) * 100, 2))"),97.59)</f>
        <v>97.59</v>
      </c>
      <c r="K812" s="2"/>
      <c r="L812" s="49"/>
      <c r="M812" s="49"/>
      <c r="N812" s="49"/>
      <c r="O812" s="49" t="str">
        <f t="shared" si="2"/>
        <v/>
      </c>
      <c r="P812" s="49" t="str">
        <f t="shared" si="3"/>
        <v/>
      </c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</row>
    <row r="813">
      <c r="A813" s="69">
        <v>54.0</v>
      </c>
      <c r="B813" s="69">
        <v>83.0</v>
      </c>
      <c r="C813" s="86" t="s">
        <v>210</v>
      </c>
      <c r="D813" s="86" t="s">
        <v>211</v>
      </c>
      <c r="E813" s="86" t="s">
        <v>212</v>
      </c>
      <c r="F813" s="69">
        <v>7000.0</v>
      </c>
      <c r="G813" s="69">
        <v>19.88</v>
      </c>
      <c r="H813" s="68">
        <f t="shared" si="1"/>
        <v>194.3</v>
      </c>
      <c r="I813" s="81">
        <f>IFERROR(__xludf.DUMMYFUNCTION("IF(G813="""", """", ROUND(G813 / MAX(FILTER($G$2:$G5067, $D$2:$D5067=$D813)) * 100, 2))"),73.63)</f>
        <v>73.63</v>
      </c>
      <c r="J813" s="81">
        <f>IFERROR(__xludf.DUMMYFUNCTION("IF(H813="""", """", ROUND(H813 / MAX(FILTER($H$2:$H5067, $D$2:$D5067=$D813)) * 100, 2))"),88.01)</f>
        <v>88.01</v>
      </c>
      <c r="K813" s="2"/>
      <c r="L813" s="48"/>
      <c r="M813" s="48"/>
      <c r="N813" s="48"/>
      <c r="O813" s="48" t="str">
        <f t="shared" si="2"/>
        <v/>
      </c>
      <c r="P813" s="48" t="str">
        <f t="shared" si="3"/>
        <v/>
      </c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</row>
    <row r="814">
      <c r="A814" s="63">
        <v>55.0</v>
      </c>
      <c r="B814" s="63">
        <v>84.0</v>
      </c>
      <c r="C814" s="64" t="s">
        <v>213</v>
      </c>
      <c r="D814" s="64" t="s">
        <v>214</v>
      </c>
      <c r="E814" s="64" t="s">
        <v>215</v>
      </c>
      <c r="F814" s="63">
        <v>500.0</v>
      </c>
      <c r="G814" s="63">
        <v>18.31</v>
      </c>
      <c r="H814" s="66">
        <f t="shared" si="1"/>
        <v>12.78</v>
      </c>
      <c r="I814" s="81">
        <f>IFERROR(__xludf.DUMMYFUNCTION("IF(G814="""", """", ROUND(G814 / MAX(FILTER($G$2:$G5067, $D$2:$D5067=$D814)) * 100, 2))"),59.86)</f>
        <v>59.86</v>
      </c>
      <c r="J814" s="81">
        <f>IFERROR(__xludf.DUMMYFUNCTION("IF(H814="""", """", ROUND(H814 / MAX(FILTER($H$2:$H5067, $D$2:$D5067=$D814)) * 100, 2))"),5.82)</f>
        <v>5.82</v>
      </c>
      <c r="K814" s="2"/>
      <c r="L814" s="49"/>
      <c r="M814" s="49"/>
      <c r="N814" s="49"/>
      <c r="O814" s="49" t="str">
        <f t="shared" si="2"/>
        <v/>
      </c>
      <c r="P814" s="49" t="str">
        <f t="shared" si="3"/>
        <v/>
      </c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</row>
    <row r="815">
      <c r="A815" s="69">
        <v>55.0</v>
      </c>
      <c r="B815" s="69">
        <v>84.0</v>
      </c>
      <c r="C815" s="86" t="s">
        <v>213</v>
      </c>
      <c r="D815" s="86" t="s">
        <v>214</v>
      </c>
      <c r="E815" s="86" t="s">
        <v>215</v>
      </c>
      <c r="F815" s="69">
        <v>1000.0</v>
      </c>
      <c r="G815" s="69">
        <v>21.41</v>
      </c>
      <c r="H815" s="68">
        <f t="shared" si="1"/>
        <v>29.89</v>
      </c>
      <c r="I815" s="81">
        <f>IFERROR(__xludf.DUMMYFUNCTION("IF(G815="""", """", ROUND(G815 / MAX(FILTER($G$2:$G5067, $D$2:$D5067=$D815)) * 100, 2))"),69.99)</f>
        <v>69.99</v>
      </c>
      <c r="J815" s="81">
        <f>IFERROR(__xludf.DUMMYFUNCTION("IF(H815="""", """", ROUND(H815 / MAX(FILTER($H$2:$H5067, $D$2:$D5067=$D815)) * 100, 2))"),13.61)</f>
        <v>13.61</v>
      </c>
      <c r="K815" s="2"/>
      <c r="L815" s="48"/>
      <c r="M815" s="48"/>
      <c r="N815" s="48"/>
      <c r="O815" s="48" t="str">
        <f t="shared" si="2"/>
        <v/>
      </c>
      <c r="P815" s="48" t="str">
        <f t="shared" si="3"/>
        <v/>
      </c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</row>
    <row r="816">
      <c r="A816" s="63">
        <v>55.0</v>
      </c>
      <c r="B816" s="63">
        <v>84.0</v>
      </c>
      <c r="C816" s="64" t="s">
        <v>213</v>
      </c>
      <c r="D816" s="64" t="s">
        <v>214</v>
      </c>
      <c r="E816" s="64" t="s">
        <v>215</v>
      </c>
      <c r="F816" s="63">
        <v>1500.0</v>
      </c>
      <c r="G816" s="63">
        <v>23.96</v>
      </c>
      <c r="H816" s="66">
        <f t="shared" si="1"/>
        <v>50.18</v>
      </c>
      <c r="I816" s="81">
        <f>IFERROR(__xludf.DUMMYFUNCTION("IF(G816="""", """", ROUND(G816 / MAX(FILTER($G$2:$G5067, $D$2:$D5067=$D816)) * 100, 2))"),78.33)</f>
        <v>78.33</v>
      </c>
      <c r="J816" s="81">
        <f>IFERROR(__xludf.DUMMYFUNCTION("IF(H816="""", """", ROUND(H816 / MAX(FILTER($H$2:$H5067, $D$2:$D5067=$D816)) * 100, 2))"),22.85)</f>
        <v>22.85</v>
      </c>
      <c r="K816" s="2"/>
      <c r="L816" s="49"/>
      <c r="M816" s="49"/>
      <c r="N816" s="49"/>
      <c r="O816" s="49" t="str">
        <f t="shared" si="2"/>
        <v/>
      </c>
      <c r="P816" s="49" t="str">
        <f t="shared" si="3"/>
        <v/>
      </c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</row>
    <row r="817">
      <c r="A817" s="69">
        <v>55.0</v>
      </c>
      <c r="B817" s="69">
        <v>84.0</v>
      </c>
      <c r="C817" s="86" t="s">
        <v>213</v>
      </c>
      <c r="D817" s="86" t="s">
        <v>214</v>
      </c>
      <c r="E817" s="86" t="s">
        <v>215</v>
      </c>
      <c r="F817" s="69">
        <v>2000.0</v>
      </c>
      <c r="G817" s="69">
        <v>26.51</v>
      </c>
      <c r="H817" s="68">
        <f t="shared" si="1"/>
        <v>74.03</v>
      </c>
      <c r="I817" s="81">
        <f>IFERROR(__xludf.DUMMYFUNCTION("IF(G817="""", """", ROUND(G817 / MAX(FILTER($G$2:$G5067, $D$2:$D5067=$D817)) * 100, 2))"),86.66)</f>
        <v>86.66</v>
      </c>
      <c r="J817" s="81">
        <f>IFERROR(__xludf.DUMMYFUNCTION("IF(H817="""", """", ROUND(H817 / MAX(FILTER($H$2:$H5067, $D$2:$D5067=$D817)) * 100, 2))"),33.7)</f>
        <v>33.7</v>
      </c>
      <c r="K817" s="2"/>
      <c r="L817" s="48"/>
      <c r="M817" s="48"/>
      <c r="N817" s="48"/>
      <c r="O817" s="48" t="str">
        <f t="shared" si="2"/>
        <v/>
      </c>
      <c r="P817" s="48" t="str">
        <f t="shared" si="3"/>
        <v/>
      </c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</row>
    <row r="818">
      <c r="A818" s="63">
        <v>55.0</v>
      </c>
      <c r="B818" s="63">
        <v>84.0</v>
      </c>
      <c r="C818" s="64" t="s">
        <v>213</v>
      </c>
      <c r="D818" s="64" t="s">
        <v>214</v>
      </c>
      <c r="E818" s="64" t="s">
        <v>215</v>
      </c>
      <c r="F818" s="63">
        <v>2500.0</v>
      </c>
      <c r="G818" s="63">
        <v>28.55</v>
      </c>
      <c r="H818" s="66">
        <f t="shared" si="1"/>
        <v>99.66</v>
      </c>
      <c r="I818" s="81">
        <f>IFERROR(__xludf.DUMMYFUNCTION("IF(G818="""", """", ROUND(G818 / MAX(FILTER($G$2:$G5067, $D$2:$D5067=$D818)) * 100, 2))"),93.33)</f>
        <v>93.33</v>
      </c>
      <c r="J818" s="81">
        <f>IFERROR(__xludf.DUMMYFUNCTION("IF(H818="""", """", ROUND(H818 / MAX(FILTER($H$2:$H5067, $D$2:$D5067=$D818)) * 100, 2))"),45.37)</f>
        <v>45.37</v>
      </c>
      <c r="K818" s="2"/>
      <c r="L818" s="49"/>
      <c r="M818" s="49"/>
      <c r="N818" s="49"/>
      <c r="O818" s="49" t="str">
        <f t="shared" si="2"/>
        <v/>
      </c>
      <c r="P818" s="49" t="str">
        <f t="shared" si="3"/>
        <v/>
      </c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</row>
    <row r="819">
      <c r="A819" s="69">
        <v>55.0</v>
      </c>
      <c r="B819" s="69">
        <v>84.0</v>
      </c>
      <c r="C819" s="86" t="s">
        <v>213</v>
      </c>
      <c r="D819" s="86" t="s">
        <v>214</v>
      </c>
      <c r="E819" s="86" t="s">
        <v>215</v>
      </c>
      <c r="F819" s="69">
        <v>3200.0</v>
      </c>
      <c r="G819" s="69">
        <v>30.59</v>
      </c>
      <c r="H819" s="68">
        <f t="shared" si="1"/>
        <v>136.68</v>
      </c>
      <c r="I819" s="81">
        <f>IFERROR(__xludf.DUMMYFUNCTION("IF(G819="""", """", ROUND(G819 / MAX(FILTER($G$2:$G5067, $D$2:$D5067=$D819)) * 100, 2))"),100.0)</f>
        <v>100</v>
      </c>
      <c r="J819" s="81">
        <f>IFERROR(__xludf.DUMMYFUNCTION("IF(H819="""", """", ROUND(H819 / MAX(FILTER($H$2:$H5067, $D$2:$D5067=$D819)) * 100, 2))"),62.23)</f>
        <v>62.23</v>
      </c>
      <c r="K819" s="2"/>
      <c r="L819" s="48"/>
      <c r="M819" s="48"/>
      <c r="N819" s="48"/>
      <c r="O819" s="48" t="str">
        <f t="shared" si="2"/>
        <v/>
      </c>
      <c r="P819" s="48" t="str">
        <f t="shared" si="3"/>
        <v/>
      </c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</row>
    <row r="820">
      <c r="A820" s="63">
        <v>55.0</v>
      </c>
      <c r="B820" s="63">
        <v>84.0</v>
      </c>
      <c r="C820" s="64" t="s">
        <v>213</v>
      </c>
      <c r="D820" s="64" t="s">
        <v>214</v>
      </c>
      <c r="E820" s="64" t="s">
        <v>215</v>
      </c>
      <c r="F820" s="63">
        <v>3500.0</v>
      </c>
      <c r="G820" s="63">
        <v>30.27</v>
      </c>
      <c r="H820" s="66">
        <f t="shared" si="1"/>
        <v>147.93</v>
      </c>
      <c r="I820" s="81">
        <f>IFERROR(__xludf.DUMMYFUNCTION("IF(G820="""", """", ROUND(G820 / MAX(FILTER($G$2:$G5067, $D$2:$D5067=$D820)) * 100, 2))"),98.95)</f>
        <v>98.95</v>
      </c>
      <c r="J820" s="81">
        <f>IFERROR(__xludf.DUMMYFUNCTION("IF(H820="""", """", ROUND(H820 / MAX(FILTER($H$2:$H5067, $D$2:$D5067=$D820)) * 100, 2))"),67.35)</f>
        <v>67.35</v>
      </c>
      <c r="K820" s="2"/>
      <c r="L820" s="49"/>
      <c r="M820" s="49"/>
      <c r="N820" s="49"/>
      <c r="O820" s="49" t="str">
        <f t="shared" si="2"/>
        <v/>
      </c>
      <c r="P820" s="49" t="str">
        <f t="shared" si="3"/>
        <v/>
      </c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</row>
    <row r="821">
      <c r="A821" s="69">
        <v>55.0</v>
      </c>
      <c r="B821" s="69">
        <v>84.0</v>
      </c>
      <c r="C821" s="86" t="s">
        <v>213</v>
      </c>
      <c r="D821" s="86" t="s">
        <v>214</v>
      </c>
      <c r="E821" s="86" t="s">
        <v>215</v>
      </c>
      <c r="F821" s="69">
        <v>4000.0</v>
      </c>
      <c r="G821" s="69">
        <v>29.05</v>
      </c>
      <c r="H821" s="68">
        <f t="shared" si="1"/>
        <v>162.25</v>
      </c>
      <c r="I821" s="81">
        <f>IFERROR(__xludf.DUMMYFUNCTION("IF(G821="""", """", ROUND(G821 / MAX(FILTER($G$2:$G5067, $D$2:$D5067=$D821)) * 100, 2))"),94.97)</f>
        <v>94.97</v>
      </c>
      <c r="J821" s="81">
        <f>IFERROR(__xludf.DUMMYFUNCTION("IF(H821="""", """", ROUND(H821 / MAX(FILTER($H$2:$H5067, $D$2:$D5067=$D821)) * 100, 2))"),73.87)</f>
        <v>73.87</v>
      </c>
      <c r="K821" s="2"/>
      <c r="L821" s="48"/>
      <c r="M821" s="48"/>
      <c r="N821" s="48"/>
      <c r="O821" s="48" t="str">
        <f t="shared" si="2"/>
        <v/>
      </c>
      <c r="P821" s="48" t="str">
        <f t="shared" si="3"/>
        <v/>
      </c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</row>
    <row r="822">
      <c r="A822" s="63">
        <v>55.0</v>
      </c>
      <c r="B822" s="63">
        <v>84.0</v>
      </c>
      <c r="C822" s="64" t="s">
        <v>213</v>
      </c>
      <c r="D822" s="64" t="s">
        <v>214</v>
      </c>
      <c r="E822" s="64" t="s">
        <v>215</v>
      </c>
      <c r="F822" s="63">
        <v>4500.0</v>
      </c>
      <c r="G822" s="63">
        <v>28.3</v>
      </c>
      <c r="H822" s="66">
        <f t="shared" si="1"/>
        <v>177.81</v>
      </c>
      <c r="I822" s="81">
        <f>IFERROR(__xludf.DUMMYFUNCTION("IF(G822="""", """", ROUND(G822 / MAX(FILTER($G$2:$G5067, $D$2:$D5067=$D822)) * 100, 2))"),92.51)</f>
        <v>92.51</v>
      </c>
      <c r="J822" s="81">
        <f>IFERROR(__xludf.DUMMYFUNCTION("IF(H822="""", """", ROUND(H822 / MAX(FILTER($H$2:$H5067, $D$2:$D5067=$D822)) * 100, 2))"),80.95)</f>
        <v>80.95</v>
      </c>
      <c r="K822" s="2"/>
      <c r="L822" s="49"/>
      <c r="M822" s="49"/>
      <c r="N822" s="49"/>
      <c r="O822" s="49" t="str">
        <f t="shared" si="2"/>
        <v/>
      </c>
      <c r="P822" s="49" t="str">
        <f t="shared" si="3"/>
        <v/>
      </c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</row>
    <row r="823">
      <c r="A823" s="69">
        <v>55.0</v>
      </c>
      <c r="B823" s="69">
        <v>84.0</v>
      </c>
      <c r="C823" s="86" t="s">
        <v>213</v>
      </c>
      <c r="D823" s="86" t="s">
        <v>214</v>
      </c>
      <c r="E823" s="86" t="s">
        <v>215</v>
      </c>
      <c r="F823" s="69">
        <v>5000.0</v>
      </c>
      <c r="G823" s="69">
        <v>28.04</v>
      </c>
      <c r="H823" s="68">
        <f t="shared" si="1"/>
        <v>195.76</v>
      </c>
      <c r="I823" s="81">
        <f>IFERROR(__xludf.DUMMYFUNCTION("IF(G823="""", """", ROUND(G823 / MAX(FILTER($G$2:$G5067, $D$2:$D5067=$D823)) * 100, 2))"),91.66)</f>
        <v>91.66</v>
      </c>
      <c r="J823" s="81">
        <f>IFERROR(__xludf.DUMMYFUNCTION("IF(H823="""", """", ROUND(H823 / MAX(FILTER($H$2:$H5067, $D$2:$D5067=$D823)) * 100, 2))"),89.12)</f>
        <v>89.12</v>
      </c>
      <c r="K823" s="2"/>
      <c r="L823" s="48"/>
      <c r="M823" s="48"/>
      <c r="N823" s="48"/>
      <c r="O823" s="48" t="str">
        <f t="shared" si="2"/>
        <v/>
      </c>
      <c r="P823" s="48" t="str">
        <f t="shared" si="3"/>
        <v/>
      </c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</row>
    <row r="824">
      <c r="A824" s="63">
        <v>55.0</v>
      </c>
      <c r="B824" s="63">
        <v>84.0</v>
      </c>
      <c r="C824" s="64" t="s">
        <v>213</v>
      </c>
      <c r="D824" s="64" t="s">
        <v>214</v>
      </c>
      <c r="E824" s="64" t="s">
        <v>215</v>
      </c>
      <c r="F824" s="63">
        <v>5500.0</v>
      </c>
      <c r="G824" s="63">
        <v>27.47</v>
      </c>
      <c r="H824" s="66">
        <f t="shared" si="1"/>
        <v>210.95</v>
      </c>
      <c r="I824" s="81">
        <f>IFERROR(__xludf.DUMMYFUNCTION("IF(G824="""", """", ROUND(G824 / MAX(FILTER($G$2:$G5067, $D$2:$D5067=$D824)) * 100, 2))"),89.8)</f>
        <v>89.8</v>
      </c>
      <c r="J824" s="81">
        <f>IFERROR(__xludf.DUMMYFUNCTION("IF(H824="""", """", ROUND(H824 / MAX(FILTER($H$2:$H5067, $D$2:$D5067=$D824)) * 100, 2))"),96.04)</f>
        <v>96.04</v>
      </c>
      <c r="K824" s="2"/>
      <c r="L824" s="49"/>
      <c r="M824" s="49"/>
      <c r="N824" s="49"/>
      <c r="O824" s="49" t="str">
        <f t="shared" si="2"/>
        <v/>
      </c>
      <c r="P824" s="49" t="str">
        <f t="shared" si="3"/>
        <v/>
      </c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</row>
    <row r="825">
      <c r="A825" s="69">
        <v>55.0</v>
      </c>
      <c r="B825" s="69">
        <v>84.0</v>
      </c>
      <c r="C825" s="86" t="s">
        <v>213</v>
      </c>
      <c r="D825" s="86" t="s">
        <v>214</v>
      </c>
      <c r="E825" s="86" t="s">
        <v>215</v>
      </c>
      <c r="F825" s="69">
        <v>6000.0</v>
      </c>
      <c r="G825" s="69">
        <v>25.99</v>
      </c>
      <c r="H825" s="68">
        <f t="shared" si="1"/>
        <v>217.73</v>
      </c>
      <c r="I825" s="81">
        <f>IFERROR(__xludf.DUMMYFUNCTION("IF(G825="""", """", ROUND(G825 / MAX(FILTER($G$2:$G5067, $D$2:$D5067=$D825)) * 100, 2))"),84.96)</f>
        <v>84.96</v>
      </c>
      <c r="J825" s="81">
        <f>IFERROR(__xludf.DUMMYFUNCTION("IF(H825="""", """", ROUND(H825 / MAX(FILTER($H$2:$H5067, $D$2:$D5067=$D825)) * 100, 2))"),99.13)</f>
        <v>99.13</v>
      </c>
      <c r="K825" s="2"/>
      <c r="L825" s="48"/>
      <c r="M825" s="48"/>
      <c r="N825" s="48"/>
      <c r="O825" s="48" t="str">
        <f t="shared" si="2"/>
        <v/>
      </c>
      <c r="P825" s="48" t="str">
        <f t="shared" si="3"/>
        <v/>
      </c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</row>
    <row r="826">
      <c r="A826" s="63">
        <v>55.0</v>
      </c>
      <c r="B826" s="63">
        <v>84.0</v>
      </c>
      <c r="C826" s="64" t="s">
        <v>213</v>
      </c>
      <c r="D826" s="64" t="s">
        <v>214</v>
      </c>
      <c r="E826" s="64" t="s">
        <v>215</v>
      </c>
      <c r="F826" s="63">
        <v>6300.0</v>
      </c>
      <c r="G826" s="63">
        <v>24.97</v>
      </c>
      <c r="H826" s="66">
        <f t="shared" si="1"/>
        <v>219.65</v>
      </c>
      <c r="I826" s="81">
        <f>IFERROR(__xludf.DUMMYFUNCTION("IF(G826="""", """", ROUND(G826 / MAX(FILTER($G$2:$G5067, $D$2:$D5067=$D826)) * 100, 2))"),81.63)</f>
        <v>81.63</v>
      </c>
      <c r="J826" s="81">
        <f>IFERROR(__xludf.DUMMYFUNCTION("IF(H826="""", """", ROUND(H826 / MAX(FILTER($H$2:$H5067, $D$2:$D5067=$D826)) * 100, 2))"),100.0)</f>
        <v>100</v>
      </c>
      <c r="K826" s="2"/>
      <c r="L826" s="49"/>
      <c r="M826" s="49"/>
      <c r="N826" s="49"/>
      <c r="O826" s="49" t="str">
        <f t="shared" si="2"/>
        <v/>
      </c>
      <c r="P826" s="49" t="str">
        <f t="shared" si="3"/>
        <v/>
      </c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</row>
    <row r="827">
      <c r="A827" s="69">
        <v>55.0</v>
      </c>
      <c r="B827" s="69">
        <v>84.0</v>
      </c>
      <c r="C827" s="86" t="s">
        <v>213</v>
      </c>
      <c r="D827" s="86" t="s">
        <v>214</v>
      </c>
      <c r="E827" s="86" t="s">
        <v>215</v>
      </c>
      <c r="F827" s="69">
        <v>7000.0</v>
      </c>
      <c r="G827" s="69">
        <v>20.8</v>
      </c>
      <c r="H827" s="68">
        <f t="shared" si="1"/>
        <v>203.3</v>
      </c>
      <c r="I827" s="81">
        <f>IFERROR(__xludf.DUMMYFUNCTION("IF(G827="""", """", ROUND(G827 / MAX(FILTER($G$2:$G5067, $D$2:$D5067=$D827)) * 100, 2))"),68.0)</f>
        <v>68</v>
      </c>
      <c r="J827" s="81">
        <f>IFERROR(__xludf.DUMMYFUNCTION("IF(H827="""", """", ROUND(H827 / MAX(FILTER($H$2:$H5067, $D$2:$D5067=$D827)) * 100, 2))"),92.56)</f>
        <v>92.56</v>
      </c>
      <c r="K827" s="2"/>
      <c r="L827" s="48"/>
      <c r="M827" s="48"/>
      <c r="N827" s="48"/>
      <c r="O827" s="48" t="str">
        <f t="shared" si="2"/>
        <v/>
      </c>
      <c r="P827" s="48" t="str">
        <f t="shared" si="3"/>
        <v/>
      </c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</row>
    <row r="828">
      <c r="A828" s="63">
        <v>56.0</v>
      </c>
      <c r="B828" s="63">
        <v>85.0</v>
      </c>
      <c r="C828" s="64" t="s">
        <v>216</v>
      </c>
      <c r="D828" s="64" t="s">
        <v>217</v>
      </c>
      <c r="E828" s="64" t="s">
        <v>218</v>
      </c>
      <c r="F828" s="63">
        <v>500.0</v>
      </c>
      <c r="G828" s="63">
        <v>12.15</v>
      </c>
      <c r="H828" s="66">
        <f t="shared" si="1"/>
        <v>8.48</v>
      </c>
      <c r="I828" s="81">
        <f>IFERROR(__xludf.DUMMYFUNCTION("IF(G828="""", """", ROUND(G828 / MAX(FILTER($G$2:$G5067, $D$2:$D5067=$D828)) * 100, 2))"),72.32)</f>
        <v>72.32</v>
      </c>
      <c r="J828" s="81">
        <f>IFERROR(__xludf.DUMMYFUNCTION("IF(H828="""", """", ROUND(H828 / MAX(FILTER($H$2:$H5067, $D$2:$D5067=$D828)) * 100, 2))"),6.79)</f>
        <v>6.79</v>
      </c>
      <c r="K828" s="2"/>
      <c r="L828" s="49"/>
      <c r="M828" s="49"/>
      <c r="N828" s="49"/>
      <c r="O828" s="49" t="str">
        <f t="shared" si="2"/>
        <v/>
      </c>
      <c r="P828" s="49" t="str">
        <f t="shared" si="3"/>
        <v/>
      </c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</row>
    <row r="829">
      <c r="A829" s="69">
        <v>56.0</v>
      </c>
      <c r="B829" s="69">
        <v>85.0</v>
      </c>
      <c r="C829" s="86" t="s">
        <v>216</v>
      </c>
      <c r="D829" s="86" t="s">
        <v>217</v>
      </c>
      <c r="E829" s="86" t="s">
        <v>218</v>
      </c>
      <c r="F829" s="69">
        <v>1000.0</v>
      </c>
      <c r="G829" s="69">
        <v>12.9</v>
      </c>
      <c r="H829" s="68">
        <f t="shared" si="1"/>
        <v>18.01</v>
      </c>
      <c r="I829" s="81">
        <f>IFERROR(__xludf.DUMMYFUNCTION("IF(G829="""", """", ROUND(G829 / MAX(FILTER($G$2:$G5067, $D$2:$D5067=$D829)) * 100, 2))"),76.79)</f>
        <v>76.79</v>
      </c>
      <c r="J829" s="81">
        <f>IFERROR(__xludf.DUMMYFUNCTION("IF(H829="""", """", ROUND(H829 / MAX(FILTER($H$2:$H5067, $D$2:$D5067=$D829)) * 100, 2))"),14.43)</f>
        <v>14.43</v>
      </c>
      <c r="K829" s="2"/>
      <c r="L829" s="48"/>
      <c r="M829" s="48"/>
      <c r="N829" s="48"/>
      <c r="O829" s="48" t="str">
        <f t="shared" si="2"/>
        <v/>
      </c>
      <c r="P829" s="48" t="str">
        <f t="shared" si="3"/>
        <v/>
      </c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</row>
    <row r="830">
      <c r="A830" s="63">
        <v>56.0</v>
      </c>
      <c r="B830" s="63">
        <v>85.0</v>
      </c>
      <c r="C830" s="64" t="s">
        <v>216</v>
      </c>
      <c r="D830" s="64" t="s">
        <v>217</v>
      </c>
      <c r="E830" s="64" t="s">
        <v>218</v>
      </c>
      <c r="F830" s="63">
        <v>1500.0</v>
      </c>
      <c r="G830" s="63">
        <v>13.4</v>
      </c>
      <c r="H830" s="66">
        <f t="shared" si="1"/>
        <v>28.06</v>
      </c>
      <c r="I830" s="81">
        <f>IFERROR(__xludf.DUMMYFUNCTION("IF(G830="""", """", ROUND(G830 / MAX(FILTER($G$2:$G5067, $D$2:$D5067=$D830)) * 100, 2))"),79.76)</f>
        <v>79.76</v>
      </c>
      <c r="J830" s="81">
        <f>IFERROR(__xludf.DUMMYFUNCTION("IF(H830="""", """", ROUND(H830 / MAX(FILTER($H$2:$H5067, $D$2:$D5067=$D830)) * 100, 2))"),22.48)</f>
        <v>22.48</v>
      </c>
      <c r="K830" s="2"/>
      <c r="L830" s="49"/>
      <c r="M830" s="49"/>
      <c r="N830" s="49"/>
      <c r="O830" s="49" t="str">
        <f t="shared" si="2"/>
        <v/>
      </c>
      <c r="P830" s="49" t="str">
        <f t="shared" si="3"/>
        <v/>
      </c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</row>
    <row r="831">
      <c r="A831" s="69">
        <v>56.0</v>
      </c>
      <c r="B831" s="69">
        <v>85.0</v>
      </c>
      <c r="C831" s="86" t="s">
        <v>216</v>
      </c>
      <c r="D831" s="86" t="s">
        <v>217</v>
      </c>
      <c r="E831" s="86" t="s">
        <v>218</v>
      </c>
      <c r="F831" s="69">
        <v>2000.0</v>
      </c>
      <c r="G831" s="69">
        <v>13.8</v>
      </c>
      <c r="H831" s="68">
        <f t="shared" si="1"/>
        <v>38.54</v>
      </c>
      <c r="I831" s="81">
        <f>IFERROR(__xludf.DUMMYFUNCTION("IF(G831="""", """", ROUND(G831 / MAX(FILTER($G$2:$G5067, $D$2:$D5067=$D831)) * 100, 2))"),82.14)</f>
        <v>82.14</v>
      </c>
      <c r="J831" s="81">
        <f>IFERROR(__xludf.DUMMYFUNCTION("IF(H831="""", """", ROUND(H831 / MAX(FILTER($H$2:$H5067, $D$2:$D5067=$D831)) * 100, 2))"),30.87)</f>
        <v>30.87</v>
      </c>
      <c r="K831" s="2"/>
      <c r="L831" s="48"/>
      <c r="M831" s="48"/>
      <c r="N831" s="48"/>
      <c r="O831" s="48" t="str">
        <f t="shared" si="2"/>
        <v/>
      </c>
      <c r="P831" s="48" t="str">
        <f t="shared" si="3"/>
        <v/>
      </c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</row>
    <row r="832">
      <c r="A832" s="63">
        <v>56.0</v>
      </c>
      <c r="B832" s="63">
        <v>85.0</v>
      </c>
      <c r="C832" s="64" t="s">
        <v>216</v>
      </c>
      <c r="D832" s="64" t="s">
        <v>217</v>
      </c>
      <c r="E832" s="64" t="s">
        <v>218</v>
      </c>
      <c r="F832" s="63">
        <v>2500.0</v>
      </c>
      <c r="G832" s="63">
        <v>14.25</v>
      </c>
      <c r="H832" s="66">
        <f t="shared" si="1"/>
        <v>49.74</v>
      </c>
      <c r="I832" s="81">
        <f>IFERROR(__xludf.DUMMYFUNCTION("IF(G832="""", """", ROUND(G832 / MAX(FILTER($G$2:$G5067, $D$2:$D5067=$D832)) * 100, 2))"),84.82)</f>
        <v>84.82</v>
      </c>
      <c r="J832" s="81">
        <f>IFERROR(__xludf.DUMMYFUNCTION("IF(H832="""", """", ROUND(H832 / MAX(FILTER($H$2:$H5067, $D$2:$D5067=$D832)) * 100, 2))"),39.85)</f>
        <v>39.85</v>
      </c>
      <c r="K832" s="2"/>
      <c r="L832" s="49"/>
      <c r="M832" s="49"/>
      <c r="N832" s="49"/>
      <c r="O832" s="49" t="str">
        <f t="shared" si="2"/>
        <v/>
      </c>
      <c r="P832" s="49" t="str">
        <f t="shared" si="3"/>
        <v/>
      </c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</row>
    <row r="833">
      <c r="A833" s="69">
        <v>56.0</v>
      </c>
      <c r="B833" s="69">
        <v>85.0</v>
      </c>
      <c r="C833" s="86" t="s">
        <v>216</v>
      </c>
      <c r="D833" s="86" t="s">
        <v>217</v>
      </c>
      <c r="E833" s="86" t="s">
        <v>218</v>
      </c>
      <c r="F833" s="69">
        <v>3000.0</v>
      </c>
      <c r="G833" s="69">
        <v>15.05</v>
      </c>
      <c r="H833" s="68">
        <f t="shared" si="1"/>
        <v>63.04</v>
      </c>
      <c r="I833" s="81">
        <f>IFERROR(__xludf.DUMMYFUNCTION("IF(G833="""", """", ROUND(G833 / MAX(FILTER($G$2:$G5067, $D$2:$D5067=$D833)) * 100, 2))"),89.58)</f>
        <v>89.58</v>
      </c>
      <c r="J833" s="81">
        <f>IFERROR(__xludf.DUMMYFUNCTION("IF(H833="""", """", ROUND(H833 / MAX(FILTER($H$2:$H5067, $D$2:$D5067=$D833)) * 100, 2))"),50.5)</f>
        <v>50.5</v>
      </c>
      <c r="K833" s="2"/>
      <c r="L833" s="48"/>
      <c r="M833" s="48"/>
      <c r="N833" s="48"/>
      <c r="O833" s="48" t="str">
        <f t="shared" si="2"/>
        <v/>
      </c>
      <c r="P833" s="48" t="str">
        <f t="shared" si="3"/>
        <v/>
      </c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</row>
    <row r="834">
      <c r="A834" s="63">
        <v>56.0</v>
      </c>
      <c r="B834" s="63">
        <v>85.0</v>
      </c>
      <c r="C834" s="64" t="s">
        <v>216</v>
      </c>
      <c r="D834" s="64" t="s">
        <v>217</v>
      </c>
      <c r="E834" s="64" t="s">
        <v>218</v>
      </c>
      <c r="F834" s="63">
        <v>3500.0</v>
      </c>
      <c r="G834" s="63">
        <v>16.05</v>
      </c>
      <c r="H834" s="66">
        <f t="shared" si="1"/>
        <v>78.43</v>
      </c>
      <c r="I834" s="81">
        <f>IFERROR(__xludf.DUMMYFUNCTION("IF(G834="""", """", ROUND(G834 / MAX(FILTER($G$2:$G5067, $D$2:$D5067=$D834)) * 100, 2))"),95.54)</f>
        <v>95.54</v>
      </c>
      <c r="J834" s="81">
        <f>IFERROR(__xludf.DUMMYFUNCTION("IF(H834="""", """", ROUND(H834 / MAX(FILTER($H$2:$H5067, $D$2:$D5067=$D834)) * 100, 2))"),62.83)</f>
        <v>62.83</v>
      </c>
      <c r="K834" s="2"/>
      <c r="L834" s="49"/>
      <c r="M834" s="49"/>
      <c r="N834" s="49"/>
      <c r="O834" s="49" t="str">
        <f t="shared" si="2"/>
        <v/>
      </c>
      <c r="P834" s="49" t="str">
        <f t="shared" si="3"/>
        <v/>
      </c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</row>
    <row r="835">
      <c r="A835" s="69">
        <v>56.0</v>
      </c>
      <c r="B835" s="69">
        <v>85.0</v>
      </c>
      <c r="C835" s="86" t="s">
        <v>216</v>
      </c>
      <c r="D835" s="86" t="s">
        <v>217</v>
      </c>
      <c r="E835" s="86" t="s">
        <v>218</v>
      </c>
      <c r="F835" s="69">
        <v>4000.0</v>
      </c>
      <c r="G835" s="69">
        <v>16.7</v>
      </c>
      <c r="H835" s="68">
        <f t="shared" si="1"/>
        <v>93.27</v>
      </c>
      <c r="I835" s="81">
        <f>IFERROR(__xludf.DUMMYFUNCTION("IF(G835="""", """", ROUND(G835 / MAX(FILTER($G$2:$G5067, $D$2:$D5067=$D835)) * 100, 2))"),99.4)</f>
        <v>99.4</v>
      </c>
      <c r="J835" s="81">
        <f>IFERROR(__xludf.DUMMYFUNCTION("IF(H835="""", """", ROUND(H835 / MAX(FILTER($H$2:$H5067, $D$2:$D5067=$D835)) * 100, 2))"),74.72)</f>
        <v>74.72</v>
      </c>
      <c r="K835" s="2"/>
      <c r="L835" s="48"/>
      <c r="M835" s="48"/>
      <c r="N835" s="48"/>
      <c r="O835" s="48" t="str">
        <f t="shared" si="2"/>
        <v/>
      </c>
      <c r="P835" s="48" t="str">
        <f t="shared" si="3"/>
        <v/>
      </c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</row>
    <row r="836">
      <c r="A836" s="63">
        <v>56.0</v>
      </c>
      <c r="B836" s="63">
        <v>85.0</v>
      </c>
      <c r="C836" s="64" t="s">
        <v>216</v>
      </c>
      <c r="D836" s="64" t="s">
        <v>217</v>
      </c>
      <c r="E836" s="64" t="s">
        <v>218</v>
      </c>
      <c r="F836" s="63">
        <v>4600.0</v>
      </c>
      <c r="G836" s="63">
        <v>16.8</v>
      </c>
      <c r="H836" s="66">
        <f t="shared" si="1"/>
        <v>107.9</v>
      </c>
      <c r="I836" s="81">
        <f>IFERROR(__xludf.DUMMYFUNCTION("IF(G836="""", """", ROUND(G836 / MAX(FILTER($G$2:$G5067, $D$2:$D5067=$D836)) * 100, 2))"),100.0)</f>
        <v>100</v>
      </c>
      <c r="J836" s="81">
        <f>IFERROR(__xludf.DUMMYFUNCTION("IF(H836="""", """", ROUND(H836 / MAX(FILTER($H$2:$H5067, $D$2:$D5067=$D836)) * 100, 2))"),86.44)</f>
        <v>86.44</v>
      </c>
      <c r="K836" s="2"/>
      <c r="L836" s="49"/>
      <c r="M836" s="49"/>
      <c r="N836" s="49"/>
      <c r="O836" s="49" t="str">
        <f t="shared" si="2"/>
        <v/>
      </c>
      <c r="P836" s="49" t="str">
        <f t="shared" si="3"/>
        <v/>
      </c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</row>
    <row r="837">
      <c r="A837" s="69">
        <v>56.0</v>
      </c>
      <c r="B837" s="69">
        <v>85.0</v>
      </c>
      <c r="C837" s="86" t="s">
        <v>216</v>
      </c>
      <c r="D837" s="86" t="s">
        <v>217</v>
      </c>
      <c r="E837" s="86" t="s">
        <v>218</v>
      </c>
      <c r="F837" s="69">
        <v>5000.0</v>
      </c>
      <c r="G837" s="69">
        <v>16.4</v>
      </c>
      <c r="H837" s="68">
        <f t="shared" si="1"/>
        <v>114.49</v>
      </c>
      <c r="I837" s="81">
        <f>IFERROR(__xludf.DUMMYFUNCTION("IF(G837="""", """", ROUND(G837 / MAX(FILTER($G$2:$G5067, $D$2:$D5067=$D837)) * 100, 2))"),97.62)</f>
        <v>97.62</v>
      </c>
      <c r="J837" s="81">
        <f>IFERROR(__xludf.DUMMYFUNCTION("IF(H837="""", """", ROUND(H837 / MAX(FILTER($H$2:$H5067, $D$2:$D5067=$D837)) * 100, 2))"),91.72)</f>
        <v>91.72</v>
      </c>
      <c r="K837" s="2"/>
      <c r="L837" s="48"/>
      <c r="M837" s="48"/>
      <c r="N837" s="48"/>
      <c r="O837" s="48" t="str">
        <f t="shared" si="2"/>
        <v/>
      </c>
      <c r="P837" s="48" t="str">
        <f t="shared" si="3"/>
        <v/>
      </c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</row>
    <row r="838">
      <c r="A838" s="63">
        <v>56.0</v>
      </c>
      <c r="B838" s="63">
        <v>85.0</v>
      </c>
      <c r="C838" s="64" t="s">
        <v>216</v>
      </c>
      <c r="D838" s="64" t="s">
        <v>217</v>
      </c>
      <c r="E838" s="64" t="s">
        <v>218</v>
      </c>
      <c r="F838" s="63">
        <v>5500.0</v>
      </c>
      <c r="G838" s="63">
        <v>15.9</v>
      </c>
      <c r="H838" s="66">
        <f t="shared" si="1"/>
        <v>122.1</v>
      </c>
      <c r="I838" s="81">
        <f>IFERROR(__xludf.DUMMYFUNCTION("IF(G838="""", """", ROUND(G838 / MAX(FILTER($G$2:$G5067, $D$2:$D5067=$D838)) * 100, 2))"),94.64)</f>
        <v>94.64</v>
      </c>
      <c r="J838" s="81">
        <f>IFERROR(__xludf.DUMMYFUNCTION("IF(H838="""", """", ROUND(H838 / MAX(FILTER($H$2:$H5067, $D$2:$D5067=$D838)) * 100, 2))"),97.81)</f>
        <v>97.81</v>
      </c>
      <c r="K838" s="2"/>
      <c r="L838" s="49"/>
      <c r="M838" s="49"/>
      <c r="N838" s="49"/>
      <c r="O838" s="49" t="str">
        <f t="shared" si="2"/>
        <v/>
      </c>
      <c r="P838" s="49" t="str">
        <f t="shared" si="3"/>
        <v/>
      </c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</row>
    <row r="839">
      <c r="A839" s="69">
        <v>56.0</v>
      </c>
      <c r="B839" s="69">
        <v>85.0</v>
      </c>
      <c r="C839" s="86" t="s">
        <v>216</v>
      </c>
      <c r="D839" s="86" t="s">
        <v>217</v>
      </c>
      <c r="E839" s="86" t="s">
        <v>218</v>
      </c>
      <c r="F839" s="69">
        <v>6000.0</v>
      </c>
      <c r="G839" s="69">
        <v>14.9</v>
      </c>
      <c r="H839" s="68">
        <f t="shared" si="1"/>
        <v>124.83</v>
      </c>
      <c r="I839" s="81">
        <f>IFERROR(__xludf.DUMMYFUNCTION("IF(G839="""", """", ROUND(G839 / MAX(FILTER($G$2:$G5067, $D$2:$D5067=$D839)) * 100, 2))"),88.69)</f>
        <v>88.69</v>
      </c>
      <c r="J839" s="81">
        <f>IFERROR(__xludf.DUMMYFUNCTION("IF(H839="""", """", ROUND(H839 / MAX(FILTER($H$2:$H5067, $D$2:$D5067=$D839)) * 100, 2))"),100.0)</f>
        <v>100</v>
      </c>
      <c r="K839" s="2"/>
      <c r="L839" s="48"/>
      <c r="M839" s="48"/>
      <c r="N839" s="48"/>
      <c r="O839" s="48" t="str">
        <f t="shared" si="2"/>
        <v/>
      </c>
      <c r="P839" s="48" t="str">
        <f t="shared" si="3"/>
        <v/>
      </c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</row>
    <row r="840">
      <c r="A840" s="63">
        <v>56.0</v>
      </c>
      <c r="B840" s="63">
        <v>85.0</v>
      </c>
      <c r="C840" s="64" t="s">
        <v>216</v>
      </c>
      <c r="D840" s="64" t="s">
        <v>217</v>
      </c>
      <c r="E840" s="64" t="s">
        <v>218</v>
      </c>
      <c r="F840" s="63">
        <v>6500.0</v>
      </c>
      <c r="G840" s="63">
        <v>13.4</v>
      </c>
      <c r="H840" s="66">
        <f t="shared" si="1"/>
        <v>121.61</v>
      </c>
      <c r="I840" s="81">
        <f>IFERROR(__xludf.DUMMYFUNCTION("IF(G840="""", """", ROUND(G840 / MAX(FILTER($G$2:$G5067, $D$2:$D5067=$D840)) * 100, 2))"),79.76)</f>
        <v>79.76</v>
      </c>
      <c r="J840" s="81">
        <f>IFERROR(__xludf.DUMMYFUNCTION("IF(H840="""", """", ROUND(H840 / MAX(FILTER($H$2:$H5067, $D$2:$D5067=$D840)) * 100, 2))"),97.42)</f>
        <v>97.42</v>
      </c>
      <c r="K840" s="2"/>
      <c r="L840" s="49"/>
      <c r="M840" s="49"/>
      <c r="N840" s="49"/>
      <c r="O840" s="49" t="str">
        <f t="shared" si="2"/>
        <v/>
      </c>
      <c r="P840" s="49" t="str">
        <f t="shared" si="3"/>
        <v/>
      </c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</row>
    <row r="841">
      <c r="A841" s="69">
        <v>56.0</v>
      </c>
      <c r="B841" s="69">
        <v>85.0</v>
      </c>
      <c r="C841" s="86" t="s">
        <v>216</v>
      </c>
      <c r="D841" s="86" t="s">
        <v>217</v>
      </c>
      <c r="E841" s="86" t="s">
        <v>218</v>
      </c>
      <c r="F841" s="69">
        <v>7000.0</v>
      </c>
      <c r="G841" s="69">
        <v>10.45</v>
      </c>
      <c r="H841" s="68">
        <f t="shared" si="1"/>
        <v>102.14</v>
      </c>
      <c r="I841" s="81">
        <f>IFERROR(__xludf.DUMMYFUNCTION("IF(G841="""", """", ROUND(G841 / MAX(FILTER($G$2:$G5067, $D$2:$D5067=$D841)) * 100, 2))"),62.2)</f>
        <v>62.2</v>
      </c>
      <c r="J841" s="81">
        <f>IFERROR(__xludf.DUMMYFUNCTION("IF(H841="""", """", ROUND(H841 / MAX(FILTER($H$2:$H5067, $D$2:$D5067=$D841)) * 100, 2))"),81.82)</f>
        <v>81.82</v>
      </c>
      <c r="K841" s="2"/>
      <c r="L841" s="48"/>
      <c r="M841" s="48"/>
      <c r="N841" s="48"/>
      <c r="O841" s="48" t="str">
        <f t="shared" si="2"/>
        <v/>
      </c>
      <c r="P841" s="48" t="str">
        <f t="shared" si="3"/>
        <v/>
      </c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</row>
    <row r="842">
      <c r="A842" s="63">
        <v>57.0</v>
      </c>
      <c r="B842" s="63">
        <v>86.0</v>
      </c>
      <c r="C842" s="64" t="s">
        <v>219</v>
      </c>
      <c r="D842" s="64" t="s">
        <v>220</v>
      </c>
      <c r="E842" s="64" t="s">
        <v>221</v>
      </c>
      <c r="F842" s="63">
        <v>500.0</v>
      </c>
      <c r="G842" s="63">
        <v>11.62</v>
      </c>
      <c r="H842" s="66">
        <f t="shared" si="1"/>
        <v>8.11</v>
      </c>
      <c r="I842" s="81">
        <f>IFERROR(__xludf.DUMMYFUNCTION("IF(G842="""", """", ROUND(G842 / MAX(FILTER($G$2:$G5067, $D$2:$D5067=$D842)) * 100, 2))"),52.04)</f>
        <v>52.04</v>
      </c>
      <c r="J842" s="81">
        <f>IFERROR(__xludf.DUMMYFUNCTION("IF(H842="""", """", ROUND(H842 / MAX(FILTER($H$2:$H5067, $D$2:$D5067=$D842)) * 100, 2))"),4.97)</f>
        <v>4.97</v>
      </c>
      <c r="K842" s="2"/>
      <c r="L842" s="49"/>
      <c r="M842" s="49"/>
      <c r="N842" s="49"/>
      <c r="O842" s="49" t="str">
        <f t="shared" si="2"/>
        <v/>
      </c>
      <c r="P842" s="49" t="str">
        <f t="shared" si="3"/>
        <v/>
      </c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</row>
    <row r="843">
      <c r="A843" s="69">
        <v>57.0</v>
      </c>
      <c r="B843" s="69">
        <v>86.0</v>
      </c>
      <c r="C843" s="86" t="s">
        <v>219</v>
      </c>
      <c r="D843" s="86" t="s">
        <v>220</v>
      </c>
      <c r="E843" s="86" t="s">
        <v>221</v>
      </c>
      <c r="F843" s="69">
        <v>1000.0</v>
      </c>
      <c r="G843" s="69">
        <v>13.97</v>
      </c>
      <c r="H843" s="68">
        <f t="shared" si="1"/>
        <v>19.51</v>
      </c>
      <c r="I843" s="81">
        <f>IFERROR(__xludf.DUMMYFUNCTION("IF(G843="""", """", ROUND(G843 / MAX(FILTER($G$2:$G5067, $D$2:$D5067=$D843)) * 100, 2))"),62.56)</f>
        <v>62.56</v>
      </c>
      <c r="J843" s="81">
        <f>IFERROR(__xludf.DUMMYFUNCTION("IF(H843="""", """", ROUND(H843 / MAX(FILTER($H$2:$H5067, $D$2:$D5067=$D843)) * 100, 2))"),11.96)</f>
        <v>11.96</v>
      </c>
      <c r="K843" s="2"/>
      <c r="L843" s="48"/>
      <c r="M843" s="48"/>
      <c r="N843" s="48"/>
      <c r="O843" s="48" t="str">
        <f t="shared" si="2"/>
        <v/>
      </c>
      <c r="P843" s="48" t="str">
        <f t="shared" si="3"/>
        <v/>
      </c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</row>
    <row r="844">
      <c r="A844" s="63">
        <v>57.0</v>
      </c>
      <c r="B844" s="63">
        <v>86.0</v>
      </c>
      <c r="C844" s="64" t="s">
        <v>219</v>
      </c>
      <c r="D844" s="64" t="s">
        <v>220</v>
      </c>
      <c r="E844" s="64" t="s">
        <v>221</v>
      </c>
      <c r="F844" s="63">
        <v>1500.0</v>
      </c>
      <c r="G844" s="63">
        <v>15.7</v>
      </c>
      <c r="H844" s="66">
        <f t="shared" si="1"/>
        <v>32.88</v>
      </c>
      <c r="I844" s="81">
        <f>IFERROR(__xludf.DUMMYFUNCTION("IF(G844="""", """", ROUND(G844 / MAX(FILTER($G$2:$G5067, $D$2:$D5067=$D844)) * 100, 2))"),70.31)</f>
        <v>70.31</v>
      </c>
      <c r="J844" s="81">
        <f>IFERROR(__xludf.DUMMYFUNCTION("IF(H844="""", """", ROUND(H844 / MAX(FILTER($H$2:$H5067, $D$2:$D5067=$D844)) * 100, 2))"),20.15)</f>
        <v>20.15</v>
      </c>
      <c r="K844" s="2"/>
      <c r="L844" s="49"/>
      <c r="M844" s="49"/>
      <c r="N844" s="49"/>
      <c r="O844" s="49" t="str">
        <f t="shared" si="2"/>
        <v/>
      </c>
      <c r="P844" s="49" t="str">
        <f t="shared" si="3"/>
        <v/>
      </c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</row>
    <row r="845">
      <c r="A845" s="69">
        <v>57.0</v>
      </c>
      <c r="B845" s="69">
        <v>86.0</v>
      </c>
      <c r="C845" s="86" t="s">
        <v>219</v>
      </c>
      <c r="D845" s="86" t="s">
        <v>220</v>
      </c>
      <c r="E845" s="86" t="s">
        <v>221</v>
      </c>
      <c r="F845" s="69">
        <v>2000.0</v>
      </c>
      <c r="G845" s="69">
        <v>17.44</v>
      </c>
      <c r="H845" s="68">
        <f t="shared" si="1"/>
        <v>48.7</v>
      </c>
      <c r="I845" s="81">
        <f>IFERROR(__xludf.DUMMYFUNCTION("IF(G845="""", """", ROUND(G845 / MAX(FILTER($G$2:$G5067, $D$2:$D5067=$D845)) * 100, 2))"),78.1)</f>
        <v>78.1</v>
      </c>
      <c r="J845" s="81">
        <f>IFERROR(__xludf.DUMMYFUNCTION("IF(H845="""", """", ROUND(H845 / MAX(FILTER($H$2:$H5067, $D$2:$D5067=$D845)) * 100, 2))"),29.84)</f>
        <v>29.84</v>
      </c>
      <c r="K845" s="2"/>
      <c r="L845" s="48"/>
      <c r="M845" s="48"/>
      <c r="N845" s="48"/>
      <c r="O845" s="48" t="str">
        <f t="shared" si="2"/>
        <v/>
      </c>
      <c r="P845" s="48" t="str">
        <f t="shared" si="3"/>
        <v/>
      </c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</row>
    <row r="846">
      <c r="A846" s="63">
        <v>57.0</v>
      </c>
      <c r="B846" s="63">
        <v>86.0</v>
      </c>
      <c r="C846" s="64" t="s">
        <v>219</v>
      </c>
      <c r="D846" s="64" t="s">
        <v>220</v>
      </c>
      <c r="E846" s="64" t="s">
        <v>221</v>
      </c>
      <c r="F846" s="63">
        <v>2500.0</v>
      </c>
      <c r="G846" s="63">
        <v>19.07</v>
      </c>
      <c r="H846" s="66">
        <f t="shared" si="1"/>
        <v>66.57</v>
      </c>
      <c r="I846" s="81">
        <f>IFERROR(__xludf.DUMMYFUNCTION("IF(G846="""", """", ROUND(G846 / MAX(FILTER($G$2:$G5067, $D$2:$D5067=$D846)) * 100, 2))"),85.4)</f>
        <v>85.4</v>
      </c>
      <c r="J846" s="81">
        <f>IFERROR(__xludf.DUMMYFUNCTION("IF(H846="""", """", ROUND(H846 / MAX(FILTER($H$2:$H5067, $D$2:$D5067=$D846)) * 100, 2))"),40.79)</f>
        <v>40.79</v>
      </c>
      <c r="K846" s="2"/>
      <c r="L846" s="49"/>
      <c r="M846" s="49"/>
      <c r="N846" s="49"/>
      <c r="O846" s="49" t="str">
        <f t="shared" si="2"/>
        <v/>
      </c>
      <c r="P846" s="49" t="str">
        <f t="shared" si="3"/>
        <v/>
      </c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</row>
    <row r="847">
      <c r="A847" s="69">
        <v>57.0</v>
      </c>
      <c r="B847" s="69">
        <v>86.0</v>
      </c>
      <c r="C847" s="86" t="s">
        <v>219</v>
      </c>
      <c r="D847" s="86" t="s">
        <v>220</v>
      </c>
      <c r="E847" s="86" t="s">
        <v>221</v>
      </c>
      <c r="F847" s="69">
        <v>3000.0</v>
      </c>
      <c r="G847" s="69">
        <v>20.5</v>
      </c>
      <c r="H847" s="68">
        <f t="shared" si="1"/>
        <v>85.87</v>
      </c>
      <c r="I847" s="81">
        <f>IFERROR(__xludf.DUMMYFUNCTION("IF(G847="""", """", ROUND(G847 / MAX(FILTER($G$2:$G5067, $D$2:$D5067=$D847)) * 100, 2))"),91.8)</f>
        <v>91.8</v>
      </c>
      <c r="J847" s="81">
        <f>IFERROR(__xludf.DUMMYFUNCTION("IF(H847="""", """", ROUND(H847 / MAX(FILTER($H$2:$H5067, $D$2:$D5067=$D847)) * 100, 2))"),52.62)</f>
        <v>52.62</v>
      </c>
      <c r="K847" s="2"/>
      <c r="L847" s="48"/>
      <c r="M847" s="48"/>
      <c r="N847" s="48"/>
      <c r="O847" s="48" t="str">
        <f t="shared" si="2"/>
        <v/>
      </c>
      <c r="P847" s="48" t="str">
        <f t="shared" si="3"/>
        <v/>
      </c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</row>
    <row r="848">
      <c r="A848" s="63">
        <v>57.0</v>
      </c>
      <c r="B848" s="63">
        <v>86.0</v>
      </c>
      <c r="C848" s="64" t="s">
        <v>219</v>
      </c>
      <c r="D848" s="64" t="s">
        <v>220</v>
      </c>
      <c r="E848" s="64" t="s">
        <v>221</v>
      </c>
      <c r="F848" s="63">
        <v>3500.0</v>
      </c>
      <c r="G848" s="63">
        <v>21.62</v>
      </c>
      <c r="H848" s="66">
        <f t="shared" si="1"/>
        <v>105.65</v>
      </c>
      <c r="I848" s="81">
        <f>IFERROR(__xludf.DUMMYFUNCTION("IF(G848="""", """", ROUND(G848 / MAX(FILTER($G$2:$G5067, $D$2:$D5067=$D848)) * 100, 2))"),96.82)</f>
        <v>96.82</v>
      </c>
      <c r="J848" s="81">
        <f>IFERROR(__xludf.DUMMYFUNCTION("IF(H848="""", """", ROUND(H848 / MAX(FILTER($H$2:$H5067, $D$2:$D5067=$D848)) * 100, 2))"),64.74)</f>
        <v>64.74</v>
      </c>
      <c r="K848" s="2"/>
      <c r="L848" s="49"/>
      <c r="M848" s="49"/>
      <c r="N848" s="49"/>
      <c r="O848" s="49" t="str">
        <f t="shared" si="2"/>
        <v/>
      </c>
      <c r="P848" s="49" t="str">
        <f t="shared" si="3"/>
        <v/>
      </c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</row>
    <row r="849">
      <c r="A849" s="69">
        <v>57.0</v>
      </c>
      <c r="B849" s="69">
        <v>86.0</v>
      </c>
      <c r="C849" s="86" t="s">
        <v>219</v>
      </c>
      <c r="D849" s="86" t="s">
        <v>220</v>
      </c>
      <c r="E849" s="86" t="s">
        <v>221</v>
      </c>
      <c r="F849" s="69">
        <v>4000.0</v>
      </c>
      <c r="G849" s="69">
        <v>22.33</v>
      </c>
      <c r="H849" s="68">
        <f t="shared" si="1"/>
        <v>124.71</v>
      </c>
      <c r="I849" s="81">
        <f>IFERROR(__xludf.DUMMYFUNCTION("IF(G849="""", """", ROUND(G849 / MAX(FILTER($G$2:$G5067, $D$2:$D5067=$D849)) * 100, 2))"),100.0)</f>
        <v>100</v>
      </c>
      <c r="J849" s="81">
        <f>IFERROR(__xludf.DUMMYFUNCTION("IF(H849="""", """", ROUND(H849 / MAX(FILTER($H$2:$H5067, $D$2:$D5067=$D849)) * 100, 2))"),76.42)</f>
        <v>76.42</v>
      </c>
      <c r="K849" s="2"/>
      <c r="L849" s="48"/>
      <c r="M849" s="48"/>
      <c r="N849" s="48"/>
      <c r="O849" s="48" t="str">
        <f t="shared" si="2"/>
        <v/>
      </c>
      <c r="P849" s="48" t="str">
        <f t="shared" si="3"/>
        <v/>
      </c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</row>
    <row r="850">
      <c r="A850" s="63">
        <v>57.0</v>
      </c>
      <c r="B850" s="63">
        <v>86.0</v>
      </c>
      <c r="C850" s="64" t="s">
        <v>219</v>
      </c>
      <c r="D850" s="64" t="s">
        <v>220</v>
      </c>
      <c r="E850" s="64" t="s">
        <v>221</v>
      </c>
      <c r="F850" s="63">
        <v>4500.0</v>
      </c>
      <c r="G850" s="63">
        <v>22.13</v>
      </c>
      <c r="H850" s="66">
        <f t="shared" si="1"/>
        <v>139.05</v>
      </c>
      <c r="I850" s="81">
        <f>IFERROR(__xludf.DUMMYFUNCTION("IF(G850="""", """", ROUND(G850 / MAX(FILTER($G$2:$G5067, $D$2:$D5067=$D850)) * 100, 2))"),99.1)</f>
        <v>99.1</v>
      </c>
      <c r="J850" s="81">
        <f>IFERROR(__xludf.DUMMYFUNCTION("IF(H850="""", """", ROUND(H850 / MAX(FILTER($H$2:$H5067, $D$2:$D5067=$D850)) * 100, 2))"),85.21)</f>
        <v>85.21</v>
      </c>
      <c r="K850" s="2"/>
      <c r="L850" s="49"/>
      <c r="M850" s="49"/>
      <c r="N850" s="49"/>
      <c r="O850" s="49" t="str">
        <f t="shared" si="2"/>
        <v/>
      </c>
      <c r="P850" s="49" t="str">
        <f t="shared" si="3"/>
        <v/>
      </c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</row>
    <row r="851">
      <c r="A851" s="69">
        <v>57.0</v>
      </c>
      <c r="B851" s="69">
        <v>86.0</v>
      </c>
      <c r="C851" s="86" t="s">
        <v>219</v>
      </c>
      <c r="D851" s="86" t="s">
        <v>220</v>
      </c>
      <c r="E851" s="86" t="s">
        <v>221</v>
      </c>
      <c r="F851" s="69">
        <v>5000.0</v>
      </c>
      <c r="G851" s="69">
        <v>21.31</v>
      </c>
      <c r="H851" s="68">
        <f t="shared" si="1"/>
        <v>148.77</v>
      </c>
      <c r="I851" s="81">
        <f>IFERROR(__xludf.DUMMYFUNCTION("IF(G851="""", """", ROUND(G851 / MAX(FILTER($G$2:$G5067, $D$2:$D5067=$D851)) * 100, 2))"),95.43)</f>
        <v>95.43</v>
      </c>
      <c r="J851" s="81">
        <f>IFERROR(__xludf.DUMMYFUNCTION("IF(H851="""", """", ROUND(H851 / MAX(FILTER($H$2:$H5067, $D$2:$D5067=$D851)) * 100, 2))"),91.16)</f>
        <v>91.16</v>
      </c>
      <c r="K851" s="2"/>
      <c r="L851" s="48"/>
      <c r="M851" s="48"/>
      <c r="N851" s="48"/>
      <c r="O851" s="48" t="str">
        <f t="shared" si="2"/>
        <v/>
      </c>
      <c r="P851" s="48" t="str">
        <f t="shared" si="3"/>
        <v/>
      </c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</row>
    <row r="852">
      <c r="A852" s="63">
        <v>57.0</v>
      </c>
      <c r="B852" s="63">
        <v>86.0</v>
      </c>
      <c r="C852" s="64" t="s">
        <v>219</v>
      </c>
      <c r="D852" s="64" t="s">
        <v>220</v>
      </c>
      <c r="E852" s="64" t="s">
        <v>221</v>
      </c>
      <c r="F852" s="63">
        <v>5500.0</v>
      </c>
      <c r="G852" s="63">
        <v>20.39</v>
      </c>
      <c r="H852" s="66">
        <f t="shared" si="1"/>
        <v>156.58</v>
      </c>
      <c r="I852" s="81">
        <f>IFERROR(__xludf.DUMMYFUNCTION("IF(G852="""", """", ROUND(G852 / MAX(FILTER($G$2:$G5067, $D$2:$D5067=$D852)) * 100, 2))"),91.31)</f>
        <v>91.31</v>
      </c>
      <c r="J852" s="81">
        <f>IFERROR(__xludf.DUMMYFUNCTION("IF(H852="""", """", ROUND(H852 / MAX(FILTER($H$2:$H5067, $D$2:$D5067=$D852)) * 100, 2))"),95.95)</f>
        <v>95.95</v>
      </c>
      <c r="K852" s="2"/>
      <c r="L852" s="49"/>
      <c r="M852" s="49"/>
      <c r="N852" s="49"/>
      <c r="O852" s="49" t="str">
        <f t="shared" si="2"/>
        <v/>
      </c>
      <c r="P852" s="49" t="str">
        <f t="shared" si="3"/>
        <v/>
      </c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</row>
    <row r="853">
      <c r="A853" s="69">
        <v>57.0</v>
      </c>
      <c r="B853" s="69">
        <v>86.0</v>
      </c>
      <c r="C853" s="86" t="s">
        <v>219</v>
      </c>
      <c r="D853" s="86" t="s">
        <v>220</v>
      </c>
      <c r="E853" s="86" t="s">
        <v>221</v>
      </c>
      <c r="F853" s="69">
        <v>6000.0</v>
      </c>
      <c r="G853" s="69">
        <v>19.48</v>
      </c>
      <c r="H853" s="68">
        <f t="shared" si="1"/>
        <v>163.19</v>
      </c>
      <c r="I853" s="81">
        <f>IFERROR(__xludf.DUMMYFUNCTION("IF(G853="""", """", ROUND(G853 / MAX(FILTER($G$2:$G5067, $D$2:$D5067=$D853)) * 100, 2))"),87.24)</f>
        <v>87.24</v>
      </c>
      <c r="J853" s="81">
        <f>IFERROR(__xludf.DUMMYFUNCTION("IF(H853="""", """", ROUND(H853 / MAX(FILTER($H$2:$H5067, $D$2:$D5067=$D853)) * 100, 2))"),100.0)</f>
        <v>100</v>
      </c>
      <c r="K853" s="2"/>
      <c r="L853" s="48"/>
      <c r="M853" s="48"/>
      <c r="N853" s="48"/>
      <c r="O853" s="48" t="str">
        <f t="shared" si="2"/>
        <v/>
      </c>
      <c r="P853" s="48" t="str">
        <f t="shared" si="3"/>
        <v/>
      </c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</row>
    <row r="854">
      <c r="A854" s="63">
        <v>57.0</v>
      </c>
      <c r="B854" s="63">
        <v>86.0</v>
      </c>
      <c r="C854" s="64" t="s">
        <v>219</v>
      </c>
      <c r="D854" s="64" t="s">
        <v>220</v>
      </c>
      <c r="E854" s="64" t="s">
        <v>221</v>
      </c>
      <c r="F854" s="63">
        <v>6500.0</v>
      </c>
      <c r="G854" s="63">
        <v>17.85</v>
      </c>
      <c r="H854" s="66">
        <f t="shared" si="1"/>
        <v>162</v>
      </c>
      <c r="I854" s="81">
        <f>IFERROR(__xludf.DUMMYFUNCTION("IF(G854="""", """", ROUND(G854 / MAX(FILTER($G$2:$G5067, $D$2:$D5067=$D854)) * 100, 2))"),79.94)</f>
        <v>79.94</v>
      </c>
      <c r="J854" s="81">
        <f>IFERROR(__xludf.DUMMYFUNCTION("IF(H854="""", """", ROUND(H854 / MAX(FILTER($H$2:$H5067, $D$2:$D5067=$D854)) * 100, 2))"),99.27)</f>
        <v>99.27</v>
      </c>
      <c r="K854" s="2"/>
      <c r="L854" s="49"/>
      <c r="M854" s="49"/>
      <c r="N854" s="49"/>
      <c r="O854" s="49" t="str">
        <f t="shared" si="2"/>
        <v/>
      </c>
      <c r="P854" s="49" t="str">
        <f t="shared" si="3"/>
        <v/>
      </c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</row>
    <row r="855">
      <c r="A855" s="69">
        <v>57.0</v>
      </c>
      <c r="B855" s="69">
        <v>86.0</v>
      </c>
      <c r="C855" s="86" t="s">
        <v>219</v>
      </c>
      <c r="D855" s="86" t="s">
        <v>220</v>
      </c>
      <c r="E855" s="86" t="s">
        <v>221</v>
      </c>
      <c r="F855" s="69">
        <v>7000.0</v>
      </c>
      <c r="G855" s="69">
        <v>16.21</v>
      </c>
      <c r="H855" s="68">
        <f t="shared" si="1"/>
        <v>158.43</v>
      </c>
      <c r="I855" s="81">
        <f>IFERROR(__xludf.DUMMYFUNCTION("IF(G855="""", """", ROUND(G855 / MAX(FILTER($G$2:$G5067, $D$2:$D5067=$D855)) * 100, 2))"),72.59)</f>
        <v>72.59</v>
      </c>
      <c r="J855" s="81">
        <f>IFERROR(__xludf.DUMMYFUNCTION("IF(H855="""", """", ROUND(H855 / MAX(FILTER($H$2:$H5067, $D$2:$D5067=$D855)) * 100, 2))"),97.08)</f>
        <v>97.08</v>
      </c>
      <c r="K855" s="2"/>
      <c r="L855" s="48"/>
      <c r="M855" s="48"/>
      <c r="N855" s="48"/>
      <c r="O855" s="48" t="str">
        <f t="shared" si="2"/>
        <v/>
      </c>
      <c r="P855" s="48" t="str">
        <f t="shared" si="3"/>
        <v/>
      </c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</row>
    <row r="856">
      <c r="A856" s="63">
        <v>57.0</v>
      </c>
      <c r="B856" s="63">
        <v>86.0</v>
      </c>
      <c r="C856" s="64" t="s">
        <v>219</v>
      </c>
      <c r="D856" s="64" t="s">
        <v>220</v>
      </c>
      <c r="E856" s="64" t="s">
        <v>221</v>
      </c>
      <c r="F856" s="63">
        <v>7500.0</v>
      </c>
      <c r="G856" s="63">
        <v>14.32</v>
      </c>
      <c r="H856" s="66">
        <f t="shared" si="1"/>
        <v>149.96</v>
      </c>
      <c r="I856" s="81">
        <f>IFERROR(__xludf.DUMMYFUNCTION("IF(G856="""", """", ROUND(G856 / MAX(FILTER($G$2:$G5067, $D$2:$D5067=$D856)) * 100, 2))"),64.13)</f>
        <v>64.13</v>
      </c>
      <c r="J856" s="81">
        <f>IFERROR(__xludf.DUMMYFUNCTION("IF(H856="""", """", ROUND(H856 / MAX(FILTER($H$2:$H5067, $D$2:$D5067=$D856)) * 100, 2))"),91.89)</f>
        <v>91.89</v>
      </c>
      <c r="K856" s="2"/>
      <c r="L856" s="49"/>
      <c r="M856" s="49"/>
      <c r="N856" s="49"/>
      <c r="O856" s="49" t="str">
        <f t="shared" si="2"/>
        <v/>
      </c>
      <c r="P856" s="49" t="str">
        <f t="shared" si="3"/>
        <v/>
      </c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</row>
    <row r="857">
      <c r="A857" s="69">
        <v>58.0</v>
      </c>
      <c r="B857" s="69">
        <v>87.0</v>
      </c>
      <c r="C857" s="86" t="s">
        <v>222</v>
      </c>
      <c r="D857" s="86" t="s">
        <v>223</v>
      </c>
      <c r="E857" s="86" t="s">
        <v>224</v>
      </c>
      <c r="F857" s="69">
        <v>500.0</v>
      </c>
      <c r="G857" s="69">
        <v>30.75</v>
      </c>
      <c r="H857" s="68">
        <f t="shared" si="1"/>
        <v>21.47</v>
      </c>
      <c r="I857" s="81">
        <f>IFERROR(__xludf.DUMMYFUNCTION("IF(G857="""", """", ROUND(G857 / MAX(FILTER($G$2:$G5067, $D$2:$D5067=$D857)) * 100, 2))"),73.27)</f>
        <v>73.27</v>
      </c>
      <c r="J857" s="81">
        <f>IFERROR(__xludf.DUMMYFUNCTION("IF(H857="""", """", ROUND(H857 / MAX(FILTER($H$2:$H5067, $D$2:$D5067=$D857)) * 100, 2))"),7.55)</f>
        <v>7.55</v>
      </c>
      <c r="K857" s="2"/>
      <c r="L857" s="48"/>
      <c r="M857" s="48"/>
      <c r="N857" s="48"/>
      <c r="O857" s="48" t="str">
        <f t="shared" si="2"/>
        <v/>
      </c>
      <c r="P857" s="48" t="str">
        <f t="shared" si="3"/>
        <v/>
      </c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</row>
    <row r="858">
      <c r="A858" s="63">
        <v>58.0</v>
      </c>
      <c r="B858" s="63">
        <v>87.0</v>
      </c>
      <c r="C858" s="64" t="s">
        <v>222</v>
      </c>
      <c r="D858" s="64" t="s">
        <v>223</v>
      </c>
      <c r="E858" s="64" t="s">
        <v>224</v>
      </c>
      <c r="F858" s="63">
        <v>1000.0</v>
      </c>
      <c r="G858" s="63">
        <v>34.0</v>
      </c>
      <c r="H858" s="66">
        <f t="shared" si="1"/>
        <v>47.47</v>
      </c>
      <c r="I858" s="81">
        <f>IFERROR(__xludf.DUMMYFUNCTION("IF(G858="""", """", ROUND(G858 / MAX(FILTER($G$2:$G5067, $D$2:$D5067=$D858)) * 100, 2))"),81.01)</f>
        <v>81.01</v>
      </c>
      <c r="J858" s="81">
        <f>IFERROR(__xludf.DUMMYFUNCTION("IF(H858="""", """", ROUND(H858 / MAX(FILTER($H$2:$H5067, $D$2:$D5067=$D858)) * 100, 2))"),16.69)</f>
        <v>16.69</v>
      </c>
      <c r="K858" s="2"/>
      <c r="L858" s="49"/>
      <c r="M858" s="49"/>
      <c r="N858" s="49"/>
      <c r="O858" s="49" t="str">
        <f t="shared" si="2"/>
        <v/>
      </c>
      <c r="P858" s="49" t="str">
        <f t="shared" si="3"/>
        <v/>
      </c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</row>
    <row r="859">
      <c r="A859" s="69">
        <v>58.0</v>
      </c>
      <c r="B859" s="69">
        <v>87.0</v>
      </c>
      <c r="C859" s="86" t="s">
        <v>222</v>
      </c>
      <c r="D859" s="86" t="s">
        <v>223</v>
      </c>
      <c r="E859" s="86" t="s">
        <v>224</v>
      </c>
      <c r="F859" s="69">
        <v>1500.0</v>
      </c>
      <c r="G859" s="69">
        <v>36.88</v>
      </c>
      <c r="H859" s="68">
        <f t="shared" si="1"/>
        <v>77.24</v>
      </c>
      <c r="I859" s="81">
        <f>IFERROR(__xludf.DUMMYFUNCTION("IF(G859="""", """", ROUND(G859 / MAX(FILTER($G$2:$G5067, $D$2:$D5067=$D859)) * 100, 2))"),87.87)</f>
        <v>87.87</v>
      </c>
      <c r="J859" s="81">
        <f>IFERROR(__xludf.DUMMYFUNCTION("IF(H859="""", """", ROUND(H859 / MAX(FILTER($H$2:$H5067, $D$2:$D5067=$D859)) * 100, 2))"),27.15)</f>
        <v>27.15</v>
      </c>
      <c r="K859" s="2"/>
      <c r="L859" s="48"/>
      <c r="M859" s="48"/>
      <c r="N859" s="48"/>
      <c r="O859" s="48" t="str">
        <f t="shared" si="2"/>
        <v/>
      </c>
      <c r="P859" s="48" t="str">
        <f t="shared" si="3"/>
        <v/>
      </c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</row>
    <row r="860">
      <c r="A860" s="63">
        <v>58.0</v>
      </c>
      <c r="B860" s="63">
        <v>87.0</v>
      </c>
      <c r="C860" s="64" t="s">
        <v>222</v>
      </c>
      <c r="D860" s="64" t="s">
        <v>223</v>
      </c>
      <c r="E860" s="64" t="s">
        <v>224</v>
      </c>
      <c r="F860" s="63">
        <v>2000.0</v>
      </c>
      <c r="G860" s="63">
        <v>38.75</v>
      </c>
      <c r="H860" s="66">
        <f t="shared" si="1"/>
        <v>108.21</v>
      </c>
      <c r="I860" s="81">
        <f>IFERROR(__xludf.DUMMYFUNCTION("IF(G860="""", """", ROUND(G860 / MAX(FILTER($G$2:$G5067, $D$2:$D5067=$D860)) * 100, 2))"),92.33)</f>
        <v>92.33</v>
      </c>
      <c r="J860" s="81">
        <f>IFERROR(__xludf.DUMMYFUNCTION("IF(H860="""", """", ROUND(H860 / MAX(FILTER($H$2:$H5067, $D$2:$D5067=$D860)) * 100, 2))"),38.04)</f>
        <v>38.04</v>
      </c>
      <c r="K860" s="2"/>
      <c r="L860" s="49"/>
      <c r="M860" s="49"/>
      <c r="N860" s="49"/>
      <c r="O860" s="49" t="str">
        <f t="shared" si="2"/>
        <v/>
      </c>
      <c r="P860" s="49" t="str">
        <f t="shared" si="3"/>
        <v/>
      </c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</row>
    <row r="861">
      <c r="A861" s="69">
        <v>58.0</v>
      </c>
      <c r="B861" s="69">
        <v>87.0</v>
      </c>
      <c r="C861" s="86" t="s">
        <v>222</v>
      </c>
      <c r="D861" s="86" t="s">
        <v>223</v>
      </c>
      <c r="E861" s="86" t="s">
        <v>224</v>
      </c>
      <c r="F861" s="69">
        <v>2500.0</v>
      </c>
      <c r="G861" s="69">
        <v>39.88</v>
      </c>
      <c r="H861" s="68">
        <f t="shared" si="1"/>
        <v>139.21</v>
      </c>
      <c r="I861" s="81">
        <f>IFERROR(__xludf.DUMMYFUNCTION("IF(G861="""", """", ROUND(G861 / MAX(FILTER($G$2:$G5067, $D$2:$D5067=$D861)) * 100, 2))"),95.02)</f>
        <v>95.02</v>
      </c>
      <c r="J861" s="81">
        <f>IFERROR(__xludf.DUMMYFUNCTION("IF(H861="""", """", ROUND(H861 / MAX(FILTER($H$2:$H5067, $D$2:$D5067=$D861)) * 100, 2))"),48.94)</f>
        <v>48.94</v>
      </c>
      <c r="K861" s="2"/>
      <c r="L861" s="48"/>
      <c r="M861" s="48"/>
      <c r="N861" s="48"/>
      <c r="O861" s="48" t="str">
        <f t="shared" si="2"/>
        <v/>
      </c>
      <c r="P861" s="48" t="str">
        <f t="shared" si="3"/>
        <v/>
      </c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</row>
    <row r="862">
      <c r="A862" s="63">
        <v>58.0</v>
      </c>
      <c r="B862" s="63">
        <v>87.0</v>
      </c>
      <c r="C862" s="64" t="s">
        <v>222</v>
      </c>
      <c r="D862" s="64" t="s">
        <v>223</v>
      </c>
      <c r="E862" s="64" t="s">
        <v>224</v>
      </c>
      <c r="F862" s="63">
        <v>3000.0</v>
      </c>
      <c r="G862" s="63">
        <v>40.88</v>
      </c>
      <c r="H862" s="66">
        <f t="shared" si="1"/>
        <v>171.24</v>
      </c>
      <c r="I862" s="81">
        <f>IFERROR(__xludf.DUMMYFUNCTION("IF(G862="""", """", ROUND(G862 / MAX(FILTER($G$2:$G5067, $D$2:$D5067=$D862)) * 100, 2))"),97.4)</f>
        <v>97.4</v>
      </c>
      <c r="J862" s="81">
        <f>IFERROR(__xludf.DUMMYFUNCTION("IF(H862="""", """", ROUND(H862 / MAX(FILTER($H$2:$H5067, $D$2:$D5067=$D862)) * 100, 2))"),60.2)</f>
        <v>60.2</v>
      </c>
      <c r="K862" s="2"/>
      <c r="L862" s="49"/>
      <c r="M862" s="49"/>
      <c r="N862" s="49"/>
      <c r="O862" s="49" t="str">
        <f t="shared" si="2"/>
        <v/>
      </c>
      <c r="P862" s="49" t="str">
        <f t="shared" si="3"/>
        <v/>
      </c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</row>
    <row r="863">
      <c r="A863" s="69">
        <v>58.0</v>
      </c>
      <c r="B863" s="69">
        <v>87.0</v>
      </c>
      <c r="C863" s="86" t="s">
        <v>222</v>
      </c>
      <c r="D863" s="86" t="s">
        <v>223</v>
      </c>
      <c r="E863" s="86" t="s">
        <v>224</v>
      </c>
      <c r="F863" s="69">
        <v>3500.0</v>
      </c>
      <c r="G863" s="69">
        <v>41.63</v>
      </c>
      <c r="H863" s="68">
        <f t="shared" si="1"/>
        <v>203.44</v>
      </c>
      <c r="I863" s="81">
        <f>IFERROR(__xludf.DUMMYFUNCTION("IF(G863="""", """", ROUND(G863 / MAX(FILTER($G$2:$G5067, $D$2:$D5067=$D863)) * 100, 2))"),99.19)</f>
        <v>99.19</v>
      </c>
      <c r="J863" s="81">
        <f>IFERROR(__xludf.DUMMYFUNCTION("IF(H863="""", """", ROUND(H863 / MAX(FILTER($H$2:$H5067, $D$2:$D5067=$D863)) * 100, 2))"),71.52)</f>
        <v>71.52</v>
      </c>
      <c r="K863" s="2"/>
      <c r="L863" s="48"/>
      <c r="M863" s="48"/>
      <c r="N863" s="48"/>
      <c r="O863" s="48" t="str">
        <f t="shared" si="2"/>
        <v/>
      </c>
      <c r="P863" s="48" t="str">
        <f t="shared" si="3"/>
        <v/>
      </c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</row>
    <row r="864">
      <c r="A864" s="63">
        <v>58.0</v>
      </c>
      <c r="B864" s="63">
        <v>87.0</v>
      </c>
      <c r="C864" s="64" t="s">
        <v>222</v>
      </c>
      <c r="D864" s="64" t="s">
        <v>223</v>
      </c>
      <c r="E864" s="64" t="s">
        <v>224</v>
      </c>
      <c r="F864" s="63">
        <v>4000.0</v>
      </c>
      <c r="G864" s="63">
        <v>41.97</v>
      </c>
      <c r="H864" s="66">
        <f t="shared" si="1"/>
        <v>234.4</v>
      </c>
      <c r="I864" s="81">
        <f>IFERROR(__xludf.DUMMYFUNCTION("IF(G864="""", """", ROUND(G864 / MAX(FILTER($G$2:$G5067, $D$2:$D5067=$D864)) * 100, 2))"),100.0)</f>
        <v>100</v>
      </c>
      <c r="J864" s="81">
        <f>IFERROR(__xludf.DUMMYFUNCTION("IF(H864="""", """", ROUND(H864 / MAX(FILTER($H$2:$H5067, $D$2:$D5067=$D864)) * 100, 2))"),82.4)</f>
        <v>82.4</v>
      </c>
      <c r="K864" s="2"/>
      <c r="L864" s="49"/>
      <c r="M864" s="49"/>
      <c r="N864" s="49"/>
      <c r="O864" s="49" t="str">
        <f t="shared" si="2"/>
        <v/>
      </c>
      <c r="P864" s="49" t="str">
        <f t="shared" si="3"/>
        <v/>
      </c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</row>
    <row r="865">
      <c r="A865" s="69">
        <v>58.0</v>
      </c>
      <c r="B865" s="69">
        <v>87.0</v>
      </c>
      <c r="C865" s="86" t="s">
        <v>222</v>
      </c>
      <c r="D865" s="86" t="s">
        <v>223</v>
      </c>
      <c r="E865" s="86" t="s">
        <v>224</v>
      </c>
      <c r="F865" s="69">
        <v>4500.0</v>
      </c>
      <c r="G865" s="69">
        <v>41.13</v>
      </c>
      <c r="H865" s="68">
        <f t="shared" si="1"/>
        <v>258.43</v>
      </c>
      <c r="I865" s="81">
        <f>IFERROR(__xludf.DUMMYFUNCTION("IF(G865="""", """", ROUND(G865 / MAX(FILTER($G$2:$G5067, $D$2:$D5067=$D865)) * 100, 2))"),98.0)</f>
        <v>98</v>
      </c>
      <c r="J865" s="81">
        <f>IFERROR(__xludf.DUMMYFUNCTION("IF(H865="""", """", ROUND(H865 / MAX(FILTER($H$2:$H5067, $D$2:$D5067=$D865)) * 100, 2))"),90.85)</f>
        <v>90.85</v>
      </c>
      <c r="K865" s="2"/>
      <c r="L865" s="48"/>
      <c r="M865" s="48"/>
      <c r="N865" s="48"/>
      <c r="O865" s="48" t="str">
        <f t="shared" si="2"/>
        <v/>
      </c>
      <c r="P865" s="48" t="str">
        <f t="shared" si="3"/>
        <v/>
      </c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</row>
    <row r="866">
      <c r="A866" s="63">
        <v>58.0</v>
      </c>
      <c r="B866" s="63">
        <v>87.0</v>
      </c>
      <c r="C866" s="64" t="s">
        <v>222</v>
      </c>
      <c r="D866" s="64" t="s">
        <v>223</v>
      </c>
      <c r="E866" s="64" t="s">
        <v>224</v>
      </c>
      <c r="F866" s="63">
        <v>5200.0</v>
      </c>
      <c r="G866" s="63">
        <v>38.6</v>
      </c>
      <c r="H866" s="66">
        <f t="shared" si="1"/>
        <v>280.26</v>
      </c>
      <c r="I866" s="81">
        <f>IFERROR(__xludf.DUMMYFUNCTION("IF(G866="""", """", ROUND(G866 / MAX(FILTER($G$2:$G5067, $D$2:$D5067=$D866)) * 100, 2))"),91.97)</f>
        <v>91.97</v>
      </c>
      <c r="J866" s="81">
        <f>IFERROR(__xludf.DUMMYFUNCTION("IF(H866="""", """", ROUND(H866 / MAX(FILTER($H$2:$H5067, $D$2:$D5067=$D866)) * 100, 2))"),98.52)</f>
        <v>98.52</v>
      </c>
      <c r="K866" s="2"/>
      <c r="L866" s="49"/>
      <c r="M866" s="49"/>
      <c r="N866" s="49"/>
      <c r="O866" s="49" t="str">
        <f t="shared" si="2"/>
        <v/>
      </c>
      <c r="P866" s="49" t="str">
        <f t="shared" si="3"/>
        <v/>
      </c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</row>
    <row r="867">
      <c r="A867" s="69">
        <v>58.0</v>
      </c>
      <c r="B867" s="69">
        <v>87.0</v>
      </c>
      <c r="C867" s="86" t="s">
        <v>222</v>
      </c>
      <c r="D867" s="86" t="s">
        <v>223</v>
      </c>
      <c r="E867" s="86" t="s">
        <v>224</v>
      </c>
      <c r="F867" s="69">
        <v>5600.0</v>
      </c>
      <c r="G867" s="69">
        <v>36.38</v>
      </c>
      <c r="H867" s="68">
        <f t="shared" si="1"/>
        <v>284.46</v>
      </c>
      <c r="I867" s="81">
        <f>IFERROR(__xludf.DUMMYFUNCTION("IF(G867="""", """", ROUND(G867 / MAX(FILTER($G$2:$G5067, $D$2:$D5067=$D867)) * 100, 2))"),86.68)</f>
        <v>86.68</v>
      </c>
      <c r="J867" s="81">
        <f>IFERROR(__xludf.DUMMYFUNCTION("IF(H867="""", """", ROUND(H867 / MAX(FILTER($H$2:$H5067, $D$2:$D5067=$D867)) * 100, 2))"),100.0)</f>
        <v>100</v>
      </c>
      <c r="K867" s="2"/>
      <c r="L867" s="48"/>
      <c r="M867" s="48"/>
      <c r="N867" s="48"/>
      <c r="O867" s="48" t="str">
        <f t="shared" si="2"/>
        <v/>
      </c>
      <c r="P867" s="48" t="str">
        <f t="shared" si="3"/>
        <v/>
      </c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</row>
    <row r="868">
      <c r="A868" s="63">
        <v>58.0</v>
      </c>
      <c r="B868" s="63">
        <v>87.0</v>
      </c>
      <c r="C868" s="64" t="s">
        <v>222</v>
      </c>
      <c r="D868" s="64" t="s">
        <v>223</v>
      </c>
      <c r="E868" s="64" t="s">
        <v>224</v>
      </c>
      <c r="F868" s="63">
        <v>6000.0</v>
      </c>
      <c r="G868" s="63">
        <v>32.38</v>
      </c>
      <c r="H868" s="66">
        <f t="shared" si="1"/>
        <v>271.27</v>
      </c>
      <c r="I868" s="81">
        <f>IFERROR(__xludf.DUMMYFUNCTION("IF(G868="""", """", ROUND(G868 / MAX(FILTER($G$2:$G5067, $D$2:$D5067=$D868)) * 100, 2))"),77.15)</f>
        <v>77.15</v>
      </c>
      <c r="J868" s="81">
        <f>IFERROR(__xludf.DUMMYFUNCTION("IF(H868="""", """", ROUND(H868 / MAX(FILTER($H$2:$H5067, $D$2:$D5067=$D868)) * 100, 2))"),95.36)</f>
        <v>95.36</v>
      </c>
      <c r="K868" s="2"/>
      <c r="L868" s="49"/>
      <c r="M868" s="49"/>
      <c r="N868" s="49"/>
      <c r="O868" s="49" t="str">
        <f t="shared" si="2"/>
        <v/>
      </c>
      <c r="P868" s="49" t="str">
        <f t="shared" si="3"/>
        <v/>
      </c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</row>
    <row r="869">
      <c r="A869" s="69">
        <v>59.0</v>
      </c>
      <c r="B869" s="69">
        <v>88.0</v>
      </c>
      <c r="C869" s="86" t="s">
        <v>225</v>
      </c>
      <c r="D869" s="86" t="s">
        <v>226</v>
      </c>
      <c r="E869" s="86" t="s">
        <v>227</v>
      </c>
      <c r="F869" s="69">
        <v>500.0</v>
      </c>
      <c r="G869" s="69">
        <v>15.81</v>
      </c>
      <c r="H869" s="68">
        <f t="shared" si="1"/>
        <v>11.04</v>
      </c>
      <c r="I869" s="81">
        <f>IFERROR(__xludf.DUMMYFUNCTION("IF(G869="""", """", ROUND(G869 / MAX(FILTER($G$2:$G5067, $D$2:$D5067=$D869)) * 100, 2))"),63.55)</f>
        <v>63.55</v>
      </c>
      <c r="J869" s="81">
        <f>IFERROR(__xludf.DUMMYFUNCTION("IF(H869="""", """", ROUND(H869 / MAX(FILTER($H$2:$H5067, $D$2:$D5067=$D869)) * 100, 2))"),5.68)</f>
        <v>5.68</v>
      </c>
      <c r="K869" s="2"/>
      <c r="L869" s="48"/>
      <c r="M869" s="48"/>
      <c r="N869" s="48"/>
      <c r="O869" s="48" t="str">
        <f t="shared" si="2"/>
        <v/>
      </c>
      <c r="P869" s="48" t="str">
        <f t="shared" si="3"/>
        <v/>
      </c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</row>
    <row r="870">
      <c r="A870" s="63">
        <v>59.0</v>
      </c>
      <c r="B870" s="63">
        <v>88.0</v>
      </c>
      <c r="C870" s="64" t="s">
        <v>225</v>
      </c>
      <c r="D870" s="64" t="s">
        <v>226</v>
      </c>
      <c r="E870" s="64" t="s">
        <v>227</v>
      </c>
      <c r="F870" s="63">
        <v>1000.0</v>
      </c>
      <c r="G870" s="63">
        <v>18.86</v>
      </c>
      <c r="H870" s="66">
        <f t="shared" si="1"/>
        <v>26.33</v>
      </c>
      <c r="I870" s="81">
        <f>IFERROR(__xludf.DUMMYFUNCTION("IF(G870="""", """", ROUND(G870 / MAX(FILTER($G$2:$G5067, $D$2:$D5067=$D870)) * 100, 2))"),75.8)</f>
        <v>75.8</v>
      </c>
      <c r="J870" s="81">
        <f>IFERROR(__xludf.DUMMYFUNCTION("IF(H870="""", """", ROUND(H870 / MAX(FILTER($H$2:$H5067, $D$2:$D5067=$D870)) * 100, 2))"),13.55)</f>
        <v>13.55</v>
      </c>
      <c r="K870" s="2"/>
      <c r="L870" s="49"/>
      <c r="M870" s="49"/>
      <c r="N870" s="49"/>
      <c r="O870" s="49" t="str">
        <f t="shared" si="2"/>
        <v/>
      </c>
      <c r="P870" s="49" t="str">
        <f t="shared" si="3"/>
        <v/>
      </c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</row>
    <row r="871">
      <c r="A871" s="69">
        <v>59.0</v>
      </c>
      <c r="B871" s="69">
        <v>88.0</v>
      </c>
      <c r="C871" s="86" t="s">
        <v>225</v>
      </c>
      <c r="D871" s="86" t="s">
        <v>226</v>
      </c>
      <c r="E871" s="86" t="s">
        <v>227</v>
      </c>
      <c r="F871" s="69">
        <v>1500.0</v>
      </c>
      <c r="G871" s="69">
        <v>20.39</v>
      </c>
      <c r="H871" s="68">
        <f t="shared" si="1"/>
        <v>42.7</v>
      </c>
      <c r="I871" s="81">
        <f>IFERROR(__xludf.DUMMYFUNCTION("IF(G871="""", """", ROUND(G871 / MAX(FILTER($G$2:$G5067, $D$2:$D5067=$D871)) * 100, 2))"),81.95)</f>
        <v>81.95</v>
      </c>
      <c r="J871" s="81">
        <f>IFERROR(__xludf.DUMMYFUNCTION("IF(H871="""", """", ROUND(H871 / MAX(FILTER($H$2:$H5067, $D$2:$D5067=$D871)) * 100, 2))"),21.98)</f>
        <v>21.98</v>
      </c>
      <c r="K871" s="2"/>
      <c r="L871" s="48"/>
      <c r="M871" s="48"/>
      <c r="N871" s="48"/>
      <c r="O871" s="48" t="str">
        <f t="shared" si="2"/>
        <v/>
      </c>
      <c r="P871" s="48" t="str">
        <f t="shared" si="3"/>
        <v/>
      </c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</row>
    <row r="872">
      <c r="A872" s="63">
        <v>59.0</v>
      </c>
      <c r="B872" s="63">
        <v>88.0</v>
      </c>
      <c r="C872" s="64" t="s">
        <v>225</v>
      </c>
      <c r="D872" s="64" t="s">
        <v>226</v>
      </c>
      <c r="E872" s="64" t="s">
        <v>227</v>
      </c>
      <c r="F872" s="63">
        <v>2000.0</v>
      </c>
      <c r="G872" s="63">
        <v>21.92</v>
      </c>
      <c r="H872" s="66">
        <f t="shared" si="1"/>
        <v>61.21</v>
      </c>
      <c r="I872" s="81">
        <f>IFERROR(__xludf.DUMMYFUNCTION("IF(G872="""", """", ROUND(G872 / MAX(FILTER($G$2:$G5067, $D$2:$D5067=$D872)) * 100, 2))"),88.1)</f>
        <v>88.1</v>
      </c>
      <c r="J872" s="81">
        <f>IFERROR(__xludf.DUMMYFUNCTION("IF(H872="""", """", ROUND(H872 / MAX(FILTER($H$2:$H5067, $D$2:$D5067=$D872)) * 100, 2))"),31.5)</f>
        <v>31.5</v>
      </c>
      <c r="K872" s="2"/>
      <c r="L872" s="49"/>
      <c r="M872" s="49"/>
      <c r="N872" s="49"/>
      <c r="O872" s="49" t="str">
        <f t="shared" si="2"/>
        <v/>
      </c>
      <c r="P872" s="49" t="str">
        <f t="shared" si="3"/>
        <v/>
      </c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</row>
    <row r="873">
      <c r="A873" s="69">
        <v>59.0</v>
      </c>
      <c r="B873" s="69">
        <v>88.0</v>
      </c>
      <c r="C873" s="86" t="s">
        <v>225</v>
      </c>
      <c r="D873" s="86" t="s">
        <v>226</v>
      </c>
      <c r="E873" s="86" t="s">
        <v>227</v>
      </c>
      <c r="F873" s="69">
        <v>2500.0</v>
      </c>
      <c r="G873" s="69">
        <v>22.94</v>
      </c>
      <c r="H873" s="68">
        <f t="shared" si="1"/>
        <v>80.08</v>
      </c>
      <c r="I873" s="81">
        <f>IFERROR(__xludf.DUMMYFUNCTION("IF(G873="""", """", ROUND(G873 / MAX(FILTER($G$2:$G5067, $D$2:$D5067=$D873)) * 100, 2))"),92.2)</f>
        <v>92.2</v>
      </c>
      <c r="J873" s="81">
        <f>IFERROR(__xludf.DUMMYFUNCTION("IF(H873="""", """", ROUND(H873 / MAX(FILTER($H$2:$H5067, $D$2:$D5067=$D873)) * 100, 2))"),41.21)</f>
        <v>41.21</v>
      </c>
      <c r="K873" s="2"/>
      <c r="L873" s="48"/>
      <c r="M873" s="48"/>
      <c r="N873" s="48"/>
      <c r="O873" s="48" t="str">
        <f t="shared" si="2"/>
        <v/>
      </c>
      <c r="P873" s="48" t="str">
        <f t="shared" si="3"/>
        <v/>
      </c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</row>
    <row r="874">
      <c r="A874" s="63">
        <v>59.0</v>
      </c>
      <c r="B874" s="63">
        <v>88.0</v>
      </c>
      <c r="C874" s="64" t="s">
        <v>225</v>
      </c>
      <c r="D874" s="64" t="s">
        <v>226</v>
      </c>
      <c r="E874" s="64" t="s">
        <v>227</v>
      </c>
      <c r="F874" s="63">
        <v>3000.0</v>
      </c>
      <c r="G874" s="63">
        <v>24.88</v>
      </c>
      <c r="H874" s="66">
        <f t="shared" si="1"/>
        <v>104.22</v>
      </c>
      <c r="I874" s="81">
        <f>IFERROR(__xludf.DUMMYFUNCTION("IF(G874="""", """", ROUND(G874 / MAX(FILTER($G$2:$G5067, $D$2:$D5067=$D874)) * 100, 2))"),100.0)</f>
        <v>100</v>
      </c>
      <c r="J874" s="81">
        <f>IFERROR(__xludf.DUMMYFUNCTION("IF(H874="""", """", ROUND(H874 / MAX(FILTER($H$2:$H5067, $D$2:$D5067=$D874)) * 100, 2))"),53.64)</f>
        <v>53.64</v>
      </c>
      <c r="K874" s="2"/>
      <c r="L874" s="49"/>
      <c r="M874" s="49"/>
      <c r="N874" s="49"/>
      <c r="O874" s="49" t="str">
        <f t="shared" si="2"/>
        <v/>
      </c>
      <c r="P874" s="49" t="str">
        <f t="shared" si="3"/>
        <v/>
      </c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</row>
    <row r="875">
      <c r="A875" s="69">
        <v>59.0</v>
      </c>
      <c r="B875" s="69">
        <v>88.0</v>
      </c>
      <c r="C875" s="86" t="s">
        <v>225</v>
      </c>
      <c r="D875" s="86" t="s">
        <v>226</v>
      </c>
      <c r="E875" s="86" t="s">
        <v>227</v>
      </c>
      <c r="F875" s="69">
        <v>3500.0</v>
      </c>
      <c r="G875" s="69">
        <v>24.75</v>
      </c>
      <c r="H875" s="68">
        <f t="shared" si="1"/>
        <v>120.95</v>
      </c>
      <c r="I875" s="81">
        <f>IFERROR(__xludf.DUMMYFUNCTION("IF(G875="""", """", ROUND(G875 / MAX(FILTER($G$2:$G5067, $D$2:$D5067=$D875)) * 100, 2))"),99.48)</f>
        <v>99.48</v>
      </c>
      <c r="J875" s="81">
        <f>IFERROR(__xludf.DUMMYFUNCTION("IF(H875="""", """", ROUND(H875 / MAX(FILTER($H$2:$H5067, $D$2:$D5067=$D875)) * 100, 2))"),62.25)</f>
        <v>62.25</v>
      </c>
      <c r="K875" s="2"/>
      <c r="L875" s="48"/>
      <c r="M875" s="48"/>
      <c r="N875" s="48"/>
      <c r="O875" s="48" t="str">
        <f t="shared" si="2"/>
        <v/>
      </c>
      <c r="P875" s="48" t="str">
        <f t="shared" si="3"/>
        <v/>
      </c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</row>
    <row r="876">
      <c r="A876" s="63">
        <v>59.0</v>
      </c>
      <c r="B876" s="63">
        <v>88.0</v>
      </c>
      <c r="C876" s="64" t="s">
        <v>225</v>
      </c>
      <c r="D876" s="64" t="s">
        <v>226</v>
      </c>
      <c r="E876" s="64" t="s">
        <v>227</v>
      </c>
      <c r="F876" s="63">
        <v>4000.0</v>
      </c>
      <c r="G876" s="63">
        <v>24.61</v>
      </c>
      <c r="H876" s="66">
        <f t="shared" si="1"/>
        <v>137.45</v>
      </c>
      <c r="I876" s="81">
        <f>IFERROR(__xludf.DUMMYFUNCTION("IF(G876="""", """", ROUND(G876 / MAX(FILTER($G$2:$G5067, $D$2:$D5067=$D876)) * 100, 2))"),98.91)</f>
        <v>98.91</v>
      </c>
      <c r="J876" s="81">
        <f>IFERROR(__xludf.DUMMYFUNCTION("IF(H876="""", """", ROUND(H876 / MAX(FILTER($H$2:$H5067, $D$2:$D5067=$D876)) * 100, 2))"),70.74)</f>
        <v>70.74</v>
      </c>
      <c r="K876" s="2"/>
      <c r="L876" s="49"/>
      <c r="M876" s="49"/>
      <c r="N876" s="49"/>
      <c r="O876" s="49" t="str">
        <f t="shared" si="2"/>
        <v/>
      </c>
      <c r="P876" s="49" t="str">
        <f t="shared" si="3"/>
        <v/>
      </c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</row>
    <row r="877">
      <c r="A877" s="69">
        <v>59.0</v>
      </c>
      <c r="B877" s="69">
        <v>88.0</v>
      </c>
      <c r="C877" s="86" t="s">
        <v>225</v>
      </c>
      <c r="D877" s="86" t="s">
        <v>226</v>
      </c>
      <c r="E877" s="86" t="s">
        <v>227</v>
      </c>
      <c r="F877" s="69">
        <v>4500.0</v>
      </c>
      <c r="G877" s="69">
        <v>24.47</v>
      </c>
      <c r="H877" s="68">
        <f t="shared" si="1"/>
        <v>153.75</v>
      </c>
      <c r="I877" s="81">
        <f>IFERROR(__xludf.DUMMYFUNCTION("IF(G877="""", """", ROUND(G877 / MAX(FILTER($G$2:$G5067, $D$2:$D5067=$D877)) * 100, 2))"),98.35)</f>
        <v>98.35</v>
      </c>
      <c r="J877" s="81">
        <f>IFERROR(__xludf.DUMMYFUNCTION("IF(H877="""", """", ROUND(H877 / MAX(FILTER($H$2:$H5067, $D$2:$D5067=$D877)) * 100, 2))"),79.13)</f>
        <v>79.13</v>
      </c>
      <c r="K877" s="2"/>
      <c r="L877" s="48"/>
      <c r="M877" s="48"/>
      <c r="N877" s="48"/>
      <c r="O877" s="48" t="str">
        <f t="shared" si="2"/>
        <v/>
      </c>
      <c r="P877" s="48" t="str">
        <f t="shared" si="3"/>
        <v/>
      </c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</row>
    <row r="878">
      <c r="A878" s="63">
        <v>59.0</v>
      </c>
      <c r="B878" s="63">
        <v>88.0</v>
      </c>
      <c r="C878" s="64" t="s">
        <v>225</v>
      </c>
      <c r="D878" s="64" t="s">
        <v>226</v>
      </c>
      <c r="E878" s="64" t="s">
        <v>227</v>
      </c>
      <c r="F878" s="63">
        <v>5000.0</v>
      </c>
      <c r="G878" s="63">
        <v>23.45</v>
      </c>
      <c r="H878" s="66">
        <f t="shared" si="1"/>
        <v>163.71</v>
      </c>
      <c r="I878" s="81">
        <f>IFERROR(__xludf.DUMMYFUNCTION("IF(G878="""", """", ROUND(G878 / MAX(FILTER($G$2:$G5067, $D$2:$D5067=$D878)) * 100, 2))"),94.25)</f>
        <v>94.25</v>
      </c>
      <c r="J878" s="81">
        <f>IFERROR(__xludf.DUMMYFUNCTION("IF(H878="""", """", ROUND(H878 / MAX(FILTER($H$2:$H5067, $D$2:$D5067=$D878)) * 100, 2))"),84.26)</f>
        <v>84.26</v>
      </c>
      <c r="K878" s="2"/>
      <c r="L878" s="49"/>
      <c r="M878" s="49"/>
      <c r="N878" s="49"/>
      <c r="O878" s="49" t="str">
        <f t="shared" si="2"/>
        <v/>
      </c>
      <c r="P878" s="49" t="str">
        <f t="shared" si="3"/>
        <v/>
      </c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</row>
    <row r="879">
      <c r="A879" s="69">
        <v>59.0</v>
      </c>
      <c r="B879" s="69">
        <v>88.0</v>
      </c>
      <c r="C879" s="86" t="s">
        <v>225</v>
      </c>
      <c r="D879" s="86" t="s">
        <v>226</v>
      </c>
      <c r="E879" s="86" t="s">
        <v>227</v>
      </c>
      <c r="F879" s="69">
        <v>5500.0</v>
      </c>
      <c r="G879" s="69">
        <v>22.33</v>
      </c>
      <c r="H879" s="68">
        <f t="shared" si="1"/>
        <v>171.48</v>
      </c>
      <c r="I879" s="81">
        <f>IFERROR(__xludf.DUMMYFUNCTION("IF(G879="""", """", ROUND(G879 / MAX(FILTER($G$2:$G5067, $D$2:$D5067=$D879)) * 100, 2))"),89.75)</f>
        <v>89.75</v>
      </c>
      <c r="J879" s="81">
        <f>IFERROR(__xludf.DUMMYFUNCTION("IF(H879="""", """", ROUND(H879 / MAX(FILTER($H$2:$H5067, $D$2:$D5067=$D879)) * 100, 2))"),88.26)</f>
        <v>88.26</v>
      </c>
      <c r="K879" s="2"/>
      <c r="L879" s="48"/>
      <c r="M879" s="48"/>
      <c r="N879" s="48"/>
      <c r="O879" s="48" t="str">
        <f t="shared" si="2"/>
        <v/>
      </c>
      <c r="P879" s="48" t="str">
        <f t="shared" si="3"/>
        <v/>
      </c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</row>
    <row r="880">
      <c r="A880" s="63">
        <v>59.0</v>
      </c>
      <c r="B880" s="63">
        <v>88.0</v>
      </c>
      <c r="C880" s="64" t="s">
        <v>225</v>
      </c>
      <c r="D880" s="64" t="s">
        <v>226</v>
      </c>
      <c r="E880" s="64" t="s">
        <v>227</v>
      </c>
      <c r="F880" s="63">
        <v>6000.0</v>
      </c>
      <c r="G880" s="63">
        <v>21.21</v>
      </c>
      <c r="H880" s="66">
        <f t="shared" si="1"/>
        <v>177.69</v>
      </c>
      <c r="I880" s="81">
        <f>IFERROR(__xludf.DUMMYFUNCTION("IF(G880="""", """", ROUND(G880 / MAX(FILTER($G$2:$G5067, $D$2:$D5067=$D880)) * 100, 2))"),85.25)</f>
        <v>85.25</v>
      </c>
      <c r="J880" s="81">
        <f>IFERROR(__xludf.DUMMYFUNCTION("IF(H880="""", """", ROUND(H880 / MAX(FILTER($H$2:$H5067, $D$2:$D5067=$D880)) * 100, 2))"),91.45)</f>
        <v>91.45</v>
      </c>
      <c r="K880" s="2"/>
      <c r="L880" s="49"/>
      <c r="M880" s="49"/>
      <c r="N880" s="49"/>
      <c r="O880" s="49" t="str">
        <f t="shared" si="2"/>
        <v/>
      </c>
      <c r="P880" s="49" t="str">
        <f t="shared" si="3"/>
        <v/>
      </c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</row>
    <row r="881">
      <c r="A881" s="69">
        <v>59.0</v>
      </c>
      <c r="B881" s="69">
        <v>88.0</v>
      </c>
      <c r="C881" s="86" t="s">
        <v>225</v>
      </c>
      <c r="D881" s="86" t="s">
        <v>226</v>
      </c>
      <c r="E881" s="86" t="s">
        <v>227</v>
      </c>
      <c r="F881" s="69">
        <v>6500.0</v>
      </c>
      <c r="G881" s="69">
        <v>20.6</v>
      </c>
      <c r="H881" s="68">
        <f t="shared" si="1"/>
        <v>186.96</v>
      </c>
      <c r="I881" s="81">
        <f>IFERROR(__xludf.DUMMYFUNCTION("IF(G881="""", """", ROUND(G881 / MAX(FILTER($G$2:$G5067, $D$2:$D5067=$D881)) * 100, 2))"),82.8)</f>
        <v>82.8</v>
      </c>
      <c r="J881" s="81">
        <f>IFERROR(__xludf.DUMMYFUNCTION("IF(H881="""", """", ROUND(H881 / MAX(FILTER($H$2:$H5067, $D$2:$D5067=$D881)) * 100, 2))"),96.22)</f>
        <v>96.22</v>
      </c>
      <c r="K881" s="2"/>
      <c r="L881" s="48"/>
      <c r="M881" s="48"/>
      <c r="N881" s="48"/>
      <c r="O881" s="48" t="str">
        <f t="shared" si="2"/>
        <v/>
      </c>
      <c r="P881" s="48" t="str">
        <f t="shared" si="3"/>
        <v/>
      </c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</row>
    <row r="882">
      <c r="A882" s="63">
        <v>59.0</v>
      </c>
      <c r="B882" s="63">
        <v>88.0</v>
      </c>
      <c r="C882" s="64" t="s">
        <v>225</v>
      </c>
      <c r="D882" s="64" t="s">
        <v>226</v>
      </c>
      <c r="E882" s="64" t="s">
        <v>227</v>
      </c>
      <c r="F882" s="63">
        <v>7000.0</v>
      </c>
      <c r="G882" s="63">
        <v>19.88</v>
      </c>
      <c r="H882" s="66">
        <f t="shared" si="1"/>
        <v>194.3</v>
      </c>
      <c r="I882" s="81">
        <f>IFERROR(__xludf.DUMMYFUNCTION("IF(G882="""", """", ROUND(G882 / MAX(FILTER($G$2:$G5067, $D$2:$D5067=$D882)) * 100, 2))"),79.9)</f>
        <v>79.9</v>
      </c>
      <c r="J882" s="81">
        <f>IFERROR(__xludf.DUMMYFUNCTION("IF(H882="""", """", ROUND(H882 / MAX(FILTER($H$2:$H5067, $D$2:$D5067=$D882)) * 100, 2))"),100.0)</f>
        <v>100</v>
      </c>
      <c r="K882" s="2"/>
      <c r="L882" s="49"/>
      <c r="M882" s="49"/>
      <c r="N882" s="49"/>
      <c r="O882" s="49" t="str">
        <f t="shared" si="2"/>
        <v/>
      </c>
      <c r="P882" s="49" t="str">
        <f t="shared" si="3"/>
        <v/>
      </c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</row>
    <row r="883">
      <c r="A883" s="69">
        <v>59.0</v>
      </c>
      <c r="B883" s="69">
        <v>88.0</v>
      </c>
      <c r="C883" s="86" t="s">
        <v>225</v>
      </c>
      <c r="D883" s="86" t="s">
        <v>226</v>
      </c>
      <c r="E883" s="86" t="s">
        <v>227</v>
      </c>
      <c r="F883" s="69">
        <v>7500.0</v>
      </c>
      <c r="G883" s="69">
        <v>18.45</v>
      </c>
      <c r="H883" s="68">
        <f t="shared" si="1"/>
        <v>193.21</v>
      </c>
      <c r="I883" s="81">
        <f>IFERROR(__xludf.DUMMYFUNCTION("IF(G883="""", """", ROUND(G883 / MAX(FILTER($G$2:$G5067, $D$2:$D5067=$D883)) * 100, 2))"),74.16)</f>
        <v>74.16</v>
      </c>
      <c r="J883" s="81">
        <f>IFERROR(__xludf.DUMMYFUNCTION("IF(H883="""", """", ROUND(H883 / MAX(FILTER($H$2:$H5067, $D$2:$D5067=$D883)) * 100, 2))"),99.44)</f>
        <v>99.44</v>
      </c>
      <c r="K883" s="2"/>
      <c r="L883" s="48"/>
      <c r="M883" s="48"/>
      <c r="N883" s="48"/>
      <c r="O883" s="48" t="str">
        <f t="shared" si="2"/>
        <v/>
      </c>
      <c r="P883" s="48" t="str">
        <f t="shared" si="3"/>
        <v/>
      </c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</row>
    <row r="884">
      <c r="A884" s="63">
        <v>59.0</v>
      </c>
      <c r="B884" s="63">
        <v>88.0</v>
      </c>
      <c r="C884" s="64" t="s">
        <v>225</v>
      </c>
      <c r="D884" s="64" t="s">
        <v>226</v>
      </c>
      <c r="E884" s="64" t="s">
        <v>227</v>
      </c>
      <c r="F884" s="63">
        <v>8000.0</v>
      </c>
      <c r="G884" s="63">
        <v>16.35</v>
      </c>
      <c r="H884" s="66">
        <f t="shared" si="1"/>
        <v>182.63</v>
      </c>
      <c r="I884" s="81">
        <f>IFERROR(__xludf.DUMMYFUNCTION("IF(G884="""", """", ROUND(G884 / MAX(FILTER($G$2:$G5067, $D$2:$D5067=$D884)) * 100, 2))"),65.72)</f>
        <v>65.72</v>
      </c>
      <c r="J884" s="81">
        <f>IFERROR(__xludf.DUMMYFUNCTION("IF(H884="""", """", ROUND(H884 / MAX(FILTER($H$2:$H5067, $D$2:$D5067=$D884)) * 100, 2))"),93.99)</f>
        <v>93.99</v>
      </c>
      <c r="K884" s="2"/>
      <c r="L884" s="49"/>
      <c r="M884" s="49"/>
      <c r="N884" s="49"/>
      <c r="O884" s="49" t="str">
        <f t="shared" si="2"/>
        <v/>
      </c>
      <c r="P884" s="49" t="str">
        <f t="shared" si="3"/>
        <v/>
      </c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</row>
    <row r="885">
      <c r="A885" s="69">
        <v>60.0</v>
      </c>
      <c r="B885" s="69">
        <v>89.0</v>
      </c>
      <c r="C885" s="86" t="s">
        <v>228</v>
      </c>
      <c r="D885" s="86" t="s">
        <v>229</v>
      </c>
      <c r="E885" s="86" t="s">
        <v>230</v>
      </c>
      <c r="F885" s="69">
        <v>500.0</v>
      </c>
      <c r="G885" s="69">
        <v>32.81</v>
      </c>
      <c r="H885" s="68">
        <f t="shared" si="1"/>
        <v>22.91</v>
      </c>
      <c r="I885" s="81">
        <f>IFERROR(__xludf.DUMMYFUNCTION("IF(G885="""", """", ROUND(G885 / MAX(FILTER($G$2:$G5067, $D$2:$D5067=$D885)) * 100, 2))"),61.63)</f>
        <v>61.63</v>
      </c>
      <c r="J885" s="81">
        <f>IFERROR(__xludf.DUMMYFUNCTION("IF(H885="""", """", ROUND(H885 / MAX(FILTER($H$2:$H5067, $D$2:$D5067=$D885)) * 100, 2))"),5.93)</f>
        <v>5.93</v>
      </c>
      <c r="K885" s="2"/>
      <c r="L885" s="48"/>
      <c r="M885" s="48"/>
      <c r="N885" s="48"/>
      <c r="O885" s="48" t="str">
        <f t="shared" si="2"/>
        <v/>
      </c>
      <c r="P885" s="48" t="str">
        <f t="shared" si="3"/>
        <v/>
      </c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</row>
    <row r="886">
      <c r="A886" s="63">
        <v>60.0</v>
      </c>
      <c r="B886" s="63">
        <v>89.0</v>
      </c>
      <c r="C886" s="64" t="s">
        <v>228</v>
      </c>
      <c r="D886" s="64" t="s">
        <v>229</v>
      </c>
      <c r="E886" s="64" t="s">
        <v>230</v>
      </c>
      <c r="F886" s="63">
        <v>1000.0</v>
      </c>
      <c r="G886" s="63">
        <v>39.38</v>
      </c>
      <c r="H886" s="66">
        <f t="shared" si="1"/>
        <v>54.98</v>
      </c>
      <c r="I886" s="81">
        <f>IFERROR(__xludf.DUMMYFUNCTION("IF(G886="""", """", ROUND(G886 / MAX(FILTER($G$2:$G5067, $D$2:$D5067=$D886)) * 100, 2))"),73.97)</f>
        <v>73.97</v>
      </c>
      <c r="J886" s="81">
        <f>IFERROR(__xludf.DUMMYFUNCTION("IF(H886="""", """", ROUND(H886 / MAX(FILTER($H$2:$H5067, $D$2:$D5067=$D886)) * 100, 2))"),14.22)</f>
        <v>14.22</v>
      </c>
      <c r="K886" s="2"/>
      <c r="L886" s="49"/>
      <c r="M886" s="49"/>
      <c r="N886" s="49"/>
      <c r="O886" s="49" t="str">
        <f t="shared" si="2"/>
        <v/>
      </c>
      <c r="P886" s="49" t="str">
        <f t="shared" si="3"/>
        <v/>
      </c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</row>
    <row r="887">
      <c r="A887" s="69">
        <v>60.0</v>
      </c>
      <c r="B887" s="69">
        <v>89.0</v>
      </c>
      <c r="C887" s="86" t="s">
        <v>228</v>
      </c>
      <c r="D887" s="86" t="s">
        <v>229</v>
      </c>
      <c r="E887" s="86" t="s">
        <v>230</v>
      </c>
      <c r="F887" s="69">
        <v>1500.0</v>
      </c>
      <c r="G887" s="69">
        <v>44.3</v>
      </c>
      <c r="H887" s="68">
        <f t="shared" si="1"/>
        <v>92.78</v>
      </c>
      <c r="I887" s="81">
        <f>IFERROR(__xludf.DUMMYFUNCTION("IF(G887="""", """", ROUND(G887 / MAX(FILTER($G$2:$G5067, $D$2:$D5067=$D887)) * 100, 2))"),83.21)</f>
        <v>83.21</v>
      </c>
      <c r="J887" s="81">
        <f>IFERROR(__xludf.DUMMYFUNCTION("IF(H887="""", """", ROUND(H887 / MAX(FILTER($H$2:$H5067, $D$2:$D5067=$D887)) * 100, 2))"),24.0)</f>
        <v>24</v>
      </c>
      <c r="K887" s="2"/>
      <c r="L887" s="48"/>
      <c r="M887" s="48"/>
      <c r="N887" s="48"/>
      <c r="O887" s="48" t="str">
        <f t="shared" si="2"/>
        <v/>
      </c>
      <c r="P887" s="48" t="str">
        <f t="shared" si="3"/>
        <v/>
      </c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</row>
    <row r="888">
      <c r="A888" s="63">
        <v>60.0</v>
      </c>
      <c r="B888" s="63">
        <v>89.0</v>
      </c>
      <c r="C888" s="64" t="s">
        <v>228</v>
      </c>
      <c r="D888" s="64" t="s">
        <v>229</v>
      </c>
      <c r="E888" s="64" t="s">
        <v>230</v>
      </c>
      <c r="F888" s="63">
        <v>2000.0</v>
      </c>
      <c r="G888" s="63">
        <v>49.01</v>
      </c>
      <c r="H888" s="66">
        <f t="shared" si="1"/>
        <v>136.86</v>
      </c>
      <c r="I888" s="81">
        <f>IFERROR(__xludf.DUMMYFUNCTION("IF(G888="""", """", ROUND(G888 / MAX(FILTER($G$2:$G5067, $D$2:$D5067=$D888)) * 100, 2))"),92.05)</f>
        <v>92.05</v>
      </c>
      <c r="J888" s="81">
        <f>IFERROR(__xludf.DUMMYFUNCTION("IF(H888="""", """", ROUND(H888 / MAX(FILTER($H$2:$H5067, $D$2:$D5067=$D888)) * 100, 2))"),35.4)</f>
        <v>35.4</v>
      </c>
      <c r="K888" s="2"/>
      <c r="L888" s="49"/>
      <c r="M888" s="49"/>
      <c r="N888" s="49"/>
      <c r="O888" s="49" t="str">
        <f t="shared" si="2"/>
        <v/>
      </c>
      <c r="P888" s="49" t="str">
        <f t="shared" si="3"/>
        <v/>
      </c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</row>
    <row r="889">
      <c r="A889" s="69">
        <v>60.0</v>
      </c>
      <c r="B889" s="69">
        <v>89.0</v>
      </c>
      <c r="C889" s="86" t="s">
        <v>228</v>
      </c>
      <c r="D889" s="86" t="s">
        <v>229</v>
      </c>
      <c r="E889" s="86" t="s">
        <v>230</v>
      </c>
      <c r="F889" s="69">
        <v>2500.0</v>
      </c>
      <c r="G889" s="69">
        <v>51.91</v>
      </c>
      <c r="H889" s="68">
        <f t="shared" si="1"/>
        <v>181.2</v>
      </c>
      <c r="I889" s="81">
        <f>IFERROR(__xludf.DUMMYFUNCTION("IF(G889="""", """", ROUND(G889 / MAX(FILTER($G$2:$G5067, $D$2:$D5067=$D889)) * 100, 2))"),97.5)</f>
        <v>97.5</v>
      </c>
      <c r="J889" s="81">
        <f>IFERROR(__xludf.DUMMYFUNCTION("IF(H889="""", """", ROUND(H889 / MAX(FILTER($H$2:$H5067, $D$2:$D5067=$D889)) * 100, 2))"),46.87)</f>
        <v>46.87</v>
      </c>
      <c r="K889" s="2"/>
      <c r="L889" s="48"/>
      <c r="M889" s="48"/>
      <c r="N889" s="48"/>
      <c r="O889" s="48" t="str">
        <f t="shared" si="2"/>
        <v/>
      </c>
      <c r="P889" s="48" t="str">
        <f t="shared" si="3"/>
        <v/>
      </c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</row>
    <row r="890">
      <c r="A890" s="63">
        <v>60.0</v>
      </c>
      <c r="B890" s="63">
        <v>89.0</v>
      </c>
      <c r="C890" s="64" t="s">
        <v>228</v>
      </c>
      <c r="D890" s="64" t="s">
        <v>229</v>
      </c>
      <c r="E890" s="64" t="s">
        <v>230</v>
      </c>
      <c r="F890" s="63">
        <v>3000.0</v>
      </c>
      <c r="G890" s="63">
        <v>52.73</v>
      </c>
      <c r="H890" s="66">
        <f t="shared" si="1"/>
        <v>220.87</v>
      </c>
      <c r="I890" s="81">
        <f>IFERROR(__xludf.DUMMYFUNCTION("IF(G890="""", """", ROUND(G890 / MAX(FILTER($G$2:$G5067, $D$2:$D5067=$D890)) * 100, 2))"),99.04)</f>
        <v>99.04</v>
      </c>
      <c r="J890" s="81">
        <f>IFERROR(__xludf.DUMMYFUNCTION("IF(H890="""", """", ROUND(H890 / MAX(FILTER($H$2:$H5067, $D$2:$D5067=$D890)) * 100, 2))"),57.13)</f>
        <v>57.13</v>
      </c>
      <c r="K890" s="2"/>
      <c r="L890" s="49"/>
      <c r="M890" s="49"/>
      <c r="N890" s="49"/>
      <c r="O890" s="49" t="str">
        <f t="shared" si="2"/>
        <v/>
      </c>
      <c r="P890" s="49" t="str">
        <f t="shared" si="3"/>
        <v/>
      </c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</row>
    <row r="891">
      <c r="A891" s="69">
        <v>60.0</v>
      </c>
      <c r="B891" s="69">
        <v>89.0</v>
      </c>
      <c r="C891" s="86" t="s">
        <v>228</v>
      </c>
      <c r="D891" s="86" t="s">
        <v>229</v>
      </c>
      <c r="E891" s="86" t="s">
        <v>230</v>
      </c>
      <c r="F891" s="69">
        <v>3500.0</v>
      </c>
      <c r="G891" s="69">
        <v>53.24</v>
      </c>
      <c r="H891" s="68">
        <f t="shared" si="1"/>
        <v>260.18</v>
      </c>
      <c r="I891" s="81">
        <f>IFERROR(__xludf.DUMMYFUNCTION("IF(G891="""", """", ROUND(G891 / MAX(FILTER($G$2:$G5067, $D$2:$D5067=$D891)) * 100, 2))"),100.0)</f>
        <v>100</v>
      </c>
      <c r="J891" s="81">
        <f>IFERROR(__xludf.DUMMYFUNCTION("IF(H891="""", """", ROUND(H891 / MAX(FILTER($H$2:$H5067, $D$2:$D5067=$D891)) * 100, 2))"),67.3)</f>
        <v>67.3</v>
      </c>
      <c r="K891" s="2"/>
      <c r="L891" s="48"/>
      <c r="M891" s="48"/>
      <c r="N891" s="48"/>
      <c r="O891" s="48" t="str">
        <f t="shared" si="2"/>
        <v/>
      </c>
      <c r="P891" s="48" t="str">
        <f t="shared" si="3"/>
        <v/>
      </c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</row>
    <row r="892">
      <c r="A892" s="63">
        <v>60.0</v>
      </c>
      <c r="B892" s="63">
        <v>89.0</v>
      </c>
      <c r="C892" s="64" t="s">
        <v>228</v>
      </c>
      <c r="D892" s="64" t="s">
        <v>229</v>
      </c>
      <c r="E892" s="64" t="s">
        <v>230</v>
      </c>
      <c r="F892" s="63">
        <v>4000.0</v>
      </c>
      <c r="G892" s="63">
        <v>53.18</v>
      </c>
      <c r="H892" s="66">
        <f t="shared" si="1"/>
        <v>297.01</v>
      </c>
      <c r="I892" s="81">
        <f>IFERROR(__xludf.DUMMYFUNCTION("IF(G892="""", """", ROUND(G892 / MAX(FILTER($G$2:$G5067, $D$2:$D5067=$D892)) * 100, 2))"),99.89)</f>
        <v>99.89</v>
      </c>
      <c r="J892" s="81">
        <f>IFERROR(__xludf.DUMMYFUNCTION("IF(H892="""", """", ROUND(H892 / MAX(FILTER($H$2:$H5067, $D$2:$D5067=$D892)) * 100, 2))"),76.82)</f>
        <v>76.82</v>
      </c>
      <c r="K892" s="2"/>
      <c r="L892" s="49"/>
      <c r="M892" s="49"/>
      <c r="N892" s="49"/>
      <c r="O892" s="49" t="str">
        <f t="shared" si="2"/>
        <v/>
      </c>
      <c r="P892" s="49" t="str">
        <f t="shared" si="3"/>
        <v/>
      </c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</row>
    <row r="893">
      <c r="A893" s="69">
        <v>60.0</v>
      </c>
      <c r="B893" s="69">
        <v>89.0</v>
      </c>
      <c r="C893" s="86" t="s">
        <v>228</v>
      </c>
      <c r="D893" s="86" t="s">
        <v>229</v>
      </c>
      <c r="E893" s="86" t="s">
        <v>230</v>
      </c>
      <c r="F893" s="69">
        <v>4500.0</v>
      </c>
      <c r="G893" s="69">
        <v>52.21</v>
      </c>
      <c r="H893" s="68">
        <f t="shared" si="1"/>
        <v>328.04</v>
      </c>
      <c r="I893" s="81">
        <f>IFERROR(__xludf.DUMMYFUNCTION("IF(G893="""", """", ROUND(G893 / MAX(FILTER($G$2:$G5067, $D$2:$D5067=$D893)) * 100, 2))"),98.07)</f>
        <v>98.07</v>
      </c>
      <c r="J893" s="81">
        <f>IFERROR(__xludf.DUMMYFUNCTION("IF(H893="""", """", ROUND(H893 / MAX(FILTER($H$2:$H5067, $D$2:$D5067=$D893)) * 100, 2))"),84.85)</f>
        <v>84.85</v>
      </c>
      <c r="K893" s="2"/>
      <c r="L893" s="48"/>
      <c r="M893" s="48"/>
      <c r="N893" s="48"/>
      <c r="O893" s="48" t="str">
        <f t="shared" si="2"/>
        <v/>
      </c>
      <c r="P893" s="48" t="str">
        <f t="shared" si="3"/>
        <v/>
      </c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</row>
    <row r="894">
      <c r="A894" s="63">
        <v>60.0</v>
      </c>
      <c r="B894" s="63">
        <v>89.0</v>
      </c>
      <c r="C894" s="64" t="s">
        <v>228</v>
      </c>
      <c r="D894" s="64" t="s">
        <v>229</v>
      </c>
      <c r="E894" s="64" t="s">
        <v>230</v>
      </c>
      <c r="F894" s="63">
        <v>5000.0</v>
      </c>
      <c r="G894" s="63">
        <v>50.82</v>
      </c>
      <c r="H894" s="66">
        <f t="shared" si="1"/>
        <v>354.79</v>
      </c>
      <c r="I894" s="81">
        <f>IFERROR(__xludf.DUMMYFUNCTION("IF(G894="""", """", ROUND(G894 / MAX(FILTER($G$2:$G5067, $D$2:$D5067=$D894)) * 100, 2))"),95.45)</f>
        <v>95.45</v>
      </c>
      <c r="J894" s="81">
        <f>IFERROR(__xludf.DUMMYFUNCTION("IF(H894="""", """", ROUND(H894 / MAX(FILTER($H$2:$H5067, $D$2:$D5067=$D894)) * 100, 2))"),91.77)</f>
        <v>91.77</v>
      </c>
      <c r="K894" s="2"/>
      <c r="L894" s="49"/>
      <c r="M894" s="49"/>
      <c r="N894" s="49"/>
      <c r="O894" s="49" t="str">
        <f t="shared" si="2"/>
        <v/>
      </c>
      <c r="P894" s="49" t="str">
        <f t="shared" si="3"/>
        <v/>
      </c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</row>
    <row r="895">
      <c r="A895" s="69">
        <v>60.0</v>
      </c>
      <c r="B895" s="69">
        <v>89.0</v>
      </c>
      <c r="C895" s="86" t="s">
        <v>228</v>
      </c>
      <c r="D895" s="86" t="s">
        <v>229</v>
      </c>
      <c r="E895" s="86" t="s">
        <v>230</v>
      </c>
      <c r="F895" s="69">
        <v>5500.0</v>
      </c>
      <c r="G895" s="69">
        <v>48.68</v>
      </c>
      <c r="H895" s="68">
        <f t="shared" si="1"/>
        <v>373.83</v>
      </c>
      <c r="I895" s="81">
        <f>IFERROR(__xludf.DUMMYFUNCTION("IF(G895="""", """", ROUND(G895 / MAX(FILTER($G$2:$G5067, $D$2:$D5067=$D895)) * 100, 2))"),91.44)</f>
        <v>91.44</v>
      </c>
      <c r="J895" s="81">
        <f>IFERROR(__xludf.DUMMYFUNCTION("IF(H895="""", """", ROUND(H895 / MAX(FILTER($H$2:$H5067, $D$2:$D5067=$D895)) * 100, 2))"),96.69)</f>
        <v>96.69</v>
      </c>
      <c r="K895" s="2"/>
      <c r="L895" s="48"/>
      <c r="M895" s="48"/>
      <c r="N895" s="48"/>
      <c r="O895" s="48" t="str">
        <f t="shared" si="2"/>
        <v/>
      </c>
      <c r="P895" s="48" t="str">
        <f t="shared" si="3"/>
        <v/>
      </c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</row>
    <row r="896">
      <c r="A896" s="63">
        <v>60.0</v>
      </c>
      <c r="B896" s="63">
        <v>89.0</v>
      </c>
      <c r="C896" s="64" t="s">
        <v>228</v>
      </c>
      <c r="D896" s="64" t="s">
        <v>229</v>
      </c>
      <c r="E896" s="64" t="s">
        <v>230</v>
      </c>
      <c r="F896" s="63">
        <v>6000.0</v>
      </c>
      <c r="G896" s="63">
        <v>46.15</v>
      </c>
      <c r="H896" s="66">
        <f t="shared" si="1"/>
        <v>386.62</v>
      </c>
      <c r="I896" s="81">
        <f>IFERROR(__xludf.DUMMYFUNCTION("IF(G896="""", """", ROUND(G896 / MAX(FILTER($G$2:$G5067, $D$2:$D5067=$D896)) * 100, 2))"),86.68)</f>
        <v>86.68</v>
      </c>
      <c r="J896" s="81">
        <f>IFERROR(__xludf.DUMMYFUNCTION("IF(H896="""", """", ROUND(H896 / MAX(FILTER($H$2:$H5067, $D$2:$D5067=$D896)) * 100, 2))"),100.0)</f>
        <v>100</v>
      </c>
      <c r="K896" s="2"/>
      <c r="L896" s="49"/>
      <c r="M896" s="49"/>
      <c r="N896" s="49"/>
      <c r="O896" s="49" t="str">
        <f t="shared" si="2"/>
        <v/>
      </c>
      <c r="P896" s="49" t="str">
        <f t="shared" si="3"/>
        <v/>
      </c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</row>
    <row r="897">
      <c r="A897" s="69">
        <v>60.0</v>
      </c>
      <c r="B897" s="69">
        <v>89.0</v>
      </c>
      <c r="C897" s="86" t="s">
        <v>228</v>
      </c>
      <c r="D897" s="86" t="s">
        <v>229</v>
      </c>
      <c r="E897" s="86" t="s">
        <v>230</v>
      </c>
      <c r="F897" s="69">
        <v>6500.0</v>
      </c>
      <c r="G897" s="69">
        <v>41.4</v>
      </c>
      <c r="H897" s="68">
        <f t="shared" si="1"/>
        <v>375.73</v>
      </c>
      <c r="I897" s="81">
        <f>IFERROR(__xludf.DUMMYFUNCTION("IF(G897="""", """", ROUND(G897 / MAX(FILTER($G$2:$G5067, $D$2:$D5067=$D897)) * 100, 2))"),77.76)</f>
        <v>77.76</v>
      </c>
      <c r="J897" s="81">
        <f>IFERROR(__xludf.DUMMYFUNCTION("IF(H897="""", """", ROUND(H897 / MAX(FILTER($H$2:$H5067, $D$2:$D5067=$D897)) * 100, 2))"),97.18)</f>
        <v>97.18</v>
      </c>
      <c r="K897" s="2"/>
      <c r="L897" s="48"/>
      <c r="M897" s="48"/>
      <c r="N897" s="48"/>
      <c r="O897" s="48" t="str">
        <f t="shared" si="2"/>
        <v/>
      </c>
      <c r="P897" s="48" t="str">
        <f t="shared" si="3"/>
        <v/>
      </c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</row>
    <row r="898">
      <c r="A898" s="63">
        <v>60.0</v>
      </c>
      <c r="B898" s="63">
        <v>89.0</v>
      </c>
      <c r="C898" s="64" t="s">
        <v>228</v>
      </c>
      <c r="D898" s="64" t="s">
        <v>229</v>
      </c>
      <c r="E898" s="64" t="s">
        <v>230</v>
      </c>
      <c r="F898" s="63">
        <v>7000.0</v>
      </c>
      <c r="G898" s="63">
        <v>35.85</v>
      </c>
      <c r="H898" s="66">
        <f t="shared" si="1"/>
        <v>350.39</v>
      </c>
      <c r="I898" s="81">
        <f>IFERROR(__xludf.DUMMYFUNCTION("IF(G898="""", """", ROUND(G898 / MAX(FILTER($G$2:$G5067, $D$2:$D5067=$D898)) * 100, 2))"),67.34)</f>
        <v>67.34</v>
      </c>
      <c r="J898" s="81">
        <f>IFERROR(__xludf.DUMMYFUNCTION("IF(H898="""", """", ROUND(H898 / MAX(FILTER($H$2:$H5067, $D$2:$D5067=$D898)) * 100, 2))"),90.63)</f>
        <v>90.63</v>
      </c>
      <c r="K898" s="2"/>
      <c r="L898" s="49"/>
      <c r="M898" s="49"/>
      <c r="N898" s="49"/>
      <c r="O898" s="49" t="str">
        <f t="shared" si="2"/>
        <v/>
      </c>
      <c r="P898" s="49" t="str">
        <f t="shared" si="3"/>
        <v/>
      </c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</row>
    <row r="899">
      <c r="A899" s="69">
        <v>61.0</v>
      </c>
      <c r="B899" s="69">
        <v>90.0</v>
      </c>
      <c r="C899" s="86" t="s">
        <v>231</v>
      </c>
      <c r="D899" s="86" t="s">
        <v>232</v>
      </c>
      <c r="E899" s="86" t="s">
        <v>233</v>
      </c>
      <c r="F899" s="69">
        <v>500.0</v>
      </c>
      <c r="G899" s="69">
        <v>30.59</v>
      </c>
      <c r="H899" s="68">
        <f t="shared" si="1"/>
        <v>21.36</v>
      </c>
      <c r="I899" s="81">
        <f>IFERROR(__xludf.DUMMYFUNCTION("IF(G899="""", """", ROUND(G899 / MAX(FILTER($G$2:$G5067, $D$2:$D5067=$D899)) * 100, 2))"),61.25)</f>
        <v>61.25</v>
      </c>
      <c r="J899" s="81">
        <f>IFERROR(__xludf.DUMMYFUNCTION("IF(H899="""", """", ROUND(H899 / MAX(FILTER($H$2:$H5067, $D$2:$D5067=$D899)) * 100, 2))"),6.26)</f>
        <v>6.26</v>
      </c>
      <c r="K899" s="2"/>
      <c r="L899" s="48"/>
      <c r="M899" s="48"/>
      <c r="N899" s="48"/>
      <c r="O899" s="48" t="str">
        <f t="shared" si="2"/>
        <v/>
      </c>
      <c r="P899" s="48" t="str">
        <f t="shared" si="3"/>
        <v/>
      </c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</row>
    <row r="900">
      <c r="A900" s="63">
        <v>61.0</v>
      </c>
      <c r="B900" s="63">
        <v>90.0</v>
      </c>
      <c r="C900" s="64" t="s">
        <v>231</v>
      </c>
      <c r="D900" s="64" t="s">
        <v>232</v>
      </c>
      <c r="E900" s="64" t="s">
        <v>233</v>
      </c>
      <c r="F900" s="63">
        <v>1000.0</v>
      </c>
      <c r="G900" s="63">
        <v>35.63</v>
      </c>
      <c r="H900" s="66">
        <f t="shared" si="1"/>
        <v>49.75</v>
      </c>
      <c r="I900" s="81">
        <f>IFERROR(__xludf.DUMMYFUNCTION("IF(G900="""", """", ROUND(G900 / MAX(FILTER($G$2:$G5067, $D$2:$D5067=$D900)) * 100, 2))"),71.35)</f>
        <v>71.35</v>
      </c>
      <c r="J900" s="81">
        <f>IFERROR(__xludf.DUMMYFUNCTION("IF(H900="""", """", ROUND(H900 / MAX(FILTER($H$2:$H5067, $D$2:$D5067=$D900)) * 100, 2))"),14.58)</f>
        <v>14.58</v>
      </c>
      <c r="K900" s="2"/>
      <c r="L900" s="49"/>
      <c r="M900" s="49"/>
      <c r="N900" s="49"/>
      <c r="O900" s="49" t="str">
        <f t="shared" si="2"/>
        <v/>
      </c>
      <c r="P900" s="49" t="str">
        <f t="shared" si="3"/>
        <v/>
      </c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</row>
    <row r="901">
      <c r="A901" s="69">
        <v>61.0</v>
      </c>
      <c r="B901" s="69">
        <v>90.0</v>
      </c>
      <c r="C901" s="86" t="s">
        <v>231</v>
      </c>
      <c r="D901" s="86" t="s">
        <v>232</v>
      </c>
      <c r="E901" s="86" t="s">
        <v>233</v>
      </c>
      <c r="F901" s="69">
        <v>1500.0</v>
      </c>
      <c r="G901" s="69">
        <v>40.62</v>
      </c>
      <c r="H901" s="68">
        <f t="shared" si="1"/>
        <v>85.07</v>
      </c>
      <c r="I901" s="81">
        <f>IFERROR(__xludf.DUMMYFUNCTION("IF(G901="""", """", ROUND(G901 / MAX(FILTER($G$2:$G5067, $D$2:$D5067=$D901)) * 100, 2))"),81.34)</f>
        <v>81.34</v>
      </c>
      <c r="J901" s="81">
        <f>IFERROR(__xludf.DUMMYFUNCTION("IF(H901="""", """", ROUND(H901 / MAX(FILTER($H$2:$H5067, $D$2:$D5067=$D901)) * 100, 2))"),24.94)</f>
        <v>24.94</v>
      </c>
      <c r="K901" s="2"/>
      <c r="L901" s="48"/>
      <c r="M901" s="48"/>
      <c r="N901" s="48"/>
      <c r="O901" s="48" t="str">
        <f t="shared" si="2"/>
        <v/>
      </c>
      <c r="P901" s="48" t="str">
        <f t="shared" si="3"/>
        <v/>
      </c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</row>
    <row r="902">
      <c r="A902" s="63">
        <v>61.0</v>
      </c>
      <c r="B902" s="63">
        <v>90.0</v>
      </c>
      <c r="C902" s="64" t="s">
        <v>231</v>
      </c>
      <c r="D902" s="64" t="s">
        <v>232</v>
      </c>
      <c r="E902" s="64" t="s">
        <v>233</v>
      </c>
      <c r="F902" s="63">
        <v>2000.0</v>
      </c>
      <c r="G902" s="63">
        <v>45.26</v>
      </c>
      <c r="H902" s="66">
        <f t="shared" si="1"/>
        <v>126.39</v>
      </c>
      <c r="I902" s="81">
        <f>IFERROR(__xludf.DUMMYFUNCTION("IF(G902="""", """", ROUND(G902 / MAX(FILTER($G$2:$G5067, $D$2:$D5067=$D902)) * 100, 2))"),90.63)</f>
        <v>90.63</v>
      </c>
      <c r="J902" s="81">
        <f>IFERROR(__xludf.DUMMYFUNCTION("IF(H902="""", """", ROUND(H902 / MAX(FILTER($H$2:$H5067, $D$2:$D5067=$D902)) * 100, 2))"),37.05)</f>
        <v>37.05</v>
      </c>
      <c r="K902" s="2"/>
      <c r="L902" s="49"/>
      <c r="M902" s="49"/>
      <c r="N902" s="49"/>
      <c r="O902" s="49" t="str">
        <f t="shared" si="2"/>
        <v/>
      </c>
      <c r="P902" s="49" t="str">
        <f t="shared" si="3"/>
        <v/>
      </c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</row>
    <row r="903">
      <c r="A903" s="69">
        <v>61.0</v>
      </c>
      <c r="B903" s="69">
        <v>90.0</v>
      </c>
      <c r="C903" s="86" t="s">
        <v>231</v>
      </c>
      <c r="D903" s="86" t="s">
        <v>232</v>
      </c>
      <c r="E903" s="86" t="s">
        <v>233</v>
      </c>
      <c r="F903" s="69">
        <v>2500.0</v>
      </c>
      <c r="G903" s="69">
        <v>47.6</v>
      </c>
      <c r="H903" s="68">
        <f t="shared" si="1"/>
        <v>166.15</v>
      </c>
      <c r="I903" s="81">
        <f>IFERROR(__xludf.DUMMYFUNCTION("IF(G903="""", """", ROUND(G903 / MAX(FILTER($G$2:$G5067, $D$2:$D5067=$D903)) * 100, 2))"),95.31)</f>
        <v>95.31</v>
      </c>
      <c r="J903" s="81">
        <f>IFERROR(__xludf.DUMMYFUNCTION("IF(H903="""", """", ROUND(H903 / MAX(FILTER($H$2:$H5067, $D$2:$D5067=$D903)) * 100, 2))"),48.71)</f>
        <v>48.71</v>
      </c>
      <c r="K903" s="2"/>
      <c r="L903" s="48"/>
      <c r="M903" s="48"/>
      <c r="N903" s="48"/>
      <c r="O903" s="48" t="str">
        <f t="shared" si="2"/>
        <v/>
      </c>
      <c r="P903" s="48" t="str">
        <f t="shared" si="3"/>
        <v/>
      </c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</row>
    <row r="904">
      <c r="A904" s="63">
        <v>61.0</v>
      </c>
      <c r="B904" s="63">
        <v>90.0</v>
      </c>
      <c r="C904" s="64" t="s">
        <v>231</v>
      </c>
      <c r="D904" s="64" t="s">
        <v>232</v>
      </c>
      <c r="E904" s="64" t="s">
        <v>233</v>
      </c>
      <c r="F904" s="63">
        <v>3000.0</v>
      </c>
      <c r="G904" s="63">
        <v>48.8</v>
      </c>
      <c r="H904" s="66">
        <f t="shared" si="1"/>
        <v>204.41</v>
      </c>
      <c r="I904" s="81">
        <f>IFERROR(__xludf.DUMMYFUNCTION("IF(G904="""", """", ROUND(G904 / MAX(FILTER($G$2:$G5067, $D$2:$D5067=$D904)) * 100, 2))"),97.72)</f>
        <v>97.72</v>
      </c>
      <c r="J904" s="81">
        <f>IFERROR(__xludf.DUMMYFUNCTION("IF(H904="""", """", ROUND(H904 / MAX(FILTER($H$2:$H5067, $D$2:$D5067=$D904)) * 100, 2))"),59.92)</f>
        <v>59.92</v>
      </c>
      <c r="K904" s="2"/>
      <c r="L904" s="49"/>
      <c r="M904" s="49"/>
      <c r="N904" s="49"/>
      <c r="O904" s="49" t="str">
        <f t="shared" si="2"/>
        <v/>
      </c>
      <c r="P904" s="49" t="str">
        <f t="shared" si="3"/>
        <v/>
      </c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</row>
    <row r="905">
      <c r="A905" s="69">
        <v>61.0</v>
      </c>
      <c r="B905" s="69">
        <v>90.0</v>
      </c>
      <c r="C905" s="86" t="s">
        <v>231</v>
      </c>
      <c r="D905" s="86" t="s">
        <v>232</v>
      </c>
      <c r="E905" s="86" t="s">
        <v>233</v>
      </c>
      <c r="F905" s="69">
        <v>3500.0</v>
      </c>
      <c r="G905" s="69">
        <v>49.94</v>
      </c>
      <c r="H905" s="68">
        <f t="shared" si="1"/>
        <v>244.05</v>
      </c>
      <c r="I905" s="81">
        <f>IFERROR(__xludf.DUMMYFUNCTION("IF(G905="""", """", ROUND(G905 / MAX(FILTER($G$2:$G5067, $D$2:$D5067=$D905)) * 100, 2))"),100.0)</f>
        <v>100</v>
      </c>
      <c r="J905" s="81">
        <f>IFERROR(__xludf.DUMMYFUNCTION("IF(H905="""", """", ROUND(H905 / MAX(FILTER($H$2:$H5067, $D$2:$D5067=$D905)) * 100, 2))"),71.54)</f>
        <v>71.54</v>
      </c>
      <c r="K905" s="2"/>
      <c r="L905" s="48"/>
      <c r="M905" s="48"/>
      <c r="N905" s="48"/>
      <c r="O905" s="48" t="str">
        <f t="shared" si="2"/>
        <v/>
      </c>
      <c r="P905" s="48" t="str">
        <f t="shared" si="3"/>
        <v/>
      </c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</row>
    <row r="906">
      <c r="A906" s="63">
        <v>61.0</v>
      </c>
      <c r="B906" s="63">
        <v>90.0</v>
      </c>
      <c r="C906" s="64" t="s">
        <v>231</v>
      </c>
      <c r="D906" s="64" t="s">
        <v>232</v>
      </c>
      <c r="E906" s="64" t="s">
        <v>233</v>
      </c>
      <c r="F906" s="63">
        <v>4000.0</v>
      </c>
      <c r="G906" s="63">
        <v>49.53</v>
      </c>
      <c r="H906" s="66">
        <f t="shared" si="1"/>
        <v>276.63</v>
      </c>
      <c r="I906" s="81">
        <f>IFERROR(__xludf.DUMMYFUNCTION("IF(G906="""", """", ROUND(G906 / MAX(FILTER($G$2:$G5067, $D$2:$D5067=$D906)) * 100, 2))"),99.18)</f>
        <v>99.18</v>
      </c>
      <c r="J906" s="81">
        <f>IFERROR(__xludf.DUMMYFUNCTION("IF(H906="""", """", ROUND(H906 / MAX(FILTER($H$2:$H5067, $D$2:$D5067=$D906)) * 100, 2))"),81.09)</f>
        <v>81.09</v>
      </c>
      <c r="K906" s="2"/>
      <c r="L906" s="49"/>
      <c r="M906" s="49"/>
      <c r="N906" s="49"/>
      <c r="O906" s="49" t="str">
        <f t="shared" si="2"/>
        <v/>
      </c>
      <c r="P906" s="49" t="str">
        <f t="shared" si="3"/>
        <v/>
      </c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</row>
    <row r="907">
      <c r="A907" s="69">
        <v>61.0</v>
      </c>
      <c r="B907" s="69">
        <v>90.0</v>
      </c>
      <c r="C907" s="86" t="s">
        <v>231</v>
      </c>
      <c r="D907" s="86" t="s">
        <v>232</v>
      </c>
      <c r="E907" s="86" t="s">
        <v>233</v>
      </c>
      <c r="F907" s="69">
        <v>4500.0</v>
      </c>
      <c r="G907" s="69">
        <v>48.56</v>
      </c>
      <c r="H907" s="68">
        <f t="shared" si="1"/>
        <v>305.11</v>
      </c>
      <c r="I907" s="81">
        <f>IFERROR(__xludf.DUMMYFUNCTION("IF(G907="""", """", ROUND(G907 / MAX(FILTER($G$2:$G5067, $D$2:$D5067=$D907)) * 100, 2))"),97.24)</f>
        <v>97.24</v>
      </c>
      <c r="J907" s="81">
        <f>IFERROR(__xludf.DUMMYFUNCTION("IF(H907="""", """", ROUND(H907 / MAX(FILTER($H$2:$H5067, $D$2:$D5067=$D907)) * 100, 2))"),89.44)</f>
        <v>89.44</v>
      </c>
      <c r="K907" s="2"/>
      <c r="L907" s="48"/>
      <c r="M907" s="48"/>
      <c r="N907" s="48"/>
      <c r="O907" s="48" t="str">
        <f t="shared" si="2"/>
        <v/>
      </c>
      <c r="P907" s="48" t="str">
        <f t="shared" si="3"/>
        <v/>
      </c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</row>
    <row r="908">
      <c r="A908" s="63">
        <v>61.0</v>
      </c>
      <c r="B908" s="63">
        <v>90.0</v>
      </c>
      <c r="C908" s="64" t="s">
        <v>231</v>
      </c>
      <c r="D908" s="64" t="s">
        <v>232</v>
      </c>
      <c r="E908" s="64" t="s">
        <v>233</v>
      </c>
      <c r="F908" s="63">
        <v>5000.0</v>
      </c>
      <c r="G908" s="63">
        <v>46.94</v>
      </c>
      <c r="H908" s="66">
        <f t="shared" si="1"/>
        <v>327.7</v>
      </c>
      <c r="I908" s="81">
        <f>IFERROR(__xludf.DUMMYFUNCTION("IF(G908="""", """", ROUND(G908 / MAX(FILTER($G$2:$G5067, $D$2:$D5067=$D908)) * 100, 2))"),93.99)</f>
        <v>93.99</v>
      </c>
      <c r="J908" s="81">
        <f>IFERROR(__xludf.DUMMYFUNCTION("IF(H908="""", """", ROUND(H908 / MAX(FILTER($H$2:$H5067, $D$2:$D5067=$D908)) * 100, 2))"),96.06)</f>
        <v>96.06</v>
      </c>
      <c r="K908" s="2"/>
      <c r="L908" s="49"/>
      <c r="M908" s="49"/>
      <c r="N908" s="49"/>
      <c r="O908" s="49" t="str">
        <f t="shared" si="2"/>
        <v/>
      </c>
      <c r="P908" s="49" t="str">
        <f t="shared" si="3"/>
        <v/>
      </c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</row>
    <row r="909">
      <c r="A909" s="69">
        <v>61.0</v>
      </c>
      <c r="B909" s="69">
        <v>90.0</v>
      </c>
      <c r="C909" s="86" t="s">
        <v>231</v>
      </c>
      <c r="D909" s="86" t="s">
        <v>232</v>
      </c>
      <c r="E909" s="86" t="s">
        <v>233</v>
      </c>
      <c r="F909" s="69">
        <v>5500.0</v>
      </c>
      <c r="G909" s="69">
        <v>44.41</v>
      </c>
      <c r="H909" s="68">
        <f t="shared" si="1"/>
        <v>341.04</v>
      </c>
      <c r="I909" s="81">
        <f>IFERROR(__xludf.DUMMYFUNCTION("IF(G909="""", """", ROUND(G909 / MAX(FILTER($G$2:$G5067, $D$2:$D5067=$D909)) * 100, 2))"),88.93)</f>
        <v>88.93</v>
      </c>
      <c r="J909" s="81">
        <f>IFERROR(__xludf.DUMMYFUNCTION("IF(H909="""", """", ROUND(H909 / MAX(FILTER($H$2:$H5067, $D$2:$D5067=$D909)) * 100, 2))"),99.97)</f>
        <v>99.97</v>
      </c>
      <c r="K909" s="2"/>
      <c r="L909" s="48"/>
      <c r="M909" s="48"/>
      <c r="N909" s="48"/>
      <c r="O909" s="48" t="str">
        <f t="shared" si="2"/>
        <v/>
      </c>
      <c r="P909" s="48" t="str">
        <f t="shared" si="3"/>
        <v/>
      </c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</row>
    <row r="910">
      <c r="A910" s="63">
        <v>61.0</v>
      </c>
      <c r="B910" s="63">
        <v>90.0</v>
      </c>
      <c r="C910" s="64" t="s">
        <v>231</v>
      </c>
      <c r="D910" s="64" t="s">
        <v>232</v>
      </c>
      <c r="E910" s="64" t="s">
        <v>233</v>
      </c>
      <c r="F910" s="63">
        <v>6000.0</v>
      </c>
      <c r="G910" s="63">
        <v>40.72</v>
      </c>
      <c r="H910" s="66">
        <f t="shared" si="1"/>
        <v>341.13</v>
      </c>
      <c r="I910" s="81">
        <f>IFERROR(__xludf.DUMMYFUNCTION("IF(G910="""", """", ROUND(G910 / MAX(FILTER($G$2:$G5067, $D$2:$D5067=$D910)) * 100, 2))"),81.54)</f>
        <v>81.54</v>
      </c>
      <c r="J910" s="81">
        <f>IFERROR(__xludf.DUMMYFUNCTION("IF(H910="""", """", ROUND(H910 / MAX(FILTER($H$2:$H5067, $D$2:$D5067=$D910)) * 100, 2))"),100.0)</f>
        <v>100</v>
      </c>
      <c r="K910" s="2"/>
      <c r="L910" s="49"/>
      <c r="M910" s="49"/>
      <c r="N910" s="49"/>
      <c r="O910" s="49" t="str">
        <f t="shared" si="2"/>
        <v/>
      </c>
      <c r="P910" s="49" t="str">
        <f t="shared" si="3"/>
        <v/>
      </c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</row>
    <row r="911">
      <c r="A911" s="69">
        <v>61.0</v>
      </c>
      <c r="B911" s="69">
        <v>90.0</v>
      </c>
      <c r="C911" s="86" t="s">
        <v>231</v>
      </c>
      <c r="D911" s="86" t="s">
        <v>232</v>
      </c>
      <c r="E911" s="86" t="s">
        <v>233</v>
      </c>
      <c r="F911" s="69">
        <v>6500.0</v>
      </c>
      <c r="G911" s="69">
        <v>36.8</v>
      </c>
      <c r="H911" s="68">
        <f t="shared" si="1"/>
        <v>333.98</v>
      </c>
      <c r="I911" s="81">
        <f>IFERROR(__xludf.DUMMYFUNCTION("IF(G911="""", """", ROUND(G911 / MAX(FILTER($G$2:$G5067, $D$2:$D5067=$D911)) * 100, 2))"),73.69)</f>
        <v>73.69</v>
      </c>
      <c r="J911" s="81">
        <f>IFERROR(__xludf.DUMMYFUNCTION("IF(H911="""", """", ROUND(H911 / MAX(FILTER($H$2:$H5067, $D$2:$D5067=$D911)) * 100, 2))"),97.9)</f>
        <v>97.9</v>
      </c>
      <c r="K911" s="2"/>
      <c r="L911" s="48"/>
      <c r="M911" s="48"/>
      <c r="N911" s="48"/>
      <c r="O911" s="48" t="str">
        <f t="shared" si="2"/>
        <v/>
      </c>
      <c r="P911" s="48" t="str">
        <f t="shared" si="3"/>
        <v/>
      </c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</row>
    <row r="912">
      <c r="A912" s="63">
        <v>61.0</v>
      </c>
      <c r="B912" s="63">
        <v>90.0</v>
      </c>
      <c r="C912" s="64" t="s">
        <v>231</v>
      </c>
      <c r="D912" s="64" t="s">
        <v>232</v>
      </c>
      <c r="E912" s="64" t="s">
        <v>233</v>
      </c>
      <c r="F912" s="63">
        <v>7000.0</v>
      </c>
      <c r="G912" s="63">
        <v>31.78</v>
      </c>
      <c r="H912" s="66">
        <f t="shared" si="1"/>
        <v>310.61</v>
      </c>
      <c r="I912" s="81">
        <f>IFERROR(__xludf.DUMMYFUNCTION("IF(G912="""", """", ROUND(G912 / MAX(FILTER($G$2:$G5067, $D$2:$D5067=$D912)) * 100, 2))"),63.64)</f>
        <v>63.64</v>
      </c>
      <c r="J912" s="81">
        <f>IFERROR(__xludf.DUMMYFUNCTION("IF(H912="""", """", ROUND(H912 / MAX(FILTER($H$2:$H5067, $D$2:$D5067=$D912)) * 100, 2))"),91.05)</f>
        <v>91.05</v>
      </c>
      <c r="K912" s="2"/>
      <c r="L912" s="49"/>
      <c r="M912" s="49"/>
      <c r="N912" s="49"/>
      <c r="O912" s="49" t="str">
        <f t="shared" si="2"/>
        <v/>
      </c>
      <c r="P912" s="49" t="str">
        <f t="shared" si="3"/>
        <v/>
      </c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</row>
    <row r="913">
      <c r="A913" s="69">
        <v>61.0</v>
      </c>
      <c r="B913" s="69">
        <v>90.0</v>
      </c>
      <c r="C913" s="86" t="s">
        <v>231</v>
      </c>
      <c r="D913" s="86" t="s">
        <v>232</v>
      </c>
      <c r="E913" s="86" t="s">
        <v>233</v>
      </c>
      <c r="F913" s="69">
        <v>7500.0</v>
      </c>
      <c r="G913" s="69">
        <v>25.65</v>
      </c>
      <c r="H913" s="68">
        <f t="shared" si="1"/>
        <v>268.61</v>
      </c>
      <c r="I913" s="81">
        <f>IFERROR(__xludf.DUMMYFUNCTION("IF(G913="""", """", ROUND(G913 / MAX(FILTER($G$2:$G5067, $D$2:$D5067=$D913)) * 100, 2))"),51.36)</f>
        <v>51.36</v>
      </c>
      <c r="J913" s="81">
        <f>IFERROR(__xludf.DUMMYFUNCTION("IF(H913="""", """", ROUND(H913 / MAX(FILTER($H$2:$H5067, $D$2:$D5067=$D913)) * 100, 2))"),78.74)</f>
        <v>78.74</v>
      </c>
      <c r="K913" s="2"/>
      <c r="L913" s="48"/>
      <c r="M913" s="48"/>
      <c r="N913" s="48"/>
      <c r="O913" s="48" t="str">
        <f t="shared" si="2"/>
        <v/>
      </c>
      <c r="P913" s="48" t="str">
        <f t="shared" si="3"/>
        <v/>
      </c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</row>
    <row r="914">
      <c r="A914" s="63">
        <v>62.0</v>
      </c>
      <c r="B914" s="63">
        <v>91.0</v>
      </c>
      <c r="C914" s="64" t="s">
        <v>234</v>
      </c>
      <c r="D914" s="64" t="s">
        <v>235</v>
      </c>
      <c r="E914" s="64" t="s">
        <v>236</v>
      </c>
      <c r="F914" s="63">
        <v>500.0</v>
      </c>
      <c r="G914" s="63">
        <v>19.64</v>
      </c>
      <c r="H914" s="66">
        <f t="shared" si="1"/>
        <v>13.71</v>
      </c>
      <c r="I914" s="81">
        <f>IFERROR(__xludf.DUMMYFUNCTION("IF(G914="""", """", ROUND(G914 / MAX(FILTER($G$2:$G5067, $D$2:$D5067=$D914)) * 100, 2))"),78.56)</f>
        <v>78.56</v>
      </c>
      <c r="J914" s="81">
        <f>IFERROR(__xludf.DUMMYFUNCTION("IF(H914="""", """", ROUND(H914 / MAX(FILTER($H$2:$H5067, $D$2:$D5067=$D914)) * 100, 2))"),6.7)</f>
        <v>6.7</v>
      </c>
      <c r="K914" s="2"/>
      <c r="L914" s="49"/>
      <c r="M914" s="49"/>
      <c r="N914" s="49"/>
      <c r="O914" s="49" t="str">
        <f t="shared" si="2"/>
        <v/>
      </c>
      <c r="P914" s="49" t="str">
        <f t="shared" si="3"/>
        <v/>
      </c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</row>
    <row r="915">
      <c r="A915" s="69">
        <v>62.0</v>
      </c>
      <c r="B915" s="69">
        <v>91.0</v>
      </c>
      <c r="C915" s="86" t="s">
        <v>234</v>
      </c>
      <c r="D915" s="86" t="s">
        <v>235</v>
      </c>
      <c r="E915" s="86" t="s">
        <v>236</v>
      </c>
      <c r="F915" s="69">
        <v>1000.0</v>
      </c>
      <c r="G915" s="69">
        <v>20.56</v>
      </c>
      <c r="H915" s="68">
        <f t="shared" si="1"/>
        <v>28.71</v>
      </c>
      <c r="I915" s="81">
        <f>IFERROR(__xludf.DUMMYFUNCTION("IF(G915="""", """", ROUND(G915 / MAX(FILTER($G$2:$G5067, $D$2:$D5067=$D915)) * 100, 2))"),82.24)</f>
        <v>82.24</v>
      </c>
      <c r="J915" s="81">
        <f>IFERROR(__xludf.DUMMYFUNCTION("IF(H915="""", """", ROUND(H915 / MAX(FILTER($H$2:$H5067, $D$2:$D5067=$D915)) * 100, 2))"),14.03)</f>
        <v>14.03</v>
      </c>
      <c r="K915" s="2"/>
      <c r="L915" s="48"/>
      <c r="M915" s="48"/>
      <c r="N915" s="48"/>
      <c r="O915" s="48" t="str">
        <f t="shared" si="2"/>
        <v/>
      </c>
      <c r="P915" s="48" t="str">
        <f t="shared" si="3"/>
        <v/>
      </c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</row>
    <row r="916">
      <c r="A916" s="63">
        <v>62.0</v>
      </c>
      <c r="B916" s="63">
        <v>91.0</v>
      </c>
      <c r="C916" s="64" t="s">
        <v>234</v>
      </c>
      <c r="D916" s="64" t="s">
        <v>235</v>
      </c>
      <c r="E916" s="64" t="s">
        <v>236</v>
      </c>
      <c r="F916" s="63">
        <v>1500.0</v>
      </c>
      <c r="G916" s="63">
        <v>21.46</v>
      </c>
      <c r="H916" s="66">
        <f t="shared" si="1"/>
        <v>44.95</v>
      </c>
      <c r="I916" s="81">
        <f>IFERROR(__xludf.DUMMYFUNCTION("IF(G916="""", """", ROUND(G916 / MAX(FILTER($G$2:$G5067, $D$2:$D5067=$D916)) * 100, 2))"),85.84)</f>
        <v>85.84</v>
      </c>
      <c r="J916" s="81">
        <f>IFERROR(__xludf.DUMMYFUNCTION("IF(H916="""", """", ROUND(H916 / MAX(FILTER($H$2:$H5067, $D$2:$D5067=$D916)) * 100, 2))"),21.96)</f>
        <v>21.96</v>
      </c>
      <c r="K916" s="2"/>
      <c r="L916" s="49"/>
      <c r="M916" s="49"/>
      <c r="N916" s="49"/>
      <c r="O916" s="49" t="str">
        <f t="shared" si="2"/>
        <v/>
      </c>
      <c r="P916" s="49" t="str">
        <f t="shared" si="3"/>
        <v/>
      </c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</row>
    <row r="917">
      <c r="A917" s="69">
        <v>62.0</v>
      </c>
      <c r="B917" s="69">
        <v>91.0</v>
      </c>
      <c r="C917" s="86" t="s">
        <v>234</v>
      </c>
      <c r="D917" s="86" t="s">
        <v>235</v>
      </c>
      <c r="E917" s="86" t="s">
        <v>236</v>
      </c>
      <c r="F917" s="69">
        <v>2000.0</v>
      </c>
      <c r="G917" s="69">
        <v>22.39</v>
      </c>
      <c r="H917" s="68">
        <f t="shared" si="1"/>
        <v>62.52</v>
      </c>
      <c r="I917" s="81">
        <f>IFERROR(__xludf.DUMMYFUNCTION("IF(G917="""", """", ROUND(G917 / MAX(FILTER($G$2:$G5067, $D$2:$D5067=$D917)) * 100, 2))"),89.56)</f>
        <v>89.56</v>
      </c>
      <c r="J917" s="81">
        <f>IFERROR(__xludf.DUMMYFUNCTION("IF(H917="""", """", ROUND(H917 / MAX(FILTER($H$2:$H5067, $D$2:$D5067=$D917)) * 100, 2))"),30.55)</f>
        <v>30.55</v>
      </c>
      <c r="K917" s="2"/>
      <c r="L917" s="48"/>
      <c r="M917" s="48"/>
      <c r="N917" s="48"/>
      <c r="O917" s="48" t="str">
        <f t="shared" si="2"/>
        <v/>
      </c>
      <c r="P917" s="48" t="str">
        <f t="shared" si="3"/>
        <v/>
      </c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</row>
    <row r="918">
      <c r="A918" s="63">
        <v>62.0</v>
      </c>
      <c r="B918" s="63">
        <v>91.0</v>
      </c>
      <c r="C918" s="64" t="s">
        <v>234</v>
      </c>
      <c r="D918" s="64" t="s">
        <v>235</v>
      </c>
      <c r="E918" s="64" t="s">
        <v>236</v>
      </c>
      <c r="F918" s="63">
        <v>2500.0</v>
      </c>
      <c r="G918" s="63">
        <v>23.33</v>
      </c>
      <c r="H918" s="66">
        <f t="shared" si="1"/>
        <v>81.44</v>
      </c>
      <c r="I918" s="81">
        <f>IFERROR(__xludf.DUMMYFUNCTION("IF(G918="""", """", ROUND(G918 / MAX(FILTER($G$2:$G5067, $D$2:$D5067=$D918)) * 100, 2))"),93.32)</f>
        <v>93.32</v>
      </c>
      <c r="J918" s="81">
        <f>IFERROR(__xludf.DUMMYFUNCTION("IF(H918="""", """", ROUND(H918 / MAX(FILTER($H$2:$H5067, $D$2:$D5067=$D918)) * 100, 2))"),39.79)</f>
        <v>39.79</v>
      </c>
      <c r="K918" s="2"/>
      <c r="L918" s="49"/>
      <c r="M918" s="49"/>
      <c r="N918" s="49"/>
      <c r="O918" s="49" t="str">
        <f t="shared" si="2"/>
        <v/>
      </c>
      <c r="P918" s="49" t="str">
        <f t="shared" si="3"/>
        <v/>
      </c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</row>
    <row r="919">
      <c r="A919" s="69">
        <v>62.0</v>
      </c>
      <c r="B919" s="69">
        <v>91.0</v>
      </c>
      <c r="C919" s="86" t="s">
        <v>234</v>
      </c>
      <c r="D919" s="86" t="s">
        <v>235</v>
      </c>
      <c r="E919" s="86" t="s">
        <v>236</v>
      </c>
      <c r="F919" s="69">
        <v>3000.0</v>
      </c>
      <c r="G919" s="69">
        <v>24.0</v>
      </c>
      <c r="H919" s="68">
        <f t="shared" si="1"/>
        <v>100.53</v>
      </c>
      <c r="I919" s="81">
        <f>IFERROR(__xludf.DUMMYFUNCTION("IF(G919="""", """", ROUND(G919 / MAX(FILTER($G$2:$G5067, $D$2:$D5067=$D919)) * 100, 2))"),96.0)</f>
        <v>96</v>
      </c>
      <c r="J919" s="81">
        <f>IFERROR(__xludf.DUMMYFUNCTION("IF(H919="""", """", ROUND(H919 / MAX(FILTER($H$2:$H5067, $D$2:$D5067=$D919)) * 100, 2))"),49.12)</f>
        <v>49.12</v>
      </c>
      <c r="K919" s="2"/>
      <c r="L919" s="48"/>
      <c r="M919" s="48"/>
      <c r="N919" s="48"/>
      <c r="O919" s="48" t="str">
        <f t="shared" si="2"/>
        <v/>
      </c>
      <c r="P919" s="48" t="str">
        <f t="shared" si="3"/>
        <v/>
      </c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</row>
    <row r="920">
      <c r="A920" s="63">
        <v>62.0</v>
      </c>
      <c r="B920" s="63">
        <v>91.0</v>
      </c>
      <c r="C920" s="64" t="s">
        <v>234</v>
      </c>
      <c r="D920" s="64" t="s">
        <v>235</v>
      </c>
      <c r="E920" s="64" t="s">
        <v>236</v>
      </c>
      <c r="F920" s="63">
        <v>3500.0</v>
      </c>
      <c r="G920" s="63">
        <v>24.54</v>
      </c>
      <c r="H920" s="66">
        <f t="shared" si="1"/>
        <v>119.92</v>
      </c>
      <c r="I920" s="81">
        <f>IFERROR(__xludf.DUMMYFUNCTION("IF(G920="""", """", ROUND(G920 / MAX(FILTER($G$2:$G5067, $D$2:$D5067=$D920)) * 100, 2))"),98.16)</f>
        <v>98.16</v>
      </c>
      <c r="J920" s="81">
        <f>IFERROR(__xludf.DUMMYFUNCTION("IF(H920="""", """", ROUND(H920 / MAX(FILTER($H$2:$H5067, $D$2:$D5067=$D920)) * 100, 2))"),58.59)</f>
        <v>58.59</v>
      </c>
      <c r="K920" s="2"/>
      <c r="L920" s="49"/>
      <c r="M920" s="49"/>
      <c r="N920" s="49"/>
      <c r="O920" s="49" t="str">
        <f t="shared" si="2"/>
        <v/>
      </c>
      <c r="P920" s="49" t="str">
        <f t="shared" si="3"/>
        <v/>
      </c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</row>
    <row r="921">
      <c r="A921" s="69">
        <v>62.0</v>
      </c>
      <c r="B921" s="69">
        <v>91.0</v>
      </c>
      <c r="C921" s="86" t="s">
        <v>234</v>
      </c>
      <c r="D921" s="86" t="s">
        <v>235</v>
      </c>
      <c r="E921" s="86" t="s">
        <v>236</v>
      </c>
      <c r="F921" s="69">
        <v>4000.0</v>
      </c>
      <c r="G921" s="69">
        <v>24.83</v>
      </c>
      <c r="H921" s="68">
        <f t="shared" si="1"/>
        <v>138.68</v>
      </c>
      <c r="I921" s="81">
        <f>IFERROR(__xludf.DUMMYFUNCTION("IF(G921="""", """", ROUND(G921 / MAX(FILTER($G$2:$G5067, $D$2:$D5067=$D921)) * 100, 2))"),99.32)</f>
        <v>99.32</v>
      </c>
      <c r="J921" s="81">
        <f>IFERROR(__xludf.DUMMYFUNCTION("IF(H921="""", """", ROUND(H921 / MAX(FILTER($H$2:$H5067, $D$2:$D5067=$D921)) * 100, 2))"),67.76)</f>
        <v>67.76</v>
      </c>
      <c r="K921" s="2"/>
      <c r="L921" s="48"/>
      <c r="M921" s="48"/>
      <c r="N921" s="48"/>
      <c r="O921" s="48" t="str">
        <f t="shared" si="2"/>
        <v/>
      </c>
      <c r="P921" s="48" t="str">
        <f t="shared" si="3"/>
        <v/>
      </c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</row>
    <row r="922">
      <c r="A922" s="63">
        <v>62.0</v>
      </c>
      <c r="B922" s="63">
        <v>91.0</v>
      </c>
      <c r="C922" s="64" t="s">
        <v>234</v>
      </c>
      <c r="D922" s="64" t="s">
        <v>235</v>
      </c>
      <c r="E922" s="64" t="s">
        <v>236</v>
      </c>
      <c r="F922" s="63">
        <v>4500.0</v>
      </c>
      <c r="G922" s="63">
        <v>25.0</v>
      </c>
      <c r="H922" s="66">
        <f t="shared" si="1"/>
        <v>157.08</v>
      </c>
      <c r="I922" s="81">
        <f>IFERROR(__xludf.DUMMYFUNCTION("IF(G922="""", """", ROUND(G922 / MAX(FILTER($G$2:$G5067, $D$2:$D5067=$D922)) * 100, 2))"),100.0)</f>
        <v>100</v>
      </c>
      <c r="J922" s="81">
        <f>IFERROR(__xludf.DUMMYFUNCTION("IF(H922="""", """", ROUND(H922 / MAX(FILTER($H$2:$H5067, $D$2:$D5067=$D922)) * 100, 2))"),76.75)</f>
        <v>76.75</v>
      </c>
      <c r="K922" s="2"/>
      <c r="L922" s="49"/>
      <c r="M922" s="49"/>
      <c r="N922" s="49"/>
      <c r="O922" s="49" t="str">
        <f t="shared" si="2"/>
        <v/>
      </c>
      <c r="P922" s="49" t="str">
        <f t="shared" si="3"/>
        <v/>
      </c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</row>
    <row r="923">
      <c r="A923" s="69">
        <v>62.0</v>
      </c>
      <c r="B923" s="69">
        <v>91.0</v>
      </c>
      <c r="C923" s="86" t="s">
        <v>234</v>
      </c>
      <c r="D923" s="86" t="s">
        <v>235</v>
      </c>
      <c r="E923" s="86" t="s">
        <v>236</v>
      </c>
      <c r="F923" s="69">
        <v>5000.0</v>
      </c>
      <c r="G923" s="69">
        <v>24.92</v>
      </c>
      <c r="H923" s="68">
        <f t="shared" si="1"/>
        <v>173.97</v>
      </c>
      <c r="I923" s="81">
        <f>IFERROR(__xludf.DUMMYFUNCTION("IF(G923="""", """", ROUND(G923 / MAX(FILTER($G$2:$G5067, $D$2:$D5067=$D923)) * 100, 2))"),99.68)</f>
        <v>99.68</v>
      </c>
      <c r="J923" s="81">
        <f>IFERROR(__xludf.DUMMYFUNCTION("IF(H923="""", """", ROUND(H923 / MAX(FILTER($H$2:$H5067, $D$2:$D5067=$D923)) * 100, 2))"),85.0)</f>
        <v>85</v>
      </c>
      <c r="K923" s="2"/>
      <c r="L923" s="48"/>
      <c r="M923" s="48"/>
      <c r="N923" s="48"/>
      <c r="O923" s="48" t="str">
        <f t="shared" si="2"/>
        <v/>
      </c>
      <c r="P923" s="48" t="str">
        <f t="shared" si="3"/>
        <v/>
      </c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</row>
    <row r="924">
      <c r="A924" s="63">
        <v>62.0</v>
      </c>
      <c r="B924" s="63">
        <v>91.0</v>
      </c>
      <c r="C924" s="64" t="s">
        <v>234</v>
      </c>
      <c r="D924" s="64" t="s">
        <v>235</v>
      </c>
      <c r="E924" s="64" t="s">
        <v>236</v>
      </c>
      <c r="F924" s="63">
        <v>5500.0</v>
      </c>
      <c r="G924" s="63">
        <v>24.77</v>
      </c>
      <c r="H924" s="66">
        <f t="shared" si="1"/>
        <v>190.22</v>
      </c>
      <c r="I924" s="81">
        <f>IFERROR(__xludf.DUMMYFUNCTION("IF(G924="""", """", ROUND(G924 / MAX(FILTER($G$2:$G5067, $D$2:$D5067=$D924)) * 100, 2))"),99.08)</f>
        <v>99.08</v>
      </c>
      <c r="J924" s="81">
        <f>IFERROR(__xludf.DUMMYFUNCTION("IF(H924="""", """", ROUND(H924 / MAX(FILTER($H$2:$H5067, $D$2:$D5067=$D924)) * 100, 2))"),92.94)</f>
        <v>92.94</v>
      </c>
      <c r="K924" s="2"/>
      <c r="L924" s="49"/>
      <c r="M924" s="49"/>
      <c r="N924" s="49"/>
      <c r="O924" s="49" t="str">
        <f t="shared" si="2"/>
        <v/>
      </c>
      <c r="P924" s="49" t="str">
        <f t="shared" si="3"/>
        <v/>
      </c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</row>
    <row r="925">
      <c r="A925" s="69">
        <v>62.0</v>
      </c>
      <c r="B925" s="69">
        <v>91.0</v>
      </c>
      <c r="C925" s="86" t="s">
        <v>234</v>
      </c>
      <c r="D925" s="86" t="s">
        <v>235</v>
      </c>
      <c r="E925" s="86" t="s">
        <v>236</v>
      </c>
      <c r="F925" s="69">
        <v>6000.0</v>
      </c>
      <c r="G925" s="69">
        <v>24.43</v>
      </c>
      <c r="H925" s="68">
        <f t="shared" si="1"/>
        <v>204.66</v>
      </c>
      <c r="I925" s="81">
        <f>IFERROR(__xludf.DUMMYFUNCTION("IF(G925="""", """", ROUND(G925 / MAX(FILTER($G$2:$G5067, $D$2:$D5067=$D925)) * 100, 2))"),97.72)</f>
        <v>97.72</v>
      </c>
      <c r="J925" s="81">
        <f>IFERROR(__xludf.DUMMYFUNCTION("IF(H925="""", """", ROUND(H925 / MAX(FILTER($H$2:$H5067, $D$2:$D5067=$D925)) * 100, 2))"),100.0)</f>
        <v>100</v>
      </c>
      <c r="K925" s="2"/>
      <c r="L925" s="48"/>
      <c r="M925" s="48"/>
      <c r="N925" s="48"/>
      <c r="O925" s="48" t="str">
        <f t="shared" si="2"/>
        <v/>
      </c>
      <c r="P925" s="48" t="str">
        <f t="shared" si="3"/>
        <v/>
      </c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</row>
    <row r="926">
      <c r="A926" s="63">
        <v>62.0</v>
      </c>
      <c r="B926" s="63">
        <v>91.0</v>
      </c>
      <c r="C926" s="64" t="s">
        <v>234</v>
      </c>
      <c r="D926" s="64" t="s">
        <v>235</v>
      </c>
      <c r="E926" s="64" t="s">
        <v>236</v>
      </c>
      <c r="F926" s="63">
        <v>6500.0</v>
      </c>
      <c r="G926" s="63">
        <v>22.19</v>
      </c>
      <c r="H926" s="66">
        <f t="shared" si="1"/>
        <v>201.39</v>
      </c>
      <c r="I926" s="81">
        <f>IFERROR(__xludf.DUMMYFUNCTION("IF(G926="""", """", ROUND(G926 / MAX(FILTER($G$2:$G5067, $D$2:$D5067=$D926)) * 100, 2))"),88.76)</f>
        <v>88.76</v>
      </c>
      <c r="J926" s="81">
        <f>IFERROR(__xludf.DUMMYFUNCTION("IF(H926="""", """", ROUND(H926 / MAX(FILTER($H$2:$H5067, $D$2:$D5067=$D926)) * 100, 2))"),98.4)</f>
        <v>98.4</v>
      </c>
      <c r="K926" s="2"/>
      <c r="L926" s="49"/>
      <c r="M926" s="49"/>
      <c r="N926" s="49"/>
      <c r="O926" s="49" t="str">
        <f t="shared" si="2"/>
        <v/>
      </c>
      <c r="P926" s="49" t="str">
        <f t="shared" si="3"/>
        <v/>
      </c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</row>
    <row r="927">
      <c r="A927" s="69">
        <v>62.0</v>
      </c>
      <c r="B927" s="69">
        <v>91.0</v>
      </c>
      <c r="C927" s="86" t="s">
        <v>234</v>
      </c>
      <c r="D927" s="86" t="s">
        <v>235</v>
      </c>
      <c r="E927" s="86" t="s">
        <v>236</v>
      </c>
      <c r="F927" s="69">
        <v>7000.0</v>
      </c>
      <c r="G927" s="69">
        <v>19.06</v>
      </c>
      <c r="H927" s="68">
        <f t="shared" si="1"/>
        <v>186.29</v>
      </c>
      <c r="I927" s="81">
        <f>IFERROR(__xludf.DUMMYFUNCTION("IF(G927="""", """", ROUND(G927 / MAX(FILTER($G$2:$G5067, $D$2:$D5067=$D927)) * 100, 2))"),76.24)</f>
        <v>76.24</v>
      </c>
      <c r="J927" s="81">
        <f>IFERROR(__xludf.DUMMYFUNCTION("IF(H927="""", """", ROUND(H927 / MAX(FILTER($H$2:$H5067, $D$2:$D5067=$D927)) * 100, 2))"),91.02)</f>
        <v>91.02</v>
      </c>
      <c r="K927" s="2"/>
      <c r="L927" s="48"/>
      <c r="M927" s="48"/>
      <c r="N927" s="48"/>
      <c r="O927" s="48" t="str">
        <f t="shared" si="2"/>
        <v/>
      </c>
      <c r="P927" s="48" t="str">
        <f t="shared" si="3"/>
        <v/>
      </c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</row>
    <row r="928">
      <c r="A928" s="63">
        <v>63.0</v>
      </c>
      <c r="B928" s="63">
        <v>92.0</v>
      </c>
      <c r="C928" s="64" t="s">
        <v>237</v>
      </c>
      <c r="D928" s="64" t="s">
        <v>238</v>
      </c>
      <c r="E928" s="64" t="s">
        <v>239</v>
      </c>
      <c r="F928" s="63">
        <v>500.0</v>
      </c>
      <c r="G928" s="63">
        <v>10.6</v>
      </c>
      <c r="H928" s="66">
        <f t="shared" si="1"/>
        <v>7.4</v>
      </c>
      <c r="I928" s="81">
        <f>IFERROR(__xludf.DUMMYFUNCTION("IF(G928="""", """", ROUND(G928 / MAX(FILTER($G$2:$G5067, $D$2:$D5067=$D928)) * 100, 2))"),58.24)</f>
        <v>58.24</v>
      </c>
      <c r="J928" s="81">
        <f>IFERROR(__xludf.DUMMYFUNCTION("IF(H928="""", """", ROUND(H928 / MAX(FILTER($H$2:$H5067, $D$2:$D5067=$D928)) * 100, 2))"),6.04)</f>
        <v>6.04</v>
      </c>
      <c r="K928" s="2"/>
      <c r="L928" s="49"/>
      <c r="M928" s="49"/>
      <c r="N928" s="49"/>
      <c r="O928" s="49" t="str">
        <f t="shared" si="2"/>
        <v/>
      </c>
      <c r="P928" s="49" t="str">
        <f t="shared" si="3"/>
        <v/>
      </c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</row>
    <row r="929">
      <c r="A929" s="69">
        <v>63.0</v>
      </c>
      <c r="B929" s="69">
        <v>92.0</v>
      </c>
      <c r="C929" s="86" t="s">
        <v>237</v>
      </c>
      <c r="D929" s="86" t="s">
        <v>238</v>
      </c>
      <c r="E929" s="86" t="s">
        <v>239</v>
      </c>
      <c r="F929" s="69">
        <v>1000.0</v>
      </c>
      <c r="G929" s="69">
        <v>12.6</v>
      </c>
      <c r="H929" s="68">
        <f t="shared" si="1"/>
        <v>17.59</v>
      </c>
      <c r="I929" s="81">
        <f>IFERROR(__xludf.DUMMYFUNCTION("IF(G929="""", """", ROUND(G929 / MAX(FILTER($G$2:$G5067, $D$2:$D5067=$D929)) * 100, 2))"),69.23)</f>
        <v>69.23</v>
      </c>
      <c r="J929" s="81">
        <f>IFERROR(__xludf.DUMMYFUNCTION("IF(H929="""", """", ROUND(H929 / MAX(FILTER($H$2:$H5067, $D$2:$D5067=$D929)) * 100, 2))"),14.36)</f>
        <v>14.36</v>
      </c>
      <c r="K929" s="2"/>
      <c r="L929" s="48"/>
      <c r="M929" s="48"/>
      <c r="N929" s="48"/>
      <c r="O929" s="48" t="str">
        <f t="shared" si="2"/>
        <v/>
      </c>
      <c r="P929" s="48" t="str">
        <f t="shared" si="3"/>
        <v/>
      </c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</row>
    <row r="930">
      <c r="A930" s="63">
        <v>63.0</v>
      </c>
      <c r="B930" s="63">
        <v>92.0</v>
      </c>
      <c r="C930" s="64" t="s">
        <v>237</v>
      </c>
      <c r="D930" s="64" t="s">
        <v>238</v>
      </c>
      <c r="E930" s="64" t="s">
        <v>239</v>
      </c>
      <c r="F930" s="63">
        <v>1500.0</v>
      </c>
      <c r="G930" s="63">
        <v>13.55</v>
      </c>
      <c r="H930" s="66">
        <f t="shared" si="1"/>
        <v>28.38</v>
      </c>
      <c r="I930" s="81">
        <f>IFERROR(__xludf.DUMMYFUNCTION("IF(G930="""", """", ROUND(G930 / MAX(FILTER($G$2:$G5067, $D$2:$D5067=$D930)) * 100, 2))"),74.45)</f>
        <v>74.45</v>
      </c>
      <c r="J930" s="81">
        <f>IFERROR(__xludf.DUMMYFUNCTION("IF(H930="""", """", ROUND(H930 / MAX(FILTER($H$2:$H5067, $D$2:$D5067=$D930)) * 100, 2))"),23.17)</f>
        <v>23.17</v>
      </c>
      <c r="K930" s="2"/>
      <c r="L930" s="49"/>
      <c r="M930" s="49"/>
      <c r="N930" s="49"/>
      <c r="O930" s="49" t="str">
        <f t="shared" si="2"/>
        <v/>
      </c>
      <c r="P930" s="49" t="str">
        <f t="shared" si="3"/>
        <v/>
      </c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</row>
    <row r="931">
      <c r="A931" s="69">
        <v>63.0</v>
      </c>
      <c r="B931" s="69">
        <v>92.0</v>
      </c>
      <c r="C931" s="86" t="s">
        <v>237</v>
      </c>
      <c r="D931" s="86" t="s">
        <v>238</v>
      </c>
      <c r="E931" s="86" t="s">
        <v>239</v>
      </c>
      <c r="F931" s="69">
        <v>2000.0</v>
      </c>
      <c r="G931" s="69">
        <v>14.2</v>
      </c>
      <c r="H931" s="68">
        <f t="shared" si="1"/>
        <v>39.65</v>
      </c>
      <c r="I931" s="81">
        <f>IFERROR(__xludf.DUMMYFUNCTION("IF(G931="""", """", ROUND(G931 / MAX(FILTER($G$2:$G5067, $D$2:$D5067=$D931)) * 100, 2))"),78.02)</f>
        <v>78.02</v>
      </c>
      <c r="J931" s="81">
        <f>IFERROR(__xludf.DUMMYFUNCTION("IF(H931="""", """", ROUND(H931 / MAX(FILTER($H$2:$H5067, $D$2:$D5067=$D931)) * 100, 2))"),32.38)</f>
        <v>32.38</v>
      </c>
      <c r="K931" s="2"/>
      <c r="L931" s="48"/>
      <c r="M931" s="48"/>
      <c r="N931" s="48"/>
      <c r="O931" s="48" t="str">
        <f t="shared" si="2"/>
        <v/>
      </c>
      <c r="P931" s="48" t="str">
        <f t="shared" si="3"/>
        <v/>
      </c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</row>
    <row r="932">
      <c r="A932" s="63">
        <v>63.0</v>
      </c>
      <c r="B932" s="63">
        <v>92.0</v>
      </c>
      <c r="C932" s="64" t="s">
        <v>237</v>
      </c>
      <c r="D932" s="64" t="s">
        <v>238</v>
      </c>
      <c r="E932" s="64" t="s">
        <v>239</v>
      </c>
      <c r="F932" s="63">
        <v>2500.0</v>
      </c>
      <c r="G932" s="63">
        <v>15.05</v>
      </c>
      <c r="H932" s="66">
        <f t="shared" si="1"/>
        <v>52.53</v>
      </c>
      <c r="I932" s="81">
        <f>IFERROR(__xludf.DUMMYFUNCTION("IF(G932="""", """", ROUND(G932 / MAX(FILTER($G$2:$G5067, $D$2:$D5067=$D932)) * 100, 2))"),82.69)</f>
        <v>82.69</v>
      </c>
      <c r="J932" s="81">
        <f>IFERROR(__xludf.DUMMYFUNCTION("IF(H932="""", """", ROUND(H932 / MAX(FILTER($H$2:$H5067, $D$2:$D5067=$D932)) * 100, 2))"),42.89)</f>
        <v>42.89</v>
      </c>
      <c r="K932" s="2"/>
      <c r="L932" s="49"/>
      <c r="M932" s="49"/>
      <c r="N932" s="49"/>
      <c r="O932" s="49" t="str">
        <f t="shared" si="2"/>
        <v/>
      </c>
      <c r="P932" s="49" t="str">
        <f t="shared" si="3"/>
        <v/>
      </c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</row>
    <row r="933">
      <c r="A933" s="69">
        <v>63.0</v>
      </c>
      <c r="B933" s="69">
        <v>92.0</v>
      </c>
      <c r="C933" s="86" t="s">
        <v>237</v>
      </c>
      <c r="D933" s="86" t="s">
        <v>238</v>
      </c>
      <c r="E933" s="86" t="s">
        <v>239</v>
      </c>
      <c r="F933" s="69">
        <v>3000.0</v>
      </c>
      <c r="G933" s="69">
        <v>16.2</v>
      </c>
      <c r="H933" s="68">
        <f t="shared" si="1"/>
        <v>67.86</v>
      </c>
      <c r="I933" s="81">
        <f>IFERROR(__xludf.DUMMYFUNCTION("IF(G933="""", """", ROUND(G933 / MAX(FILTER($G$2:$G5067, $D$2:$D5067=$D933)) * 100, 2))"),89.01)</f>
        <v>89.01</v>
      </c>
      <c r="J933" s="81">
        <f>IFERROR(__xludf.DUMMYFUNCTION("IF(H933="""", """", ROUND(H933 / MAX(FILTER($H$2:$H5067, $D$2:$D5067=$D933)) * 100, 2))"),55.41)</f>
        <v>55.41</v>
      </c>
      <c r="K933" s="2"/>
      <c r="L933" s="48"/>
      <c r="M933" s="48"/>
      <c r="N933" s="48"/>
      <c r="O933" s="48" t="str">
        <f t="shared" si="2"/>
        <v/>
      </c>
      <c r="P933" s="48" t="str">
        <f t="shared" si="3"/>
        <v/>
      </c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</row>
    <row r="934">
      <c r="A934" s="63">
        <v>63.0</v>
      </c>
      <c r="B934" s="63">
        <v>92.0</v>
      </c>
      <c r="C934" s="64" t="s">
        <v>237</v>
      </c>
      <c r="D934" s="64" t="s">
        <v>238</v>
      </c>
      <c r="E934" s="64" t="s">
        <v>239</v>
      </c>
      <c r="F934" s="63">
        <v>3500.0</v>
      </c>
      <c r="G934" s="63">
        <v>17.55</v>
      </c>
      <c r="H934" s="66">
        <f t="shared" si="1"/>
        <v>85.77</v>
      </c>
      <c r="I934" s="81">
        <f>IFERROR(__xludf.DUMMYFUNCTION("IF(G934="""", """", ROUND(G934 / MAX(FILTER($G$2:$G5067, $D$2:$D5067=$D934)) * 100, 2))"),96.43)</f>
        <v>96.43</v>
      </c>
      <c r="J934" s="81">
        <f>IFERROR(__xludf.DUMMYFUNCTION("IF(H934="""", """", ROUND(H934 / MAX(FILTER($H$2:$H5067, $D$2:$D5067=$D934)) * 100, 2))"),70.03)</f>
        <v>70.03</v>
      </c>
      <c r="K934" s="2"/>
      <c r="L934" s="49"/>
      <c r="M934" s="49"/>
      <c r="N934" s="49"/>
      <c r="O934" s="49" t="str">
        <f t="shared" si="2"/>
        <v/>
      </c>
      <c r="P934" s="49" t="str">
        <f t="shared" si="3"/>
        <v/>
      </c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</row>
    <row r="935">
      <c r="A935" s="69">
        <v>63.0</v>
      </c>
      <c r="B935" s="69">
        <v>92.0</v>
      </c>
      <c r="C935" s="86" t="s">
        <v>237</v>
      </c>
      <c r="D935" s="86" t="s">
        <v>238</v>
      </c>
      <c r="E935" s="86" t="s">
        <v>239</v>
      </c>
      <c r="F935" s="69">
        <v>3900.0</v>
      </c>
      <c r="G935" s="69">
        <v>18.1</v>
      </c>
      <c r="H935" s="68">
        <f t="shared" si="1"/>
        <v>98.56</v>
      </c>
      <c r="I935" s="81">
        <f>IFERROR(__xludf.DUMMYFUNCTION("IF(G935="""", """", ROUND(G935 / MAX(FILTER($G$2:$G5067, $D$2:$D5067=$D935)) * 100, 2))"),99.45)</f>
        <v>99.45</v>
      </c>
      <c r="J935" s="81">
        <f>IFERROR(__xludf.DUMMYFUNCTION("IF(H935="""", """", ROUND(H935 / MAX(FILTER($H$2:$H5067, $D$2:$D5067=$D935)) * 100, 2))"),80.48)</f>
        <v>80.48</v>
      </c>
      <c r="K935" s="2"/>
      <c r="L935" s="48"/>
      <c r="M935" s="48"/>
      <c r="N935" s="48"/>
      <c r="O935" s="48" t="str">
        <f t="shared" si="2"/>
        <v/>
      </c>
      <c r="P935" s="48" t="str">
        <f t="shared" si="3"/>
        <v/>
      </c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</row>
    <row r="936">
      <c r="A936" s="63">
        <v>63.0</v>
      </c>
      <c r="B936" s="63">
        <v>92.0</v>
      </c>
      <c r="C936" s="64" t="s">
        <v>237</v>
      </c>
      <c r="D936" s="64" t="s">
        <v>238</v>
      </c>
      <c r="E936" s="64" t="s">
        <v>239</v>
      </c>
      <c r="F936" s="63">
        <v>4300.0</v>
      </c>
      <c r="G936" s="63">
        <v>18.2</v>
      </c>
      <c r="H936" s="66">
        <f t="shared" si="1"/>
        <v>109.27</v>
      </c>
      <c r="I936" s="81">
        <f>IFERROR(__xludf.DUMMYFUNCTION("IF(G936="""", """", ROUND(G936 / MAX(FILTER($G$2:$G5067, $D$2:$D5067=$D936)) * 100, 2))"),100.0)</f>
        <v>100</v>
      </c>
      <c r="J936" s="81">
        <f>IFERROR(__xludf.DUMMYFUNCTION("IF(H936="""", """", ROUND(H936 / MAX(FILTER($H$2:$H5067, $D$2:$D5067=$D936)) * 100, 2))"),89.22)</f>
        <v>89.22</v>
      </c>
      <c r="K936" s="2"/>
      <c r="L936" s="49"/>
      <c r="M936" s="49"/>
      <c r="N936" s="49"/>
      <c r="O936" s="49" t="str">
        <f t="shared" si="2"/>
        <v/>
      </c>
      <c r="P936" s="49" t="str">
        <f t="shared" si="3"/>
        <v/>
      </c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</row>
    <row r="937">
      <c r="A937" s="69">
        <v>63.0</v>
      </c>
      <c r="B937" s="69">
        <v>92.0</v>
      </c>
      <c r="C937" s="86" t="s">
        <v>237</v>
      </c>
      <c r="D937" s="86" t="s">
        <v>238</v>
      </c>
      <c r="E937" s="86" t="s">
        <v>239</v>
      </c>
      <c r="F937" s="69">
        <v>4900.0</v>
      </c>
      <c r="G937" s="69">
        <v>17.6</v>
      </c>
      <c r="H937" s="68">
        <f t="shared" si="1"/>
        <v>120.41</v>
      </c>
      <c r="I937" s="81">
        <f>IFERROR(__xludf.DUMMYFUNCTION("IF(G937="""", """", ROUND(G937 / MAX(FILTER($G$2:$G5067, $D$2:$D5067=$D937)) * 100, 2))"),96.7)</f>
        <v>96.7</v>
      </c>
      <c r="J937" s="81">
        <f>IFERROR(__xludf.DUMMYFUNCTION("IF(H937="""", """", ROUND(H937 / MAX(FILTER($H$2:$H5067, $D$2:$D5067=$D937)) * 100, 2))"),98.32)</f>
        <v>98.32</v>
      </c>
      <c r="K937" s="2"/>
      <c r="L937" s="48"/>
      <c r="M937" s="48"/>
      <c r="N937" s="48"/>
      <c r="O937" s="48" t="str">
        <f t="shared" si="2"/>
        <v/>
      </c>
      <c r="P937" s="48" t="str">
        <f t="shared" si="3"/>
        <v/>
      </c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</row>
    <row r="938">
      <c r="A938" s="63">
        <v>63.0</v>
      </c>
      <c r="B938" s="63">
        <v>92.0</v>
      </c>
      <c r="C938" s="64" t="s">
        <v>237</v>
      </c>
      <c r="D938" s="64" t="s">
        <v>238</v>
      </c>
      <c r="E938" s="64" t="s">
        <v>239</v>
      </c>
      <c r="F938" s="63">
        <v>5300.0</v>
      </c>
      <c r="G938" s="63">
        <v>16.55</v>
      </c>
      <c r="H938" s="66">
        <f t="shared" si="1"/>
        <v>122.47</v>
      </c>
      <c r="I938" s="81">
        <f>IFERROR(__xludf.DUMMYFUNCTION("IF(G938="""", """", ROUND(G938 / MAX(FILTER($G$2:$G5067, $D$2:$D5067=$D938)) * 100, 2))"),90.93)</f>
        <v>90.93</v>
      </c>
      <c r="J938" s="81">
        <f>IFERROR(__xludf.DUMMYFUNCTION("IF(H938="""", """", ROUND(H938 / MAX(FILTER($H$2:$H5067, $D$2:$D5067=$D938)) * 100, 2))"),100.0)</f>
        <v>100</v>
      </c>
      <c r="K938" s="2"/>
      <c r="L938" s="49"/>
      <c r="M938" s="49"/>
      <c r="N938" s="49"/>
      <c r="O938" s="49" t="str">
        <f t="shared" si="2"/>
        <v/>
      </c>
      <c r="P938" s="49" t="str">
        <f t="shared" si="3"/>
        <v/>
      </c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</row>
    <row r="939">
      <c r="A939" s="69">
        <v>63.0</v>
      </c>
      <c r="B939" s="69">
        <v>92.0</v>
      </c>
      <c r="C939" s="86" t="s">
        <v>237</v>
      </c>
      <c r="D939" s="86" t="s">
        <v>238</v>
      </c>
      <c r="E939" s="86" t="s">
        <v>239</v>
      </c>
      <c r="F939" s="69">
        <v>6000.0</v>
      </c>
      <c r="G939" s="69">
        <v>14.45</v>
      </c>
      <c r="H939" s="68">
        <f t="shared" si="1"/>
        <v>121.06</v>
      </c>
      <c r="I939" s="81">
        <f>IFERROR(__xludf.DUMMYFUNCTION("IF(G939="""", """", ROUND(G939 / MAX(FILTER($G$2:$G5067, $D$2:$D5067=$D939)) * 100, 2))"),79.4)</f>
        <v>79.4</v>
      </c>
      <c r="J939" s="81">
        <f>IFERROR(__xludf.DUMMYFUNCTION("IF(H939="""", """", ROUND(H939 / MAX(FILTER($H$2:$H5067, $D$2:$D5067=$D939)) * 100, 2))"),98.85)</f>
        <v>98.85</v>
      </c>
      <c r="K939" s="2"/>
      <c r="L939" s="48"/>
      <c r="M939" s="48"/>
      <c r="N939" s="48"/>
      <c r="O939" s="48" t="str">
        <f t="shared" si="2"/>
        <v/>
      </c>
      <c r="P939" s="48" t="str">
        <f t="shared" si="3"/>
        <v/>
      </c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</row>
    <row r="940">
      <c r="A940" s="63">
        <v>63.0</v>
      </c>
      <c r="B940" s="63">
        <v>92.0</v>
      </c>
      <c r="C940" s="64" t="s">
        <v>237</v>
      </c>
      <c r="D940" s="64" t="s">
        <v>238</v>
      </c>
      <c r="E940" s="64" t="s">
        <v>239</v>
      </c>
      <c r="F940" s="63">
        <v>6500.0</v>
      </c>
      <c r="G940" s="63">
        <v>12.3</v>
      </c>
      <c r="H940" s="66">
        <f t="shared" si="1"/>
        <v>111.63</v>
      </c>
      <c r="I940" s="81">
        <f>IFERROR(__xludf.DUMMYFUNCTION("IF(G940="""", """", ROUND(G940 / MAX(FILTER($G$2:$G5067, $D$2:$D5067=$D940)) * 100, 2))"),67.58)</f>
        <v>67.58</v>
      </c>
      <c r="J940" s="81">
        <f>IFERROR(__xludf.DUMMYFUNCTION("IF(H940="""", """", ROUND(H940 / MAX(FILTER($H$2:$H5067, $D$2:$D5067=$D940)) * 100, 2))"),91.15)</f>
        <v>91.15</v>
      </c>
      <c r="K940" s="2"/>
      <c r="L940" s="49"/>
      <c r="M940" s="49"/>
      <c r="N940" s="49"/>
      <c r="O940" s="49" t="str">
        <f t="shared" si="2"/>
        <v/>
      </c>
      <c r="P940" s="49" t="str">
        <f t="shared" si="3"/>
        <v/>
      </c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</row>
    <row r="941">
      <c r="A941" s="69">
        <v>63.0</v>
      </c>
      <c r="B941" s="69">
        <v>92.0</v>
      </c>
      <c r="C941" s="86" t="s">
        <v>237</v>
      </c>
      <c r="D941" s="86" t="s">
        <v>238</v>
      </c>
      <c r="E941" s="86" t="s">
        <v>239</v>
      </c>
      <c r="F941" s="69">
        <v>7000.0</v>
      </c>
      <c r="G941" s="69">
        <v>8.95</v>
      </c>
      <c r="H941" s="68">
        <f t="shared" si="1"/>
        <v>87.48</v>
      </c>
      <c r="I941" s="81">
        <f>IFERROR(__xludf.DUMMYFUNCTION("IF(G941="""", """", ROUND(G941 / MAX(FILTER($G$2:$G5067, $D$2:$D5067=$D941)) * 100, 2))"),49.18)</f>
        <v>49.18</v>
      </c>
      <c r="J941" s="81">
        <f>IFERROR(__xludf.DUMMYFUNCTION("IF(H941="""", """", ROUND(H941 / MAX(FILTER($H$2:$H5067, $D$2:$D5067=$D941)) * 100, 2))"),71.43)</f>
        <v>71.43</v>
      </c>
      <c r="K941" s="2"/>
      <c r="L941" s="48"/>
      <c r="M941" s="48"/>
      <c r="N941" s="48"/>
      <c r="O941" s="48" t="str">
        <f t="shared" si="2"/>
        <v/>
      </c>
      <c r="P941" s="48" t="str">
        <f t="shared" si="3"/>
        <v/>
      </c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</row>
    <row r="942">
      <c r="A942" s="63">
        <v>64.0</v>
      </c>
      <c r="B942" s="63">
        <v>95.0</v>
      </c>
      <c r="C942" s="64" t="s">
        <v>240</v>
      </c>
      <c r="D942" s="64" t="s">
        <v>241</v>
      </c>
      <c r="E942" s="64" t="s">
        <v>242</v>
      </c>
      <c r="F942" s="63">
        <v>500.0</v>
      </c>
      <c r="G942" s="63">
        <v>21.0</v>
      </c>
      <c r="H942" s="66">
        <f t="shared" si="1"/>
        <v>14.66</v>
      </c>
      <c r="I942" s="81">
        <f>IFERROR(__xludf.DUMMYFUNCTION("IF(G942="""", """", ROUND(G942 / MAX(FILTER($G$2:$G5067, $D$2:$D5067=$D942)) * 100, 2))"),68.63)</f>
        <v>68.63</v>
      </c>
      <c r="J942" s="81">
        <f>IFERROR(__xludf.DUMMYFUNCTION("IF(H942="""", """", ROUND(H942 / MAX(FILTER($H$2:$H5067, $D$2:$D5067=$D942)) * 100, 2))"),5.88)</f>
        <v>5.88</v>
      </c>
      <c r="K942" s="2"/>
      <c r="L942" s="49"/>
      <c r="M942" s="49"/>
      <c r="N942" s="49"/>
      <c r="O942" s="49" t="str">
        <f t="shared" si="2"/>
        <v/>
      </c>
      <c r="P942" s="49" t="str">
        <f t="shared" si="3"/>
        <v/>
      </c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</row>
    <row r="943">
      <c r="A943" s="69">
        <v>64.0</v>
      </c>
      <c r="B943" s="69">
        <v>95.0</v>
      </c>
      <c r="C943" s="86" t="s">
        <v>240</v>
      </c>
      <c r="D943" s="86" t="s">
        <v>241</v>
      </c>
      <c r="E943" s="86" t="s">
        <v>242</v>
      </c>
      <c r="F943" s="69">
        <v>1000.0</v>
      </c>
      <c r="G943" s="69">
        <v>23.4</v>
      </c>
      <c r="H943" s="68">
        <f t="shared" si="1"/>
        <v>32.67</v>
      </c>
      <c r="I943" s="81">
        <f>IFERROR(__xludf.DUMMYFUNCTION("IF(G943="""", """", ROUND(G943 / MAX(FILTER($G$2:$G5067, $D$2:$D5067=$D943)) * 100, 2))"),76.47)</f>
        <v>76.47</v>
      </c>
      <c r="J943" s="81">
        <f>IFERROR(__xludf.DUMMYFUNCTION("IF(H943="""", """", ROUND(H943 / MAX(FILTER($H$2:$H5067, $D$2:$D5067=$D943)) * 100, 2))"),13.1)</f>
        <v>13.1</v>
      </c>
      <c r="K943" s="2"/>
      <c r="L943" s="48"/>
      <c r="M943" s="48"/>
      <c r="N943" s="48"/>
      <c r="O943" s="48" t="str">
        <f t="shared" si="2"/>
        <v/>
      </c>
      <c r="P943" s="48" t="str">
        <f t="shared" si="3"/>
        <v/>
      </c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</row>
    <row r="944">
      <c r="A944" s="63">
        <v>64.0</v>
      </c>
      <c r="B944" s="63">
        <v>95.0</v>
      </c>
      <c r="C944" s="64" t="s">
        <v>240</v>
      </c>
      <c r="D944" s="64" t="s">
        <v>241</v>
      </c>
      <c r="E944" s="64" t="s">
        <v>242</v>
      </c>
      <c r="F944" s="63">
        <v>1500.0</v>
      </c>
      <c r="G944" s="63">
        <v>25.1</v>
      </c>
      <c r="H944" s="66">
        <f t="shared" si="1"/>
        <v>52.57</v>
      </c>
      <c r="I944" s="81">
        <f>IFERROR(__xludf.DUMMYFUNCTION("IF(G944="""", """", ROUND(G944 / MAX(FILTER($G$2:$G5067, $D$2:$D5067=$D944)) * 100, 2))"),82.03)</f>
        <v>82.03</v>
      </c>
      <c r="J944" s="81">
        <f>IFERROR(__xludf.DUMMYFUNCTION("IF(H944="""", """", ROUND(H944 / MAX(FILTER($H$2:$H5067, $D$2:$D5067=$D944)) * 100, 2))"),21.09)</f>
        <v>21.09</v>
      </c>
      <c r="K944" s="2"/>
      <c r="L944" s="49"/>
      <c r="M944" s="49"/>
      <c r="N944" s="49"/>
      <c r="O944" s="49" t="str">
        <f t="shared" si="2"/>
        <v/>
      </c>
      <c r="P944" s="49" t="str">
        <f t="shared" si="3"/>
        <v/>
      </c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</row>
    <row r="945">
      <c r="A945" s="69">
        <v>64.0</v>
      </c>
      <c r="B945" s="69">
        <v>95.0</v>
      </c>
      <c r="C945" s="86" t="s">
        <v>240</v>
      </c>
      <c r="D945" s="86" t="s">
        <v>241</v>
      </c>
      <c r="E945" s="86" t="s">
        <v>242</v>
      </c>
      <c r="F945" s="69">
        <v>2000.0</v>
      </c>
      <c r="G945" s="69">
        <v>25.9</v>
      </c>
      <c r="H945" s="68">
        <f t="shared" si="1"/>
        <v>72.33</v>
      </c>
      <c r="I945" s="81">
        <f>IFERROR(__xludf.DUMMYFUNCTION("IF(G945="""", """", ROUND(G945 / MAX(FILTER($G$2:$G5067, $D$2:$D5067=$D945)) * 100, 2))"),84.64)</f>
        <v>84.64</v>
      </c>
      <c r="J945" s="81">
        <f>IFERROR(__xludf.DUMMYFUNCTION("IF(H945="""", """", ROUND(H945 / MAX(FILTER($H$2:$H5067, $D$2:$D5067=$D945)) * 100, 2))"),29.01)</f>
        <v>29.01</v>
      </c>
      <c r="K945" s="2"/>
      <c r="L945" s="48"/>
      <c r="M945" s="48"/>
      <c r="N945" s="48"/>
      <c r="O945" s="48" t="str">
        <f t="shared" si="2"/>
        <v/>
      </c>
      <c r="P945" s="48" t="str">
        <f t="shared" si="3"/>
        <v/>
      </c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</row>
    <row r="946">
      <c r="A946" s="63">
        <v>64.0</v>
      </c>
      <c r="B946" s="63">
        <v>95.0</v>
      </c>
      <c r="C946" s="64" t="s">
        <v>240</v>
      </c>
      <c r="D946" s="64" t="s">
        <v>241</v>
      </c>
      <c r="E946" s="64" t="s">
        <v>242</v>
      </c>
      <c r="F946" s="63">
        <v>2600.0</v>
      </c>
      <c r="G946" s="63">
        <v>26.8</v>
      </c>
      <c r="H946" s="66">
        <f t="shared" si="1"/>
        <v>97.29</v>
      </c>
      <c r="I946" s="81">
        <f>IFERROR(__xludf.DUMMYFUNCTION("IF(G946="""", """", ROUND(G946 / MAX(FILTER($G$2:$G5067, $D$2:$D5067=$D946)) * 100, 2))"),87.58)</f>
        <v>87.58</v>
      </c>
      <c r="J946" s="81">
        <f>IFERROR(__xludf.DUMMYFUNCTION("IF(H946="""", """", ROUND(H946 / MAX(FILTER($H$2:$H5067, $D$2:$D5067=$D946)) * 100, 2))"),39.02)</f>
        <v>39.02</v>
      </c>
      <c r="K946" s="2"/>
      <c r="L946" s="49"/>
      <c r="M946" s="49"/>
      <c r="N946" s="49"/>
      <c r="O946" s="49" t="str">
        <f t="shared" si="2"/>
        <v/>
      </c>
      <c r="P946" s="49" t="str">
        <f t="shared" si="3"/>
        <v/>
      </c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</row>
    <row r="947">
      <c r="A947" s="69">
        <v>64.0</v>
      </c>
      <c r="B947" s="69">
        <v>95.0</v>
      </c>
      <c r="C947" s="86" t="s">
        <v>240</v>
      </c>
      <c r="D947" s="86" t="s">
        <v>241</v>
      </c>
      <c r="E947" s="86" t="s">
        <v>242</v>
      </c>
      <c r="F947" s="69">
        <v>3200.0</v>
      </c>
      <c r="G947" s="69">
        <v>27.9</v>
      </c>
      <c r="H947" s="68">
        <f t="shared" si="1"/>
        <v>124.66</v>
      </c>
      <c r="I947" s="81">
        <f>IFERROR(__xludf.DUMMYFUNCTION("IF(G947="""", """", ROUND(G947 / MAX(FILTER($G$2:$G5067, $D$2:$D5067=$D947)) * 100, 2))"),91.18)</f>
        <v>91.18</v>
      </c>
      <c r="J947" s="81">
        <f>IFERROR(__xludf.DUMMYFUNCTION("IF(H947="""", """", ROUND(H947 / MAX(FILTER($H$2:$H5067, $D$2:$D5067=$D947)) * 100, 2))"),50.0)</f>
        <v>50</v>
      </c>
      <c r="K947" s="2"/>
      <c r="L947" s="48"/>
      <c r="M947" s="48"/>
      <c r="N947" s="48"/>
      <c r="O947" s="48" t="str">
        <f t="shared" si="2"/>
        <v/>
      </c>
      <c r="P947" s="48" t="str">
        <f t="shared" si="3"/>
        <v/>
      </c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</row>
    <row r="948">
      <c r="A948" s="63">
        <v>64.0</v>
      </c>
      <c r="B948" s="63">
        <v>95.0</v>
      </c>
      <c r="C948" s="64" t="s">
        <v>240</v>
      </c>
      <c r="D948" s="64" t="s">
        <v>241</v>
      </c>
      <c r="E948" s="64" t="s">
        <v>242</v>
      </c>
      <c r="F948" s="63">
        <v>3800.0</v>
      </c>
      <c r="G948" s="63">
        <v>29.3</v>
      </c>
      <c r="H948" s="66">
        <f t="shared" si="1"/>
        <v>155.46</v>
      </c>
      <c r="I948" s="81">
        <f>IFERROR(__xludf.DUMMYFUNCTION("IF(G948="""", """", ROUND(G948 / MAX(FILTER($G$2:$G5067, $D$2:$D5067=$D948)) * 100, 2))"),95.75)</f>
        <v>95.75</v>
      </c>
      <c r="J948" s="81">
        <f>IFERROR(__xludf.DUMMYFUNCTION("IF(H948="""", """", ROUND(H948 / MAX(FILTER($H$2:$H5067, $D$2:$D5067=$D948)) * 100, 2))"),62.35)</f>
        <v>62.35</v>
      </c>
      <c r="K948" s="2"/>
      <c r="L948" s="49"/>
      <c r="M948" s="49"/>
      <c r="N948" s="49"/>
      <c r="O948" s="49" t="str">
        <f t="shared" si="2"/>
        <v/>
      </c>
      <c r="P948" s="49" t="str">
        <f t="shared" si="3"/>
        <v/>
      </c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</row>
    <row r="949">
      <c r="A949" s="69">
        <v>64.0</v>
      </c>
      <c r="B949" s="69">
        <v>95.0</v>
      </c>
      <c r="C949" s="86" t="s">
        <v>240</v>
      </c>
      <c r="D949" s="86" t="s">
        <v>241</v>
      </c>
      <c r="E949" s="86" t="s">
        <v>242</v>
      </c>
      <c r="F949" s="69">
        <v>4300.0</v>
      </c>
      <c r="G949" s="69">
        <v>30.1</v>
      </c>
      <c r="H949" s="68">
        <f t="shared" si="1"/>
        <v>180.72</v>
      </c>
      <c r="I949" s="81">
        <f>IFERROR(__xludf.DUMMYFUNCTION("IF(G949="""", """", ROUND(G949 / MAX(FILTER($G$2:$G5067, $D$2:$D5067=$D949)) * 100, 2))"),98.37)</f>
        <v>98.37</v>
      </c>
      <c r="J949" s="81">
        <f>IFERROR(__xludf.DUMMYFUNCTION("IF(H949="""", """", ROUND(H949 / MAX(FILTER($H$2:$H5067, $D$2:$D5067=$D949)) * 100, 2))"),72.49)</f>
        <v>72.49</v>
      </c>
      <c r="K949" s="2"/>
      <c r="L949" s="48"/>
      <c r="M949" s="48"/>
      <c r="N949" s="48"/>
      <c r="O949" s="48" t="str">
        <f t="shared" si="2"/>
        <v/>
      </c>
      <c r="P949" s="48" t="str">
        <f t="shared" si="3"/>
        <v/>
      </c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</row>
    <row r="950">
      <c r="A950" s="63">
        <v>64.0</v>
      </c>
      <c r="B950" s="63">
        <v>95.0</v>
      </c>
      <c r="C950" s="64" t="s">
        <v>240</v>
      </c>
      <c r="D950" s="64" t="s">
        <v>241</v>
      </c>
      <c r="E950" s="64" t="s">
        <v>242</v>
      </c>
      <c r="F950" s="63">
        <v>4800.0</v>
      </c>
      <c r="G950" s="63">
        <v>30.6</v>
      </c>
      <c r="H950" s="66">
        <f t="shared" si="1"/>
        <v>205.08</v>
      </c>
      <c r="I950" s="81">
        <f>IFERROR(__xludf.DUMMYFUNCTION("IF(G950="""", """", ROUND(G950 / MAX(FILTER($G$2:$G5067, $D$2:$D5067=$D950)) * 100, 2))"),100.0)</f>
        <v>100</v>
      </c>
      <c r="J950" s="81">
        <f>IFERROR(__xludf.DUMMYFUNCTION("IF(H950="""", """", ROUND(H950 / MAX(FILTER($H$2:$H5067, $D$2:$D5067=$D950)) * 100, 2))"),82.26)</f>
        <v>82.26</v>
      </c>
      <c r="K950" s="2"/>
      <c r="L950" s="49"/>
      <c r="M950" s="49"/>
      <c r="N950" s="49"/>
      <c r="O950" s="49" t="str">
        <f t="shared" si="2"/>
        <v/>
      </c>
      <c r="P950" s="49" t="str">
        <f t="shared" si="3"/>
        <v/>
      </c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</row>
    <row r="951">
      <c r="A951" s="69">
        <v>64.0</v>
      </c>
      <c r="B951" s="69">
        <v>95.0</v>
      </c>
      <c r="C951" s="86" t="s">
        <v>240</v>
      </c>
      <c r="D951" s="86" t="s">
        <v>241</v>
      </c>
      <c r="E951" s="86" t="s">
        <v>242</v>
      </c>
      <c r="F951" s="69">
        <v>5100.0</v>
      </c>
      <c r="G951" s="69">
        <v>30.5</v>
      </c>
      <c r="H951" s="68">
        <f t="shared" si="1"/>
        <v>217.19</v>
      </c>
      <c r="I951" s="81">
        <f>IFERROR(__xludf.DUMMYFUNCTION("IF(G951="""", """", ROUND(G951 / MAX(FILTER($G$2:$G5067, $D$2:$D5067=$D951)) * 100, 2))"),99.67)</f>
        <v>99.67</v>
      </c>
      <c r="J951" s="81">
        <f>IFERROR(__xludf.DUMMYFUNCTION("IF(H951="""", """", ROUND(H951 / MAX(FILTER($H$2:$H5067, $D$2:$D5067=$D951)) * 100, 2))"),87.11)</f>
        <v>87.11</v>
      </c>
      <c r="K951" s="2"/>
      <c r="L951" s="48"/>
      <c r="M951" s="48"/>
      <c r="N951" s="48"/>
      <c r="O951" s="48" t="str">
        <f t="shared" si="2"/>
        <v/>
      </c>
      <c r="P951" s="48" t="str">
        <f t="shared" si="3"/>
        <v/>
      </c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</row>
    <row r="952">
      <c r="A952" s="63">
        <v>64.0</v>
      </c>
      <c r="B952" s="63">
        <v>95.0</v>
      </c>
      <c r="C952" s="64" t="s">
        <v>240</v>
      </c>
      <c r="D952" s="64" t="s">
        <v>241</v>
      </c>
      <c r="E952" s="64" t="s">
        <v>242</v>
      </c>
      <c r="F952" s="63">
        <v>5400.0</v>
      </c>
      <c r="G952" s="63">
        <v>30.2</v>
      </c>
      <c r="H952" s="66">
        <f t="shared" si="1"/>
        <v>227.7</v>
      </c>
      <c r="I952" s="81">
        <f>IFERROR(__xludf.DUMMYFUNCTION("IF(G952="""", """", ROUND(G952 / MAX(FILTER($G$2:$G5067, $D$2:$D5067=$D952)) * 100, 2))"),98.69)</f>
        <v>98.69</v>
      </c>
      <c r="J952" s="81">
        <f>IFERROR(__xludf.DUMMYFUNCTION("IF(H952="""", """", ROUND(H952 / MAX(FILTER($H$2:$H5067, $D$2:$D5067=$D952)) * 100, 2))"),91.33)</f>
        <v>91.33</v>
      </c>
      <c r="K952" s="2"/>
      <c r="L952" s="49"/>
      <c r="M952" s="49"/>
      <c r="N952" s="49"/>
      <c r="O952" s="49" t="str">
        <f t="shared" si="2"/>
        <v/>
      </c>
      <c r="P952" s="49" t="str">
        <f t="shared" si="3"/>
        <v/>
      </c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</row>
    <row r="953">
      <c r="A953" s="69">
        <v>64.0</v>
      </c>
      <c r="B953" s="69">
        <v>95.0</v>
      </c>
      <c r="C953" s="86" t="s">
        <v>240</v>
      </c>
      <c r="D953" s="86" t="s">
        <v>241</v>
      </c>
      <c r="E953" s="86" t="s">
        <v>242</v>
      </c>
      <c r="F953" s="69">
        <v>6200.0</v>
      </c>
      <c r="G953" s="69">
        <v>28.8</v>
      </c>
      <c r="H953" s="68">
        <f t="shared" si="1"/>
        <v>249.32</v>
      </c>
      <c r="I953" s="81">
        <f>IFERROR(__xludf.DUMMYFUNCTION("IF(G953="""", """", ROUND(G953 / MAX(FILTER($G$2:$G5067, $D$2:$D5067=$D953)) * 100, 2))"),94.12)</f>
        <v>94.12</v>
      </c>
      <c r="J953" s="81">
        <f>IFERROR(__xludf.DUMMYFUNCTION("IF(H953="""", """", ROUND(H953 / MAX(FILTER($H$2:$H5067, $D$2:$D5067=$D953)) * 100, 2))"),100.0)</f>
        <v>100</v>
      </c>
      <c r="K953" s="2"/>
      <c r="L953" s="48"/>
      <c r="M953" s="48"/>
      <c r="N953" s="48"/>
      <c r="O953" s="48" t="str">
        <f t="shared" si="2"/>
        <v/>
      </c>
      <c r="P953" s="48" t="str">
        <f t="shared" si="3"/>
        <v/>
      </c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</row>
    <row r="954">
      <c r="A954" s="63">
        <v>64.0</v>
      </c>
      <c r="B954" s="63">
        <v>95.0</v>
      </c>
      <c r="C954" s="64" t="s">
        <v>240</v>
      </c>
      <c r="D954" s="64" t="s">
        <v>241</v>
      </c>
      <c r="E954" s="64" t="s">
        <v>242</v>
      </c>
      <c r="F954" s="63">
        <v>6500.0</v>
      </c>
      <c r="G954" s="63">
        <v>27.3</v>
      </c>
      <c r="H954" s="66">
        <f t="shared" si="1"/>
        <v>247.77</v>
      </c>
      <c r="I954" s="81">
        <f>IFERROR(__xludf.DUMMYFUNCTION("IF(G954="""", """", ROUND(G954 / MAX(FILTER($G$2:$G5067, $D$2:$D5067=$D954)) * 100, 2))"),89.22)</f>
        <v>89.22</v>
      </c>
      <c r="J954" s="81">
        <f>IFERROR(__xludf.DUMMYFUNCTION("IF(H954="""", """", ROUND(H954 / MAX(FILTER($H$2:$H5067, $D$2:$D5067=$D954)) * 100, 2))"),99.38)</f>
        <v>99.38</v>
      </c>
      <c r="K954" s="2"/>
      <c r="L954" s="49"/>
      <c r="M954" s="49"/>
      <c r="N954" s="49"/>
      <c r="O954" s="49" t="str">
        <f t="shared" si="2"/>
        <v/>
      </c>
      <c r="P954" s="49" t="str">
        <f t="shared" si="3"/>
        <v/>
      </c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</row>
    <row r="955">
      <c r="A955" s="69">
        <v>64.0</v>
      </c>
      <c r="B955" s="69">
        <v>95.0</v>
      </c>
      <c r="C955" s="86" t="s">
        <v>240</v>
      </c>
      <c r="D955" s="86" t="s">
        <v>241</v>
      </c>
      <c r="E955" s="86" t="s">
        <v>242</v>
      </c>
      <c r="F955" s="69">
        <v>7000.0</v>
      </c>
      <c r="G955" s="69">
        <v>24.0</v>
      </c>
      <c r="H955" s="68">
        <f t="shared" si="1"/>
        <v>234.57</v>
      </c>
      <c r="I955" s="81">
        <f>IFERROR(__xludf.DUMMYFUNCTION("IF(G955="""", """", ROUND(G955 / MAX(FILTER($G$2:$G5067, $D$2:$D5067=$D955)) * 100, 2))"),78.43)</f>
        <v>78.43</v>
      </c>
      <c r="J955" s="81">
        <f>IFERROR(__xludf.DUMMYFUNCTION("IF(H955="""", """", ROUND(H955 / MAX(FILTER($H$2:$H5067, $D$2:$D5067=$D955)) * 100, 2))"),94.08)</f>
        <v>94.08</v>
      </c>
      <c r="K955" s="2"/>
      <c r="L955" s="48"/>
      <c r="M955" s="48"/>
      <c r="N955" s="48"/>
      <c r="O955" s="48" t="str">
        <f t="shared" si="2"/>
        <v/>
      </c>
      <c r="P955" s="48" t="str">
        <f t="shared" si="3"/>
        <v/>
      </c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</row>
    <row r="956">
      <c r="A956" s="63">
        <v>64.0</v>
      </c>
      <c r="B956" s="63">
        <v>95.0</v>
      </c>
      <c r="C956" s="64" t="s">
        <v>240</v>
      </c>
      <c r="D956" s="64" t="s">
        <v>241</v>
      </c>
      <c r="E956" s="64" t="s">
        <v>242</v>
      </c>
      <c r="F956" s="63">
        <v>7500.0</v>
      </c>
      <c r="G956" s="63">
        <v>16.6</v>
      </c>
      <c r="H956" s="66">
        <f t="shared" si="1"/>
        <v>173.83</v>
      </c>
      <c r="I956" s="81">
        <f>IFERROR(__xludf.DUMMYFUNCTION("IF(G956="""", """", ROUND(G956 / MAX(FILTER($G$2:$G5067, $D$2:$D5067=$D956)) * 100, 2))"),54.25)</f>
        <v>54.25</v>
      </c>
      <c r="J956" s="81">
        <f>IFERROR(__xludf.DUMMYFUNCTION("IF(H956="""", """", ROUND(H956 / MAX(FILTER($H$2:$H5067, $D$2:$D5067=$D956)) * 100, 2))"),69.72)</f>
        <v>69.72</v>
      </c>
      <c r="K956" s="2"/>
      <c r="L956" s="49"/>
      <c r="M956" s="49"/>
      <c r="N956" s="49"/>
      <c r="O956" s="49" t="str">
        <f t="shared" si="2"/>
        <v/>
      </c>
      <c r="P956" s="49" t="str">
        <f t="shared" si="3"/>
        <v/>
      </c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</row>
    <row r="957">
      <c r="A957" s="69">
        <v>65.0</v>
      </c>
      <c r="B957" s="69">
        <v>97.0</v>
      </c>
      <c r="C957" s="86" t="s">
        <v>243</v>
      </c>
      <c r="D957" s="86" t="s">
        <v>244</v>
      </c>
      <c r="E957" s="86" t="s">
        <v>245</v>
      </c>
      <c r="F957" s="69">
        <v>500.0</v>
      </c>
      <c r="G957" s="69">
        <v>22.2</v>
      </c>
      <c r="H957" s="68">
        <f t="shared" si="1"/>
        <v>15.5</v>
      </c>
      <c r="I957" s="81">
        <f>IFERROR(__xludf.DUMMYFUNCTION("IF(G957="""", """", ROUND(G957 / MAX(FILTER($G$2:$G5067, $D$2:$D5067=$D957)) * 100, 2))"),75.51)</f>
        <v>75.51</v>
      </c>
      <c r="J957" s="81">
        <f>IFERROR(__xludf.DUMMYFUNCTION("IF(H957="""", """", ROUND(H957 / MAX(FILTER($H$2:$H5067, $D$2:$D5067=$D957)) * 100, 2))"),6.46)</f>
        <v>6.46</v>
      </c>
      <c r="K957" s="2"/>
      <c r="L957" s="48"/>
      <c r="M957" s="48"/>
      <c r="N957" s="48"/>
      <c r="O957" s="48" t="str">
        <f t="shared" si="2"/>
        <v/>
      </c>
      <c r="P957" s="48" t="str">
        <f t="shared" si="3"/>
        <v/>
      </c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</row>
    <row r="958">
      <c r="A958" s="63">
        <v>65.0</v>
      </c>
      <c r="B958" s="63">
        <v>97.0</v>
      </c>
      <c r="C958" s="64" t="s">
        <v>243</v>
      </c>
      <c r="D958" s="64" t="s">
        <v>244</v>
      </c>
      <c r="E958" s="64" t="s">
        <v>245</v>
      </c>
      <c r="F958" s="63">
        <v>1000.0</v>
      </c>
      <c r="G958" s="63">
        <v>24.15</v>
      </c>
      <c r="H958" s="66">
        <f t="shared" si="1"/>
        <v>33.72</v>
      </c>
      <c r="I958" s="81">
        <f>IFERROR(__xludf.DUMMYFUNCTION("IF(G958="""", """", ROUND(G958 / MAX(FILTER($G$2:$G5067, $D$2:$D5067=$D958)) * 100, 2))"),82.14)</f>
        <v>82.14</v>
      </c>
      <c r="J958" s="81">
        <f>IFERROR(__xludf.DUMMYFUNCTION("IF(H958="""", """", ROUND(H958 / MAX(FILTER($H$2:$H5067, $D$2:$D5067=$D958)) * 100, 2))"),14.06)</f>
        <v>14.06</v>
      </c>
      <c r="K958" s="2"/>
      <c r="L958" s="49"/>
      <c r="M958" s="49"/>
      <c r="N958" s="49"/>
      <c r="O958" s="49" t="str">
        <f t="shared" si="2"/>
        <v/>
      </c>
      <c r="P958" s="49" t="str">
        <f t="shared" si="3"/>
        <v/>
      </c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</row>
    <row r="959">
      <c r="A959" s="69">
        <v>65.0</v>
      </c>
      <c r="B959" s="69">
        <v>97.0</v>
      </c>
      <c r="C959" s="86" t="s">
        <v>243</v>
      </c>
      <c r="D959" s="86" t="s">
        <v>244</v>
      </c>
      <c r="E959" s="86" t="s">
        <v>245</v>
      </c>
      <c r="F959" s="69">
        <v>1500.0</v>
      </c>
      <c r="G959" s="69">
        <v>25.43</v>
      </c>
      <c r="H959" s="68">
        <f t="shared" si="1"/>
        <v>53.26</v>
      </c>
      <c r="I959" s="81">
        <f>IFERROR(__xludf.DUMMYFUNCTION("IF(G959="""", """", ROUND(G959 / MAX(FILTER($G$2:$G5067, $D$2:$D5067=$D959)) * 100, 2))"),86.5)</f>
        <v>86.5</v>
      </c>
      <c r="J959" s="81">
        <f>IFERROR(__xludf.DUMMYFUNCTION("IF(H959="""", """", ROUND(H959 / MAX(FILTER($H$2:$H5067, $D$2:$D5067=$D959)) * 100, 2))"),22.21)</f>
        <v>22.21</v>
      </c>
      <c r="K959" s="2"/>
      <c r="L959" s="48"/>
      <c r="M959" s="48"/>
      <c r="N959" s="48"/>
      <c r="O959" s="48" t="str">
        <f t="shared" si="2"/>
        <v/>
      </c>
      <c r="P959" s="48" t="str">
        <f t="shared" si="3"/>
        <v/>
      </c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</row>
    <row r="960">
      <c r="A960" s="63">
        <v>65.0</v>
      </c>
      <c r="B960" s="63">
        <v>97.0</v>
      </c>
      <c r="C960" s="64" t="s">
        <v>243</v>
      </c>
      <c r="D960" s="64" t="s">
        <v>244</v>
      </c>
      <c r="E960" s="64" t="s">
        <v>245</v>
      </c>
      <c r="F960" s="63">
        <v>2000.0</v>
      </c>
      <c r="G960" s="63">
        <v>26.25</v>
      </c>
      <c r="H960" s="66">
        <f t="shared" si="1"/>
        <v>73.3</v>
      </c>
      <c r="I960" s="81">
        <f>IFERROR(__xludf.DUMMYFUNCTION("IF(G960="""", """", ROUND(G960 / MAX(FILTER($G$2:$G5067, $D$2:$D5067=$D960)) * 100, 2))"),89.29)</f>
        <v>89.29</v>
      </c>
      <c r="J960" s="81">
        <f>IFERROR(__xludf.DUMMYFUNCTION("IF(H960="""", """", ROUND(H960 / MAX(FILTER($H$2:$H5067, $D$2:$D5067=$D960)) * 100, 2))"),30.57)</f>
        <v>30.57</v>
      </c>
      <c r="K960" s="2"/>
      <c r="L960" s="49"/>
      <c r="M960" s="49"/>
      <c r="N960" s="49"/>
      <c r="O960" s="49" t="str">
        <f t="shared" si="2"/>
        <v/>
      </c>
      <c r="P960" s="49" t="str">
        <f t="shared" si="3"/>
        <v/>
      </c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</row>
    <row r="961">
      <c r="A961" s="69">
        <v>65.0</v>
      </c>
      <c r="B961" s="69">
        <v>97.0</v>
      </c>
      <c r="C961" s="86" t="s">
        <v>243</v>
      </c>
      <c r="D961" s="86" t="s">
        <v>244</v>
      </c>
      <c r="E961" s="86" t="s">
        <v>245</v>
      </c>
      <c r="F961" s="69">
        <v>2500.0</v>
      </c>
      <c r="G961" s="69">
        <v>26.85</v>
      </c>
      <c r="H961" s="68">
        <f t="shared" si="1"/>
        <v>93.72</v>
      </c>
      <c r="I961" s="81">
        <f>IFERROR(__xludf.DUMMYFUNCTION("IF(G961="""", """", ROUND(G961 / MAX(FILTER($G$2:$G5067, $D$2:$D5067=$D961)) * 100, 2))"),91.33)</f>
        <v>91.33</v>
      </c>
      <c r="J961" s="81">
        <f>IFERROR(__xludf.DUMMYFUNCTION("IF(H961="""", """", ROUND(H961 / MAX(FILTER($H$2:$H5067, $D$2:$D5067=$D961)) * 100, 2))"),39.08)</f>
        <v>39.08</v>
      </c>
      <c r="K961" s="2"/>
      <c r="L961" s="48"/>
      <c r="M961" s="48"/>
      <c r="N961" s="48"/>
      <c r="O961" s="48" t="str">
        <f t="shared" si="2"/>
        <v/>
      </c>
      <c r="P961" s="48" t="str">
        <f t="shared" si="3"/>
        <v/>
      </c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</row>
    <row r="962">
      <c r="A962" s="63">
        <v>65.0</v>
      </c>
      <c r="B962" s="63">
        <v>97.0</v>
      </c>
      <c r="C962" s="64" t="s">
        <v>243</v>
      </c>
      <c r="D962" s="64" t="s">
        <v>244</v>
      </c>
      <c r="E962" s="64" t="s">
        <v>245</v>
      </c>
      <c r="F962" s="63">
        <v>3000.0</v>
      </c>
      <c r="G962" s="63">
        <v>27.23</v>
      </c>
      <c r="H962" s="66">
        <f t="shared" si="1"/>
        <v>114.06</v>
      </c>
      <c r="I962" s="81">
        <f>IFERROR(__xludf.DUMMYFUNCTION("IF(G962="""", """", ROUND(G962 / MAX(FILTER($G$2:$G5067, $D$2:$D5067=$D962)) * 100, 2))"),92.62)</f>
        <v>92.62</v>
      </c>
      <c r="J962" s="81">
        <f>IFERROR(__xludf.DUMMYFUNCTION("IF(H962="""", """", ROUND(H962 / MAX(FILTER($H$2:$H5067, $D$2:$D5067=$D962)) * 100, 2))"),47.57)</f>
        <v>47.57</v>
      </c>
      <c r="K962" s="2"/>
      <c r="L962" s="49"/>
      <c r="M962" s="49"/>
      <c r="N962" s="49"/>
      <c r="O962" s="49" t="str">
        <f t="shared" si="2"/>
        <v/>
      </c>
      <c r="P962" s="49" t="str">
        <f t="shared" si="3"/>
        <v/>
      </c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</row>
    <row r="963">
      <c r="A963" s="69">
        <v>65.0</v>
      </c>
      <c r="B963" s="69">
        <v>97.0</v>
      </c>
      <c r="C963" s="86" t="s">
        <v>243</v>
      </c>
      <c r="D963" s="86" t="s">
        <v>244</v>
      </c>
      <c r="E963" s="86" t="s">
        <v>245</v>
      </c>
      <c r="F963" s="69">
        <v>3500.0</v>
      </c>
      <c r="G963" s="69">
        <v>27.68</v>
      </c>
      <c r="H963" s="68">
        <f t="shared" si="1"/>
        <v>135.27</v>
      </c>
      <c r="I963" s="81">
        <f>IFERROR(__xludf.DUMMYFUNCTION("IF(G963="""", """", ROUND(G963 / MAX(FILTER($G$2:$G5067, $D$2:$D5067=$D963)) * 100, 2))"),94.15)</f>
        <v>94.15</v>
      </c>
      <c r="J963" s="81">
        <f>IFERROR(__xludf.DUMMYFUNCTION("IF(H963="""", """", ROUND(H963 / MAX(FILTER($H$2:$H5067, $D$2:$D5067=$D963)) * 100, 2))"),56.41)</f>
        <v>56.41</v>
      </c>
      <c r="K963" s="2"/>
      <c r="L963" s="48"/>
      <c r="M963" s="48"/>
      <c r="N963" s="48"/>
      <c r="O963" s="48" t="str">
        <f t="shared" si="2"/>
        <v/>
      </c>
      <c r="P963" s="48" t="str">
        <f t="shared" si="3"/>
        <v/>
      </c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</row>
    <row r="964">
      <c r="A964" s="63">
        <v>65.0</v>
      </c>
      <c r="B964" s="63">
        <v>97.0</v>
      </c>
      <c r="C964" s="64" t="s">
        <v>243</v>
      </c>
      <c r="D964" s="64" t="s">
        <v>244</v>
      </c>
      <c r="E964" s="64" t="s">
        <v>245</v>
      </c>
      <c r="F964" s="63">
        <v>4100.0</v>
      </c>
      <c r="G964" s="63">
        <v>28.8</v>
      </c>
      <c r="H964" s="66">
        <f t="shared" si="1"/>
        <v>164.87</v>
      </c>
      <c r="I964" s="81">
        <f>IFERROR(__xludf.DUMMYFUNCTION("IF(G964="""", """", ROUND(G964 / MAX(FILTER($G$2:$G5067, $D$2:$D5067=$D964)) * 100, 2))"),97.96)</f>
        <v>97.96</v>
      </c>
      <c r="J964" s="81">
        <f>IFERROR(__xludf.DUMMYFUNCTION("IF(H964="""", """", ROUND(H964 / MAX(FILTER($H$2:$H5067, $D$2:$D5067=$D964)) * 100, 2))"),68.76)</f>
        <v>68.76</v>
      </c>
      <c r="K964" s="2"/>
      <c r="L964" s="49"/>
      <c r="M964" s="49"/>
      <c r="N964" s="49"/>
      <c r="O964" s="49" t="str">
        <f t="shared" si="2"/>
        <v/>
      </c>
      <c r="P964" s="49" t="str">
        <f t="shared" si="3"/>
        <v/>
      </c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</row>
    <row r="965">
      <c r="A965" s="69">
        <v>65.0</v>
      </c>
      <c r="B965" s="69">
        <v>97.0</v>
      </c>
      <c r="C965" s="86" t="s">
        <v>243</v>
      </c>
      <c r="D965" s="86" t="s">
        <v>244</v>
      </c>
      <c r="E965" s="86" t="s">
        <v>245</v>
      </c>
      <c r="F965" s="69">
        <v>4800.0</v>
      </c>
      <c r="G965" s="69">
        <v>29.4</v>
      </c>
      <c r="H965" s="68">
        <f t="shared" si="1"/>
        <v>197.04</v>
      </c>
      <c r="I965" s="81">
        <f>IFERROR(__xludf.DUMMYFUNCTION("IF(G965="""", """", ROUND(G965 / MAX(FILTER($G$2:$G5067, $D$2:$D5067=$D965)) * 100, 2))"),100.0)</f>
        <v>100</v>
      </c>
      <c r="J965" s="81">
        <f>IFERROR(__xludf.DUMMYFUNCTION("IF(H965="""", """", ROUND(H965 / MAX(FILTER($H$2:$H5067, $D$2:$D5067=$D965)) * 100, 2))"),82.17)</f>
        <v>82.17</v>
      </c>
      <c r="K965" s="2"/>
      <c r="L965" s="48"/>
      <c r="M965" s="48"/>
      <c r="N965" s="48"/>
      <c r="O965" s="48" t="str">
        <f t="shared" si="2"/>
        <v/>
      </c>
      <c r="P965" s="48" t="str">
        <f t="shared" si="3"/>
        <v/>
      </c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</row>
    <row r="966">
      <c r="A966" s="63">
        <v>65.0</v>
      </c>
      <c r="B966" s="63">
        <v>97.0</v>
      </c>
      <c r="C966" s="64" t="s">
        <v>243</v>
      </c>
      <c r="D966" s="64" t="s">
        <v>244</v>
      </c>
      <c r="E966" s="64" t="s">
        <v>245</v>
      </c>
      <c r="F966" s="63">
        <v>5100.0</v>
      </c>
      <c r="G966" s="63">
        <v>29.33</v>
      </c>
      <c r="H966" s="66">
        <f t="shared" si="1"/>
        <v>208.86</v>
      </c>
      <c r="I966" s="81">
        <f>IFERROR(__xludf.DUMMYFUNCTION("IF(G966="""", """", ROUND(G966 / MAX(FILTER($G$2:$G5067, $D$2:$D5067=$D966)) * 100, 2))"),99.76)</f>
        <v>99.76</v>
      </c>
      <c r="J966" s="81">
        <f>IFERROR(__xludf.DUMMYFUNCTION("IF(H966="""", """", ROUND(H966 / MAX(FILTER($H$2:$H5067, $D$2:$D5067=$D966)) * 100, 2))"),87.1)</f>
        <v>87.1</v>
      </c>
      <c r="K966" s="2"/>
      <c r="L966" s="49"/>
      <c r="M966" s="49"/>
      <c r="N966" s="49"/>
      <c r="O966" s="49" t="str">
        <f t="shared" si="2"/>
        <v/>
      </c>
      <c r="P966" s="49" t="str">
        <f t="shared" si="3"/>
        <v/>
      </c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</row>
    <row r="967">
      <c r="A967" s="69">
        <v>65.0</v>
      </c>
      <c r="B967" s="69">
        <v>97.0</v>
      </c>
      <c r="C967" s="86" t="s">
        <v>243</v>
      </c>
      <c r="D967" s="86" t="s">
        <v>244</v>
      </c>
      <c r="E967" s="86" t="s">
        <v>245</v>
      </c>
      <c r="F967" s="69">
        <v>5600.0</v>
      </c>
      <c r="G967" s="69">
        <v>29.03</v>
      </c>
      <c r="H967" s="68">
        <f t="shared" si="1"/>
        <v>226.99</v>
      </c>
      <c r="I967" s="81">
        <f>IFERROR(__xludf.DUMMYFUNCTION("IF(G967="""", """", ROUND(G967 / MAX(FILTER($G$2:$G5067, $D$2:$D5067=$D967)) * 100, 2))"),98.74)</f>
        <v>98.74</v>
      </c>
      <c r="J967" s="81">
        <f>IFERROR(__xludf.DUMMYFUNCTION("IF(H967="""", """", ROUND(H967 / MAX(FILTER($H$2:$H5067, $D$2:$D5067=$D967)) * 100, 2))"),94.66)</f>
        <v>94.66</v>
      </c>
      <c r="K967" s="2"/>
      <c r="L967" s="48"/>
      <c r="M967" s="48"/>
      <c r="N967" s="48"/>
      <c r="O967" s="48" t="str">
        <f t="shared" si="2"/>
        <v/>
      </c>
      <c r="P967" s="48" t="str">
        <f t="shared" si="3"/>
        <v/>
      </c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</row>
    <row r="968">
      <c r="A968" s="63">
        <v>65.0</v>
      </c>
      <c r="B968" s="63">
        <v>97.0</v>
      </c>
      <c r="C968" s="64" t="s">
        <v>243</v>
      </c>
      <c r="D968" s="64" t="s">
        <v>244</v>
      </c>
      <c r="E968" s="64" t="s">
        <v>245</v>
      </c>
      <c r="F968" s="63">
        <v>6200.0</v>
      </c>
      <c r="G968" s="63">
        <v>27.7</v>
      </c>
      <c r="H968" s="66">
        <f t="shared" si="1"/>
        <v>239.79</v>
      </c>
      <c r="I968" s="81">
        <f>IFERROR(__xludf.DUMMYFUNCTION("IF(G968="""", """", ROUND(G968 / MAX(FILTER($G$2:$G5067, $D$2:$D5067=$D968)) * 100, 2))"),94.22)</f>
        <v>94.22</v>
      </c>
      <c r="J968" s="81">
        <f>IFERROR(__xludf.DUMMYFUNCTION("IF(H968="""", """", ROUND(H968 / MAX(FILTER($H$2:$H5067, $D$2:$D5067=$D968)) * 100, 2))"),100.0)</f>
        <v>100</v>
      </c>
      <c r="K968" s="2"/>
      <c r="L968" s="49"/>
      <c r="M968" s="49"/>
      <c r="N968" s="49"/>
      <c r="O968" s="49" t="str">
        <f t="shared" si="2"/>
        <v/>
      </c>
      <c r="P968" s="49" t="str">
        <f t="shared" si="3"/>
        <v/>
      </c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</row>
    <row r="969">
      <c r="A969" s="69">
        <v>65.0</v>
      </c>
      <c r="B969" s="69">
        <v>97.0</v>
      </c>
      <c r="C969" s="86" t="s">
        <v>243</v>
      </c>
      <c r="D969" s="86" t="s">
        <v>244</v>
      </c>
      <c r="E969" s="86" t="s">
        <v>245</v>
      </c>
      <c r="F969" s="69">
        <v>6600.0</v>
      </c>
      <c r="G969" s="69">
        <v>25.95</v>
      </c>
      <c r="H969" s="68">
        <f t="shared" si="1"/>
        <v>239.14</v>
      </c>
      <c r="I969" s="81">
        <f>IFERROR(__xludf.DUMMYFUNCTION("IF(G969="""", """", ROUND(G969 / MAX(FILTER($G$2:$G5067, $D$2:$D5067=$D969)) * 100, 2))"),88.27)</f>
        <v>88.27</v>
      </c>
      <c r="J969" s="81">
        <f>IFERROR(__xludf.DUMMYFUNCTION("IF(H969="""", """", ROUND(H969 / MAX(FILTER($H$2:$H5067, $D$2:$D5067=$D969)) * 100, 2))"),99.73)</f>
        <v>99.73</v>
      </c>
      <c r="K969" s="2"/>
      <c r="L969" s="48"/>
      <c r="M969" s="48"/>
      <c r="N969" s="48"/>
      <c r="O969" s="48" t="str">
        <f t="shared" si="2"/>
        <v/>
      </c>
      <c r="P969" s="48" t="str">
        <f t="shared" si="3"/>
        <v/>
      </c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</row>
    <row r="970">
      <c r="A970" s="63">
        <v>65.0</v>
      </c>
      <c r="B970" s="63">
        <v>97.0</v>
      </c>
      <c r="C970" s="64" t="s">
        <v>243</v>
      </c>
      <c r="D970" s="64" t="s">
        <v>244</v>
      </c>
      <c r="E970" s="64" t="s">
        <v>245</v>
      </c>
      <c r="F970" s="63">
        <v>7000.0</v>
      </c>
      <c r="G970" s="63">
        <v>24.0</v>
      </c>
      <c r="H970" s="66">
        <f t="shared" si="1"/>
        <v>234.57</v>
      </c>
      <c r="I970" s="81">
        <f>IFERROR(__xludf.DUMMYFUNCTION("IF(G970="""", """", ROUND(G970 / MAX(FILTER($G$2:$G5067, $D$2:$D5067=$D970)) * 100, 2))"),81.63)</f>
        <v>81.63</v>
      </c>
      <c r="J970" s="81">
        <f>IFERROR(__xludf.DUMMYFUNCTION("IF(H970="""", """", ROUND(H970 / MAX(FILTER($H$2:$H5067, $D$2:$D5067=$D970)) * 100, 2))"),97.82)</f>
        <v>97.82</v>
      </c>
      <c r="K970" s="2"/>
      <c r="L970" s="49"/>
      <c r="M970" s="49"/>
      <c r="N970" s="49"/>
      <c r="O970" s="49" t="str">
        <f t="shared" si="2"/>
        <v/>
      </c>
      <c r="P970" s="49" t="str">
        <f t="shared" si="3"/>
        <v/>
      </c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</row>
    <row r="971">
      <c r="A971" s="69">
        <v>65.0</v>
      </c>
      <c r="B971" s="69">
        <v>97.0</v>
      </c>
      <c r="C971" s="86" t="s">
        <v>243</v>
      </c>
      <c r="D971" s="86" t="s">
        <v>244</v>
      </c>
      <c r="E971" s="86" t="s">
        <v>245</v>
      </c>
      <c r="F971" s="69">
        <v>7500.0</v>
      </c>
      <c r="G971" s="69">
        <v>21.08</v>
      </c>
      <c r="H971" s="68">
        <f t="shared" si="1"/>
        <v>220.75</v>
      </c>
      <c r="I971" s="81">
        <f>IFERROR(__xludf.DUMMYFUNCTION("IF(G971="""", """", ROUND(G971 / MAX(FILTER($G$2:$G5067, $D$2:$D5067=$D971)) * 100, 2))"),71.7)</f>
        <v>71.7</v>
      </c>
      <c r="J971" s="81">
        <f>IFERROR(__xludf.DUMMYFUNCTION("IF(H971="""", """", ROUND(H971 / MAX(FILTER($H$2:$H5067, $D$2:$D5067=$D971)) * 100, 2))"),92.06)</f>
        <v>92.06</v>
      </c>
      <c r="K971" s="2"/>
      <c r="L971" s="48"/>
      <c r="M971" s="48"/>
      <c r="N971" s="48"/>
      <c r="O971" s="48" t="str">
        <f t="shared" si="2"/>
        <v/>
      </c>
      <c r="P971" s="48" t="str">
        <f t="shared" si="3"/>
        <v/>
      </c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</row>
    <row r="972">
      <c r="A972" s="63">
        <v>66.0</v>
      </c>
      <c r="B972" s="63">
        <v>98.0</v>
      </c>
      <c r="C972" s="64" t="s">
        <v>246</v>
      </c>
      <c r="D972" s="64" t="s">
        <v>247</v>
      </c>
      <c r="E972" s="64" t="s">
        <v>248</v>
      </c>
      <c r="F972" s="63">
        <v>500.0</v>
      </c>
      <c r="G972" s="63">
        <v>8.84</v>
      </c>
      <c r="H972" s="66">
        <f t="shared" si="1"/>
        <v>6.17</v>
      </c>
      <c r="I972" s="81">
        <f>IFERROR(__xludf.DUMMYFUNCTION("IF(G972="""", """", ROUND(G972 / MAX(FILTER($G$2:$G5067, $D$2:$D5067=$D972)) * 100, 2))"),61.05)</f>
        <v>61.05</v>
      </c>
      <c r="J972" s="81">
        <f>IFERROR(__xludf.DUMMYFUNCTION("IF(H972="""", """", ROUND(H972 / MAX(FILTER($H$2:$H5067, $D$2:$D5067=$D972)) * 100, 2))"),5.19)</f>
        <v>5.19</v>
      </c>
      <c r="K972" s="2"/>
      <c r="L972" s="49"/>
      <c r="M972" s="49"/>
      <c r="N972" s="49"/>
      <c r="O972" s="49" t="str">
        <f t="shared" si="2"/>
        <v/>
      </c>
      <c r="P972" s="49" t="str">
        <f t="shared" si="3"/>
        <v/>
      </c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</row>
    <row r="973">
      <c r="A973" s="69">
        <v>66.0</v>
      </c>
      <c r="B973" s="69">
        <v>98.0</v>
      </c>
      <c r="C973" s="86" t="s">
        <v>246</v>
      </c>
      <c r="D973" s="86" t="s">
        <v>247</v>
      </c>
      <c r="E973" s="86" t="s">
        <v>248</v>
      </c>
      <c r="F973" s="69">
        <v>1000.0</v>
      </c>
      <c r="G973" s="69">
        <v>9.89</v>
      </c>
      <c r="H973" s="68">
        <f t="shared" si="1"/>
        <v>13.81</v>
      </c>
      <c r="I973" s="81">
        <f>IFERROR(__xludf.DUMMYFUNCTION("IF(G973="""", """", ROUND(G973 / MAX(FILTER($G$2:$G5067, $D$2:$D5067=$D973)) * 100, 2))"),68.3)</f>
        <v>68.3</v>
      </c>
      <c r="J973" s="81">
        <f>IFERROR(__xludf.DUMMYFUNCTION("IF(H973="""", """", ROUND(H973 / MAX(FILTER($H$2:$H5067, $D$2:$D5067=$D973)) * 100, 2))"),11.61)</f>
        <v>11.61</v>
      </c>
      <c r="K973" s="2"/>
      <c r="L973" s="48"/>
      <c r="M973" s="48"/>
      <c r="N973" s="48"/>
      <c r="O973" s="48" t="str">
        <f t="shared" si="2"/>
        <v/>
      </c>
      <c r="P973" s="48" t="str">
        <f t="shared" si="3"/>
        <v/>
      </c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</row>
    <row r="974">
      <c r="A974" s="63">
        <v>66.0</v>
      </c>
      <c r="B974" s="63">
        <v>98.0</v>
      </c>
      <c r="C974" s="64" t="s">
        <v>246</v>
      </c>
      <c r="D974" s="64" t="s">
        <v>247</v>
      </c>
      <c r="E974" s="64" t="s">
        <v>248</v>
      </c>
      <c r="F974" s="63">
        <v>1500.0</v>
      </c>
      <c r="G974" s="63">
        <v>10.55</v>
      </c>
      <c r="H974" s="66">
        <f t="shared" si="1"/>
        <v>22.1</v>
      </c>
      <c r="I974" s="81">
        <f>IFERROR(__xludf.DUMMYFUNCTION("IF(G974="""", """", ROUND(G974 / MAX(FILTER($G$2:$G5067, $D$2:$D5067=$D974)) * 100, 2))"),72.86)</f>
        <v>72.86</v>
      </c>
      <c r="J974" s="81">
        <f>IFERROR(__xludf.DUMMYFUNCTION("IF(H974="""", """", ROUND(H974 / MAX(FILTER($H$2:$H5067, $D$2:$D5067=$D974)) * 100, 2))"),18.58)</f>
        <v>18.58</v>
      </c>
      <c r="K974" s="2"/>
      <c r="L974" s="49"/>
      <c r="M974" s="49"/>
      <c r="N974" s="49"/>
      <c r="O974" s="49" t="str">
        <f t="shared" si="2"/>
        <v/>
      </c>
      <c r="P974" s="49" t="str">
        <f t="shared" si="3"/>
        <v/>
      </c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</row>
    <row r="975">
      <c r="A975" s="69">
        <v>66.0</v>
      </c>
      <c r="B975" s="69">
        <v>98.0</v>
      </c>
      <c r="C975" s="86" t="s">
        <v>246</v>
      </c>
      <c r="D975" s="86" t="s">
        <v>247</v>
      </c>
      <c r="E975" s="86" t="s">
        <v>248</v>
      </c>
      <c r="F975" s="69">
        <v>2000.0</v>
      </c>
      <c r="G975" s="69">
        <v>11.22</v>
      </c>
      <c r="H975" s="68">
        <f t="shared" si="1"/>
        <v>31.33</v>
      </c>
      <c r="I975" s="81">
        <f>IFERROR(__xludf.DUMMYFUNCTION("IF(G975="""", """", ROUND(G975 / MAX(FILTER($G$2:$G5067, $D$2:$D5067=$D975)) * 100, 2))"),77.49)</f>
        <v>77.49</v>
      </c>
      <c r="J975" s="81">
        <f>IFERROR(__xludf.DUMMYFUNCTION("IF(H975="""", """", ROUND(H975 / MAX(FILTER($H$2:$H5067, $D$2:$D5067=$D975)) * 100, 2))"),26.33)</f>
        <v>26.33</v>
      </c>
      <c r="K975" s="2"/>
      <c r="L975" s="48"/>
      <c r="M975" s="48"/>
      <c r="N975" s="48"/>
      <c r="O975" s="48" t="str">
        <f t="shared" si="2"/>
        <v/>
      </c>
      <c r="P975" s="48" t="str">
        <f t="shared" si="3"/>
        <v/>
      </c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</row>
    <row r="976">
      <c r="A976" s="63">
        <v>66.0</v>
      </c>
      <c r="B976" s="63">
        <v>98.0</v>
      </c>
      <c r="C976" s="64" t="s">
        <v>246</v>
      </c>
      <c r="D976" s="64" t="s">
        <v>247</v>
      </c>
      <c r="E976" s="64" t="s">
        <v>248</v>
      </c>
      <c r="F976" s="63">
        <v>2500.0</v>
      </c>
      <c r="G976" s="63">
        <v>11.78</v>
      </c>
      <c r="H976" s="66">
        <f t="shared" si="1"/>
        <v>41.12</v>
      </c>
      <c r="I976" s="81">
        <f>IFERROR(__xludf.DUMMYFUNCTION("IF(G976="""", """", ROUND(G976 / MAX(FILTER($G$2:$G5067, $D$2:$D5067=$D976)) * 100, 2))"),81.35)</f>
        <v>81.35</v>
      </c>
      <c r="J976" s="81">
        <f>IFERROR(__xludf.DUMMYFUNCTION("IF(H976="""", """", ROUND(H976 / MAX(FILTER($H$2:$H5067, $D$2:$D5067=$D976)) * 100, 2))"),34.56)</f>
        <v>34.56</v>
      </c>
      <c r="K976" s="2"/>
      <c r="L976" s="49"/>
      <c r="M976" s="49"/>
      <c r="N976" s="49"/>
      <c r="O976" s="49" t="str">
        <f t="shared" si="2"/>
        <v/>
      </c>
      <c r="P976" s="49" t="str">
        <f t="shared" si="3"/>
        <v/>
      </c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</row>
    <row r="977">
      <c r="A977" s="69">
        <v>66.0</v>
      </c>
      <c r="B977" s="69">
        <v>98.0</v>
      </c>
      <c r="C977" s="86" t="s">
        <v>246</v>
      </c>
      <c r="D977" s="86" t="s">
        <v>247</v>
      </c>
      <c r="E977" s="86" t="s">
        <v>248</v>
      </c>
      <c r="F977" s="69">
        <v>3000.0</v>
      </c>
      <c r="G977" s="69">
        <v>12.54</v>
      </c>
      <c r="H977" s="68">
        <f t="shared" si="1"/>
        <v>52.53</v>
      </c>
      <c r="I977" s="81">
        <f>IFERROR(__xludf.DUMMYFUNCTION("IF(G977="""", """", ROUND(G977 / MAX(FILTER($G$2:$G5067, $D$2:$D5067=$D977)) * 100, 2))"),86.6)</f>
        <v>86.6</v>
      </c>
      <c r="J977" s="81">
        <f>IFERROR(__xludf.DUMMYFUNCTION("IF(H977="""", """", ROUND(H977 / MAX(FILTER($H$2:$H5067, $D$2:$D5067=$D977)) * 100, 2))"),44.15)</f>
        <v>44.15</v>
      </c>
      <c r="K977" s="2"/>
      <c r="L977" s="48"/>
      <c r="M977" s="48"/>
      <c r="N977" s="48"/>
      <c r="O977" s="48" t="str">
        <f t="shared" si="2"/>
        <v/>
      </c>
      <c r="P977" s="48" t="str">
        <f t="shared" si="3"/>
        <v/>
      </c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</row>
    <row r="978">
      <c r="A978" s="63">
        <v>66.0</v>
      </c>
      <c r="B978" s="63">
        <v>98.0</v>
      </c>
      <c r="C978" s="64" t="s">
        <v>246</v>
      </c>
      <c r="D978" s="64" t="s">
        <v>247</v>
      </c>
      <c r="E978" s="64" t="s">
        <v>248</v>
      </c>
      <c r="F978" s="63">
        <v>3500.0</v>
      </c>
      <c r="G978" s="63">
        <v>13.05</v>
      </c>
      <c r="H978" s="66">
        <f t="shared" si="1"/>
        <v>63.77</v>
      </c>
      <c r="I978" s="81">
        <f>IFERROR(__xludf.DUMMYFUNCTION("IF(G978="""", """", ROUND(G978 / MAX(FILTER($G$2:$G5067, $D$2:$D5067=$D978)) * 100, 2))"),90.12)</f>
        <v>90.12</v>
      </c>
      <c r="J978" s="81">
        <f>IFERROR(__xludf.DUMMYFUNCTION("IF(H978="""", """", ROUND(H978 / MAX(FILTER($H$2:$H5067, $D$2:$D5067=$D978)) * 100, 2))"),53.6)</f>
        <v>53.6</v>
      </c>
      <c r="K978" s="2"/>
      <c r="L978" s="49"/>
      <c r="M978" s="49"/>
      <c r="N978" s="49"/>
      <c r="O978" s="49" t="str">
        <f t="shared" si="2"/>
        <v/>
      </c>
      <c r="P978" s="49" t="str">
        <f t="shared" si="3"/>
        <v/>
      </c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</row>
    <row r="979">
      <c r="A979" s="69">
        <v>66.0</v>
      </c>
      <c r="B979" s="69">
        <v>98.0</v>
      </c>
      <c r="C979" s="86" t="s">
        <v>246</v>
      </c>
      <c r="D979" s="86" t="s">
        <v>247</v>
      </c>
      <c r="E979" s="86" t="s">
        <v>248</v>
      </c>
      <c r="F979" s="69">
        <v>4000.0</v>
      </c>
      <c r="G979" s="69">
        <v>13.97</v>
      </c>
      <c r="H979" s="68">
        <f t="shared" si="1"/>
        <v>78.02</v>
      </c>
      <c r="I979" s="81">
        <f>IFERROR(__xludf.DUMMYFUNCTION("IF(G979="""", """", ROUND(G979 / MAX(FILTER($G$2:$G5067, $D$2:$D5067=$D979)) * 100, 2))"),96.48)</f>
        <v>96.48</v>
      </c>
      <c r="J979" s="81">
        <f>IFERROR(__xludf.DUMMYFUNCTION("IF(H979="""", """", ROUND(H979 / MAX(FILTER($H$2:$H5067, $D$2:$D5067=$D979)) * 100, 2))"),65.58)</f>
        <v>65.58</v>
      </c>
      <c r="K979" s="2"/>
      <c r="L979" s="48"/>
      <c r="M979" s="48"/>
      <c r="N979" s="48"/>
      <c r="O979" s="48" t="str">
        <f t="shared" si="2"/>
        <v/>
      </c>
      <c r="P979" s="48" t="str">
        <f t="shared" si="3"/>
        <v/>
      </c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</row>
    <row r="980">
      <c r="A980" s="63">
        <v>66.0</v>
      </c>
      <c r="B980" s="63">
        <v>98.0</v>
      </c>
      <c r="C980" s="64" t="s">
        <v>246</v>
      </c>
      <c r="D980" s="64" t="s">
        <v>247</v>
      </c>
      <c r="E980" s="64" t="s">
        <v>248</v>
      </c>
      <c r="F980" s="63">
        <v>4500.0</v>
      </c>
      <c r="G980" s="63">
        <v>14.12</v>
      </c>
      <c r="H980" s="66">
        <f t="shared" si="1"/>
        <v>88.72</v>
      </c>
      <c r="I980" s="81">
        <f>IFERROR(__xludf.DUMMYFUNCTION("IF(G980="""", """", ROUND(G980 / MAX(FILTER($G$2:$G5067, $D$2:$D5067=$D980)) * 100, 2))"),97.51)</f>
        <v>97.51</v>
      </c>
      <c r="J980" s="81">
        <f>IFERROR(__xludf.DUMMYFUNCTION("IF(H980="""", """", ROUND(H980 / MAX(FILTER($H$2:$H5067, $D$2:$D5067=$D980)) * 100, 2))"),74.57)</f>
        <v>74.57</v>
      </c>
      <c r="K980" s="2"/>
      <c r="L980" s="49"/>
      <c r="M980" s="49"/>
      <c r="N980" s="49"/>
      <c r="O980" s="49" t="str">
        <f t="shared" si="2"/>
        <v/>
      </c>
      <c r="P980" s="49" t="str">
        <f t="shared" si="3"/>
        <v/>
      </c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</row>
    <row r="981">
      <c r="A981" s="69">
        <v>66.0</v>
      </c>
      <c r="B981" s="69">
        <v>98.0</v>
      </c>
      <c r="C981" s="86" t="s">
        <v>246</v>
      </c>
      <c r="D981" s="86" t="s">
        <v>247</v>
      </c>
      <c r="E981" s="86" t="s">
        <v>248</v>
      </c>
      <c r="F981" s="69">
        <v>5200.0</v>
      </c>
      <c r="G981" s="69">
        <v>14.48</v>
      </c>
      <c r="H981" s="68">
        <f t="shared" si="1"/>
        <v>105.13</v>
      </c>
      <c r="I981" s="81">
        <f>IFERROR(__xludf.DUMMYFUNCTION("IF(G981="""", """", ROUND(G981 / MAX(FILTER($G$2:$G5067, $D$2:$D5067=$D981)) * 100, 2))"),100.0)</f>
        <v>100</v>
      </c>
      <c r="J981" s="81">
        <f>IFERROR(__xludf.DUMMYFUNCTION("IF(H981="""", """", ROUND(H981 / MAX(FILTER($H$2:$H5067, $D$2:$D5067=$D981)) * 100, 2))"),88.37)</f>
        <v>88.37</v>
      </c>
      <c r="K981" s="2"/>
      <c r="L981" s="48"/>
      <c r="M981" s="48"/>
      <c r="N981" s="48"/>
      <c r="O981" s="48" t="str">
        <f t="shared" si="2"/>
        <v/>
      </c>
      <c r="P981" s="48" t="str">
        <f t="shared" si="3"/>
        <v/>
      </c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</row>
    <row r="982">
      <c r="A982" s="63">
        <v>66.0</v>
      </c>
      <c r="B982" s="63">
        <v>98.0</v>
      </c>
      <c r="C982" s="64" t="s">
        <v>246</v>
      </c>
      <c r="D982" s="64" t="s">
        <v>247</v>
      </c>
      <c r="E982" s="64" t="s">
        <v>248</v>
      </c>
      <c r="F982" s="63">
        <v>5500.0</v>
      </c>
      <c r="G982" s="63">
        <v>14.38</v>
      </c>
      <c r="H982" s="66">
        <f t="shared" si="1"/>
        <v>110.43</v>
      </c>
      <c r="I982" s="81">
        <f>IFERROR(__xludf.DUMMYFUNCTION("IF(G982="""", """", ROUND(G982 / MAX(FILTER($G$2:$G5067, $D$2:$D5067=$D982)) * 100, 2))"),99.31)</f>
        <v>99.31</v>
      </c>
      <c r="J982" s="81">
        <f>IFERROR(__xludf.DUMMYFUNCTION("IF(H982="""", """", ROUND(H982 / MAX(FILTER($H$2:$H5067, $D$2:$D5067=$D982)) * 100, 2))"),92.82)</f>
        <v>92.82</v>
      </c>
      <c r="K982" s="2"/>
      <c r="L982" s="49"/>
      <c r="M982" s="49"/>
      <c r="N982" s="49"/>
      <c r="O982" s="49" t="str">
        <f t="shared" si="2"/>
        <v/>
      </c>
      <c r="P982" s="49" t="str">
        <f t="shared" si="3"/>
        <v/>
      </c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</row>
    <row r="983">
      <c r="A983" s="69">
        <v>66.0</v>
      </c>
      <c r="B983" s="69">
        <v>98.0</v>
      </c>
      <c r="C983" s="86" t="s">
        <v>246</v>
      </c>
      <c r="D983" s="86" t="s">
        <v>247</v>
      </c>
      <c r="E983" s="86" t="s">
        <v>248</v>
      </c>
      <c r="F983" s="69">
        <v>6000.0</v>
      </c>
      <c r="G983" s="69">
        <v>13.77</v>
      </c>
      <c r="H983" s="68">
        <f t="shared" si="1"/>
        <v>115.36</v>
      </c>
      <c r="I983" s="81">
        <f>IFERROR(__xludf.DUMMYFUNCTION("IF(G983="""", """", ROUND(G983 / MAX(FILTER($G$2:$G5067, $D$2:$D5067=$D983)) * 100, 2))"),95.1)</f>
        <v>95.1</v>
      </c>
      <c r="J983" s="81">
        <f>IFERROR(__xludf.DUMMYFUNCTION("IF(H983="""", """", ROUND(H983 / MAX(FILTER($H$2:$H5067, $D$2:$D5067=$D983)) * 100, 2))"),96.97)</f>
        <v>96.97</v>
      </c>
      <c r="K983" s="2"/>
      <c r="L983" s="48"/>
      <c r="M983" s="48"/>
      <c r="N983" s="48"/>
      <c r="O983" s="48" t="str">
        <f t="shared" si="2"/>
        <v/>
      </c>
      <c r="P983" s="48" t="str">
        <f t="shared" si="3"/>
        <v/>
      </c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</row>
    <row r="984">
      <c r="A984" s="63">
        <v>66.0</v>
      </c>
      <c r="B984" s="63">
        <v>98.0</v>
      </c>
      <c r="C984" s="64" t="s">
        <v>246</v>
      </c>
      <c r="D984" s="64" t="s">
        <v>247</v>
      </c>
      <c r="E984" s="64" t="s">
        <v>248</v>
      </c>
      <c r="F984" s="63">
        <v>6600.0</v>
      </c>
      <c r="G984" s="63">
        <v>12.91</v>
      </c>
      <c r="H984" s="66">
        <f t="shared" si="1"/>
        <v>118.97</v>
      </c>
      <c r="I984" s="81">
        <f>IFERROR(__xludf.DUMMYFUNCTION("IF(G984="""", """", ROUND(G984 / MAX(FILTER($G$2:$G5067, $D$2:$D5067=$D984)) * 100, 2))"),89.16)</f>
        <v>89.16</v>
      </c>
      <c r="J984" s="81">
        <f>IFERROR(__xludf.DUMMYFUNCTION("IF(H984="""", """", ROUND(H984 / MAX(FILTER($H$2:$H5067, $D$2:$D5067=$D984)) * 100, 2))"),100.0)</f>
        <v>100</v>
      </c>
      <c r="K984" s="2"/>
      <c r="L984" s="49"/>
      <c r="M984" s="49"/>
      <c r="N984" s="49"/>
      <c r="O984" s="49" t="str">
        <f t="shared" si="2"/>
        <v/>
      </c>
      <c r="P984" s="49" t="str">
        <f t="shared" si="3"/>
        <v/>
      </c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</row>
    <row r="985">
      <c r="A985" s="69">
        <v>66.0</v>
      </c>
      <c r="B985" s="69">
        <v>98.0</v>
      </c>
      <c r="C985" s="86" t="s">
        <v>246</v>
      </c>
      <c r="D985" s="86" t="s">
        <v>247</v>
      </c>
      <c r="E985" s="86" t="s">
        <v>248</v>
      </c>
      <c r="F985" s="69">
        <v>7000.0</v>
      </c>
      <c r="G985" s="69">
        <v>11.73</v>
      </c>
      <c r="H985" s="68">
        <f t="shared" si="1"/>
        <v>114.65</v>
      </c>
      <c r="I985" s="81">
        <f>IFERROR(__xludf.DUMMYFUNCTION("IF(G985="""", """", ROUND(G985 / MAX(FILTER($G$2:$G5067, $D$2:$D5067=$D985)) * 100, 2))"),81.01)</f>
        <v>81.01</v>
      </c>
      <c r="J985" s="81">
        <f>IFERROR(__xludf.DUMMYFUNCTION("IF(H985="""", """", ROUND(H985 / MAX(FILTER($H$2:$H5067, $D$2:$D5067=$D985)) * 100, 2))"),96.37)</f>
        <v>96.37</v>
      </c>
      <c r="K985" s="2"/>
      <c r="L985" s="48"/>
      <c r="M985" s="48"/>
      <c r="N985" s="48"/>
      <c r="O985" s="48" t="str">
        <f t="shared" si="2"/>
        <v/>
      </c>
      <c r="P985" s="48" t="str">
        <f t="shared" si="3"/>
        <v/>
      </c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</row>
    <row r="986">
      <c r="A986" s="63">
        <v>66.0</v>
      </c>
      <c r="B986" s="63">
        <v>98.0</v>
      </c>
      <c r="C986" s="64" t="s">
        <v>246</v>
      </c>
      <c r="D986" s="64" t="s">
        <v>247</v>
      </c>
      <c r="E986" s="64" t="s">
        <v>248</v>
      </c>
      <c r="F986" s="63">
        <v>7500.0</v>
      </c>
      <c r="G986" s="63">
        <v>10.2</v>
      </c>
      <c r="H986" s="66">
        <f t="shared" si="1"/>
        <v>106.81</v>
      </c>
      <c r="I986" s="81">
        <f>IFERROR(__xludf.DUMMYFUNCTION("IF(G986="""", """", ROUND(G986 / MAX(FILTER($G$2:$G5067, $D$2:$D5067=$D986)) * 100, 2))"),70.44)</f>
        <v>70.44</v>
      </c>
      <c r="J986" s="81">
        <f>IFERROR(__xludf.DUMMYFUNCTION("IF(H986="""", """", ROUND(H986 / MAX(FILTER($H$2:$H5067, $D$2:$D5067=$D986)) * 100, 2))"),89.78)</f>
        <v>89.78</v>
      </c>
      <c r="K986" s="2"/>
      <c r="L986" s="49"/>
      <c r="M986" s="49"/>
      <c r="N986" s="49"/>
      <c r="O986" s="49" t="str">
        <f t="shared" si="2"/>
        <v/>
      </c>
      <c r="P986" s="49" t="str">
        <f t="shared" si="3"/>
        <v/>
      </c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</row>
    <row r="987">
      <c r="A987" s="69">
        <v>66.0</v>
      </c>
      <c r="B987" s="69">
        <v>98.0</v>
      </c>
      <c r="C987" s="86" t="s">
        <v>246</v>
      </c>
      <c r="D987" s="86" t="s">
        <v>247</v>
      </c>
      <c r="E987" s="86" t="s">
        <v>248</v>
      </c>
      <c r="F987" s="69">
        <v>8000.0</v>
      </c>
      <c r="G987" s="69">
        <v>8.16</v>
      </c>
      <c r="H987" s="68">
        <f t="shared" si="1"/>
        <v>91.15</v>
      </c>
      <c r="I987" s="81">
        <f>IFERROR(__xludf.DUMMYFUNCTION("IF(G987="""", """", ROUND(G987 / MAX(FILTER($G$2:$G5067, $D$2:$D5067=$D987)) * 100, 2))"),56.35)</f>
        <v>56.35</v>
      </c>
      <c r="J987" s="81">
        <f>IFERROR(__xludf.DUMMYFUNCTION("IF(H987="""", """", ROUND(H987 / MAX(FILTER($H$2:$H5067, $D$2:$D5067=$D987)) * 100, 2))"),76.62)</f>
        <v>76.62</v>
      </c>
      <c r="K987" s="2"/>
      <c r="L987" s="48"/>
      <c r="M987" s="48"/>
      <c r="N987" s="48"/>
      <c r="O987" s="48" t="str">
        <f t="shared" si="2"/>
        <v/>
      </c>
      <c r="P987" s="48" t="str">
        <f t="shared" si="3"/>
        <v/>
      </c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</row>
    <row r="988">
      <c r="A988" s="63">
        <v>67.0</v>
      </c>
      <c r="B988" s="63">
        <v>100.0</v>
      </c>
      <c r="C988" s="64" t="s">
        <v>249</v>
      </c>
      <c r="D988" s="64" t="s">
        <v>250</v>
      </c>
      <c r="E988" s="64" t="s">
        <v>251</v>
      </c>
      <c r="F988" s="63">
        <v>500.0</v>
      </c>
      <c r="G988" s="63">
        <v>13.5</v>
      </c>
      <c r="H988" s="66">
        <f t="shared" si="1"/>
        <v>9.42</v>
      </c>
      <c r="I988" s="81">
        <f>IFERROR(__xludf.DUMMYFUNCTION("IF(G988="""", """", ROUND(G988 / MAX(FILTER($G$2:$G5067, $D$2:$D5067=$D988)) * 100, 2))"),68.18)</f>
        <v>68.18</v>
      </c>
      <c r="J988" s="81">
        <f>IFERROR(__xludf.DUMMYFUNCTION("IF(H988="""", """", ROUND(H988 / MAX(FILTER($H$2:$H5067, $D$2:$D5067=$D988)) * 100, 2))"),6.85)</f>
        <v>6.85</v>
      </c>
      <c r="K988" s="2"/>
      <c r="L988" s="49"/>
      <c r="M988" s="49"/>
      <c r="N988" s="49"/>
      <c r="O988" s="49" t="str">
        <f t="shared" si="2"/>
        <v/>
      </c>
      <c r="P988" s="49" t="str">
        <f t="shared" si="3"/>
        <v/>
      </c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</row>
    <row r="989">
      <c r="A989" s="69">
        <v>67.0</v>
      </c>
      <c r="B989" s="69">
        <v>100.0</v>
      </c>
      <c r="C989" s="86" t="s">
        <v>249</v>
      </c>
      <c r="D989" s="86" t="s">
        <v>250</v>
      </c>
      <c r="E989" s="86" t="s">
        <v>251</v>
      </c>
      <c r="F989" s="69">
        <v>1000.0</v>
      </c>
      <c r="G989" s="69">
        <v>15.2</v>
      </c>
      <c r="H989" s="68">
        <f t="shared" si="1"/>
        <v>21.22</v>
      </c>
      <c r="I989" s="81">
        <f>IFERROR(__xludf.DUMMYFUNCTION("IF(G989="""", """", ROUND(G989 / MAX(FILTER($G$2:$G5067, $D$2:$D5067=$D989)) * 100, 2))"),76.77)</f>
        <v>76.77</v>
      </c>
      <c r="J989" s="81">
        <f>IFERROR(__xludf.DUMMYFUNCTION("IF(H989="""", """", ROUND(H989 / MAX(FILTER($H$2:$H5067, $D$2:$D5067=$D989)) * 100, 2))"),15.44)</f>
        <v>15.44</v>
      </c>
      <c r="K989" s="2"/>
      <c r="L989" s="48"/>
      <c r="M989" s="48"/>
      <c r="N989" s="48"/>
      <c r="O989" s="48" t="str">
        <f t="shared" si="2"/>
        <v/>
      </c>
      <c r="P989" s="48" t="str">
        <f t="shared" si="3"/>
        <v/>
      </c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</row>
    <row r="990">
      <c r="A990" s="63">
        <v>67.0</v>
      </c>
      <c r="B990" s="63">
        <v>100.0</v>
      </c>
      <c r="C990" s="64" t="s">
        <v>249</v>
      </c>
      <c r="D990" s="64" t="s">
        <v>250</v>
      </c>
      <c r="E990" s="64" t="s">
        <v>251</v>
      </c>
      <c r="F990" s="63">
        <v>1500.0</v>
      </c>
      <c r="G990" s="63">
        <v>16.7</v>
      </c>
      <c r="H990" s="66">
        <f t="shared" si="1"/>
        <v>34.98</v>
      </c>
      <c r="I990" s="81">
        <f>IFERROR(__xludf.DUMMYFUNCTION("IF(G990="""", """", ROUND(G990 / MAX(FILTER($G$2:$G5067, $D$2:$D5067=$D990)) * 100, 2))"),84.34)</f>
        <v>84.34</v>
      </c>
      <c r="J990" s="81">
        <f>IFERROR(__xludf.DUMMYFUNCTION("IF(H990="""", """", ROUND(H990 / MAX(FILTER($H$2:$H5067, $D$2:$D5067=$D990)) * 100, 2))"),25.45)</f>
        <v>25.45</v>
      </c>
      <c r="K990" s="2"/>
      <c r="L990" s="49"/>
      <c r="M990" s="49"/>
      <c r="N990" s="49"/>
      <c r="O990" s="49" t="str">
        <f t="shared" si="2"/>
        <v/>
      </c>
      <c r="P990" s="49" t="str">
        <f t="shared" si="3"/>
        <v/>
      </c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</row>
    <row r="991">
      <c r="A991" s="69">
        <v>67.0</v>
      </c>
      <c r="B991" s="69">
        <v>100.0</v>
      </c>
      <c r="C991" s="86" t="s">
        <v>249</v>
      </c>
      <c r="D991" s="86" t="s">
        <v>250</v>
      </c>
      <c r="E991" s="86" t="s">
        <v>251</v>
      </c>
      <c r="F991" s="69">
        <v>2000.0</v>
      </c>
      <c r="G991" s="69">
        <v>17.85</v>
      </c>
      <c r="H991" s="68">
        <f t="shared" si="1"/>
        <v>49.85</v>
      </c>
      <c r="I991" s="81">
        <f>IFERROR(__xludf.DUMMYFUNCTION("IF(G991="""", """", ROUND(G991 / MAX(FILTER($G$2:$G5067, $D$2:$D5067=$D991)) * 100, 2))"),90.15)</f>
        <v>90.15</v>
      </c>
      <c r="J991" s="81">
        <f>IFERROR(__xludf.DUMMYFUNCTION("IF(H991="""", """", ROUND(H991 / MAX(FILTER($H$2:$H5067, $D$2:$D5067=$D991)) * 100, 2))"),36.27)</f>
        <v>36.27</v>
      </c>
      <c r="K991" s="2"/>
      <c r="L991" s="48"/>
      <c r="M991" s="48"/>
      <c r="N991" s="48"/>
      <c r="O991" s="48" t="str">
        <f t="shared" si="2"/>
        <v/>
      </c>
      <c r="P991" s="48" t="str">
        <f t="shared" si="3"/>
        <v/>
      </c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</row>
    <row r="992">
      <c r="A992" s="63">
        <v>67.0</v>
      </c>
      <c r="B992" s="63">
        <v>100.0</v>
      </c>
      <c r="C992" s="64" t="s">
        <v>249</v>
      </c>
      <c r="D992" s="64" t="s">
        <v>250</v>
      </c>
      <c r="E992" s="64" t="s">
        <v>251</v>
      </c>
      <c r="F992" s="63">
        <v>2500.0</v>
      </c>
      <c r="G992" s="63">
        <v>18.75</v>
      </c>
      <c r="H992" s="66">
        <f t="shared" si="1"/>
        <v>65.45</v>
      </c>
      <c r="I992" s="81">
        <f>IFERROR(__xludf.DUMMYFUNCTION("IF(G992="""", """", ROUND(G992 / MAX(FILTER($G$2:$G5067, $D$2:$D5067=$D992)) * 100, 2))"),94.7)</f>
        <v>94.7</v>
      </c>
      <c r="J992" s="81">
        <f>IFERROR(__xludf.DUMMYFUNCTION("IF(H992="""", """", ROUND(H992 / MAX(FILTER($H$2:$H5067, $D$2:$D5067=$D992)) * 100, 2))"),47.61)</f>
        <v>47.61</v>
      </c>
      <c r="K992" s="2"/>
      <c r="L992" s="49"/>
      <c r="M992" s="49"/>
      <c r="N992" s="49"/>
      <c r="O992" s="49" t="str">
        <f t="shared" si="2"/>
        <v/>
      </c>
      <c r="P992" s="49" t="str">
        <f t="shared" si="3"/>
        <v/>
      </c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</row>
    <row r="993">
      <c r="A993" s="69">
        <v>67.0</v>
      </c>
      <c r="B993" s="69">
        <v>100.0</v>
      </c>
      <c r="C993" s="86" t="s">
        <v>249</v>
      </c>
      <c r="D993" s="86" t="s">
        <v>250</v>
      </c>
      <c r="E993" s="86" t="s">
        <v>251</v>
      </c>
      <c r="F993" s="69">
        <v>3000.0</v>
      </c>
      <c r="G993" s="69">
        <v>19.3</v>
      </c>
      <c r="H993" s="68">
        <f t="shared" si="1"/>
        <v>80.84</v>
      </c>
      <c r="I993" s="81">
        <f>IFERROR(__xludf.DUMMYFUNCTION("IF(G993="""", """", ROUND(G993 / MAX(FILTER($G$2:$G5067, $D$2:$D5067=$D993)) * 100, 2))"),97.47)</f>
        <v>97.47</v>
      </c>
      <c r="J993" s="81">
        <f>IFERROR(__xludf.DUMMYFUNCTION("IF(H993="""", """", ROUND(H993 / MAX(FILTER($H$2:$H5067, $D$2:$D5067=$D993)) * 100, 2))"),58.81)</f>
        <v>58.81</v>
      </c>
      <c r="K993" s="2"/>
      <c r="L993" s="48"/>
      <c r="M993" s="48"/>
      <c r="N993" s="48"/>
      <c r="O993" s="48" t="str">
        <f t="shared" si="2"/>
        <v/>
      </c>
      <c r="P993" s="48" t="str">
        <f t="shared" si="3"/>
        <v/>
      </c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</row>
    <row r="994">
      <c r="A994" s="63">
        <v>67.0</v>
      </c>
      <c r="B994" s="63">
        <v>100.0</v>
      </c>
      <c r="C994" s="64" t="s">
        <v>249</v>
      </c>
      <c r="D994" s="64" t="s">
        <v>250</v>
      </c>
      <c r="E994" s="64" t="s">
        <v>251</v>
      </c>
      <c r="F994" s="63">
        <v>3500.0</v>
      </c>
      <c r="G994" s="63">
        <v>19.7</v>
      </c>
      <c r="H994" s="66">
        <f t="shared" si="1"/>
        <v>96.27</v>
      </c>
      <c r="I994" s="81">
        <f>IFERROR(__xludf.DUMMYFUNCTION("IF(G994="""", """", ROUND(G994 / MAX(FILTER($G$2:$G5067, $D$2:$D5067=$D994)) * 100, 2))"),99.49)</f>
        <v>99.49</v>
      </c>
      <c r="J994" s="81">
        <f>IFERROR(__xludf.DUMMYFUNCTION("IF(H994="""", """", ROUND(H994 / MAX(FILTER($H$2:$H5067, $D$2:$D5067=$D994)) * 100, 2))"),70.03)</f>
        <v>70.03</v>
      </c>
      <c r="K994" s="2"/>
      <c r="L994" s="49"/>
      <c r="M994" s="49"/>
      <c r="N994" s="49"/>
      <c r="O994" s="49" t="str">
        <f t="shared" si="2"/>
        <v/>
      </c>
      <c r="P994" s="49" t="str">
        <f t="shared" si="3"/>
        <v/>
      </c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</row>
    <row r="995">
      <c r="A995" s="69">
        <v>67.0</v>
      </c>
      <c r="B995" s="69">
        <v>100.0</v>
      </c>
      <c r="C995" s="86" t="s">
        <v>249</v>
      </c>
      <c r="D995" s="86" t="s">
        <v>250</v>
      </c>
      <c r="E995" s="86" t="s">
        <v>251</v>
      </c>
      <c r="F995" s="69">
        <v>4100.0</v>
      </c>
      <c r="G995" s="69">
        <v>19.8</v>
      </c>
      <c r="H995" s="68">
        <f t="shared" si="1"/>
        <v>113.35</v>
      </c>
      <c r="I995" s="81">
        <f>IFERROR(__xludf.DUMMYFUNCTION("IF(G995="""", """", ROUND(G995 / MAX(FILTER($G$2:$G5067, $D$2:$D5067=$D995)) * 100, 2))"),100.0)</f>
        <v>100</v>
      </c>
      <c r="J995" s="81">
        <f>IFERROR(__xludf.DUMMYFUNCTION("IF(H995="""", """", ROUND(H995 / MAX(FILTER($H$2:$H5067, $D$2:$D5067=$D995)) * 100, 2))"),82.46)</f>
        <v>82.46</v>
      </c>
      <c r="K995" s="2"/>
      <c r="L995" s="48"/>
      <c r="M995" s="48"/>
      <c r="N995" s="48"/>
      <c r="O995" s="48" t="str">
        <f t="shared" si="2"/>
        <v/>
      </c>
      <c r="P995" s="48" t="str">
        <f t="shared" si="3"/>
        <v/>
      </c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</row>
    <row r="996">
      <c r="A996" s="63">
        <v>67.0</v>
      </c>
      <c r="B996" s="63">
        <v>100.0</v>
      </c>
      <c r="C996" s="64" t="s">
        <v>249</v>
      </c>
      <c r="D996" s="64" t="s">
        <v>250</v>
      </c>
      <c r="E996" s="64" t="s">
        <v>251</v>
      </c>
      <c r="F996" s="63">
        <v>4500.0</v>
      </c>
      <c r="G996" s="63">
        <v>19.55</v>
      </c>
      <c r="H996" s="66">
        <f t="shared" si="1"/>
        <v>122.84</v>
      </c>
      <c r="I996" s="81">
        <f>IFERROR(__xludf.DUMMYFUNCTION("IF(G996="""", """", ROUND(G996 / MAX(FILTER($G$2:$G5067, $D$2:$D5067=$D996)) * 100, 2))"),98.74)</f>
        <v>98.74</v>
      </c>
      <c r="J996" s="81">
        <f>IFERROR(__xludf.DUMMYFUNCTION("IF(H996="""", """", ROUND(H996 / MAX(FILTER($H$2:$H5067, $D$2:$D5067=$D996)) * 100, 2))"),89.36)</f>
        <v>89.36</v>
      </c>
      <c r="K996" s="2"/>
      <c r="L996" s="49"/>
      <c r="M996" s="49"/>
      <c r="N996" s="49"/>
      <c r="O996" s="49" t="str">
        <f t="shared" si="2"/>
        <v/>
      </c>
      <c r="P996" s="49" t="str">
        <f t="shared" si="3"/>
        <v/>
      </c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</row>
    <row r="997">
      <c r="A997" s="69">
        <v>67.0</v>
      </c>
      <c r="B997" s="69">
        <v>100.0</v>
      </c>
      <c r="C997" s="86" t="s">
        <v>249</v>
      </c>
      <c r="D997" s="86" t="s">
        <v>250</v>
      </c>
      <c r="E997" s="86" t="s">
        <v>251</v>
      </c>
      <c r="F997" s="69">
        <v>5000.0</v>
      </c>
      <c r="G997" s="69">
        <v>19.0</v>
      </c>
      <c r="H997" s="68">
        <f t="shared" si="1"/>
        <v>132.64</v>
      </c>
      <c r="I997" s="81">
        <f>IFERROR(__xludf.DUMMYFUNCTION("IF(G997="""", """", ROUND(G997 / MAX(FILTER($G$2:$G5067, $D$2:$D5067=$D997)) * 100, 2))"),95.96)</f>
        <v>95.96</v>
      </c>
      <c r="J997" s="81">
        <f>IFERROR(__xludf.DUMMYFUNCTION("IF(H997="""", """", ROUND(H997 / MAX(FILTER($H$2:$H5067, $D$2:$D5067=$D997)) * 100, 2))"),96.49)</f>
        <v>96.49</v>
      </c>
      <c r="K997" s="2"/>
      <c r="L997" s="48"/>
      <c r="M997" s="48"/>
      <c r="N997" s="48"/>
      <c r="O997" s="48" t="str">
        <f t="shared" si="2"/>
        <v/>
      </c>
      <c r="P997" s="48" t="str">
        <f t="shared" si="3"/>
        <v/>
      </c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</row>
    <row r="998">
      <c r="A998" s="63">
        <v>67.0</v>
      </c>
      <c r="B998" s="63">
        <v>100.0</v>
      </c>
      <c r="C998" s="64" t="s">
        <v>249</v>
      </c>
      <c r="D998" s="64" t="s">
        <v>250</v>
      </c>
      <c r="E998" s="64" t="s">
        <v>251</v>
      </c>
      <c r="F998" s="63">
        <v>5500.0</v>
      </c>
      <c r="G998" s="63">
        <v>17.9</v>
      </c>
      <c r="H998" s="66">
        <f t="shared" si="1"/>
        <v>137.46</v>
      </c>
      <c r="I998" s="81">
        <f>IFERROR(__xludf.DUMMYFUNCTION("IF(G998="""", """", ROUND(G998 / MAX(FILTER($G$2:$G5067, $D$2:$D5067=$D998)) * 100, 2))"),90.4)</f>
        <v>90.4</v>
      </c>
      <c r="J998" s="81">
        <f>IFERROR(__xludf.DUMMYFUNCTION("IF(H998="""", """", ROUND(H998 / MAX(FILTER($H$2:$H5067, $D$2:$D5067=$D998)) * 100, 2))"),100.0)</f>
        <v>100</v>
      </c>
      <c r="K998" s="2"/>
      <c r="L998" s="49"/>
      <c r="M998" s="49"/>
      <c r="N998" s="49"/>
      <c r="O998" s="49" t="str">
        <f t="shared" si="2"/>
        <v/>
      </c>
      <c r="P998" s="49" t="str">
        <f t="shared" si="3"/>
        <v/>
      </c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</row>
    <row r="999">
      <c r="A999" s="69">
        <v>67.0</v>
      </c>
      <c r="B999" s="69">
        <v>100.0</v>
      </c>
      <c r="C999" s="86" t="s">
        <v>249</v>
      </c>
      <c r="D999" s="86" t="s">
        <v>250</v>
      </c>
      <c r="E999" s="86" t="s">
        <v>251</v>
      </c>
      <c r="F999" s="69">
        <v>6000.0</v>
      </c>
      <c r="G999" s="69">
        <v>16.3</v>
      </c>
      <c r="H999" s="68">
        <f t="shared" si="1"/>
        <v>136.55</v>
      </c>
      <c r="I999" s="81">
        <f>IFERROR(__xludf.DUMMYFUNCTION("IF(G999="""", """", ROUND(G999 / MAX(FILTER($G$2:$G5067, $D$2:$D5067=$D999)) * 100, 2))"),82.32)</f>
        <v>82.32</v>
      </c>
      <c r="J999" s="81">
        <f>IFERROR(__xludf.DUMMYFUNCTION("IF(H999="""", """", ROUND(H999 / MAX(FILTER($H$2:$H5067, $D$2:$D5067=$D999)) * 100, 2))"),99.34)</f>
        <v>99.34</v>
      </c>
      <c r="K999" s="2"/>
      <c r="L999" s="48"/>
      <c r="M999" s="48"/>
      <c r="N999" s="48"/>
      <c r="O999" s="48" t="str">
        <f t="shared" si="2"/>
        <v/>
      </c>
      <c r="P999" s="48" t="str">
        <f t="shared" si="3"/>
        <v/>
      </c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</row>
    <row r="1000">
      <c r="A1000" s="63">
        <v>67.0</v>
      </c>
      <c r="B1000" s="63">
        <v>100.0</v>
      </c>
      <c r="C1000" s="64" t="s">
        <v>249</v>
      </c>
      <c r="D1000" s="64" t="s">
        <v>250</v>
      </c>
      <c r="E1000" s="64" t="s">
        <v>251</v>
      </c>
      <c r="F1000" s="63">
        <v>6500.0</v>
      </c>
      <c r="G1000" s="63">
        <v>14.45</v>
      </c>
      <c r="H1000" s="66">
        <f t="shared" si="1"/>
        <v>131.14</v>
      </c>
      <c r="I1000" s="81">
        <f>IFERROR(__xludf.DUMMYFUNCTION("IF(G1000="""", """", ROUND(G1000 / MAX(FILTER($G$2:$G5067, $D$2:$D5067=$D1000)) * 100, 2))"),72.98)</f>
        <v>72.98</v>
      </c>
      <c r="J1000" s="81">
        <f>IFERROR(__xludf.DUMMYFUNCTION("IF(H1000="""", """", ROUND(H1000 / MAX(FILTER($H$2:$H5067, $D$2:$D5067=$D1000)) * 100, 2))"),95.4)</f>
        <v>95.4</v>
      </c>
      <c r="K1000" s="2"/>
      <c r="L1000" s="49"/>
      <c r="M1000" s="49"/>
      <c r="N1000" s="49"/>
      <c r="O1000" s="49" t="str">
        <f t="shared" si="2"/>
        <v/>
      </c>
      <c r="P1000" s="49" t="str">
        <f t="shared" si="3"/>
        <v/>
      </c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</row>
    <row r="1001">
      <c r="A1001" s="69">
        <v>67.0</v>
      </c>
      <c r="B1001" s="69">
        <v>100.0</v>
      </c>
      <c r="C1001" s="86" t="s">
        <v>249</v>
      </c>
      <c r="D1001" s="86" t="s">
        <v>250</v>
      </c>
      <c r="E1001" s="86" t="s">
        <v>251</v>
      </c>
      <c r="F1001" s="69">
        <v>7000.0</v>
      </c>
      <c r="G1001" s="69">
        <v>12.1</v>
      </c>
      <c r="H1001" s="68">
        <f t="shared" si="1"/>
        <v>118.26</v>
      </c>
      <c r="I1001" s="81">
        <f>IFERROR(__xludf.DUMMYFUNCTION("IF(G1001="""", """", ROUND(G1001 / MAX(FILTER($G$2:$G5067, $D$2:$D5067=$D1001)) * 100, 2))"),61.11)</f>
        <v>61.11</v>
      </c>
      <c r="J1001" s="81">
        <f>IFERROR(__xludf.DUMMYFUNCTION("IF(H1001="""", """", ROUND(H1001 / MAX(FILTER($H$2:$H5067, $D$2:$D5067=$D1001)) * 100, 2))"),86.03)</f>
        <v>86.03</v>
      </c>
      <c r="K1001" s="2"/>
      <c r="L1001" s="48"/>
      <c r="M1001" s="48"/>
      <c r="N1001" s="48"/>
      <c r="O1001" s="48" t="str">
        <f t="shared" si="2"/>
        <v/>
      </c>
      <c r="P1001" s="48" t="str">
        <f t="shared" si="3"/>
        <v/>
      </c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</row>
    <row r="1002">
      <c r="A1002" s="63">
        <v>68.0</v>
      </c>
      <c r="B1002" s="63">
        <v>103.0</v>
      </c>
      <c r="C1002" s="64" t="s">
        <v>252</v>
      </c>
      <c r="D1002" s="64" t="s">
        <v>253</v>
      </c>
      <c r="E1002" s="64" t="s">
        <v>254</v>
      </c>
      <c r="F1002" s="63">
        <v>500.0</v>
      </c>
      <c r="G1002" s="63">
        <v>8.23</v>
      </c>
      <c r="H1002" s="66">
        <f t="shared" si="1"/>
        <v>5.75</v>
      </c>
      <c r="I1002" s="81">
        <f>IFERROR(__xludf.DUMMYFUNCTION("IF(G1002="""", """", ROUND(G1002 / MAX(FILTER($G$2:$G5067, $D$2:$D5067=$D1002)) * 100, 2))"),84.85)</f>
        <v>84.85</v>
      </c>
      <c r="J1002" s="81">
        <f>IFERROR(__xludf.DUMMYFUNCTION("IF(H1002="""", """", ROUND(H1002 / MAX(FILTER($H$2:$H5067, $D$2:$D5067=$D1002)) * 100, 2))"),9.45)</f>
        <v>9.45</v>
      </c>
      <c r="K1002" s="2"/>
      <c r="L1002" s="49"/>
      <c r="M1002" s="49"/>
      <c r="N1002" s="49"/>
      <c r="O1002" s="49" t="str">
        <f t="shared" si="2"/>
        <v/>
      </c>
      <c r="P1002" s="49" t="str">
        <f t="shared" si="3"/>
        <v/>
      </c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</row>
    <row r="1003">
      <c r="A1003" s="69">
        <v>68.0</v>
      </c>
      <c r="B1003" s="69">
        <v>103.0</v>
      </c>
      <c r="C1003" s="86" t="s">
        <v>252</v>
      </c>
      <c r="D1003" s="86" t="s">
        <v>253</v>
      </c>
      <c r="E1003" s="86" t="s">
        <v>254</v>
      </c>
      <c r="F1003" s="69">
        <v>1000.0</v>
      </c>
      <c r="G1003" s="69">
        <v>9.32</v>
      </c>
      <c r="H1003" s="68">
        <f t="shared" si="1"/>
        <v>13.01</v>
      </c>
      <c r="I1003" s="81">
        <f>IFERROR(__xludf.DUMMYFUNCTION("IF(G1003="""", """", ROUND(G1003 / MAX(FILTER($G$2:$G5067, $D$2:$D5067=$D1003)) * 100, 2))"),96.08)</f>
        <v>96.08</v>
      </c>
      <c r="J1003" s="81">
        <f>IFERROR(__xludf.DUMMYFUNCTION("IF(H1003="""", """", ROUND(H1003 / MAX(FILTER($H$2:$H5067, $D$2:$D5067=$D1003)) * 100, 2))"),21.38)</f>
        <v>21.38</v>
      </c>
      <c r="K1003" s="2"/>
      <c r="L1003" s="48"/>
      <c r="M1003" s="48"/>
      <c r="N1003" s="48"/>
      <c r="O1003" s="48" t="str">
        <f t="shared" si="2"/>
        <v/>
      </c>
      <c r="P1003" s="48" t="str">
        <f t="shared" si="3"/>
        <v/>
      </c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</row>
    <row r="1004">
      <c r="A1004" s="63">
        <v>68.0</v>
      </c>
      <c r="B1004" s="63">
        <v>103.0</v>
      </c>
      <c r="C1004" s="64" t="s">
        <v>252</v>
      </c>
      <c r="D1004" s="64" t="s">
        <v>253</v>
      </c>
      <c r="E1004" s="64" t="s">
        <v>254</v>
      </c>
      <c r="F1004" s="63">
        <v>1500.0</v>
      </c>
      <c r="G1004" s="63">
        <v>9.55</v>
      </c>
      <c r="H1004" s="66">
        <f t="shared" si="1"/>
        <v>20</v>
      </c>
      <c r="I1004" s="81">
        <f>IFERROR(__xludf.DUMMYFUNCTION("IF(G1004="""", """", ROUND(G1004 / MAX(FILTER($G$2:$G5067, $D$2:$D5067=$D1004)) * 100, 2))"),98.45)</f>
        <v>98.45</v>
      </c>
      <c r="J1004" s="81">
        <f>IFERROR(__xludf.DUMMYFUNCTION("IF(H1004="""", """", ROUND(H1004 / MAX(FILTER($H$2:$H5067, $D$2:$D5067=$D1004)) * 100, 2))"),32.87)</f>
        <v>32.87</v>
      </c>
      <c r="K1004" s="2"/>
      <c r="L1004" s="49"/>
      <c r="M1004" s="49"/>
      <c r="N1004" s="49"/>
      <c r="O1004" s="49" t="str">
        <f t="shared" si="2"/>
        <v/>
      </c>
      <c r="P1004" s="49" t="str">
        <f t="shared" si="3"/>
        <v/>
      </c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</row>
    <row r="1005">
      <c r="A1005" s="69">
        <v>68.0</v>
      </c>
      <c r="B1005" s="69">
        <v>103.0</v>
      </c>
      <c r="C1005" s="86" t="s">
        <v>252</v>
      </c>
      <c r="D1005" s="86" t="s">
        <v>253</v>
      </c>
      <c r="E1005" s="86" t="s">
        <v>254</v>
      </c>
      <c r="F1005" s="69">
        <v>2000.0</v>
      </c>
      <c r="G1005" s="69">
        <v>9.7</v>
      </c>
      <c r="H1005" s="68">
        <f t="shared" si="1"/>
        <v>27.09</v>
      </c>
      <c r="I1005" s="81">
        <f>IFERROR(__xludf.DUMMYFUNCTION("IF(G1005="""", """", ROUND(G1005 / MAX(FILTER($G$2:$G5067, $D$2:$D5067=$D1005)) * 100, 2))"),100.0)</f>
        <v>100</v>
      </c>
      <c r="J1005" s="81">
        <f>IFERROR(__xludf.DUMMYFUNCTION("IF(H1005="""", """", ROUND(H1005 / MAX(FILTER($H$2:$H5067, $D$2:$D5067=$D1005)) * 100, 2))"),44.53)</f>
        <v>44.53</v>
      </c>
      <c r="K1005" s="2"/>
      <c r="L1005" s="48"/>
      <c r="M1005" s="48"/>
      <c r="N1005" s="48"/>
      <c r="O1005" s="48" t="str">
        <f t="shared" si="2"/>
        <v/>
      </c>
      <c r="P1005" s="48" t="str">
        <f t="shared" si="3"/>
        <v/>
      </c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</row>
    <row r="1006">
      <c r="A1006" s="63">
        <v>68.0</v>
      </c>
      <c r="B1006" s="63">
        <v>103.0</v>
      </c>
      <c r="C1006" s="64" t="s">
        <v>252</v>
      </c>
      <c r="D1006" s="64" t="s">
        <v>253</v>
      </c>
      <c r="E1006" s="64" t="s">
        <v>254</v>
      </c>
      <c r="F1006" s="63">
        <v>2500.0</v>
      </c>
      <c r="G1006" s="63">
        <v>9.68</v>
      </c>
      <c r="H1006" s="66">
        <f t="shared" si="1"/>
        <v>33.79</v>
      </c>
      <c r="I1006" s="81">
        <f>IFERROR(__xludf.DUMMYFUNCTION("IF(G1006="""", """", ROUND(G1006 / MAX(FILTER($G$2:$G5067, $D$2:$D5067=$D1006)) * 100, 2))"),99.79)</f>
        <v>99.79</v>
      </c>
      <c r="J1006" s="81">
        <f>IFERROR(__xludf.DUMMYFUNCTION("IF(H1006="""", """", ROUND(H1006 / MAX(FILTER($H$2:$H5067, $D$2:$D5067=$D1006)) * 100, 2))"),55.54)</f>
        <v>55.54</v>
      </c>
      <c r="K1006" s="2"/>
      <c r="L1006" s="49"/>
      <c r="M1006" s="49"/>
      <c r="N1006" s="49"/>
      <c r="O1006" s="49" t="str">
        <f t="shared" si="2"/>
        <v/>
      </c>
      <c r="P1006" s="49" t="str">
        <f t="shared" si="3"/>
        <v/>
      </c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</row>
    <row r="1007">
      <c r="A1007" s="69">
        <v>68.0</v>
      </c>
      <c r="B1007" s="69">
        <v>103.0</v>
      </c>
      <c r="C1007" s="86" t="s">
        <v>252</v>
      </c>
      <c r="D1007" s="86" t="s">
        <v>253</v>
      </c>
      <c r="E1007" s="86" t="s">
        <v>254</v>
      </c>
      <c r="F1007" s="69">
        <v>3000.0</v>
      </c>
      <c r="G1007" s="69">
        <v>9.63</v>
      </c>
      <c r="H1007" s="68">
        <f t="shared" si="1"/>
        <v>40.34</v>
      </c>
      <c r="I1007" s="81">
        <f>IFERROR(__xludf.DUMMYFUNCTION("IF(G1007="""", """", ROUND(G1007 / MAX(FILTER($G$2:$G5067, $D$2:$D5067=$D1007)) * 100, 2))"),99.28)</f>
        <v>99.28</v>
      </c>
      <c r="J1007" s="81">
        <f>IFERROR(__xludf.DUMMYFUNCTION("IF(H1007="""", """", ROUND(H1007 / MAX(FILTER($H$2:$H5067, $D$2:$D5067=$D1007)) * 100, 2))"),66.31)</f>
        <v>66.31</v>
      </c>
      <c r="K1007" s="2"/>
      <c r="L1007" s="48"/>
      <c r="M1007" s="48"/>
      <c r="N1007" s="48"/>
      <c r="O1007" s="48" t="str">
        <f t="shared" si="2"/>
        <v/>
      </c>
      <c r="P1007" s="48" t="str">
        <f t="shared" si="3"/>
        <v/>
      </c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</row>
    <row r="1008">
      <c r="A1008" s="63">
        <v>68.0</v>
      </c>
      <c r="B1008" s="63">
        <v>103.0</v>
      </c>
      <c r="C1008" s="64" t="s">
        <v>252</v>
      </c>
      <c r="D1008" s="64" t="s">
        <v>253</v>
      </c>
      <c r="E1008" s="64" t="s">
        <v>254</v>
      </c>
      <c r="F1008" s="63">
        <v>3500.0</v>
      </c>
      <c r="G1008" s="63">
        <v>9.57</v>
      </c>
      <c r="H1008" s="66">
        <f t="shared" si="1"/>
        <v>46.77</v>
      </c>
      <c r="I1008" s="81">
        <f>IFERROR(__xludf.DUMMYFUNCTION("IF(G1008="""", """", ROUND(G1008 / MAX(FILTER($G$2:$G5067, $D$2:$D5067=$D1008)) * 100, 2))"),98.66)</f>
        <v>98.66</v>
      </c>
      <c r="J1008" s="81">
        <f>IFERROR(__xludf.DUMMYFUNCTION("IF(H1008="""", """", ROUND(H1008 / MAX(FILTER($H$2:$H5067, $D$2:$D5067=$D1008)) * 100, 2))"),76.87)</f>
        <v>76.87</v>
      </c>
      <c r="K1008" s="2"/>
      <c r="L1008" s="49"/>
      <c r="M1008" s="49"/>
      <c r="N1008" s="49"/>
      <c r="O1008" s="49" t="str">
        <f t="shared" si="2"/>
        <v/>
      </c>
      <c r="P1008" s="49" t="str">
        <f t="shared" si="3"/>
        <v/>
      </c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</row>
    <row r="1009">
      <c r="A1009" s="69">
        <v>68.0</v>
      </c>
      <c r="B1009" s="69">
        <v>103.0</v>
      </c>
      <c r="C1009" s="86" t="s">
        <v>252</v>
      </c>
      <c r="D1009" s="86" t="s">
        <v>253</v>
      </c>
      <c r="E1009" s="86" t="s">
        <v>254</v>
      </c>
      <c r="F1009" s="69">
        <v>4000.0</v>
      </c>
      <c r="G1009" s="69">
        <v>9.45</v>
      </c>
      <c r="H1009" s="68">
        <f t="shared" si="1"/>
        <v>52.78</v>
      </c>
      <c r="I1009" s="81">
        <f>IFERROR(__xludf.DUMMYFUNCTION("IF(G1009="""", """", ROUND(G1009 / MAX(FILTER($G$2:$G5067, $D$2:$D5067=$D1009)) * 100, 2))"),97.42)</f>
        <v>97.42</v>
      </c>
      <c r="J1009" s="81">
        <f>IFERROR(__xludf.DUMMYFUNCTION("IF(H1009="""", """", ROUND(H1009 / MAX(FILTER($H$2:$H5067, $D$2:$D5067=$D1009)) * 100, 2))"),86.75)</f>
        <v>86.75</v>
      </c>
      <c r="K1009" s="2"/>
      <c r="L1009" s="48"/>
      <c r="M1009" s="48"/>
      <c r="N1009" s="48"/>
      <c r="O1009" s="48" t="str">
        <f t="shared" si="2"/>
        <v/>
      </c>
      <c r="P1009" s="48" t="str">
        <f t="shared" si="3"/>
        <v/>
      </c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</row>
    <row r="1010">
      <c r="A1010" s="63">
        <v>68.0</v>
      </c>
      <c r="B1010" s="63">
        <v>103.0</v>
      </c>
      <c r="C1010" s="64" t="s">
        <v>252</v>
      </c>
      <c r="D1010" s="64" t="s">
        <v>253</v>
      </c>
      <c r="E1010" s="64" t="s">
        <v>254</v>
      </c>
      <c r="F1010" s="63">
        <v>4500.0</v>
      </c>
      <c r="G1010" s="63">
        <v>9.28</v>
      </c>
      <c r="H1010" s="66">
        <f t="shared" si="1"/>
        <v>58.31</v>
      </c>
      <c r="I1010" s="81">
        <f>IFERROR(__xludf.DUMMYFUNCTION("IF(G1010="""", """", ROUND(G1010 / MAX(FILTER($G$2:$G5067, $D$2:$D5067=$D1010)) * 100, 2))"),95.67)</f>
        <v>95.67</v>
      </c>
      <c r="J1010" s="81">
        <f>IFERROR(__xludf.DUMMYFUNCTION("IF(H1010="""", """", ROUND(H1010 / MAX(FILTER($H$2:$H5067, $D$2:$D5067=$D1010)) * 100, 2))"),95.84)</f>
        <v>95.84</v>
      </c>
      <c r="K1010" s="2"/>
      <c r="L1010" s="49"/>
      <c r="M1010" s="49"/>
      <c r="N1010" s="49"/>
      <c r="O1010" s="49" t="str">
        <f t="shared" si="2"/>
        <v/>
      </c>
      <c r="P1010" s="49" t="str">
        <f t="shared" si="3"/>
        <v/>
      </c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</row>
    <row r="1011">
      <c r="A1011" s="69">
        <v>68.0</v>
      </c>
      <c r="B1011" s="69">
        <v>103.0</v>
      </c>
      <c r="C1011" s="86" t="s">
        <v>252</v>
      </c>
      <c r="D1011" s="86" t="s">
        <v>253</v>
      </c>
      <c r="E1011" s="86" t="s">
        <v>254</v>
      </c>
      <c r="F1011" s="69">
        <v>5000.0</v>
      </c>
      <c r="G1011" s="69">
        <v>8.63</v>
      </c>
      <c r="H1011" s="68">
        <f t="shared" si="1"/>
        <v>60.25</v>
      </c>
      <c r="I1011" s="81">
        <f>IFERROR(__xludf.DUMMYFUNCTION("IF(G1011="""", """", ROUND(G1011 / MAX(FILTER($G$2:$G5067, $D$2:$D5067=$D1011)) * 100, 2))"),88.97)</f>
        <v>88.97</v>
      </c>
      <c r="J1011" s="81">
        <f>IFERROR(__xludf.DUMMYFUNCTION("IF(H1011="""", """", ROUND(H1011 / MAX(FILTER($H$2:$H5067, $D$2:$D5067=$D1011)) * 100, 2))"),99.03)</f>
        <v>99.03</v>
      </c>
      <c r="K1011" s="2"/>
      <c r="L1011" s="48"/>
      <c r="M1011" s="48"/>
      <c r="N1011" s="48"/>
      <c r="O1011" s="48" t="str">
        <f t="shared" si="2"/>
        <v/>
      </c>
      <c r="P1011" s="48" t="str">
        <f t="shared" si="3"/>
        <v/>
      </c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</row>
    <row r="1012">
      <c r="A1012" s="63">
        <v>68.0</v>
      </c>
      <c r="B1012" s="63">
        <v>103.0</v>
      </c>
      <c r="C1012" s="64" t="s">
        <v>252</v>
      </c>
      <c r="D1012" s="64" t="s">
        <v>253</v>
      </c>
      <c r="E1012" s="64" t="s">
        <v>254</v>
      </c>
      <c r="F1012" s="63">
        <v>5250.0</v>
      </c>
      <c r="G1012" s="63">
        <v>8.3</v>
      </c>
      <c r="H1012" s="66">
        <f t="shared" si="1"/>
        <v>60.84</v>
      </c>
      <c r="I1012" s="81">
        <f>IFERROR(__xludf.DUMMYFUNCTION("IF(G1012="""", """", ROUND(G1012 / MAX(FILTER($G$2:$G5067, $D$2:$D5067=$D1012)) * 100, 2))"),85.57)</f>
        <v>85.57</v>
      </c>
      <c r="J1012" s="81">
        <f>IFERROR(__xludf.DUMMYFUNCTION("IF(H1012="""", """", ROUND(H1012 / MAX(FILTER($H$2:$H5067, $D$2:$D5067=$D1012)) * 100, 2))"),100.0)</f>
        <v>100</v>
      </c>
      <c r="K1012" s="2"/>
      <c r="L1012" s="49"/>
      <c r="M1012" s="49"/>
      <c r="N1012" s="49"/>
      <c r="O1012" s="49" t="str">
        <f t="shared" si="2"/>
        <v/>
      </c>
      <c r="P1012" s="49" t="str">
        <f t="shared" si="3"/>
        <v/>
      </c>
      <c r="Q1012" s="84"/>
      <c r="R1012" s="84"/>
      <c r="S1012" s="84"/>
      <c r="T1012" s="84"/>
      <c r="U1012" s="84"/>
      <c r="V1012" s="84"/>
      <c r="W1012" s="84"/>
      <c r="X1012" s="84"/>
      <c r="Y1012" s="84"/>
      <c r="Z1012" s="84"/>
      <c r="AA1012" s="84"/>
      <c r="AB1012" s="84"/>
    </row>
    <row r="1013">
      <c r="A1013" s="69">
        <v>68.0</v>
      </c>
      <c r="B1013" s="69">
        <v>103.0</v>
      </c>
      <c r="C1013" s="86" t="s">
        <v>252</v>
      </c>
      <c r="D1013" s="86" t="s">
        <v>253</v>
      </c>
      <c r="E1013" s="86" t="s">
        <v>254</v>
      </c>
      <c r="F1013" s="69">
        <v>5700.0</v>
      </c>
      <c r="G1013" s="69">
        <v>7.57</v>
      </c>
      <c r="H1013" s="68">
        <f t="shared" si="1"/>
        <v>60.25</v>
      </c>
      <c r="I1013" s="81">
        <f>IFERROR(__xludf.DUMMYFUNCTION("IF(G1013="""", """", ROUND(G1013 / MAX(FILTER($G$2:$G5067, $D$2:$D5067=$D1013)) * 100, 2))"),78.04)</f>
        <v>78.04</v>
      </c>
      <c r="J1013" s="81">
        <f>IFERROR(__xludf.DUMMYFUNCTION("IF(H1013="""", """", ROUND(H1013 / MAX(FILTER($H$2:$H5067, $D$2:$D5067=$D1013)) * 100, 2))"),99.03)</f>
        <v>99.03</v>
      </c>
      <c r="K1013" s="2"/>
      <c r="L1013" s="48"/>
      <c r="M1013" s="48"/>
      <c r="N1013" s="48"/>
      <c r="O1013" s="48" t="str">
        <f t="shared" si="2"/>
        <v/>
      </c>
      <c r="P1013" s="48" t="str">
        <f t="shared" si="3"/>
        <v/>
      </c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  <c r="AA1013" s="84"/>
      <c r="AB1013" s="84"/>
    </row>
    <row r="1014">
      <c r="A1014" s="63">
        <v>68.0</v>
      </c>
      <c r="B1014" s="63">
        <v>103.0</v>
      </c>
      <c r="C1014" s="64" t="s">
        <v>252</v>
      </c>
      <c r="D1014" s="64" t="s">
        <v>253</v>
      </c>
      <c r="E1014" s="64" t="s">
        <v>254</v>
      </c>
      <c r="F1014" s="63">
        <v>6000.0</v>
      </c>
      <c r="G1014" s="63">
        <v>7.0</v>
      </c>
      <c r="H1014" s="66">
        <f t="shared" si="1"/>
        <v>58.64</v>
      </c>
      <c r="I1014" s="81">
        <f>IFERROR(__xludf.DUMMYFUNCTION("IF(G1014="""", """", ROUND(G1014 / MAX(FILTER($G$2:$G5067, $D$2:$D5067=$D1014)) * 100, 2))"),72.16)</f>
        <v>72.16</v>
      </c>
      <c r="J1014" s="81">
        <f>IFERROR(__xludf.DUMMYFUNCTION("IF(H1014="""", """", ROUND(H1014 / MAX(FILTER($H$2:$H5067, $D$2:$D5067=$D1014)) * 100, 2))"),96.38)</f>
        <v>96.38</v>
      </c>
      <c r="K1014" s="2"/>
      <c r="L1014" s="49"/>
      <c r="M1014" s="49"/>
      <c r="N1014" s="49"/>
      <c r="O1014" s="49" t="str">
        <f t="shared" si="2"/>
        <v/>
      </c>
      <c r="P1014" s="49" t="str">
        <f t="shared" si="3"/>
        <v/>
      </c>
      <c r="Q1014" s="84"/>
      <c r="R1014" s="84"/>
      <c r="S1014" s="84"/>
      <c r="T1014" s="84"/>
      <c r="U1014" s="84"/>
      <c r="V1014" s="84"/>
      <c r="W1014" s="84"/>
      <c r="X1014" s="84"/>
      <c r="Y1014" s="84"/>
      <c r="Z1014" s="84"/>
      <c r="AA1014" s="84"/>
      <c r="AB1014" s="84"/>
    </row>
    <row r="1015">
      <c r="A1015" s="69">
        <v>68.0</v>
      </c>
      <c r="B1015" s="69">
        <v>103.0</v>
      </c>
      <c r="C1015" s="86" t="s">
        <v>252</v>
      </c>
      <c r="D1015" s="86" t="s">
        <v>253</v>
      </c>
      <c r="E1015" s="86" t="s">
        <v>254</v>
      </c>
      <c r="F1015" s="69">
        <v>6500.0</v>
      </c>
      <c r="G1015" s="69">
        <v>6.13</v>
      </c>
      <c r="H1015" s="68">
        <f t="shared" si="1"/>
        <v>55.63</v>
      </c>
      <c r="I1015" s="81">
        <f>IFERROR(__xludf.DUMMYFUNCTION("IF(G1015="""", """", ROUND(G1015 / MAX(FILTER($G$2:$G5067, $D$2:$D5067=$D1015)) * 100, 2))"),63.2)</f>
        <v>63.2</v>
      </c>
      <c r="J1015" s="81">
        <f>IFERROR(__xludf.DUMMYFUNCTION("IF(H1015="""", """", ROUND(H1015 / MAX(FILTER($H$2:$H5067, $D$2:$D5067=$D1015)) * 100, 2))"),91.44)</f>
        <v>91.44</v>
      </c>
      <c r="K1015" s="2"/>
      <c r="L1015" s="48"/>
      <c r="M1015" s="48"/>
      <c r="N1015" s="48"/>
      <c r="O1015" s="48" t="str">
        <f t="shared" si="2"/>
        <v/>
      </c>
      <c r="P1015" s="48" t="str">
        <f t="shared" si="3"/>
        <v/>
      </c>
      <c r="Q1015" s="84"/>
      <c r="R1015" s="84"/>
      <c r="S1015" s="84"/>
      <c r="T1015" s="84"/>
      <c r="U1015" s="84"/>
      <c r="V1015" s="84"/>
      <c r="W1015" s="84"/>
      <c r="X1015" s="84"/>
      <c r="Y1015" s="84"/>
      <c r="Z1015" s="84"/>
      <c r="AA1015" s="84"/>
      <c r="AB1015" s="84"/>
    </row>
    <row r="1016">
      <c r="A1016" s="63">
        <v>69.0</v>
      </c>
      <c r="B1016" s="63">
        <v>105.0</v>
      </c>
      <c r="C1016" s="64" t="s">
        <v>255</v>
      </c>
      <c r="D1016" s="64" t="s">
        <v>256</v>
      </c>
      <c r="E1016" s="64" t="s">
        <v>257</v>
      </c>
      <c r="F1016" s="63">
        <v>500.0</v>
      </c>
      <c r="G1016" s="63">
        <v>14.98</v>
      </c>
      <c r="H1016" s="66">
        <f t="shared" si="1"/>
        <v>10.46</v>
      </c>
      <c r="I1016" s="81">
        <f>IFERROR(__xludf.DUMMYFUNCTION("IF(G1016="""", """", ROUND(G1016 / MAX(FILTER($G$2:$G5067, $D$2:$D5067=$D1016)) * 100, 2))"),71.3)</f>
        <v>71.3</v>
      </c>
      <c r="J1016" s="81">
        <f>IFERROR(__xludf.DUMMYFUNCTION("IF(H1016="""", """", ROUND(H1016 / MAX(FILTER($H$2:$H5067, $D$2:$D5067=$D1016)) * 100, 2))"),5.15)</f>
        <v>5.15</v>
      </c>
      <c r="K1016" s="2"/>
      <c r="L1016" s="49"/>
      <c r="M1016" s="49"/>
      <c r="N1016" s="49"/>
      <c r="O1016" s="49" t="str">
        <f t="shared" si="2"/>
        <v/>
      </c>
      <c r="P1016" s="49" t="str">
        <f t="shared" si="3"/>
        <v/>
      </c>
      <c r="Q1016" s="84"/>
      <c r="R1016" s="84"/>
      <c r="S1016" s="84"/>
      <c r="T1016" s="84"/>
      <c r="U1016" s="84"/>
      <c r="V1016" s="84"/>
      <c r="W1016" s="84"/>
      <c r="X1016" s="84"/>
      <c r="Y1016" s="84"/>
      <c r="Z1016" s="84"/>
      <c r="AA1016" s="84"/>
      <c r="AB1016" s="84"/>
    </row>
    <row r="1017">
      <c r="A1017" s="69">
        <v>69.0</v>
      </c>
      <c r="B1017" s="69">
        <v>105.0</v>
      </c>
      <c r="C1017" s="86" t="s">
        <v>255</v>
      </c>
      <c r="D1017" s="86" t="s">
        <v>256</v>
      </c>
      <c r="E1017" s="86" t="s">
        <v>257</v>
      </c>
      <c r="F1017" s="69">
        <v>1000.0</v>
      </c>
      <c r="G1017" s="69">
        <v>16.32</v>
      </c>
      <c r="H1017" s="68">
        <f t="shared" si="1"/>
        <v>22.79</v>
      </c>
      <c r="I1017" s="81">
        <f>IFERROR(__xludf.DUMMYFUNCTION("IF(G1017="""", """", ROUND(G1017 / MAX(FILTER($G$2:$G5067, $D$2:$D5067=$D1017)) * 100, 2))"),77.68)</f>
        <v>77.68</v>
      </c>
      <c r="J1017" s="81">
        <f>IFERROR(__xludf.DUMMYFUNCTION("IF(H1017="""", """", ROUND(H1017 / MAX(FILTER($H$2:$H5067, $D$2:$D5067=$D1017)) * 100, 2))"),11.21)</f>
        <v>11.21</v>
      </c>
      <c r="K1017" s="2"/>
      <c r="L1017" s="48"/>
      <c r="M1017" s="48"/>
      <c r="N1017" s="48"/>
      <c r="O1017" s="48" t="str">
        <f t="shared" si="2"/>
        <v/>
      </c>
      <c r="P1017" s="48" t="str">
        <f t="shared" si="3"/>
        <v/>
      </c>
      <c r="Q1017" s="84"/>
      <c r="R1017" s="84"/>
      <c r="S1017" s="84"/>
      <c r="T1017" s="84"/>
      <c r="U1017" s="84"/>
      <c r="V1017" s="84"/>
      <c r="W1017" s="84"/>
      <c r="X1017" s="84"/>
      <c r="Y1017" s="84"/>
      <c r="Z1017" s="84"/>
      <c r="AA1017" s="84"/>
      <c r="AB1017" s="84"/>
    </row>
    <row r="1018">
      <c r="A1018" s="63">
        <v>69.0</v>
      </c>
      <c r="B1018" s="63">
        <v>105.0</v>
      </c>
      <c r="C1018" s="64" t="s">
        <v>255</v>
      </c>
      <c r="D1018" s="64" t="s">
        <v>256</v>
      </c>
      <c r="E1018" s="64" t="s">
        <v>257</v>
      </c>
      <c r="F1018" s="63">
        <v>1500.0</v>
      </c>
      <c r="G1018" s="63">
        <v>17.23</v>
      </c>
      <c r="H1018" s="66">
        <f t="shared" si="1"/>
        <v>36.09</v>
      </c>
      <c r="I1018" s="81">
        <f>IFERROR(__xludf.DUMMYFUNCTION("IF(G1018="""", """", ROUND(G1018 / MAX(FILTER($G$2:$G5067, $D$2:$D5067=$D1018)) * 100, 2))"),82.01)</f>
        <v>82.01</v>
      </c>
      <c r="J1018" s="81">
        <f>IFERROR(__xludf.DUMMYFUNCTION("IF(H1018="""", """", ROUND(H1018 / MAX(FILTER($H$2:$H5067, $D$2:$D5067=$D1018)) * 100, 2))"),17.75)</f>
        <v>17.75</v>
      </c>
      <c r="K1018" s="2"/>
      <c r="L1018" s="49"/>
      <c r="M1018" s="49"/>
      <c r="N1018" s="49"/>
      <c r="O1018" s="49" t="str">
        <f t="shared" si="2"/>
        <v/>
      </c>
      <c r="P1018" s="49" t="str">
        <f t="shared" si="3"/>
        <v/>
      </c>
      <c r="Q1018" s="84"/>
      <c r="R1018" s="84"/>
      <c r="S1018" s="84"/>
      <c r="T1018" s="84"/>
      <c r="U1018" s="84"/>
      <c r="V1018" s="84"/>
      <c r="W1018" s="84"/>
      <c r="X1018" s="84"/>
      <c r="Y1018" s="84"/>
      <c r="Z1018" s="84"/>
      <c r="AA1018" s="84"/>
      <c r="AB1018" s="84"/>
    </row>
    <row r="1019">
      <c r="A1019" s="69">
        <v>69.0</v>
      </c>
      <c r="B1019" s="69">
        <v>105.0</v>
      </c>
      <c r="C1019" s="86" t="s">
        <v>255</v>
      </c>
      <c r="D1019" s="86" t="s">
        <v>256</v>
      </c>
      <c r="E1019" s="86" t="s">
        <v>257</v>
      </c>
      <c r="F1019" s="69">
        <v>2000.0</v>
      </c>
      <c r="G1019" s="69">
        <v>17.74</v>
      </c>
      <c r="H1019" s="68">
        <f t="shared" si="1"/>
        <v>49.54</v>
      </c>
      <c r="I1019" s="81">
        <f>IFERROR(__xludf.DUMMYFUNCTION("IF(G1019="""", """", ROUND(G1019 / MAX(FILTER($G$2:$G5067, $D$2:$D5067=$D1019)) * 100, 2))"),84.44)</f>
        <v>84.44</v>
      </c>
      <c r="J1019" s="81">
        <f>IFERROR(__xludf.DUMMYFUNCTION("IF(H1019="""", """", ROUND(H1019 / MAX(FILTER($H$2:$H5067, $D$2:$D5067=$D1019)) * 100, 2))"),24.37)</f>
        <v>24.37</v>
      </c>
      <c r="K1019" s="2"/>
      <c r="L1019" s="48"/>
      <c r="M1019" s="48"/>
      <c r="N1019" s="48"/>
      <c r="O1019" s="48" t="str">
        <f t="shared" si="2"/>
        <v/>
      </c>
      <c r="P1019" s="48" t="str">
        <f t="shared" si="3"/>
        <v/>
      </c>
      <c r="Q1019" s="84"/>
      <c r="R1019" s="84"/>
      <c r="S1019" s="84"/>
      <c r="T1019" s="84"/>
      <c r="U1019" s="84"/>
      <c r="V1019" s="84"/>
      <c r="W1019" s="84"/>
      <c r="X1019" s="84"/>
      <c r="Y1019" s="84"/>
      <c r="Z1019" s="84"/>
      <c r="AA1019" s="84"/>
      <c r="AB1019" s="84"/>
    </row>
    <row r="1020">
      <c r="A1020" s="63">
        <v>69.0</v>
      </c>
      <c r="B1020" s="63">
        <v>105.0</v>
      </c>
      <c r="C1020" s="64" t="s">
        <v>255</v>
      </c>
      <c r="D1020" s="64" t="s">
        <v>256</v>
      </c>
      <c r="E1020" s="64" t="s">
        <v>257</v>
      </c>
      <c r="F1020" s="63">
        <v>2500.0</v>
      </c>
      <c r="G1020" s="63">
        <v>18.51</v>
      </c>
      <c r="H1020" s="66">
        <f t="shared" si="1"/>
        <v>64.61</v>
      </c>
      <c r="I1020" s="81">
        <f>IFERROR(__xludf.DUMMYFUNCTION("IF(G1020="""", """", ROUND(G1020 / MAX(FILTER($G$2:$G5067, $D$2:$D5067=$D1020)) * 100, 2))"),88.1)</f>
        <v>88.1</v>
      </c>
      <c r="J1020" s="81">
        <f>IFERROR(__xludf.DUMMYFUNCTION("IF(H1020="""", """", ROUND(H1020 / MAX(FILTER($H$2:$H5067, $D$2:$D5067=$D1020)) * 100, 2))"),31.78)</f>
        <v>31.78</v>
      </c>
      <c r="K1020" s="2"/>
      <c r="L1020" s="49"/>
      <c r="M1020" s="49"/>
      <c r="N1020" s="49"/>
      <c r="O1020" s="49" t="str">
        <f t="shared" si="2"/>
        <v/>
      </c>
      <c r="P1020" s="49" t="str">
        <f t="shared" si="3"/>
        <v/>
      </c>
      <c r="Q1020" s="84"/>
      <c r="R1020" s="84"/>
      <c r="S1020" s="84"/>
      <c r="T1020" s="84"/>
      <c r="U1020" s="84"/>
      <c r="V1020" s="84"/>
      <c r="W1020" s="84"/>
      <c r="X1020" s="84"/>
      <c r="Y1020" s="84"/>
      <c r="Z1020" s="84"/>
      <c r="AA1020" s="84"/>
      <c r="AB1020" s="84"/>
    </row>
    <row r="1021">
      <c r="A1021" s="69">
        <v>69.0</v>
      </c>
      <c r="B1021" s="69">
        <v>105.0</v>
      </c>
      <c r="C1021" s="86" t="s">
        <v>255</v>
      </c>
      <c r="D1021" s="86" t="s">
        <v>256</v>
      </c>
      <c r="E1021" s="86" t="s">
        <v>257</v>
      </c>
      <c r="F1021" s="69">
        <v>3000.0</v>
      </c>
      <c r="G1021" s="69">
        <v>19.27</v>
      </c>
      <c r="H1021" s="68">
        <f t="shared" si="1"/>
        <v>80.72</v>
      </c>
      <c r="I1021" s="81">
        <f>IFERROR(__xludf.DUMMYFUNCTION("IF(G1021="""", """", ROUND(G1021 / MAX(FILTER($G$2:$G5067, $D$2:$D5067=$D1021)) * 100, 2))"),91.72)</f>
        <v>91.72</v>
      </c>
      <c r="J1021" s="81">
        <f>IFERROR(__xludf.DUMMYFUNCTION("IF(H1021="""", """", ROUND(H1021 / MAX(FILTER($H$2:$H5067, $D$2:$D5067=$D1021)) * 100, 2))"),39.7)</f>
        <v>39.7</v>
      </c>
      <c r="K1021" s="2"/>
      <c r="L1021" s="48"/>
      <c r="M1021" s="48"/>
      <c r="N1021" s="48"/>
      <c r="O1021" s="48" t="str">
        <f t="shared" si="2"/>
        <v/>
      </c>
      <c r="P1021" s="48" t="str">
        <f t="shared" si="3"/>
        <v/>
      </c>
      <c r="Q1021" s="84"/>
      <c r="R1021" s="84"/>
      <c r="S1021" s="84"/>
      <c r="T1021" s="84"/>
      <c r="U1021" s="84"/>
      <c r="V1021" s="84"/>
      <c r="W1021" s="84"/>
      <c r="X1021" s="84"/>
      <c r="Y1021" s="84"/>
      <c r="Z1021" s="84"/>
      <c r="AA1021" s="84"/>
      <c r="AB1021" s="84"/>
    </row>
    <row r="1022">
      <c r="A1022" s="63">
        <v>69.0</v>
      </c>
      <c r="B1022" s="63">
        <v>105.0</v>
      </c>
      <c r="C1022" s="64" t="s">
        <v>255</v>
      </c>
      <c r="D1022" s="64" t="s">
        <v>256</v>
      </c>
      <c r="E1022" s="64" t="s">
        <v>257</v>
      </c>
      <c r="F1022" s="63">
        <v>3500.0</v>
      </c>
      <c r="G1022" s="63">
        <v>19.02</v>
      </c>
      <c r="H1022" s="66">
        <f t="shared" si="1"/>
        <v>92.95</v>
      </c>
      <c r="I1022" s="81">
        <f>IFERROR(__xludf.DUMMYFUNCTION("IF(G1022="""", """", ROUND(G1022 / MAX(FILTER($G$2:$G5067, $D$2:$D5067=$D1022)) * 100, 2))"),90.53)</f>
        <v>90.53</v>
      </c>
      <c r="J1022" s="81">
        <f>IFERROR(__xludf.DUMMYFUNCTION("IF(H1022="""", """", ROUND(H1022 / MAX(FILTER($H$2:$H5067, $D$2:$D5067=$D1022)) * 100, 2))"),45.72)</f>
        <v>45.72</v>
      </c>
      <c r="K1022" s="2"/>
      <c r="L1022" s="49"/>
      <c r="M1022" s="49"/>
      <c r="N1022" s="49"/>
      <c r="O1022" s="49" t="str">
        <f t="shared" si="2"/>
        <v/>
      </c>
      <c r="P1022" s="49" t="str">
        <f t="shared" si="3"/>
        <v/>
      </c>
      <c r="Q1022" s="84"/>
      <c r="R1022" s="84"/>
      <c r="S1022" s="84"/>
      <c r="T1022" s="84"/>
      <c r="U1022" s="84"/>
      <c r="V1022" s="84"/>
      <c r="W1022" s="84"/>
      <c r="X1022" s="84"/>
      <c r="Y1022" s="84"/>
      <c r="Z1022" s="84"/>
      <c r="AA1022" s="84"/>
      <c r="AB1022" s="84"/>
    </row>
    <row r="1023">
      <c r="A1023" s="69">
        <v>69.0</v>
      </c>
      <c r="B1023" s="69">
        <v>105.0</v>
      </c>
      <c r="C1023" s="86" t="s">
        <v>255</v>
      </c>
      <c r="D1023" s="86" t="s">
        <v>256</v>
      </c>
      <c r="E1023" s="86" t="s">
        <v>257</v>
      </c>
      <c r="F1023" s="69">
        <v>4000.0</v>
      </c>
      <c r="G1023" s="69">
        <v>18.76</v>
      </c>
      <c r="H1023" s="68">
        <f t="shared" si="1"/>
        <v>104.78</v>
      </c>
      <c r="I1023" s="81">
        <f>IFERROR(__xludf.DUMMYFUNCTION("IF(G1023="""", """", ROUND(G1023 / MAX(FILTER($G$2:$G5067, $D$2:$D5067=$D1023)) * 100, 2))"),89.29)</f>
        <v>89.29</v>
      </c>
      <c r="J1023" s="81">
        <f>IFERROR(__xludf.DUMMYFUNCTION("IF(H1023="""", """", ROUND(H1023 / MAX(FILTER($H$2:$H5067, $D$2:$D5067=$D1023)) * 100, 2))"),51.54)</f>
        <v>51.54</v>
      </c>
      <c r="K1023" s="2"/>
      <c r="L1023" s="48"/>
      <c r="M1023" s="48"/>
      <c r="N1023" s="48"/>
      <c r="O1023" s="48" t="str">
        <f t="shared" si="2"/>
        <v/>
      </c>
      <c r="P1023" s="48" t="str">
        <f t="shared" si="3"/>
        <v/>
      </c>
      <c r="Q1023" s="84"/>
      <c r="R1023" s="84"/>
      <c r="S1023" s="84"/>
      <c r="T1023" s="84"/>
      <c r="U1023" s="84"/>
      <c r="V1023" s="84"/>
      <c r="W1023" s="84"/>
      <c r="X1023" s="84"/>
      <c r="Y1023" s="84"/>
      <c r="Z1023" s="84"/>
      <c r="AA1023" s="84"/>
      <c r="AB1023" s="84"/>
    </row>
    <row r="1024">
      <c r="A1024" s="63">
        <v>69.0</v>
      </c>
      <c r="B1024" s="63">
        <v>105.0</v>
      </c>
      <c r="C1024" s="64" t="s">
        <v>255</v>
      </c>
      <c r="D1024" s="64" t="s">
        <v>256</v>
      </c>
      <c r="E1024" s="64" t="s">
        <v>257</v>
      </c>
      <c r="F1024" s="63">
        <v>4500.0</v>
      </c>
      <c r="G1024" s="63">
        <v>20.19</v>
      </c>
      <c r="H1024" s="66">
        <f t="shared" si="1"/>
        <v>126.86</v>
      </c>
      <c r="I1024" s="81">
        <f>IFERROR(__xludf.DUMMYFUNCTION("IF(G1024="""", """", ROUND(G1024 / MAX(FILTER($G$2:$G5067, $D$2:$D5067=$D1024)) * 100, 2))"),96.1)</f>
        <v>96.1</v>
      </c>
      <c r="J1024" s="81">
        <f>IFERROR(__xludf.DUMMYFUNCTION("IF(H1024="""", """", ROUND(H1024 / MAX(FILTER($H$2:$H5067, $D$2:$D5067=$D1024)) * 100, 2))"),62.4)</f>
        <v>62.4</v>
      </c>
      <c r="K1024" s="2"/>
      <c r="L1024" s="49"/>
      <c r="M1024" s="49"/>
      <c r="N1024" s="49"/>
      <c r="O1024" s="49" t="str">
        <f t="shared" si="2"/>
        <v/>
      </c>
      <c r="P1024" s="49" t="str">
        <f t="shared" si="3"/>
        <v/>
      </c>
      <c r="Q1024" s="84"/>
      <c r="R1024" s="84"/>
      <c r="S1024" s="84"/>
      <c r="T1024" s="84"/>
      <c r="U1024" s="84"/>
      <c r="V1024" s="84"/>
      <c r="W1024" s="84"/>
      <c r="X1024" s="84"/>
      <c r="Y1024" s="84"/>
      <c r="Z1024" s="84"/>
      <c r="AA1024" s="84"/>
      <c r="AB1024" s="84"/>
    </row>
    <row r="1025">
      <c r="A1025" s="69">
        <v>69.0</v>
      </c>
      <c r="B1025" s="69">
        <v>105.0</v>
      </c>
      <c r="C1025" s="86" t="s">
        <v>255</v>
      </c>
      <c r="D1025" s="86" t="s">
        <v>256</v>
      </c>
      <c r="E1025" s="86" t="s">
        <v>257</v>
      </c>
      <c r="F1025" s="69">
        <v>5000.0</v>
      </c>
      <c r="G1025" s="69">
        <v>21.01</v>
      </c>
      <c r="H1025" s="68">
        <f t="shared" si="1"/>
        <v>146.68</v>
      </c>
      <c r="I1025" s="81">
        <f>IFERROR(__xludf.DUMMYFUNCTION("IF(G1025="""", """", ROUND(G1025 / MAX(FILTER($G$2:$G5067, $D$2:$D5067=$D1025)) * 100, 2))"),100.0)</f>
        <v>100</v>
      </c>
      <c r="J1025" s="81">
        <f>IFERROR(__xludf.DUMMYFUNCTION("IF(H1025="""", """", ROUND(H1025 / MAX(FILTER($H$2:$H5067, $D$2:$D5067=$D1025)) * 100, 2))"),72.15)</f>
        <v>72.15</v>
      </c>
      <c r="K1025" s="2"/>
      <c r="L1025" s="48"/>
      <c r="M1025" s="48"/>
      <c r="N1025" s="48"/>
      <c r="O1025" s="48" t="str">
        <f t="shared" si="2"/>
        <v/>
      </c>
      <c r="P1025" s="48" t="str">
        <f t="shared" si="3"/>
        <v/>
      </c>
      <c r="Q1025" s="84"/>
      <c r="R1025" s="84"/>
      <c r="S1025" s="84"/>
      <c r="T1025" s="84"/>
      <c r="U1025" s="84"/>
      <c r="V1025" s="84"/>
      <c r="W1025" s="84"/>
      <c r="X1025" s="84"/>
      <c r="Y1025" s="84"/>
      <c r="Z1025" s="84"/>
      <c r="AA1025" s="84"/>
      <c r="AB1025" s="84"/>
    </row>
    <row r="1026">
      <c r="A1026" s="63">
        <v>69.0</v>
      </c>
      <c r="B1026" s="63">
        <v>105.0</v>
      </c>
      <c r="C1026" s="64" t="s">
        <v>255</v>
      </c>
      <c r="D1026" s="64" t="s">
        <v>256</v>
      </c>
      <c r="E1026" s="64" t="s">
        <v>257</v>
      </c>
      <c r="F1026" s="63">
        <v>5500.0</v>
      </c>
      <c r="G1026" s="63">
        <v>20.96</v>
      </c>
      <c r="H1026" s="66">
        <f t="shared" si="1"/>
        <v>160.96</v>
      </c>
      <c r="I1026" s="81">
        <f>IFERROR(__xludf.DUMMYFUNCTION("IF(G1026="""", """", ROUND(G1026 / MAX(FILTER($G$2:$G5067, $D$2:$D5067=$D1026)) * 100, 2))"),99.76)</f>
        <v>99.76</v>
      </c>
      <c r="J1026" s="81">
        <f>IFERROR(__xludf.DUMMYFUNCTION("IF(H1026="""", """", ROUND(H1026 / MAX(FILTER($H$2:$H5067, $D$2:$D5067=$D1026)) * 100, 2))"),79.17)</f>
        <v>79.17</v>
      </c>
      <c r="K1026" s="2"/>
      <c r="L1026" s="49"/>
      <c r="M1026" s="49"/>
      <c r="N1026" s="49"/>
      <c r="O1026" s="49" t="str">
        <f t="shared" si="2"/>
        <v/>
      </c>
      <c r="P1026" s="49" t="str">
        <f t="shared" si="3"/>
        <v/>
      </c>
      <c r="Q1026" s="84"/>
      <c r="R1026" s="84"/>
      <c r="S1026" s="84"/>
      <c r="T1026" s="84"/>
      <c r="U1026" s="84"/>
      <c r="V1026" s="84"/>
      <c r="W1026" s="84"/>
      <c r="X1026" s="84"/>
      <c r="Y1026" s="84"/>
      <c r="Z1026" s="84"/>
      <c r="AA1026" s="84"/>
      <c r="AB1026" s="84"/>
    </row>
    <row r="1027">
      <c r="A1027" s="69">
        <v>69.0</v>
      </c>
      <c r="B1027" s="69">
        <v>105.0</v>
      </c>
      <c r="C1027" s="86" t="s">
        <v>255</v>
      </c>
      <c r="D1027" s="86" t="s">
        <v>256</v>
      </c>
      <c r="E1027" s="86" t="s">
        <v>257</v>
      </c>
      <c r="F1027" s="69">
        <v>6000.0</v>
      </c>
      <c r="G1027" s="69">
        <v>20.9</v>
      </c>
      <c r="H1027" s="68">
        <f t="shared" si="1"/>
        <v>175.09</v>
      </c>
      <c r="I1027" s="81">
        <f>IFERROR(__xludf.DUMMYFUNCTION("IF(G1027="""", """", ROUND(G1027 / MAX(FILTER($G$2:$G5067, $D$2:$D5067=$D1027)) * 100, 2))"),99.48)</f>
        <v>99.48</v>
      </c>
      <c r="J1027" s="81">
        <f>IFERROR(__xludf.DUMMYFUNCTION("IF(H1027="""", """", ROUND(H1027 / MAX(FILTER($H$2:$H5067, $D$2:$D5067=$D1027)) * 100, 2))"),86.12)</f>
        <v>86.12</v>
      </c>
      <c r="K1027" s="2"/>
      <c r="L1027" s="48"/>
      <c r="M1027" s="48"/>
      <c r="N1027" s="48"/>
      <c r="O1027" s="48" t="str">
        <f t="shared" si="2"/>
        <v/>
      </c>
      <c r="P1027" s="48" t="str">
        <f t="shared" si="3"/>
        <v/>
      </c>
      <c r="Q1027" s="84"/>
      <c r="R1027" s="84"/>
      <c r="S1027" s="84"/>
      <c r="T1027" s="84"/>
      <c r="U1027" s="84"/>
      <c r="V1027" s="84"/>
      <c r="W1027" s="84"/>
      <c r="X1027" s="84"/>
      <c r="Y1027" s="84"/>
      <c r="Z1027" s="84"/>
      <c r="AA1027" s="84"/>
      <c r="AB1027" s="84"/>
    </row>
    <row r="1028">
      <c r="A1028" s="63">
        <v>69.0</v>
      </c>
      <c r="B1028" s="63">
        <v>105.0</v>
      </c>
      <c r="C1028" s="64" t="s">
        <v>255</v>
      </c>
      <c r="D1028" s="64" t="s">
        <v>256</v>
      </c>
      <c r="E1028" s="64" t="s">
        <v>257</v>
      </c>
      <c r="F1028" s="63">
        <v>6500.0</v>
      </c>
      <c r="G1028" s="63">
        <v>20.85</v>
      </c>
      <c r="H1028" s="66">
        <f t="shared" si="1"/>
        <v>189.23</v>
      </c>
      <c r="I1028" s="81">
        <f>IFERROR(__xludf.DUMMYFUNCTION("IF(G1028="""", """", ROUND(G1028 / MAX(FILTER($G$2:$G5067, $D$2:$D5067=$D1028)) * 100, 2))"),99.24)</f>
        <v>99.24</v>
      </c>
      <c r="J1028" s="81">
        <f>IFERROR(__xludf.DUMMYFUNCTION("IF(H1028="""", """", ROUND(H1028 / MAX(FILTER($H$2:$H5067, $D$2:$D5067=$D1028)) * 100, 2))"),93.08)</f>
        <v>93.08</v>
      </c>
      <c r="K1028" s="2"/>
      <c r="L1028" s="49"/>
      <c r="M1028" s="49"/>
      <c r="N1028" s="49"/>
      <c r="O1028" s="49" t="str">
        <f t="shared" si="2"/>
        <v/>
      </c>
      <c r="P1028" s="49" t="str">
        <f t="shared" si="3"/>
        <v/>
      </c>
      <c r="Q1028" s="84"/>
      <c r="R1028" s="84"/>
      <c r="S1028" s="84"/>
      <c r="T1028" s="84"/>
      <c r="U1028" s="84"/>
      <c r="V1028" s="84"/>
      <c r="W1028" s="84"/>
      <c r="X1028" s="84"/>
      <c r="Y1028" s="84"/>
      <c r="Z1028" s="84"/>
      <c r="AA1028" s="84"/>
      <c r="AB1028" s="84"/>
    </row>
    <row r="1029">
      <c r="A1029" s="69">
        <v>69.0</v>
      </c>
      <c r="B1029" s="69">
        <v>105.0</v>
      </c>
      <c r="C1029" s="86" t="s">
        <v>255</v>
      </c>
      <c r="D1029" s="86" t="s">
        <v>256</v>
      </c>
      <c r="E1029" s="86" t="s">
        <v>257</v>
      </c>
      <c r="F1029" s="69">
        <v>7000.0</v>
      </c>
      <c r="G1029" s="69">
        <v>20.8</v>
      </c>
      <c r="H1029" s="68">
        <f t="shared" si="1"/>
        <v>203.3</v>
      </c>
      <c r="I1029" s="81">
        <f>IFERROR(__xludf.DUMMYFUNCTION("IF(G1029="""", """", ROUND(G1029 / MAX(FILTER($G$2:$G5067, $D$2:$D5067=$D1029)) * 100, 2))"),99.0)</f>
        <v>99</v>
      </c>
      <c r="J1029" s="81">
        <f>IFERROR(__xludf.DUMMYFUNCTION("IF(H1029="""", """", ROUND(H1029 / MAX(FILTER($H$2:$H5067, $D$2:$D5067=$D1029)) * 100, 2))"),100.0)</f>
        <v>100</v>
      </c>
      <c r="K1029" s="2"/>
      <c r="L1029" s="48"/>
      <c r="M1029" s="48"/>
      <c r="N1029" s="48"/>
      <c r="O1029" s="48" t="str">
        <f t="shared" si="2"/>
        <v/>
      </c>
      <c r="P1029" s="48" t="str">
        <f t="shared" si="3"/>
        <v/>
      </c>
      <c r="Q1029" s="84"/>
      <c r="R1029" s="84"/>
      <c r="S1029" s="84"/>
      <c r="T1029" s="84"/>
      <c r="U1029" s="84"/>
      <c r="V1029" s="84"/>
      <c r="W1029" s="84"/>
      <c r="X1029" s="84"/>
      <c r="Y1029" s="84"/>
      <c r="Z1029" s="84"/>
      <c r="AA1029" s="84"/>
      <c r="AB1029" s="84"/>
    </row>
    <row r="1030">
      <c r="A1030" s="63">
        <v>69.0</v>
      </c>
      <c r="B1030" s="63">
        <v>105.0</v>
      </c>
      <c r="C1030" s="64" t="s">
        <v>255</v>
      </c>
      <c r="D1030" s="64" t="s">
        <v>256</v>
      </c>
      <c r="E1030" s="64" t="s">
        <v>257</v>
      </c>
      <c r="F1030" s="63">
        <v>7500.0</v>
      </c>
      <c r="G1030" s="63">
        <v>19.31</v>
      </c>
      <c r="H1030" s="66">
        <f t="shared" si="1"/>
        <v>202.21</v>
      </c>
      <c r="I1030" s="81">
        <f>IFERROR(__xludf.DUMMYFUNCTION("IF(G1030="""", """", ROUND(G1030 / MAX(FILTER($G$2:$G5067, $D$2:$D5067=$D1030)) * 100, 2))"),91.91)</f>
        <v>91.91</v>
      </c>
      <c r="J1030" s="81">
        <f>IFERROR(__xludf.DUMMYFUNCTION("IF(H1030="""", """", ROUND(H1030 / MAX(FILTER($H$2:$H5067, $D$2:$D5067=$D1030)) * 100, 2))"),99.46)</f>
        <v>99.46</v>
      </c>
      <c r="K1030" s="2"/>
      <c r="L1030" s="49"/>
      <c r="M1030" s="49"/>
      <c r="N1030" s="49"/>
      <c r="O1030" s="49" t="str">
        <f t="shared" si="2"/>
        <v/>
      </c>
      <c r="P1030" s="49" t="str">
        <f t="shared" si="3"/>
        <v/>
      </c>
      <c r="Q1030" s="84"/>
      <c r="R1030" s="84"/>
      <c r="S1030" s="84"/>
      <c r="T1030" s="84"/>
      <c r="U1030" s="84"/>
      <c r="V1030" s="84"/>
      <c r="W1030" s="84"/>
      <c r="X1030" s="84"/>
      <c r="Y1030" s="84"/>
      <c r="Z1030" s="84"/>
      <c r="AA1030" s="84"/>
      <c r="AB1030" s="84"/>
    </row>
    <row r="1031">
      <c r="A1031" s="69">
        <v>69.0</v>
      </c>
      <c r="B1031" s="69">
        <v>105.0</v>
      </c>
      <c r="C1031" s="86" t="s">
        <v>255</v>
      </c>
      <c r="D1031" s="86" t="s">
        <v>256</v>
      </c>
      <c r="E1031" s="86" t="s">
        <v>257</v>
      </c>
      <c r="F1031" s="69">
        <v>8000.0</v>
      </c>
      <c r="G1031" s="69">
        <v>17.33</v>
      </c>
      <c r="H1031" s="68">
        <f t="shared" si="1"/>
        <v>193.58</v>
      </c>
      <c r="I1031" s="81">
        <f>IFERROR(__xludf.DUMMYFUNCTION("IF(G1031="""", """", ROUND(G1031 / MAX(FILTER($G$2:$G5067, $D$2:$D5067=$D1031)) * 100, 2))"),82.48)</f>
        <v>82.48</v>
      </c>
      <c r="J1031" s="81">
        <f>IFERROR(__xludf.DUMMYFUNCTION("IF(H1031="""", """", ROUND(H1031 / MAX(FILTER($H$2:$H5067, $D$2:$D5067=$D1031)) * 100, 2))"),95.22)</f>
        <v>95.22</v>
      </c>
      <c r="K1031" s="2"/>
      <c r="L1031" s="48"/>
      <c r="M1031" s="48"/>
      <c r="N1031" s="48"/>
      <c r="O1031" s="48" t="str">
        <f t="shared" si="2"/>
        <v/>
      </c>
      <c r="P1031" s="48" t="str">
        <f t="shared" si="3"/>
        <v/>
      </c>
      <c r="Q1031" s="84"/>
      <c r="R1031" s="84"/>
      <c r="S1031" s="84"/>
      <c r="T1031" s="84"/>
      <c r="U1031" s="84"/>
      <c r="V1031" s="84"/>
      <c r="W1031" s="84"/>
      <c r="X1031" s="84"/>
      <c r="Y1031" s="84"/>
      <c r="Z1031" s="84"/>
      <c r="AA1031" s="84"/>
      <c r="AB1031" s="84"/>
    </row>
    <row r="1032">
      <c r="A1032" s="63">
        <v>70.0</v>
      </c>
      <c r="B1032" s="63">
        <v>106.0</v>
      </c>
      <c r="C1032" s="64" t="s">
        <v>258</v>
      </c>
      <c r="D1032" s="64" t="s">
        <v>259</v>
      </c>
      <c r="E1032" s="64" t="s">
        <v>260</v>
      </c>
      <c r="F1032" s="63">
        <v>500.0</v>
      </c>
      <c r="G1032" s="63">
        <v>15.28</v>
      </c>
      <c r="H1032" s="66">
        <f t="shared" si="1"/>
        <v>10.67</v>
      </c>
      <c r="I1032" s="81">
        <f>IFERROR(__xludf.DUMMYFUNCTION("IF(G1032="""", """", ROUND(G1032 / MAX(FILTER($G$2:$G5067, $D$2:$D5067=$D1032)) * 100, 2))"),67.79)</f>
        <v>67.79</v>
      </c>
      <c r="J1032" s="81">
        <f>IFERROR(__xludf.DUMMYFUNCTION("IF(H1032="""", """", ROUND(H1032 / MAX(FILTER($H$2:$H5067, $D$2:$D5067=$D1032)) * 100, 2))"),4.84)</f>
        <v>4.84</v>
      </c>
      <c r="K1032" s="2"/>
      <c r="L1032" s="49"/>
      <c r="M1032" s="49"/>
      <c r="N1032" s="49"/>
      <c r="O1032" s="49" t="str">
        <f t="shared" si="2"/>
        <v/>
      </c>
      <c r="P1032" s="49" t="str">
        <f t="shared" si="3"/>
        <v/>
      </c>
      <c r="Q1032" s="84"/>
      <c r="R1032" s="84"/>
      <c r="S1032" s="84"/>
      <c r="T1032" s="84"/>
      <c r="U1032" s="84"/>
      <c r="V1032" s="84"/>
      <c r="W1032" s="84"/>
      <c r="X1032" s="84"/>
      <c r="Y1032" s="84"/>
      <c r="Z1032" s="84"/>
      <c r="AA1032" s="84"/>
      <c r="AB1032" s="84"/>
    </row>
    <row r="1033">
      <c r="A1033" s="69">
        <v>70.0</v>
      </c>
      <c r="B1033" s="69">
        <v>106.0</v>
      </c>
      <c r="C1033" s="86" t="s">
        <v>258</v>
      </c>
      <c r="D1033" s="86" t="s">
        <v>259</v>
      </c>
      <c r="E1033" s="86" t="s">
        <v>260</v>
      </c>
      <c r="F1033" s="69">
        <v>1000.0</v>
      </c>
      <c r="G1033" s="69">
        <v>16.32</v>
      </c>
      <c r="H1033" s="68">
        <f t="shared" si="1"/>
        <v>22.79</v>
      </c>
      <c r="I1033" s="81">
        <f>IFERROR(__xludf.DUMMYFUNCTION("IF(G1033="""", """", ROUND(G1033 / MAX(FILTER($G$2:$G5067, $D$2:$D5067=$D1033)) * 100, 2))"),72.4)</f>
        <v>72.4</v>
      </c>
      <c r="J1033" s="81">
        <f>IFERROR(__xludf.DUMMYFUNCTION("IF(H1033="""", """", ROUND(H1033 / MAX(FILTER($H$2:$H5067, $D$2:$D5067=$D1033)) * 100, 2))"),10.34)</f>
        <v>10.34</v>
      </c>
      <c r="K1033" s="2"/>
      <c r="L1033" s="48"/>
      <c r="M1033" s="48"/>
      <c r="N1033" s="48"/>
      <c r="O1033" s="48" t="str">
        <f t="shared" si="2"/>
        <v/>
      </c>
      <c r="P1033" s="48" t="str">
        <f t="shared" si="3"/>
        <v/>
      </c>
      <c r="Q1033" s="84"/>
      <c r="R1033" s="84"/>
      <c r="S1033" s="84"/>
      <c r="T1033" s="84"/>
      <c r="U1033" s="84"/>
      <c r="V1033" s="84"/>
      <c r="W1033" s="84"/>
      <c r="X1033" s="84"/>
      <c r="Y1033" s="84"/>
      <c r="Z1033" s="84"/>
      <c r="AA1033" s="84"/>
      <c r="AB1033" s="84"/>
    </row>
    <row r="1034">
      <c r="A1034" s="63">
        <v>70.0</v>
      </c>
      <c r="B1034" s="63">
        <v>106.0</v>
      </c>
      <c r="C1034" s="64" t="s">
        <v>258</v>
      </c>
      <c r="D1034" s="64" t="s">
        <v>259</v>
      </c>
      <c r="E1034" s="64" t="s">
        <v>260</v>
      </c>
      <c r="F1034" s="63">
        <v>1500.0</v>
      </c>
      <c r="G1034" s="63">
        <v>17.34</v>
      </c>
      <c r="H1034" s="66">
        <f t="shared" si="1"/>
        <v>36.32</v>
      </c>
      <c r="I1034" s="81">
        <f>IFERROR(__xludf.DUMMYFUNCTION("IF(G1034="""", """", ROUND(G1034 / MAX(FILTER($G$2:$G5067, $D$2:$D5067=$D1034)) * 100, 2))"),76.93)</f>
        <v>76.93</v>
      </c>
      <c r="J1034" s="81">
        <f>IFERROR(__xludf.DUMMYFUNCTION("IF(H1034="""", """", ROUND(H1034 / MAX(FILTER($H$2:$H5067, $D$2:$D5067=$D1034)) * 100, 2))"),16.49)</f>
        <v>16.49</v>
      </c>
      <c r="K1034" s="2"/>
      <c r="L1034" s="49"/>
      <c r="M1034" s="49"/>
      <c r="N1034" s="49"/>
      <c r="O1034" s="49" t="str">
        <f t="shared" si="2"/>
        <v/>
      </c>
      <c r="P1034" s="49" t="str">
        <f t="shared" si="3"/>
        <v/>
      </c>
      <c r="Q1034" s="84"/>
      <c r="R1034" s="84"/>
      <c r="S1034" s="84"/>
      <c r="T1034" s="84"/>
      <c r="U1034" s="84"/>
      <c r="V1034" s="84"/>
      <c r="W1034" s="84"/>
      <c r="X1034" s="84"/>
      <c r="Y1034" s="84"/>
      <c r="Z1034" s="84"/>
      <c r="AA1034" s="84"/>
      <c r="AB1034" s="84"/>
    </row>
    <row r="1035">
      <c r="A1035" s="69">
        <v>70.0</v>
      </c>
      <c r="B1035" s="69">
        <v>106.0</v>
      </c>
      <c r="C1035" s="86" t="s">
        <v>258</v>
      </c>
      <c r="D1035" s="86" t="s">
        <v>259</v>
      </c>
      <c r="E1035" s="86" t="s">
        <v>260</v>
      </c>
      <c r="F1035" s="69">
        <v>2000.0</v>
      </c>
      <c r="G1035" s="69">
        <v>18.35</v>
      </c>
      <c r="H1035" s="68">
        <f t="shared" si="1"/>
        <v>51.24</v>
      </c>
      <c r="I1035" s="81">
        <f>IFERROR(__xludf.DUMMYFUNCTION("IF(G1035="""", """", ROUND(G1035 / MAX(FILTER($G$2:$G5067, $D$2:$D5067=$D1035)) * 100, 2))"),81.41)</f>
        <v>81.41</v>
      </c>
      <c r="J1035" s="81">
        <f>IFERROR(__xludf.DUMMYFUNCTION("IF(H1035="""", """", ROUND(H1035 / MAX(FILTER($H$2:$H5067, $D$2:$D5067=$D1035)) * 100, 2))"),23.26)</f>
        <v>23.26</v>
      </c>
      <c r="K1035" s="2"/>
      <c r="L1035" s="48"/>
      <c r="M1035" s="48"/>
      <c r="N1035" s="48"/>
      <c r="O1035" s="48" t="str">
        <f t="shared" si="2"/>
        <v/>
      </c>
      <c r="P1035" s="48" t="str">
        <f t="shared" si="3"/>
        <v/>
      </c>
      <c r="Q1035" s="84"/>
      <c r="R1035" s="84"/>
      <c r="S1035" s="84"/>
      <c r="T1035" s="84"/>
      <c r="U1035" s="84"/>
      <c r="V1035" s="84"/>
      <c r="W1035" s="84"/>
      <c r="X1035" s="84"/>
      <c r="Y1035" s="84"/>
      <c r="Z1035" s="84"/>
      <c r="AA1035" s="84"/>
      <c r="AB1035" s="84"/>
    </row>
    <row r="1036">
      <c r="A1036" s="63">
        <v>70.0</v>
      </c>
      <c r="B1036" s="63">
        <v>106.0</v>
      </c>
      <c r="C1036" s="64" t="s">
        <v>258</v>
      </c>
      <c r="D1036" s="64" t="s">
        <v>259</v>
      </c>
      <c r="E1036" s="64" t="s">
        <v>260</v>
      </c>
      <c r="F1036" s="63">
        <v>2500.0</v>
      </c>
      <c r="G1036" s="63">
        <v>19.27</v>
      </c>
      <c r="H1036" s="66">
        <f t="shared" si="1"/>
        <v>67.26</v>
      </c>
      <c r="I1036" s="81">
        <f>IFERROR(__xludf.DUMMYFUNCTION("IF(G1036="""", """", ROUND(G1036 / MAX(FILTER($G$2:$G5067, $D$2:$D5067=$D1036)) * 100, 2))"),85.49)</f>
        <v>85.49</v>
      </c>
      <c r="J1036" s="81">
        <f>IFERROR(__xludf.DUMMYFUNCTION("IF(H1036="""", """", ROUND(H1036 / MAX(FILTER($H$2:$H5067, $D$2:$D5067=$D1036)) * 100, 2))"),30.53)</f>
        <v>30.53</v>
      </c>
      <c r="K1036" s="2"/>
      <c r="L1036" s="49"/>
      <c r="M1036" s="49"/>
      <c r="N1036" s="49"/>
      <c r="O1036" s="49" t="str">
        <f t="shared" si="2"/>
        <v/>
      </c>
      <c r="P1036" s="49" t="str">
        <f t="shared" si="3"/>
        <v/>
      </c>
      <c r="Q1036" s="84"/>
      <c r="R1036" s="84"/>
      <c r="S1036" s="84"/>
      <c r="T1036" s="84"/>
      <c r="U1036" s="84"/>
      <c r="V1036" s="84"/>
      <c r="W1036" s="84"/>
      <c r="X1036" s="84"/>
      <c r="Y1036" s="84"/>
      <c r="Z1036" s="84"/>
      <c r="AA1036" s="84"/>
      <c r="AB1036" s="84"/>
    </row>
    <row r="1037">
      <c r="A1037" s="69">
        <v>70.0</v>
      </c>
      <c r="B1037" s="69">
        <v>106.0</v>
      </c>
      <c r="C1037" s="86" t="s">
        <v>258</v>
      </c>
      <c r="D1037" s="86" t="s">
        <v>259</v>
      </c>
      <c r="E1037" s="86" t="s">
        <v>260</v>
      </c>
      <c r="F1037" s="69">
        <v>3000.0</v>
      </c>
      <c r="G1037" s="69">
        <v>20.19</v>
      </c>
      <c r="H1037" s="68">
        <f t="shared" si="1"/>
        <v>84.57</v>
      </c>
      <c r="I1037" s="81">
        <f>IFERROR(__xludf.DUMMYFUNCTION("IF(G1037="""", """", ROUND(G1037 / MAX(FILTER($G$2:$G5067, $D$2:$D5067=$D1037)) * 100, 2))"),89.57)</f>
        <v>89.57</v>
      </c>
      <c r="J1037" s="81">
        <f>IFERROR(__xludf.DUMMYFUNCTION("IF(H1037="""", """", ROUND(H1037 / MAX(FILTER($H$2:$H5067, $D$2:$D5067=$D1037)) * 100, 2))"),38.39)</f>
        <v>38.39</v>
      </c>
      <c r="K1037" s="2"/>
      <c r="L1037" s="48"/>
      <c r="M1037" s="48"/>
      <c r="N1037" s="48"/>
      <c r="O1037" s="48" t="str">
        <f t="shared" si="2"/>
        <v/>
      </c>
      <c r="P1037" s="48" t="str">
        <f t="shared" si="3"/>
        <v/>
      </c>
      <c r="Q1037" s="84"/>
      <c r="R1037" s="84"/>
      <c r="S1037" s="84"/>
      <c r="T1037" s="84"/>
      <c r="U1037" s="84"/>
      <c r="V1037" s="84"/>
      <c r="W1037" s="84"/>
      <c r="X1037" s="84"/>
      <c r="Y1037" s="84"/>
      <c r="Z1037" s="84"/>
      <c r="AA1037" s="84"/>
      <c r="AB1037" s="84"/>
    </row>
    <row r="1038">
      <c r="A1038" s="63">
        <v>70.0</v>
      </c>
      <c r="B1038" s="63">
        <v>106.0</v>
      </c>
      <c r="C1038" s="64" t="s">
        <v>258</v>
      </c>
      <c r="D1038" s="64" t="s">
        <v>259</v>
      </c>
      <c r="E1038" s="64" t="s">
        <v>260</v>
      </c>
      <c r="F1038" s="63">
        <v>3500.0</v>
      </c>
      <c r="G1038" s="63">
        <v>20.04</v>
      </c>
      <c r="H1038" s="66">
        <f t="shared" si="1"/>
        <v>97.93</v>
      </c>
      <c r="I1038" s="81">
        <f>IFERROR(__xludf.DUMMYFUNCTION("IF(G1038="""", """", ROUND(G1038 / MAX(FILTER($G$2:$G5067, $D$2:$D5067=$D1038)) * 100, 2))"),88.91)</f>
        <v>88.91</v>
      </c>
      <c r="J1038" s="81">
        <f>IFERROR(__xludf.DUMMYFUNCTION("IF(H1038="""", """", ROUND(H1038 / MAX(FILTER($H$2:$H5067, $D$2:$D5067=$D1038)) * 100, 2))"),44.45)</f>
        <v>44.45</v>
      </c>
      <c r="K1038" s="2"/>
      <c r="L1038" s="49"/>
      <c r="M1038" s="49"/>
      <c r="N1038" s="49"/>
      <c r="O1038" s="49" t="str">
        <f t="shared" si="2"/>
        <v/>
      </c>
      <c r="P1038" s="49" t="str">
        <f t="shared" si="3"/>
        <v/>
      </c>
      <c r="Q1038" s="84"/>
      <c r="R1038" s="84"/>
      <c r="S1038" s="84"/>
      <c r="T1038" s="84"/>
      <c r="U1038" s="84"/>
      <c r="V1038" s="84"/>
      <c r="W1038" s="84"/>
      <c r="X1038" s="84"/>
      <c r="Y1038" s="84"/>
      <c r="Z1038" s="84"/>
      <c r="AA1038" s="84"/>
      <c r="AB1038" s="84"/>
    </row>
    <row r="1039">
      <c r="A1039" s="69">
        <v>70.0</v>
      </c>
      <c r="B1039" s="69">
        <v>106.0</v>
      </c>
      <c r="C1039" s="86" t="s">
        <v>258</v>
      </c>
      <c r="D1039" s="86" t="s">
        <v>259</v>
      </c>
      <c r="E1039" s="86" t="s">
        <v>260</v>
      </c>
      <c r="F1039" s="69">
        <v>4000.0</v>
      </c>
      <c r="G1039" s="69">
        <v>19.88</v>
      </c>
      <c r="H1039" s="68">
        <f t="shared" si="1"/>
        <v>111.03</v>
      </c>
      <c r="I1039" s="81">
        <f>IFERROR(__xludf.DUMMYFUNCTION("IF(G1039="""", """", ROUND(G1039 / MAX(FILTER($G$2:$G5067, $D$2:$D5067=$D1039)) * 100, 2))"),88.2)</f>
        <v>88.2</v>
      </c>
      <c r="J1039" s="81">
        <f>IFERROR(__xludf.DUMMYFUNCTION("IF(H1039="""", """", ROUND(H1039 / MAX(FILTER($H$2:$H5067, $D$2:$D5067=$D1039)) * 100, 2))"),50.4)</f>
        <v>50.4</v>
      </c>
      <c r="K1039" s="2"/>
      <c r="L1039" s="48"/>
      <c r="M1039" s="48"/>
      <c r="N1039" s="48"/>
      <c r="O1039" s="48" t="str">
        <f t="shared" si="2"/>
        <v/>
      </c>
      <c r="P1039" s="48" t="str">
        <f t="shared" si="3"/>
        <v/>
      </c>
      <c r="Q1039" s="84"/>
      <c r="R1039" s="84"/>
      <c r="S1039" s="84"/>
      <c r="T1039" s="84"/>
      <c r="U1039" s="84"/>
      <c r="V1039" s="84"/>
      <c r="W1039" s="84"/>
      <c r="X1039" s="84"/>
      <c r="Y1039" s="84"/>
      <c r="Z1039" s="84"/>
      <c r="AA1039" s="84"/>
      <c r="AB1039" s="84"/>
    </row>
    <row r="1040">
      <c r="A1040" s="63">
        <v>70.0</v>
      </c>
      <c r="B1040" s="63">
        <v>106.0</v>
      </c>
      <c r="C1040" s="64" t="s">
        <v>258</v>
      </c>
      <c r="D1040" s="64" t="s">
        <v>259</v>
      </c>
      <c r="E1040" s="64" t="s">
        <v>260</v>
      </c>
      <c r="F1040" s="63">
        <v>4500.0</v>
      </c>
      <c r="G1040" s="63">
        <v>20.14</v>
      </c>
      <c r="H1040" s="66">
        <f t="shared" si="1"/>
        <v>126.54</v>
      </c>
      <c r="I1040" s="81">
        <f>IFERROR(__xludf.DUMMYFUNCTION("IF(G1040="""", """", ROUND(G1040 / MAX(FILTER($G$2:$G5067, $D$2:$D5067=$D1040)) * 100, 2))"),89.35)</f>
        <v>89.35</v>
      </c>
      <c r="J1040" s="81">
        <f>IFERROR(__xludf.DUMMYFUNCTION("IF(H1040="""", """", ROUND(H1040 / MAX(FILTER($H$2:$H5067, $D$2:$D5067=$D1040)) * 100, 2))"),57.44)</f>
        <v>57.44</v>
      </c>
      <c r="K1040" s="2"/>
      <c r="L1040" s="49"/>
      <c r="M1040" s="49"/>
      <c r="N1040" s="49"/>
      <c r="O1040" s="49" t="str">
        <f t="shared" si="2"/>
        <v/>
      </c>
      <c r="P1040" s="49" t="str">
        <f t="shared" si="3"/>
        <v/>
      </c>
      <c r="Q1040" s="84"/>
      <c r="R1040" s="84"/>
      <c r="S1040" s="84"/>
      <c r="T1040" s="84"/>
      <c r="U1040" s="84"/>
      <c r="V1040" s="84"/>
      <c r="W1040" s="84"/>
      <c r="X1040" s="84"/>
      <c r="Y1040" s="84"/>
      <c r="Z1040" s="84"/>
      <c r="AA1040" s="84"/>
      <c r="AB1040" s="84"/>
    </row>
    <row r="1041">
      <c r="A1041" s="69">
        <v>70.0</v>
      </c>
      <c r="B1041" s="69">
        <v>106.0</v>
      </c>
      <c r="C1041" s="86" t="s">
        <v>258</v>
      </c>
      <c r="D1041" s="86" t="s">
        <v>259</v>
      </c>
      <c r="E1041" s="86" t="s">
        <v>260</v>
      </c>
      <c r="F1041" s="69">
        <v>5000.0</v>
      </c>
      <c r="G1041" s="69">
        <v>20.39</v>
      </c>
      <c r="H1041" s="68">
        <f t="shared" si="1"/>
        <v>142.35</v>
      </c>
      <c r="I1041" s="81">
        <f>IFERROR(__xludf.DUMMYFUNCTION("IF(G1041="""", """", ROUND(G1041 / MAX(FILTER($G$2:$G5067, $D$2:$D5067=$D1041)) * 100, 2))"),90.46)</f>
        <v>90.46</v>
      </c>
      <c r="J1041" s="81">
        <f>IFERROR(__xludf.DUMMYFUNCTION("IF(H1041="""", """", ROUND(H1041 / MAX(FILTER($H$2:$H5067, $D$2:$D5067=$D1041)) * 100, 2))"),64.62)</f>
        <v>64.62</v>
      </c>
      <c r="K1041" s="2"/>
      <c r="L1041" s="48"/>
      <c r="M1041" s="48"/>
      <c r="N1041" s="48"/>
      <c r="O1041" s="48" t="str">
        <f t="shared" si="2"/>
        <v/>
      </c>
      <c r="P1041" s="48" t="str">
        <f t="shared" si="3"/>
        <v/>
      </c>
      <c r="Q1041" s="84"/>
      <c r="R1041" s="84"/>
      <c r="S1041" s="84"/>
      <c r="T1041" s="84"/>
      <c r="U1041" s="84"/>
      <c r="V1041" s="84"/>
      <c r="W1041" s="84"/>
      <c r="X1041" s="84"/>
      <c r="Y1041" s="84"/>
      <c r="Z1041" s="84"/>
      <c r="AA1041" s="84"/>
      <c r="AB1041" s="84"/>
    </row>
    <row r="1042">
      <c r="A1042" s="63">
        <v>70.0</v>
      </c>
      <c r="B1042" s="63">
        <v>106.0</v>
      </c>
      <c r="C1042" s="64" t="s">
        <v>258</v>
      </c>
      <c r="D1042" s="64" t="s">
        <v>259</v>
      </c>
      <c r="E1042" s="64" t="s">
        <v>260</v>
      </c>
      <c r="F1042" s="63">
        <v>5500.0</v>
      </c>
      <c r="G1042" s="63">
        <v>22.33</v>
      </c>
      <c r="H1042" s="66">
        <f t="shared" si="1"/>
        <v>171.48</v>
      </c>
      <c r="I1042" s="81">
        <f>IFERROR(__xludf.DUMMYFUNCTION("IF(G1042="""", """", ROUND(G1042 / MAX(FILTER($G$2:$G5067, $D$2:$D5067=$D1042)) * 100, 2))"),99.07)</f>
        <v>99.07</v>
      </c>
      <c r="J1042" s="81">
        <f>IFERROR(__xludf.DUMMYFUNCTION("IF(H1042="""", """", ROUND(H1042 / MAX(FILTER($H$2:$H5067, $D$2:$D5067=$D1042)) * 100, 2))"),77.84)</f>
        <v>77.84</v>
      </c>
      <c r="K1042" s="2"/>
      <c r="L1042" s="49"/>
      <c r="M1042" s="49"/>
      <c r="N1042" s="49"/>
      <c r="O1042" s="49" t="str">
        <f t="shared" si="2"/>
        <v/>
      </c>
      <c r="P1042" s="49" t="str">
        <f t="shared" si="3"/>
        <v/>
      </c>
      <c r="Q1042" s="84"/>
      <c r="R1042" s="84"/>
      <c r="S1042" s="84"/>
      <c r="T1042" s="84"/>
      <c r="U1042" s="84"/>
      <c r="V1042" s="84"/>
      <c r="W1042" s="84"/>
      <c r="X1042" s="84"/>
      <c r="Y1042" s="84"/>
      <c r="Z1042" s="84"/>
      <c r="AA1042" s="84"/>
      <c r="AB1042" s="84"/>
    </row>
    <row r="1043">
      <c r="A1043" s="69">
        <v>70.0</v>
      </c>
      <c r="B1043" s="69">
        <v>106.0</v>
      </c>
      <c r="C1043" s="86" t="s">
        <v>258</v>
      </c>
      <c r="D1043" s="86" t="s">
        <v>259</v>
      </c>
      <c r="E1043" s="86" t="s">
        <v>260</v>
      </c>
      <c r="F1043" s="69">
        <v>6000.0</v>
      </c>
      <c r="G1043" s="69">
        <v>22.43</v>
      </c>
      <c r="H1043" s="68">
        <f t="shared" si="1"/>
        <v>187.91</v>
      </c>
      <c r="I1043" s="81">
        <f>IFERROR(__xludf.DUMMYFUNCTION("IF(G1043="""", """", ROUND(G1043 / MAX(FILTER($G$2:$G5067, $D$2:$D5067=$D1043)) * 100, 2))"),99.51)</f>
        <v>99.51</v>
      </c>
      <c r="J1043" s="81">
        <f>IFERROR(__xludf.DUMMYFUNCTION("IF(H1043="""", """", ROUND(H1043 / MAX(FILTER($H$2:$H5067, $D$2:$D5067=$D1043)) * 100, 2))"),85.3)</f>
        <v>85.3</v>
      </c>
      <c r="K1043" s="2"/>
      <c r="L1043" s="48"/>
      <c r="M1043" s="48"/>
      <c r="N1043" s="48"/>
      <c r="O1043" s="48" t="str">
        <f t="shared" si="2"/>
        <v/>
      </c>
      <c r="P1043" s="48" t="str">
        <f t="shared" si="3"/>
        <v/>
      </c>
      <c r="Q1043" s="84"/>
      <c r="R1043" s="84"/>
      <c r="S1043" s="84"/>
      <c r="T1043" s="84"/>
      <c r="U1043" s="84"/>
      <c r="V1043" s="84"/>
      <c r="W1043" s="84"/>
      <c r="X1043" s="84"/>
      <c r="Y1043" s="84"/>
      <c r="Z1043" s="84"/>
      <c r="AA1043" s="84"/>
      <c r="AB1043" s="84"/>
    </row>
    <row r="1044">
      <c r="A1044" s="63">
        <v>70.0</v>
      </c>
      <c r="B1044" s="63">
        <v>106.0</v>
      </c>
      <c r="C1044" s="64" t="s">
        <v>258</v>
      </c>
      <c r="D1044" s="64" t="s">
        <v>259</v>
      </c>
      <c r="E1044" s="64" t="s">
        <v>260</v>
      </c>
      <c r="F1044" s="63">
        <v>6500.0</v>
      </c>
      <c r="G1044" s="63">
        <v>22.48</v>
      </c>
      <c r="H1044" s="66">
        <f t="shared" si="1"/>
        <v>204.02</v>
      </c>
      <c r="I1044" s="81">
        <f>IFERROR(__xludf.DUMMYFUNCTION("IF(G1044="""", """", ROUND(G1044 / MAX(FILTER($G$2:$G5067, $D$2:$D5067=$D1044)) * 100, 2))"),99.73)</f>
        <v>99.73</v>
      </c>
      <c r="J1044" s="81">
        <f>IFERROR(__xludf.DUMMYFUNCTION("IF(H1044="""", """", ROUND(H1044 / MAX(FILTER($H$2:$H5067, $D$2:$D5067=$D1044)) * 100, 2))"),92.61)</f>
        <v>92.61</v>
      </c>
      <c r="K1044" s="2"/>
      <c r="L1044" s="49"/>
      <c r="M1044" s="49"/>
      <c r="N1044" s="49"/>
      <c r="O1044" s="49" t="str">
        <f t="shared" si="2"/>
        <v/>
      </c>
      <c r="P1044" s="49" t="str">
        <f t="shared" si="3"/>
        <v/>
      </c>
      <c r="Q1044" s="84"/>
      <c r="R1044" s="84"/>
      <c r="S1044" s="84"/>
      <c r="T1044" s="84"/>
      <c r="U1044" s="84"/>
      <c r="V1044" s="84"/>
      <c r="W1044" s="84"/>
      <c r="X1044" s="84"/>
      <c r="Y1044" s="84"/>
      <c r="Z1044" s="84"/>
      <c r="AA1044" s="84"/>
      <c r="AB1044" s="84"/>
    </row>
    <row r="1045">
      <c r="A1045" s="69">
        <v>70.0</v>
      </c>
      <c r="B1045" s="69">
        <v>106.0</v>
      </c>
      <c r="C1045" s="86" t="s">
        <v>258</v>
      </c>
      <c r="D1045" s="86" t="s">
        <v>259</v>
      </c>
      <c r="E1045" s="86" t="s">
        <v>260</v>
      </c>
      <c r="F1045" s="69">
        <v>7000.0</v>
      </c>
      <c r="G1045" s="69">
        <v>22.54</v>
      </c>
      <c r="H1045" s="68">
        <f t="shared" si="1"/>
        <v>220.3</v>
      </c>
      <c r="I1045" s="81">
        <f>IFERROR(__xludf.DUMMYFUNCTION("IF(G1045="""", """", ROUND(G1045 / MAX(FILTER($G$2:$G5067, $D$2:$D5067=$D1045)) * 100, 2))"),100.0)</f>
        <v>100</v>
      </c>
      <c r="J1045" s="81">
        <f>IFERROR(__xludf.DUMMYFUNCTION("IF(H1045="""", """", ROUND(H1045 / MAX(FILTER($H$2:$H5067, $D$2:$D5067=$D1045)) * 100, 2))"),100.0)</f>
        <v>100</v>
      </c>
      <c r="K1045" s="2"/>
      <c r="L1045" s="48"/>
      <c r="M1045" s="48"/>
      <c r="N1045" s="48"/>
      <c r="O1045" s="48" t="str">
        <f t="shared" si="2"/>
        <v/>
      </c>
      <c r="P1045" s="48" t="str">
        <f t="shared" si="3"/>
        <v/>
      </c>
      <c r="Q1045" s="84"/>
      <c r="R1045" s="84"/>
      <c r="S1045" s="84"/>
      <c r="T1045" s="84"/>
      <c r="U1045" s="84"/>
      <c r="V1045" s="84"/>
      <c r="W1045" s="84"/>
      <c r="X1045" s="84"/>
      <c r="Y1045" s="84"/>
      <c r="Z1045" s="84"/>
      <c r="AA1045" s="84"/>
      <c r="AB1045" s="84"/>
    </row>
    <row r="1046">
      <c r="A1046" s="63">
        <v>70.0</v>
      </c>
      <c r="B1046" s="63">
        <v>106.0</v>
      </c>
      <c r="C1046" s="64" t="s">
        <v>258</v>
      </c>
      <c r="D1046" s="64" t="s">
        <v>259</v>
      </c>
      <c r="E1046" s="64" t="s">
        <v>260</v>
      </c>
      <c r="F1046" s="63">
        <v>7500.0</v>
      </c>
      <c r="G1046" s="63">
        <v>20.9</v>
      </c>
      <c r="H1046" s="66">
        <f t="shared" si="1"/>
        <v>218.86</v>
      </c>
      <c r="I1046" s="81">
        <f>IFERROR(__xludf.DUMMYFUNCTION("IF(G1046="""", """", ROUND(G1046 / MAX(FILTER($G$2:$G5067, $D$2:$D5067=$D1046)) * 100, 2))"),92.72)</f>
        <v>92.72</v>
      </c>
      <c r="J1046" s="81">
        <f>IFERROR(__xludf.DUMMYFUNCTION("IF(H1046="""", """", ROUND(H1046 / MAX(FILTER($H$2:$H5067, $D$2:$D5067=$D1046)) * 100, 2))"),99.35)</f>
        <v>99.35</v>
      </c>
      <c r="K1046" s="2"/>
      <c r="L1046" s="49"/>
      <c r="M1046" s="49"/>
      <c r="N1046" s="49"/>
      <c r="O1046" s="49" t="str">
        <f t="shared" si="2"/>
        <v/>
      </c>
      <c r="P1046" s="49" t="str">
        <f t="shared" si="3"/>
        <v/>
      </c>
      <c r="Q1046" s="84"/>
      <c r="R1046" s="84"/>
      <c r="S1046" s="84"/>
      <c r="T1046" s="84"/>
      <c r="U1046" s="84"/>
      <c r="V1046" s="84"/>
      <c r="W1046" s="84"/>
      <c r="X1046" s="84"/>
      <c r="Y1046" s="84"/>
      <c r="Z1046" s="84"/>
      <c r="AA1046" s="84"/>
      <c r="AB1046" s="84"/>
    </row>
    <row r="1047">
      <c r="A1047" s="69">
        <v>70.0</v>
      </c>
      <c r="B1047" s="69">
        <v>106.0</v>
      </c>
      <c r="C1047" s="86" t="s">
        <v>258</v>
      </c>
      <c r="D1047" s="86" t="s">
        <v>259</v>
      </c>
      <c r="E1047" s="86" t="s">
        <v>260</v>
      </c>
      <c r="F1047" s="69">
        <v>8000.0</v>
      </c>
      <c r="G1047" s="69">
        <v>18.6</v>
      </c>
      <c r="H1047" s="68">
        <f t="shared" si="1"/>
        <v>207.76</v>
      </c>
      <c r="I1047" s="81">
        <f>IFERROR(__xludf.DUMMYFUNCTION("IF(G1047="""", """", ROUND(G1047 / MAX(FILTER($G$2:$G5067, $D$2:$D5067=$D1047)) * 100, 2))"),82.52)</f>
        <v>82.52</v>
      </c>
      <c r="J1047" s="81">
        <f>IFERROR(__xludf.DUMMYFUNCTION("IF(H1047="""", """", ROUND(H1047 / MAX(FILTER($H$2:$H5067, $D$2:$D5067=$D1047)) * 100, 2))"),94.31)</f>
        <v>94.31</v>
      </c>
      <c r="K1047" s="2"/>
      <c r="L1047" s="48"/>
      <c r="M1047" s="48"/>
      <c r="N1047" s="48"/>
      <c r="O1047" s="48" t="str">
        <f t="shared" si="2"/>
        <v/>
      </c>
      <c r="P1047" s="48" t="str">
        <f t="shared" si="3"/>
        <v/>
      </c>
      <c r="Q1047" s="84"/>
      <c r="R1047" s="84"/>
      <c r="S1047" s="84"/>
      <c r="T1047" s="84"/>
      <c r="U1047" s="84"/>
      <c r="V1047" s="84"/>
      <c r="W1047" s="84"/>
      <c r="X1047" s="84"/>
      <c r="Y1047" s="84"/>
      <c r="Z1047" s="84"/>
      <c r="AA1047" s="84"/>
      <c r="AB1047" s="84"/>
    </row>
    <row r="1048">
      <c r="A1048" s="63">
        <v>71.0</v>
      </c>
      <c r="B1048" s="63">
        <v>108.0</v>
      </c>
      <c r="C1048" s="64" t="s">
        <v>261</v>
      </c>
      <c r="D1048" s="64" t="s">
        <v>262</v>
      </c>
      <c r="E1048" s="64" t="s">
        <v>263</v>
      </c>
      <c r="F1048" s="63">
        <v>500.0</v>
      </c>
      <c r="G1048" s="63">
        <v>15.12</v>
      </c>
      <c r="H1048" s="66">
        <f t="shared" si="1"/>
        <v>10.56</v>
      </c>
      <c r="I1048" s="81">
        <f>IFERROR(__xludf.DUMMYFUNCTION("IF(G1048="""", """", ROUND(G1048 / MAX(FILTER($G$2:$G5067, $D$2:$D5067=$D1048)) * 100, 2))"),68.98)</f>
        <v>68.98</v>
      </c>
      <c r="J1048" s="81">
        <f>IFERROR(__xludf.DUMMYFUNCTION("IF(H1048="""", """", ROUND(H1048 / MAX(FILTER($H$2:$H5067, $D$2:$D5067=$D1048)) * 100, 2))"),6.23)</f>
        <v>6.23</v>
      </c>
      <c r="K1048" s="2"/>
      <c r="L1048" s="49"/>
      <c r="M1048" s="49"/>
      <c r="N1048" s="49"/>
      <c r="O1048" s="49" t="str">
        <f t="shared" si="2"/>
        <v/>
      </c>
      <c r="P1048" s="49" t="str">
        <f t="shared" si="3"/>
        <v/>
      </c>
      <c r="Q1048" s="84"/>
      <c r="R1048" s="84"/>
      <c r="S1048" s="84"/>
      <c r="T1048" s="84"/>
      <c r="U1048" s="84"/>
      <c r="V1048" s="84"/>
      <c r="W1048" s="84"/>
      <c r="X1048" s="84"/>
      <c r="Y1048" s="84"/>
      <c r="Z1048" s="84"/>
      <c r="AA1048" s="84"/>
      <c r="AB1048" s="84"/>
    </row>
    <row r="1049">
      <c r="A1049" s="69">
        <v>71.0</v>
      </c>
      <c r="B1049" s="69">
        <v>108.0</v>
      </c>
      <c r="C1049" s="86" t="s">
        <v>261</v>
      </c>
      <c r="D1049" s="86" t="s">
        <v>262</v>
      </c>
      <c r="E1049" s="86" t="s">
        <v>263</v>
      </c>
      <c r="F1049" s="69">
        <v>1000.0</v>
      </c>
      <c r="G1049" s="69">
        <v>17.64</v>
      </c>
      <c r="H1049" s="68">
        <f t="shared" si="1"/>
        <v>24.63</v>
      </c>
      <c r="I1049" s="81">
        <f>IFERROR(__xludf.DUMMYFUNCTION("IF(G1049="""", """", ROUND(G1049 / MAX(FILTER($G$2:$G5067, $D$2:$D5067=$D1049)) * 100, 2))"),80.47)</f>
        <v>80.47</v>
      </c>
      <c r="J1049" s="81">
        <f>IFERROR(__xludf.DUMMYFUNCTION("IF(H1049="""", """", ROUND(H1049 / MAX(FILTER($H$2:$H5067, $D$2:$D5067=$D1049)) * 100, 2))"),14.53)</f>
        <v>14.53</v>
      </c>
      <c r="K1049" s="2"/>
      <c r="L1049" s="48"/>
      <c r="M1049" s="48"/>
      <c r="N1049" s="48"/>
      <c r="O1049" s="48" t="str">
        <f t="shared" si="2"/>
        <v/>
      </c>
      <c r="P1049" s="48" t="str">
        <f t="shared" si="3"/>
        <v/>
      </c>
      <c r="Q1049" s="84"/>
      <c r="R1049" s="84"/>
      <c r="S1049" s="84"/>
      <c r="T1049" s="84"/>
      <c r="U1049" s="84"/>
      <c r="V1049" s="84"/>
      <c r="W1049" s="84"/>
      <c r="X1049" s="84"/>
      <c r="Y1049" s="84"/>
      <c r="Z1049" s="84"/>
      <c r="AA1049" s="84"/>
      <c r="AB1049" s="84"/>
    </row>
    <row r="1050">
      <c r="A1050" s="63">
        <v>71.0</v>
      </c>
      <c r="B1050" s="63">
        <v>108.0</v>
      </c>
      <c r="C1050" s="64" t="s">
        <v>261</v>
      </c>
      <c r="D1050" s="64" t="s">
        <v>262</v>
      </c>
      <c r="E1050" s="64" t="s">
        <v>263</v>
      </c>
      <c r="F1050" s="63">
        <v>1500.0</v>
      </c>
      <c r="G1050" s="63">
        <v>19.27</v>
      </c>
      <c r="H1050" s="66">
        <f t="shared" si="1"/>
        <v>40.36</v>
      </c>
      <c r="I1050" s="81">
        <f>IFERROR(__xludf.DUMMYFUNCTION("IF(G1050="""", """", ROUND(G1050 / MAX(FILTER($G$2:$G5067, $D$2:$D5067=$D1050)) * 100, 2))"),87.91)</f>
        <v>87.91</v>
      </c>
      <c r="J1050" s="81">
        <f>IFERROR(__xludf.DUMMYFUNCTION("IF(H1050="""", """", ROUND(H1050 / MAX(FILTER($H$2:$H5067, $D$2:$D5067=$D1050)) * 100, 2))"),23.81)</f>
        <v>23.81</v>
      </c>
      <c r="K1050" s="2"/>
      <c r="L1050" s="49"/>
      <c r="M1050" s="49"/>
      <c r="N1050" s="49"/>
      <c r="O1050" s="49" t="str">
        <f t="shared" si="2"/>
        <v/>
      </c>
      <c r="P1050" s="49" t="str">
        <f t="shared" si="3"/>
        <v/>
      </c>
      <c r="Q1050" s="84"/>
      <c r="R1050" s="84"/>
      <c r="S1050" s="84"/>
      <c r="T1050" s="84"/>
      <c r="U1050" s="84"/>
      <c r="V1050" s="84"/>
      <c r="W1050" s="84"/>
      <c r="X1050" s="84"/>
      <c r="Y1050" s="84"/>
      <c r="Z1050" s="84"/>
      <c r="AA1050" s="84"/>
      <c r="AB1050" s="84"/>
    </row>
    <row r="1051">
      <c r="A1051" s="69">
        <v>71.0</v>
      </c>
      <c r="B1051" s="69">
        <v>108.0</v>
      </c>
      <c r="C1051" s="86" t="s">
        <v>261</v>
      </c>
      <c r="D1051" s="86" t="s">
        <v>262</v>
      </c>
      <c r="E1051" s="86" t="s">
        <v>263</v>
      </c>
      <c r="F1051" s="69">
        <v>2000.0</v>
      </c>
      <c r="G1051" s="69">
        <v>20.39</v>
      </c>
      <c r="H1051" s="68">
        <f t="shared" si="1"/>
        <v>56.94</v>
      </c>
      <c r="I1051" s="81">
        <f>IFERROR(__xludf.DUMMYFUNCTION("IF(G1051="""", """", ROUND(G1051 / MAX(FILTER($G$2:$G5067, $D$2:$D5067=$D1051)) * 100, 2))"),93.02)</f>
        <v>93.02</v>
      </c>
      <c r="J1051" s="81">
        <f>IFERROR(__xludf.DUMMYFUNCTION("IF(H1051="""", """", ROUND(H1051 / MAX(FILTER($H$2:$H5067, $D$2:$D5067=$D1051)) * 100, 2))"),33.59)</f>
        <v>33.59</v>
      </c>
      <c r="K1051" s="2"/>
      <c r="L1051" s="48"/>
      <c r="M1051" s="48"/>
      <c r="N1051" s="48"/>
      <c r="O1051" s="48" t="str">
        <f t="shared" si="2"/>
        <v/>
      </c>
      <c r="P1051" s="48" t="str">
        <f t="shared" si="3"/>
        <v/>
      </c>
      <c r="Q1051" s="84"/>
      <c r="R1051" s="84"/>
      <c r="S1051" s="84"/>
      <c r="T1051" s="84"/>
      <c r="U1051" s="84"/>
      <c r="V1051" s="84"/>
      <c r="W1051" s="84"/>
      <c r="X1051" s="84"/>
      <c r="Y1051" s="84"/>
      <c r="Z1051" s="84"/>
      <c r="AA1051" s="84"/>
      <c r="AB1051" s="84"/>
    </row>
    <row r="1052">
      <c r="A1052" s="63">
        <v>71.0</v>
      </c>
      <c r="B1052" s="63">
        <v>108.0</v>
      </c>
      <c r="C1052" s="64" t="s">
        <v>261</v>
      </c>
      <c r="D1052" s="64" t="s">
        <v>262</v>
      </c>
      <c r="E1052" s="64" t="s">
        <v>263</v>
      </c>
      <c r="F1052" s="63">
        <v>2500.0</v>
      </c>
      <c r="G1052" s="63">
        <v>20.5</v>
      </c>
      <c r="H1052" s="66">
        <f t="shared" si="1"/>
        <v>71.56</v>
      </c>
      <c r="I1052" s="81">
        <f>IFERROR(__xludf.DUMMYFUNCTION("IF(G1052="""", """", ROUND(G1052 / MAX(FILTER($G$2:$G5067, $D$2:$D5067=$D1052)) * 100, 2))"),93.52)</f>
        <v>93.52</v>
      </c>
      <c r="J1052" s="81">
        <f>IFERROR(__xludf.DUMMYFUNCTION("IF(H1052="""", """", ROUND(H1052 / MAX(FILTER($H$2:$H5067, $D$2:$D5067=$D1052)) * 100, 2))"),42.21)</f>
        <v>42.21</v>
      </c>
      <c r="K1052" s="2"/>
      <c r="L1052" s="49"/>
      <c r="M1052" s="49"/>
      <c r="N1052" s="49"/>
      <c r="O1052" s="49" t="str">
        <f t="shared" si="2"/>
        <v/>
      </c>
      <c r="P1052" s="49" t="str">
        <f t="shared" si="3"/>
        <v/>
      </c>
      <c r="Q1052" s="84"/>
      <c r="R1052" s="84"/>
      <c r="S1052" s="84"/>
      <c r="T1052" s="84"/>
      <c r="U1052" s="84"/>
      <c r="V1052" s="84"/>
      <c r="W1052" s="84"/>
      <c r="X1052" s="84"/>
      <c r="Y1052" s="84"/>
      <c r="Z1052" s="84"/>
      <c r="AA1052" s="84"/>
      <c r="AB1052" s="84"/>
    </row>
    <row r="1053">
      <c r="A1053" s="69">
        <v>71.0</v>
      </c>
      <c r="B1053" s="69">
        <v>108.0</v>
      </c>
      <c r="C1053" s="86" t="s">
        <v>261</v>
      </c>
      <c r="D1053" s="86" t="s">
        <v>262</v>
      </c>
      <c r="E1053" s="86" t="s">
        <v>263</v>
      </c>
      <c r="F1053" s="69">
        <v>3000.0</v>
      </c>
      <c r="G1053" s="69">
        <v>20.6</v>
      </c>
      <c r="H1053" s="68">
        <f t="shared" si="1"/>
        <v>86.29</v>
      </c>
      <c r="I1053" s="81">
        <f>IFERROR(__xludf.DUMMYFUNCTION("IF(G1053="""", """", ROUND(G1053 / MAX(FILTER($G$2:$G5067, $D$2:$D5067=$D1053)) * 100, 2))"),93.98)</f>
        <v>93.98</v>
      </c>
      <c r="J1053" s="81">
        <f>IFERROR(__xludf.DUMMYFUNCTION("IF(H1053="""", """", ROUND(H1053 / MAX(FILTER($H$2:$H5067, $D$2:$D5067=$D1053)) * 100, 2))"),50.9)</f>
        <v>50.9</v>
      </c>
      <c r="K1053" s="2"/>
      <c r="L1053" s="48"/>
      <c r="M1053" s="48"/>
      <c r="N1053" s="48"/>
      <c r="O1053" s="48" t="str">
        <f t="shared" si="2"/>
        <v/>
      </c>
      <c r="P1053" s="48" t="str">
        <f t="shared" si="3"/>
        <v/>
      </c>
      <c r="Q1053" s="84"/>
      <c r="R1053" s="84"/>
      <c r="S1053" s="84"/>
      <c r="T1053" s="84"/>
      <c r="U1053" s="84"/>
      <c r="V1053" s="84"/>
      <c r="W1053" s="84"/>
      <c r="X1053" s="84"/>
      <c r="Y1053" s="84"/>
      <c r="Z1053" s="84"/>
      <c r="AA1053" s="84"/>
      <c r="AB1053" s="84"/>
    </row>
    <row r="1054">
      <c r="A1054" s="63">
        <v>71.0</v>
      </c>
      <c r="B1054" s="63">
        <v>108.0</v>
      </c>
      <c r="C1054" s="64" t="s">
        <v>261</v>
      </c>
      <c r="D1054" s="64" t="s">
        <v>262</v>
      </c>
      <c r="E1054" s="64" t="s">
        <v>263</v>
      </c>
      <c r="F1054" s="63">
        <v>3500.0</v>
      </c>
      <c r="G1054" s="63">
        <v>21.26</v>
      </c>
      <c r="H1054" s="66">
        <f t="shared" si="1"/>
        <v>103.9</v>
      </c>
      <c r="I1054" s="81">
        <f>IFERROR(__xludf.DUMMYFUNCTION("IF(G1054="""", """", ROUND(G1054 / MAX(FILTER($G$2:$G5067, $D$2:$D5067=$D1054)) * 100, 2))"),96.99)</f>
        <v>96.99</v>
      </c>
      <c r="J1054" s="81">
        <f>IFERROR(__xludf.DUMMYFUNCTION("IF(H1054="""", """", ROUND(H1054 / MAX(FILTER($H$2:$H5067, $D$2:$D5067=$D1054)) * 100, 2))"),61.29)</f>
        <v>61.29</v>
      </c>
      <c r="K1054" s="2"/>
      <c r="L1054" s="49"/>
      <c r="M1054" s="49"/>
      <c r="N1054" s="49"/>
      <c r="O1054" s="49" t="str">
        <f t="shared" si="2"/>
        <v/>
      </c>
      <c r="P1054" s="49" t="str">
        <f t="shared" si="3"/>
        <v/>
      </c>
      <c r="Q1054" s="84"/>
      <c r="R1054" s="84"/>
      <c r="S1054" s="84"/>
      <c r="T1054" s="84"/>
      <c r="U1054" s="84"/>
      <c r="V1054" s="84"/>
      <c r="W1054" s="84"/>
      <c r="X1054" s="84"/>
      <c r="Y1054" s="84"/>
      <c r="Z1054" s="84"/>
      <c r="AA1054" s="84"/>
      <c r="AB1054" s="84"/>
    </row>
    <row r="1055">
      <c r="A1055" s="69">
        <v>71.0</v>
      </c>
      <c r="B1055" s="69">
        <v>108.0</v>
      </c>
      <c r="C1055" s="86" t="s">
        <v>261</v>
      </c>
      <c r="D1055" s="86" t="s">
        <v>262</v>
      </c>
      <c r="E1055" s="86" t="s">
        <v>263</v>
      </c>
      <c r="F1055" s="69">
        <v>4000.0</v>
      </c>
      <c r="G1055" s="69">
        <v>21.92</v>
      </c>
      <c r="H1055" s="68">
        <f t="shared" si="1"/>
        <v>122.42</v>
      </c>
      <c r="I1055" s="81">
        <f>IFERROR(__xludf.DUMMYFUNCTION("IF(G1055="""", """", ROUND(G1055 / MAX(FILTER($G$2:$G5067, $D$2:$D5067=$D1055)) * 100, 2))"),100.0)</f>
        <v>100</v>
      </c>
      <c r="J1055" s="81">
        <f>IFERROR(__xludf.DUMMYFUNCTION("IF(H1055="""", """", ROUND(H1055 / MAX(FILTER($H$2:$H5067, $D$2:$D5067=$D1055)) * 100, 2))"),72.21)</f>
        <v>72.21</v>
      </c>
      <c r="K1055" s="2"/>
      <c r="L1055" s="48"/>
      <c r="M1055" s="48"/>
      <c r="N1055" s="48"/>
      <c r="O1055" s="48" t="str">
        <f t="shared" si="2"/>
        <v/>
      </c>
      <c r="P1055" s="48" t="str">
        <f t="shared" si="3"/>
        <v/>
      </c>
      <c r="Q1055" s="84"/>
      <c r="R1055" s="84"/>
      <c r="S1055" s="84"/>
      <c r="T1055" s="84"/>
      <c r="U1055" s="84"/>
      <c r="V1055" s="84"/>
      <c r="W1055" s="84"/>
      <c r="X1055" s="84"/>
      <c r="Y1055" s="84"/>
      <c r="Z1055" s="84"/>
      <c r="AA1055" s="84"/>
      <c r="AB1055" s="84"/>
    </row>
    <row r="1056">
      <c r="A1056" s="63">
        <v>71.0</v>
      </c>
      <c r="B1056" s="63">
        <v>108.0</v>
      </c>
      <c r="C1056" s="64" t="s">
        <v>261</v>
      </c>
      <c r="D1056" s="64" t="s">
        <v>262</v>
      </c>
      <c r="E1056" s="64" t="s">
        <v>263</v>
      </c>
      <c r="F1056" s="63">
        <v>4500.0</v>
      </c>
      <c r="G1056" s="63">
        <v>21.42</v>
      </c>
      <c r="H1056" s="66">
        <f t="shared" si="1"/>
        <v>134.59</v>
      </c>
      <c r="I1056" s="81">
        <f>IFERROR(__xludf.DUMMYFUNCTION("IF(G1056="""", """", ROUND(G1056 / MAX(FILTER($G$2:$G5067, $D$2:$D5067=$D1056)) * 100, 2))"),97.72)</f>
        <v>97.72</v>
      </c>
      <c r="J1056" s="81">
        <f>IFERROR(__xludf.DUMMYFUNCTION("IF(H1056="""", """", ROUND(H1056 / MAX(FILTER($H$2:$H5067, $D$2:$D5067=$D1056)) * 100, 2))"),79.39)</f>
        <v>79.39</v>
      </c>
      <c r="K1056" s="2"/>
      <c r="L1056" s="49"/>
      <c r="M1056" s="49"/>
      <c r="N1056" s="49"/>
      <c r="O1056" s="49" t="str">
        <f t="shared" si="2"/>
        <v/>
      </c>
      <c r="P1056" s="49" t="str">
        <f t="shared" si="3"/>
        <v/>
      </c>
      <c r="Q1056" s="84"/>
      <c r="R1056" s="84"/>
      <c r="S1056" s="84"/>
      <c r="T1056" s="84"/>
      <c r="U1056" s="84"/>
      <c r="V1056" s="84"/>
      <c r="W1056" s="84"/>
      <c r="X1056" s="84"/>
      <c r="Y1056" s="84"/>
      <c r="Z1056" s="84"/>
      <c r="AA1056" s="84"/>
      <c r="AB1056" s="84"/>
    </row>
    <row r="1057">
      <c r="A1057" s="69">
        <v>71.0</v>
      </c>
      <c r="B1057" s="69">
        <v>108.0</v>
      </c>
      <c r="C1057" s="86" t="s">
        <v>261</v>
      </c>
      <c r="D1057" s="86" t="s">
        <v>262</v>
      </c>
      <c r="E1057" s="86" t="s">
        <v>263</v>
      </c>
      <c r="F1057" s="69">
        <v>5000.0</v>
      </c>
      <c r="G1057" s="69">
        <v>20.69</v>
      </c>
      <c r="H1057" s="68">
        <f t="shared" si="1"/>
        <v>144.44</v>
      </c>
      <c r="I1057" s="81">
        <f>IFERROR(__xludf.DUMMYFUNCTION("IF(G1057="""", """", ROUND(G1057 / MAX(FILTER($G$2:$G5067, $D$2:$D5067=$D1057)) * 100, 2))"),94.39)</f>
        <v>94.39</v>
      </c>
      <c r="J1057" s="81">
        <f>IFERROR(__xludf.DUMMYFUNCTION("IF(H1057="""", """", ROUND(H1057 / MAX(FILTER($H$2:$H5067, $D$2:$D5067=$D1057)) * 100, 2))"),85.2)</f>
        <v>85.2</v>
      </c>
      <c r="K1057" s="2"/>
      <c r="L1057" s="48"/>
      <c r="M1057" s="48"/>
      <c r="N1057" s="48"/>
      <c r="O1057" s="48" t="str">
        <f t="shared" si="2"/>
        <v/>
      </c>
      <c r="P1057" s="48" t="str">
        <f t="shared" si="3"/>
        <v/>
      </c>
      <c r="Q1057" s="84"/>
      <c r="R1057" s="84"/>
      <c r="S1057" s="84"/>
      <c r="T1057" s="84"/>
      <c r="U1057" s="84"/>
      <c r="V1057" s="84"/>
      <c r="W1057" s="84"/>
      <c r="X1057" s="84"/>
      <c r="Y1057" s="84"/>
      <c r="Z1057" s="84"/>
      <c r="AA1057" s="84"/>
      <c r="AB1057" s="84"/>
    </row>
    <row r="1058">
      <c r="A1058" s="63">
        <v>71.0</v>
      </c>
      <c r="B1058" s="63">
        <v>108.0</v>
      </c>
      <c r="C1058" s="64" t="s">
        <v>261</v>
      </c>
      <c r="D1058" s="64" t="s">
        <v>262</v>
      </c>
      <c r="E1058" s="64" t="s">
        <v>263</v>
      </c>
      <c r="F1058" s="63">
        <v>5500.0</v>
      </c>
      <c r="G1058" s="63">
        <v>20.23</v>
      </c>
      <c r="H1058" s="66">
        <f t="shared" si="1"/>
        <v>155.35</v>
      </c>
      <c r="I1058" s="81">
        <f>IFERROR(__xludf.DUMMYFUNCTION("IF(G1058="""", """", ROUND(G1058 / MAX(FILTER($G$2:$G5067, $D$2:$D5067=$D1058)) * 100, 2))"),92.29)</f>
        <v>92.29</v>
      </c>
      <c r="J1058" s="81">
        <f>IFERROR(__xludf.DUMMYFUNCTION("IF(H1058="""", """", ROUND(H1058 / MAX(FILTER($H$2:$H5067, $D$2:$D5067=$D1058)) * 100, 2))"),91.64)</f>
        <v>91.64</v>
      </c>
      <c r="K1058" s="2"/>
      <c r="L1058" s="49"/>
      <c r="M1058" s="49"/>
      <c r="N1058" s="49"/>
      <c r="O1058" s="49" t="str">
        <f t="shared" si="2"/>
        <v/>
      </c>
      <c r="P1058" s="49" t="str">
        <f t="shared" si="3"/>
        <v/>
      </c>
      <c r="Q1058" s="84"/>
      <c r="R1058" s="84"/>
      <c r="S1058" s="84"/>
      <c r="T1058" s="84"/>
      <c r="U1058" s="84"/>
      <c r="V1058" s="84"/>
      <c r="W1058" s="84"/>
      <c r="X1058" s="84"/>
      <c r="Y1058" s="84"/>
      <c r="Z1058" s="84"/>
      <c r="AA1058" s="84"/>
      <c r="AB1058" s="84"/>
    </row>
    <row r="1059">
      <c r="A1059" s="69">
        <v>71.0</v>
      </c>
      <c r="B1059" s="69">
        <v>108.0</v>
      </c>
      <c r="C1059" s="86" t="s">
        <v>261</v>
      </c>
      <c r="D1059" s="86" t="s">
        <v>262</v>
      </c>
      <c r="E1059" s="86" t="s">
        <v>263</v>
      </c>
      <c r="F1059" s="69">
        <v>6000.0</v>
      </c>
      <c r="G1059" s="69">
        <v>19.5</v>
      </c>
      <c r="H1059" s="68">
        <f t="shared" si="1"/>
        <v>163.36</v>
      </c>
      <c r="I1059" s="81">
        <f>IFERROR(__xludf.DUMMYFUNCTION("IF(G1059="""", """", ROUND(G1059 / MAX(FILTER($G$2:$G5067, $D$2:$D5067=$D1059)) * 100, 2))"),88.96)</f>
        <v>88.96</v>
      </c>
      <c r="J1059" s="81">
        <f>IFERROR(__xludf.DUMMYFUNCTION("IF(H1059="""", """", ROUND(H1059 / MAX(FILTER($H$2:$H5067, $D$2:$D5067=$D1059)) * 100, 2))"),96.36)</f>
        <v>96.36</v>
      </c>
      <c r="K1059" s="2"/>
      <c r="L1059" s="48"/>
      <c r="M1059" s="48"/>
      <c r="N1059" s="48"/>
      <c r="O1059" s="48" t="str">
        <f t="shared" si="2"/>
        <v/>
      </c>
      <c r="P1059" s="48" t="str">
        <f t="shared" si="3"/>
        <v/>
      </c>
      <c r="Q1059" s="84"/>
      <c r="R1059" s="84"/>
      <c r="S1059" s="84"/>
      <c r="T1059" s="84"/>
      <c r="U1059" s="84"/>
      <c r="V1059" s="84"/>
      <c r="W1059" s="84"/>
      <c r="X1059" s="84"/>
      <c r="Y1059" s="84"/>
      <c r="Z1059" s="84"/>
      <c r="AA1059" s="84"/>
      <c r="AB1059" s="84"/>
    </row>
    <row r="1060">
      <c r="A1060" s="63">
        <v>71.0</v>
      </c>
      <c r="B1060" s="63">
        <v>108.0</v>
      </c>
      <c r="C1060" s="64" t="s">
        <v>261</v>
      </c>
      <c r="D1060" s="64" t="s">
        <v>262</v>
      </c>
      <c r="E1060" s="64" t="s">
        <v>263</v>
      </c>
      <c r="F1060" s="63">
        <v>6500.0</v>
      </c>
      <c r="G1060" s="63">
        <v>18.68</v>
      </c>
      <c r="H1060" s="66">
        <f t="shared" si="1"/>
        <v>169.53</v>
      </c>
      <c r="I1060" s="81">
        <f>IFERROR(__xludf.DUMMYFUNCTION("IF(G1060="""", """", ROUND(G1060 / MAX(FILTER($G$2:$G5067, $D$2:$D5067=$D1060)) * 100, 2))"),85.22)</f>
        <v>85.22</v>
      </c>
      <c r="J1060" s="81">
        <f>IFERROR(__xludf.DUMMYFUNCTION("IF(H1060="""", """", ROUND(H1060 / MAX(FILTER($H$2:$H5067, $D$2:$D5067=$D1060)) * 100, 2))"),100.0)</f>
        <v>100</v>
      </c>
      <c r="K1060" s="2"/>
      <c r="L1060" s="49"/>
      <c r="M1060" s="49"/>
      <c r="N1060" s="49"/>
      <c r="O1060" s="49" t="str">
        <f t="shared" si="2"/>
        <v/>
      </c>
      <c r="P1060" s="49" t="str">
        <f t="shared" si="3"/>
        <v/>
      </c>
      <c r="Q1060" s="84"/>
      <c r="R1060" s="84"/>
      <c r="S1060" s="84"/>
      <c r="T1060" s="84"/>
      <c r="U1060" s="84"/>
      <c r="V1060" s="84"/>
      <c r="W1060" s="84"/>
      <c r="X1060" s="84"/>
      <c r="Y1060" s="84"/>
      <c r="Z1060" s="84"/>
      <c r="AA1060" s="84"/>
      <c r="AB1060" s="84"/>
    </row>
    <row r="1061">
      <c r="A1061" s="69">
        <v>71.0</v>
      </c>
      <c r="B1061" s="69">
        <v>108.0</v>
      </c>
      <c r="C1061" s="86" t="s">
        <v>261</v>
      </c>
      <c r="D1061" s="86" t="s">
        <v>262</v>
      </c>
      <c r="E1061" s="86" t="s">
        <v>263</v>
      </c>
      <c r="F1061" s="69">
        <v>7000.0</v>
      </c>
      <c r="G1061" s="69">
        <v>17.06</v>
      </c>
      <c r="H1061" s="68">
        <f t="shared" si="1"/>
        <v>166.74</v>
      </c>
      <c r="I1061" s="81">
        <f>IFERROR(__xludf.DUMMYFUNCTION("IF(G1061="""", """", ROUND(G1061 / MAX(FILTER($G$2:$G5067, $D$2:$D5067=$D1061)) * 100, 2))"),77.83)</f>
        <v>77.83</v>
      </c>
      <c r="J1061" s="81">
        <f>IFERROR(__xludf.DUMMYFUNCTION("IF(H1061="""", """", ROUND(H1061 / MAX(FILTER($H$2:$H5067, $D$2:$D5067=$D1061)) * 100, 2))"),98.35)</f>
        <v>98.35</v>
      </c>
      <c r="K1061" s="2"/>
      <c r="L1061" s="48"/>
      <c r="M1061" s="48"/>
      <c r="N1061" s="48"/>
      <c r="O1061" s="48" t="str">
        <f t="shared" si="2"/>
        <v/>
      </c>
      <c r="P1061" s="48" t="str">
        <f t="shared" si="3"/>
        <v/>
      </c>
      <c r="Q1061" s="84"/>
      <c r="R1061" s="84"/>
      <c r="S1061" s="84"/>
      <c r="T1061" s="84"/>
      <c r="U1061" s="84"/>
      <c r="V1061" s="84"/>
      <c r="W1061" s="84"/>
      <c r="X1061" s="84"/>
      <c r="Y1061" s="84"/>
      <c r="Z1061" s="84"/>
      <c r="AA1061" s="84"/>
      <c r="AB1061" s="84"/>
    </row>
    <row r="1062">
      <c r="A1062" s="63">
        <v>71.0</v>
      </c>
      <c r="B1062" s="63">
        <v>108.0</v>
      </c>
      <c r="C1062" s="64" t="s">
        <v>261</v>
      </c>
      <c r="D1062" s="64" t="s">
        <v>262</v>
      </c>
      <c r="E1062" s="64" t="s">
        <v>263</v>
      </c>
      <c r="F1062" s="63">
        <v>7500.0</v>
      </c>
      <c r="G1062" s="63">
        <v>14.7</v>
      </c>
      <c r="H1062" s="66">
        <f t="shared" si="1"/>
        <v>153.94</v>
      </c>
      <c r="I1062" s="81">
        <f>IFERROR(__xludf.DUMMYFUNCTION("IF(G1062="""", """", ROUND(G1062 / MAX(FILTER($G$2:$G5067, $D$2:$D5067=$D1062)) * 100, 2))"),67.06)</f>
        <v>67.06</v>
      </c>
      <c r="J1062" s="81">
        <f>IFERROR(__xludf.DUMMYFUNCTION("IF(H1062="""", """", ROUND(H1062 / MAX(FILTER($H$2:$H5067, $D$2:$D5067=$D1062)) * 100, 2))"),90.8)</f>
        <v>90.8</v>
      </c>
      <c r="K1062" s="2"/>
      <c r="L1062" s="49"/>
      <c r="M1062" s="49"/>
      <c r="N1062" s="49"/>
      <c r="O1062" s="49" t="str">
        <f t="shared" si="2"/>
        <v/>
      </c>
      <c r="P1062" s="49" t="str">
        <f t="shared" si="3"/>
        <v/>
      </c>
      <c r="Q1062" s="84"/>
      <c r="R1062" s="84"/>
      <c r="S1062" s="84"/>
      <c r="T1062" s="84"/>
      <c r="U1062" s="84"/>
      <c r="V1062" s="84"/>
      <c r="W1062" s="84"/>
      <c r="X1062" s="84"/>
      <c r="Y1062" s="84"/>
      <c r="Z1062" s="84"/>
      <c r="AA1062" s="84"/>
      <c r="AB1062" s="84"/>
    </row>
    <row r="1063">
      <c r="A1063" s="69">
        <v>71.0</v>
      </c>
      <c r="B1063" s="69">
        <v>108.0</v>
      </c>
      <c r="C1063" s="86" t="s">
        <v>261</v>
      </c>
      <c r="D1063" s="86" t="s">
        <v>262</v>
      </c>
      <c r="E1063" s="86" t="s">
        <v>263</v>
      </c>
      <c r="F1063" s="69">
        <v>8000.0</v>
      </c>
      <c r="G1063" s="69">
        <v>12.45</v>
      </c>
      <c r="H1063" s="68">
        <f t="shared" si="1"/>
        <v>139.07</v>
      </c>
      <c r="I1063" s="81">
        <f>IFERROR(__xludf.DUMMYFUNCTION("IF(G1063="""", """", ROUND(G1063 / MAX(FILTER($G$2:$G5067, $D$2:$D5067=$D1063)) * 100, 2))"),56.8)</f>
        <v>56.8</v>
      </c>
      <c r="J1063" s="81">
        <f>IFERROR(__xludf.DUMMYFUNCTION("IF(H1063="""", """", ROUND(H1063 / MAX(FILTER($H$2:$H5067, $D$2:$D5067=$D1063)) * 100, 2))"),82.03)</f>
        <v>82.03</v>
      </c>
      <c r="K1063" s="2"/>
      <c r="L1063" s="48"/>
      <c r="M1063" s="48"/>
      <c r="N1063" s="48"/>
      <c r="O1063" s="48" t="str">
        <f t="shared" si="2"/>
        <v/>
      </c>
      <c r="P1063" s="48" t="str">
        <f t="shared" si="3"/>
        <v/>
      </c>
      <c r="Q1063" s="84"/>
      <c r="R1063" s="84"/>
      <c r="S1063" s="84"/>
      <c r="T1063" s="84"/>
      <c r="U1063" s="84"/>
      <c r="V1063" s="84"/>
      <c r="W1063" s="84"/>
      <c r="X1063" s="84"/>
      <c r="Y1063" s="84"/>
      <c r="Z1063" s="84"/>
      <c r="AA1063" s="84"/>
      <c r="AB1063" s="84"/>
    </row>
    <row r="1064">
      <c r="A1064" s="63">
        <v>72.0</v>
      </c>
      <c r="B1064" s="63">
        <v>109.0</v>
      </c>
      <c r="C1064" s="64" t="s">
        <v>264</v>
      </c>
      <c r="D1064" s="64" t="s">
        <v>265</v>
      </c>
      <c r="E1064" s="64" t="s">
        <v>266</v>
      </c>
      <c r="F1064" s="63">
        <v>500.0</v>
      </c>
      <c r="G1064" s="63">
        <v>9.35</v>
      </c>
      <c r="H1064" s="66">
        <f t="shared" si="1"/>
        <v>6.53</v>
      </c>
      <c r="I1064" s="81">
        <f>IFERROR(__xludf.DUMMYFUNCTION("IF(G1064="""", """", ROUND(G1064 / MAX(FILTER($G$2:$G5067, $D$2:$D5067=$D1064)) * 100, 2))"),69.99)</f>
        <v>69.99</v>
      </c>
      <c r="J1064" s="81">
        <f>IFERROR(__xludf.DUMMYFUNCTION("IF(H1064="""", """", ROUND(H1064 / MAX(FILTER($H$2:$H5067, $D$2:$D5067=$D1064)) * 100, 2))"),7.24)</f>
        <v>7.24</v>
      </c>
      <c r="K1064" s="2"/>
      <c r="L1064" s="49"/>
      <c r="M1064" s="49"/>
      <c r="N1064" s="49"/>
      <c r="O1064" s="49" t="str">
        <f t="shared" si="2"/>
        <v/>
      </c>
      <c r="P1064" s="49" t="str">
        <f t="shared" si="3"/>
        <v/>
      </c>
      <c r="Q1064" s="84"/>
      <c r="R1064" s="84"/>
      <c r="S1064" s="84"/>
      <c r="T1064" s="84"/>
      <c r="U1064" s="84"/>
      <c r="V1064" s="84"/>
      <c r="W1064" s="84"/>
      <c r="X1064" s="84"/>
      <c r="Y1064" s="84"/>
      <c r="Z1064" s="84"/>
      <c r="AA1064" s="84"/>
      <c r="AB1064" s="84"/>
    </row>
    <row r="1065">
      <c r="A1065" s="69">
        <v>72.0</v>
      </c>
      <c r="B1065" s="69">
        <v>109.0</v>
      </c>
      <c r="C1065" s="86" t="s">
        <v>264</v>
      </c>
      <c r="D1065" s="86" t="s">
        <v>265</v>
      </c>
      <c r="E1065" s="86" t="s">
        <v>266</v>
      </c>
      <c r="F1065" s="69">
        <v>1000.0</v>
      </c>
      <c r="G1065" s="69">
        <v>10.61</v>
      </c>
      <c r="H1065" s="68">
        <f t="shared" si="1"/>
        <v>14.81</v>
      </c>
      <c r="I1065" s="81">
        <f>IFERROR(__xludf.DUMMYFUNCTION("IF(G1065="""", """", ROUND(G1065 / MAX(FILTER($G$2:$G5067, $D$2:$D5067=$D1065)) * 100, 2))"),79.42)</f>
        <v>79.42</v>
      </c>
      <c r="J1065" s="81">
        <f>IFERROR(__xludf.DUMMYFUNCTION("IF(H1065="""", """", ROUND(H1065 / MAX(FILTER($H$2:$H5067, $D$2:$D5067=$D1065)) * 100, 2))"),16.43)</f>
        <v>16.43</v>
      </c>
      <c r="K1065" s="2"/>
      <c r="L1065" s="48"/>
      <c r="M1065" s="48"/>
      <c r="N1065" s="48"/>
      <c r="O1065" s="48" t="str">
        <f t="shared" si="2"/>
        <v/>
      </c>
      <c r="P1065" s="48" t="str">
        <f t="shared" si="3"/>
        <v/>
      </c>
      <c r="Q1065" s="84"/>
      <c r="R1065" s="84"/>
      <c r="S1065" s="84"/>
      <c r="T1065" s="84"/>
      <c r="U1065" s="84"/>
      <c r="V1065" s="84"/>
      <c r="W1065" s="84"/>
      <c r="X1065" s="84"/>
      <c r="Y1065" s="84"/>
      <c r="Z1065" s="84"/>
      <c r="AA1065" s="84"/>
      <c r="AB1065" s="84"/>
    </row>
    <row r="1066">
      <c r="A1066" s="63">
        <v>72.0</v>
      </c>
      <c r="B1066" s="63">
        <v>109.0</v>
      </c>
      <c r="C1066" s="64" t="s">
        <v>264</v>
      </c>
      <c r="D1066" s="64" t="s">
        <v>265</v>
      </c>
      <c r="E1066" s="64" t="s">
        <v>266</v>
      </c>
      <c r="F1066" s="63">
        <v>1500.0</v>
      </c>
      <c r="G1066" s="63">
        <v>11.57</v>
      </c>
      <c r="H1066" s="66">
        <f t="shared" si="1"/>
        <v>24.23</v>
      </c>
      <c r="I1066" s="81">
        <f>IFERROR(__xludf.DUMMYFUNCTION("IF(G1066="""", """", ROUND(G1066 / MAX(FILTER($G$2:$G5067, $D$2:$D5067=$D1066)) * 100, 2))"),86.6)</f>
        <v>86.6</v>
      </c>
      <c r="J1066" s="81">
        <f>IFERROR(__xludf.DUMMYFUNCTION("IF(H1066="""", """", ROUND(H1066 / MAX(FILTER($H$2:$H5067, $D$2:$D5067=$D1066)) * 100, 2))"),26.87)</f>
        <v>26.87</v>
      </c>
      <c r="K1066" s="2"/>
      <c r="L1066" s="49"/>
      <c r="M1066" s="49"/>
      <c r="N1066" s="49"/>
      <c r="O1066" s="49" t="str">
        <f t="shared" si="2"/>
        <v/>
      </c>
      <c r="P1066" s="49" t="str">
        <f t="shared" si="3"/>
        <v/>
      </c>
      <c r="Q1066" s="84"/>
      <c r="R1066" s="84"/>
      <c r="S1066" s="84"/>
      <c r="T1066" s="84"/>
      <c r="U1066" s="84"/>
      <c r="V1066" s="84"/>
      <c r="W1066" s="84"/>
      <c r="X1066" s="84"/>
      <c r="Y1066" s="84"/>
      <c r="Z1066" s="84"/>
      <c r="AA1066" s="84"/>
      <c r="AB1066" s="84"/>
    </row>
    <row r="1067">
      <c r="A1067" s="69">
        <v>72.0</v>
      </c>
      <c r="B1067" s="69">
        <v>109.0</v>
      </c>
      <c r="C1067" s="86" t="s">
        <v>264</v>
      </c>
      <c r="D1067" s="86" t="s">
        <v>265</v>
      </c>
      <c r="E1067" s="86" t="s">
        <v>266</v>
      </c>
      <c r="F1067" s="69">
        <v>2000.0</v>
      </c>
      <c r="G1067" s="69">
        <v>12.54</v>
      </c>
      <c r="H1067" s="68">
        <f t="shared" si="1"/>
        <v>35.02</v>
      </c>
      <c r="I1067" s="81">
        <f>IFERROR(__xludf.DUMMYFUNCTION("IF(G1067="""", """", ROUND(G1067 / MAX(FILTER($G$2:$G5067, $D$2:$D5067=$D1067)) * 100, 2))"),93.86)</f>
        <v>93.86</v>
      </c>
      <c r="J1067" s="81">
        <f>IFERROR(__xludf.DUMMYFUNCTION("IF(H1067="""", """", ROUND(H1067 / MAX(FILTER($H$2:$H5067, $D$2:$D5067=$D1067)) * 100, 2))"),38.84)</f>
        <v>38.84</v>
      </c>
      <c r="K1067" s="2"/>
      <c r="L1067" s="48"/>
      <c r="M1067" s="48"/>
      <c r="N1067" s="48"/>
      <c r="O1067" s="48" t="str">
        <f t="shared" si="2"/>
        <v/>
      </c>
      <c r="P1067" s="48" t="str">
        <f t="shared" si="3"/>
        <v/>
      </c>
      <c r="Q1067" s="84"/>
      <c r="R1067" s="84"/>
      <c r="S1067" s="84"/>
      <c r="T1067" s="84"/>
      <c r="U1067" s="84"/>
      <c r="V1067" s="84"/>
      <c r="W1067" s="84"/>
      <c r="X1067" s="84"/>
      <c r="Y1067" s="84"/>
      <c r="Z1067" s="84"/>
      <c r="AA1067" s="84"/>
      <c r="AB1067" s="84"/>
    </row>
    <row r="1068">
      <c r="A1068" s="63">
        <v>72.0</v>
      </c>
      <c r="B1068" s="63">
        <v>109.0</v>
      </c>
      <c r="C1068" s="64" t="s">
        <v>264</v>
      </c>
      <c r="D1068" s="64" t="s">
        <v>265</v>
      </c>
      <c r="E1068" s="64" t="s">
        <v>266</v>
      </c>
      <c r="F1068" s="63">
        <v>2500.0</v>
      </c>
      <c r="G1068" s="63">
        <v>12.95</v>
      </c>
      <c r="H1068" s="66">
        <f t="shared" si="1"/>
        <v>45.2</v>
      </c>
      <c r="I1068" s="81">
        <f>IFERROR(__xludf.DUMMYFUNCTION("IF(G1068="""", """", ROUND(G1068 / MAX(FILTER($G$2:$G5067, $D$2:$D5067=$D1068)) * 100, 2))"),96.93)</f>
        <v>96.93</v>
      </c>
      <c r="J1068" s="81">
        <f>IFERROR(__xludf.DUMMYFUNCTION("IF(H1068="""", """", ROUND(H1068 / MAX(FILTER($H$2:$H5067, $D$2:$D5067=$D1068)) * 100, 2))"),50.13)</f>
        <v>50.13</v>
      </c>
      <c r="K1068" s="2"/>
      <c r="L1068" s="49"/>
      <c r="M1068" s="49"/>
      <c r="N1068" s="49"/>
      <c r="O1068" s="49" t="str">
        <f t="shared" si="2"/>
        <v/>
      </c>
      <c r="P1068" s="49" t="str">
        <f t="shared" si="3"/>
        <v/>
      </c>
      <c r="Q1068" s="84"/>
      <c r="R1068" s="84"/>
      <c r="S1068" s="84"/>
      <c r="T1068" s="84"/>
      <c r="U1068" s="84"/>
      <c r="V1068" s="84"/>
      <c r="W1068" s="84"/>
      <c r="X1068" s="84"/>
      <c r="Y1068" s="84"/>
      <c r="Z1068" s="84"/>
      <c r="AA1068" s="84"/>
      <c r="AB1068" s="84"/>
    </row>
    <row r="1069">
      <c r="A1069" s="69">
        <v>72.0</v>
      </c>
      <c r="B1069" s="69">
        <v>109.0</v>
      </c>
      <c r="C1069" s="86" t="s">
        <v>264</v>
      </c>
      <c r="D1069" s="86" t="s">
        <v>265</v>
      </c>
      <c r="E1069" s="86" t="s">
        <v>266</v>
      </c>
      <c r="F1069" s="69">
        <v>3000.0</v>
      </c>
      <c r="G1069" s="69">
        <v>13.36</v>
      </c>
      <c r="H1069" s="68">
        <f t="shared" si="1"/>
        <v>55.96</v>
      </c>
      <c r="I1069" s="81">
        <f>IFERROR(__xludf.DUMMYFUNCTION("IF(G1069="""", """", ROUND(G1069 / MAX(FILTER($G$2:$G5067, $D$2:$D5067=$D1069)) * 100, 2))"),100.0)</f>
        <v>100</v>
      </c>
      <c r="J1069" s="81">
        <f>IFERROR(__xludf.DUMMYFUNCTION("IF(H1069="""", """", ROUND(H1069 / MAX(FILTER($H$2:$H5067, $D$2:$D5067=$D1069)) * 100, 2))"),62.07)</f>
        <v>62.07</v>
      </c>
      <c r="K1069" s="2"/>
      <c r="L1069" s="48"/>
      <c r="M1069" s="48"/>
      <c r="N1069" s="48"/>
      <c r="O1069" s="48" t="str">
        <f t="shared" si="2"/>
        <v/>
      </c>
      <c r="P1069" s="48" t="str">
        <f t="shared" si="3"/>
        <v/>
      </c>
      <c r="Q1069" s="84"/>
      <c r="R1069" s="84"/>
      <c r="S1069" s="84"/>
      <c r="T1069" s="84"/>
      <c r="U1069" s="84"/>
      <c r="V1069" s="84"/>
      <c r="W1069" s="84"/>
      <c r="X1069" s="84"/>
      <c r="Y1069" s="84"/>
      <c r="Z1069" s="84"/>
      <c r="AA1069" s="84"/>
      <c r="AB1069" s="84"/>
    </row>
    <row r="1070">
      <c r="A1070" s="63">
        <v>72.0</v>
      </c>
      <c r="B1070" s="63">
        <v>109.0</v>
      </c>
      <c r="C1070" s="64" t="s">
        <v>264</v>
      </c>
      <c r="D1070" s="64" t="s">
        <v>265</v>
      </c>
      <c r="E1070" s="64" t="s">
        <v>266</v>
      </c>
      <c r="F1070" s="63">
        <v>3500.0</v>
      </c>
      <c r="G1070" s="63">
        <v>13.21</v>
      </c>
      <c r="H1070" s="66">
        <f t="shared" si="1"/>
        <v>64.56</v>
      </c>
      <c r="I1070" s="81">
        <f>IFERROR(__xludf.DUMMYFUNCTION("IF(G1070="""", """", ROUND(G1070 / MAX(FILTER($G$2:$G5067, $D$2:$D5067=$D1070)) * 100, 2))"),98.88)</f>
        <v>98.88</v>
      </c>
      <c r="J1070" s="81">
        <f>IFERROR(__xludf.DUMMYFUNCTION("IF(H1070="""", """", ROUND(H1070 / MAX(FILTER($H$2:$H5067, $D$2:$D5067=$D1070)) * 100, 2))"),71.61)</f>
        <v>71.61</v>
      </c>
      <c r="K1070" s="2"/>
      <c r="L1070" s="49"/>
      <c r="M1070" s="49"/>
      <c r="N1070" s="49"/>
      <c r="O1070" s="49" t="str">
        <f t="shared" si="2"/>
        <v/>
      </c>
      <c r="P1070" s="49" t="str">
        <f t="shared" si="3"/>
        <v/>
      </c>
      <c r="Q1070" s="84"/>
      <c r="R1070" s="84"/>
      <c r="S1070" s="84"/>
      <c r="T1070" s="84"/>
      <c r="U1070" s="84"/>
      <c r="V1070" s="84"/>
      <c r="W1070" s="84"/>
      <c r="X1070" s="84"/>
      <c r="Y1070" s="84"/>
      <c r="Z1070" s="84"/>
      <c r="AA1070" s="84"/>
      <c r="AB1070" s="84"/>
    </row>
    <row r="1071">
      <c r="A1071" s="69">
        <v>72.0</v>
      </c>
      <c r="B1071" s="69">
        <v>109.0</v>
      </c>
      <c r="C1071" s="86" t="s">
        <v>264</v>
      </c>
      <c r="D1071" s="86" t="s">
        <v>265</v>
      </c>
      <c r="E1071" s="86" t="s">
        <v>266</v>
      </c>
      <c r="F1071" s="69">
        <v>4000.0</v>
      </c>
      <c r="G1071" s="69">
        <v>13.05</v>
      </c>
      <c r="H1071" s="68">
        <f t="shared" si="1"/>
        <v>72.88</v>
      </c>
      <c r="I1071" s="81">
        <f>IFERROR(__xludf.DUMMYFUNCTION("IF(G1071="""", """", ROUND(G1071 / MAX(FILTER($G$2:$G5067, $D$2:$D5067=$D1071)) * 100, 2))"),97.68)</f>
        <v>97.68</v>
      </c>
      <c r="J1071" s="81">
        <f>IFERROR(__xludf.DUMMYFUNCTION("IF(H1071="""", """", ROUND(H1071 / MAX(FILTER($H$2:$H5067, $D$2:$D5067=$D1071)) * 100, 2))"),80.83)</f>
        <v>80.83</v>
      </c>
      <c r="K1071" s="2"/>
      <c r="L1071" s="48"/>
      <c r="M1071" s="48"/>
      <c r="N1071" s="48"/>
      <c r="O1071" s="48" t="str">
        <f t="shared" si="2"/>
        <v/>
      </c>
      <c r="P1071" s="48" t="str">
        <f t="shared" si="3"/>
        <v/>
      </c>
      <c r="Q1071" s="84"/>
      <c r="R1071" s="84"/>
      <c r="S1071" s="84"/>
      <c r="T1071" s="84"/>
      <c r="U1071" s="84"/>
      <c r="V1071" s="84"/>
      <c r="W1071" s="84"/>
      <c r="X1071" s="84"/>
      <c r="Y1071" s="84"/>
      <c r="Z1071" s="84"/>
      <c r="AA1071" s="84"/>
      <c r="AB1071" s="84"/>
    </row>
    <row r="1072">
      <c r="A1072" s="63">
        <v>72.0</v>
      </c>
      <c r="B1072" s="63">
        <v>109.0</v>
      </c>
      <c r="C1072" s="64" t="s">
        <v>264</v>
      </c>
      <c r="D1072" s="64" t="s">
        <v>265</v>
      </c>
      <c r="E1072" s="64" t="s">
        <v>266</v>
      </c>
      <c r="F1072" s="63">
        <v>4500.0</v>
      </c>
      <c r="G1072" s="63">
        <v>12.91</v>
      </c>
      <c r="H1072" s="66">
        <f t="shared" si="1"/>
        <v>81.12</v>
      </c>
      <c r="I1072" s="81">
        <f>IFERROR(__xludf.DUMMYFUNCTION("IF(G1072="""", """", ROUND(G1072 / MAX(FILTER($G$2:$G5067, $D$2:$D5067=$D1072)) * 100, 2))"),96.63)</f>
        <v>96.63</v>
      </c>
      <c r="J1072" s="81">
        <f>IFERROR(__xludf.DUMMYFUNCTION("IF(H1072="""", """", ROUND(H1072 / MAX(FILTER($H$2:$H5067, $D$2:$D5067=$D1072)) * 100, 2))"),89.97)</f>
        <v>89.97</v>
      </c>
      <c r="K1072" s="2"/>
      <c r="L1072" s="49"/>
      <c r="M1072" s="49"/>
      <c r="N1072" s="49"/>
      <c r="O1072" s="49" t="str">
        <f t="shared" si="2"/>
        <v/>
      </c>
      <c r="P1072" s="49" t="str">
        <f t="shared" si="3"/>
        <v/>
      </c>
      <c r="Q1072" s="84"/>
      <c r="R1072" s="84"/>
      <c r="S1072" s="84"/>
      <c r="T1072" s="84"/>
      <c r="U1072" s="84"/>
      <c r="V1072" s="84"/>
      <c r="W1072" s="84"/>
      <c r="X1072" s="84"/>
      <c r="Y1072" s="84"/>
      <c r="Z1072" s="84"/>
      <c r="AA1072" s="84"/>
      <c r="AB1072" s="84"/>
    </row>
    <row r="1073">
      <c r="A1073" s="69">
        <v>72.0</v>
      </c>
      <c r="B1073" s="69">
        <v>109.0</v>
      </c>
      <c r="C1073" s="86" t="s">
        <v>264</v>
      </c>
      <c r="D1073" s="86" t="s">
        <v>265</v>
      </c>
      <c r="E1073" s="86" t="s">
        <v>266</v>
      </c>
      <c r="F1073" s="69">
        <v>5000.0</v>
      </c>
      <c r="G1073" s="69">
        <v>12.69</v>
      </c>
      <c r="H1073" s="68">
        <f t="shared" si="1"/>
        <v>88.59</v>
      </c>
      <c r="I1073" s="81">
        <f>IFERROR(__xludf.DUMMYFUNCTION("IF(G1073="""", """", ROUND(G1073 / MAX(FILTER($G$2:$G5067, $D$2:$D5067=$D1073)) * 100, 2))"),94.99)</f>
        <v>94.99</v>
      </c>
      <c r="J1073" s="81">
        <f>IFERROR(__xludf.DUMMYFUNCTION("IF(H1073="""", """", ROUND(H1073 / MAX(FILTER($H$2:$H5067, $D$2:$D5067=$D1073)) * 100, 2))"),98.26)</f>
        <v>98.26</v>
      </c>
      <c r="K1073" s="2"/>
      <c r="L1073" s="48"/>
      <c r="M1073" s="48"/>
      <c r="N1073" s="48"/>
      <c r="O1073" s="48" t="str">
        <f t="shared" si="2"/>
        <v/>
      </c>
      <c r="P1073" s="48" t="str">
        <f t="shared" si="3"/>
        <v/>
      </c>
      <c r="Q1073" s="84"/>
      <c r="R1073" s="84"/>
      <c r="S1073" s="84"/>
      <c r="T1073" s="84"/>
      <c r="U1073" s="84"/>
      <c r="V1073" s="84"/>
      <c r="W1073" s="84"/>
      <c r="X1073" s="84"/>
      <c r="Y1073" s="84"/>
      <c r="Z1073" s="84"/>
      <c r="AA1073" s="84"/>
      <c r="AB1073" s="84"/>
    </row>
    <row r="1074">
      <c r="A1074" s="63">
        <v>72.0</v>
      </c>
      <c r="B1074" s="63">
        <v>109.0</v>
      </c>
      <c r="C1074" s="64" t="s">
        <v>264</v>
      </c>
      <c r="D1074" s="64" t="s">
        <v>265</v>
      </c>
      <c r="E1074" s="64" t="s">
        <v>266</v>
      </c>
      <c r="F1074" s="63">
        <v>5500.0</v>
      </c>
      <c r="G1074" s="63">
        <v>11.74</v>
      </c>
      <c r="H1074" s="66">
        <f t="shared" si="1"/>
        <v>90.16</v>
      </c>
      <c r="I1074" s="81">
        <f>IFERROR(__xludf.DUMMYFUNCTION("IF(G1074="""", """", ROUND(G1074 / MAX(FILTER($G$2:$G5067, $D$2:$D5067=$D1074)) * 100, 2))"),87.87)</f>
        <v>87.87</v>
      </c>
      <c r="J1074" s="81">
        <f>IFERROR(__xludf.DUMMYFUNCTION("IF(H1074="""", """", ROUND(H1074 / MAX(FILTER($H$2:$H5067, $D$2:$D5067=$D1074)) * 100, 2))"),100.0)</f>
        <v>100</v>
      </c>
      <c r="K1074" s="2"/>
      <c r="L1074" s="49"/>
      <c r="M1074" s="49"/>
      <c r="N1074" s="49"/>
      <c r="O1074" s="49" t="str">
        <f t="shared" si="2"/>
        <v/>
      </c>
      <c r="P1074" s="49" t="str">
        <f t="shared" si="3"/>
        <v/>
      </c>
      <c r="Q1074" s="84"/>
      <c r="R1074" s="84"/>
      <c r="S1074" s="84"/>
      <c r="T1074" s="84"/>
      <c r="U1074" s="84"/>
      <c r="V1074" s="84"/>
      <c r="W1074" s="84"/>
      <c r="X1074" s="84"/>
      <c r="Y1074" s="84"/>
      <c r="Z1074" s="84"/>
      <c r="AA1074" s="84"/>
      <c r="AB1074" s="84"/>
    </row>
    <row r="1075">
      <c r="A1075" s="69">
        <v>72.0</v>
      </c>
      <c r="B1075" s="69">
        <v>109.0</v>
      </c>
      <c r="C1075" s="86" t="s">
        <v>264</v>
      </c>
      <c r="D1075" s="86" t="s">
        <v>265</v>
      </c>
      <c r="E1075" s="86" t="s">
        <v>266</v>
      </c>
      <c r="F1075" s="69">
        <v>6000.0</v>
      </c>
      <c r="G1075" s="69">
        <v>10.4</v>
      </c>
      <c r="H1075" s="68">
        <f t="shared" si="1"/>
        <v>87.13</v>
      </c>
      <c r="I1075" s="81">
        <f>IFERROR(__xludf.DUMMYFUNCTION("IF(G1075="""", """", ROUND(G1075 / MAX(FILTER($G$2:$G5067, $D$2:$D5067=$D1075)) * 100, 2))"),77.84)</f>
        <v>77.84</v>
      </c>
      <c r="J1075" s="81">
        <f>IFERROR(__xludf.DUMMYFUNCTION("IF(H1075="""", """", ROUND(H1075 / MAX(FILTER($H$2:$H5067, $D$2:$D5067=$D1075)) * 100, 2))"),96.64)</f>
        <v>96.64</v>
      </c>
      <c r="K1075" s="2"/>
      <c r="L1075" s="48"/>
      <c r="M1075" s="48"/>
      <c r="N1075" s="48"/>
      <c r="O1075" s="48" t="str">
        <f t="shared" si="2"/>
        <v/>
      </c>
      <c r="P1075" s="48" t="str">
        <f t="shared" si="3"/>
        <v/>
      </c>
      <c r="Q1075" s="84"/>
      <c r="R1075" s="84"/>
      <c r="S1075" s="84"/>
      <c r="T1075" s="84"/>
      <c r="U1075" s="84"/>
      <c r="V1075" s="84"/>
      <c r="W1075" s="84"/>
      <c r="X1075" s="84"/>
      <c r="Y1075" s="84"/>
      <c r="Z1075" s="84"/>
      <c r="AA1075" s="84"/>
      <c r="AB1075" s="84"/>
    </row>
    <row r="1076">
      <c r="A1076" s="63">
        <v>73.0</v>
      </c>
      <c r="B1076" s="63">
        <v>111.0</v>
      </c>
      <c r="C1076" s="64" t="s">
        <v>267</v>
      </c>
      <c r="D1076" s="64" t="s">
        <v>268</v>
      </c>
      <c r="E1076" s="64" t="s">
        <v>269</v>
      </c>
      <c r="F1076" s="63">
        <v>500.0</v>
      </c>
      <c r="G1076" s="63">
        <v>29.64</v>
      </c>
      <c r="H1076" s="66">
        <f t="shared" si="1"/>
        <v>20.69</v>
      </c>
      <c r="I1076" s="81">
        <f>IFERROR(__xludf.DUMMYFUNCTION("IF(G1076="""", """", ROUND(G1076 / MAX(FILTER($G$2:$G5067, $D$2:$D5067=$D1076)) * 100, 2))"),55.61)</f>
        <v>55.61</v>
      </c>
      <c r="J1076" s="81">
        <f>IFERROR(__xludf.DUMMYFUNCTION("IF(H1076="""", """", ROUND(H1076 / MAX(FILTER($H$2:$H5067, $D$2:$D5067=$D1076)) * 100, 2))"),5.52)</f>
        <v>5.52</v>
      </c>
      <c r="K1076" s="2"/>
      <c r="L1076" s="49"/>
      <c r="M1076" s="49"/>
      <c r="N1076" s="49"/>
      <c r="O1076" s="49" t="str">
        <f t="shared" si="2"/>
        <v/>
      </c>
      <c r="P1076" s="49" t="str">
        <f t="shared" si="3"/>
        <v/>
      </c>
      <c r="Q1076" s="84"/>
      <c r="R1076" s="84"/>
      <c r="S1076" s="84"/>
      <c r="T1076" s="84"/>
      <c r="U1076" s="84"/>
      <c r="V1076" s="84"/>
      <c r="W1076" s="84"/>
      <c r="X1076" s="84"/>
      <c r="Y1076" s="84"/>
      <c r="Z1076" s="84"/>
      <c r="AA1076" s="84"/>
      <c r="AB1076" s="84"/>
    </row>
    <row r="1077">
      <c r="A1077" s="69">
        <v>73.0</v>
      </c>
      <c r="B1077" s="69">
        <v>111.0</v>
      </c>
      <c r="C1077" s="86" t="s">
        <v>267</v>
      </c>
      <c r="D1077" s="86" t="s">
        <v>268</v>
      </c>
      <c r="E1077" s="86" t="s">
        <v>269</v>
      </c>
      <c r="F1077" s="69">
        <v>1000.0</v>
      </c>
      <c r="G1077" s="69">
        <v>35.83</v>
      </c>
      <c r="H1077" s="68">
        <f t="shared" si="1"/>
        <v>50.03</v>
      </c>
      <c r="I1077" s="81">
        <f>IFERROR(__xludf.DUMMYFUNCTION("IF(G1077="""", """", ROUND(G1077 / MAX(FILTER($G$2:$G5067, $D$2:$D5067=$D1077)) * 100, 2))"),67.22)</f>
        <v>67.22</v>
      </c>
      <c r="J1077" s="81">
        <f>IFERROR(__xludf.DUMMYFUNCTION("IF(H1077="""", """", ROUND(H1077 / MAX(FILTER($H$2:$H5067, $D$2:$D5067=$D1077)) * 100, 2))"),13.34)</f>
        <v>13.34</v>
      </c>
      <c r="K1077" s="2"/>
      <c r="L1077" s="48"/>
      <c r="M1077" s="48"/>
      <c r="N1077" s="48"/>
      <c r="O1077" s="48" t="str">
        <f t="shared" si="2"/>
        <v/>
      </c>
      <c r="P1077" s="48" t="str">
        <f t="shared" si="3"/>
        <v/>
      </c>
      <c r="Q1077" s="84"/>
      <c r="R1077" s="84"/>
      <c r="S1077" s="84"/>
      <c r="T1077" s="84"/>
      <c r="U1077" s="84"/>
      <c r="V1077" s="84"/>
      <c r="W1077" s="84"/>
      <c r="X1077" s="84"/>
      <c r="Y1077" s="84"/>
      <c r="Z1077" s="84"/>
      <c r="AA1077" s="84"/>
      <c r="AB1077" s="84"/>
    </row>
    <row r="1078">
      <c r="A1078" s="63">
        <v>73.0</v>
      </c>
      <c r="B1078" s="63">
        <v>111.0</v>
      </c>
      <c r="C1078" s="64" t="s">
        <v>267</v>
      </c>
      <c r="D1078" s="64" t="s">
        <v>268</v>
      </c>
      <c r="E1078" s="64" t="s">
        <v>269</v>
      </c>
      <c r="F1078" s="63">
        <v>1500.0</v>
      </c>
      <c r="G1078" s="63">
        <v>41.26</v>
      </c>
      <c r="H1078" s="66">
        <f t="shared" si="1"/>
        <v>86.41</v>
      </c>
      <c r="I1078" s="81">
        <f>IFERROR(__xludf.DUMMYFUNCTION("IF(G1078="""", """", ROUND(G1078 / MAX(FILTER($G$2:$G5067, $D$2:$D5067=$D1078)) * 100, 2))"),77.41)</f>
        <v>77.41</v>
      </c>
      <c r="J1078" s="81">
        <f>IFERROR(__xludf.DUMMYFUNCTION("IF(H1078="""", """", ROUND(H1078 / MAX(FILTER($H$2:$H5067, $D$2:$D5067=$D1078)) * 100, 2))"),23.04)</f>
        <v>23.04</v>
      </c>
      <c r="K1078" s="2"/>
      <c r="L1078" s="49"/>
      <c r="M1078" s="49"/>
      <c r="N1078" s="49"/>
      <c r="O1078" s="49" t="str">
        <f t="shared" si="2"/>
        <v/>
      </c>
      <c r="P1078" s="49" t="str">
        <f t="shared" si="3"/>
        <v/>
      </c>
      <c r="Q1078" s="84"/>
      <c r="R1078" s="84"/>
      <c r="S1078" s="84"/>
      <c r="T1078" s="84"/>
      <c r="U1078" s="84"/>
      <c r="V1078" s="84"/>
      <c r="W1078" s="84"/>
      <c r="X1078" s="84"/>
      <c r="Y1078" s="84"/>
      <c r="Z1078" s="84"/>
      <c r="AA1078" s="84"/>
      <c r="AB1078" s="84"/>
    </row>
    <row r="1079">
      <c r="A1079" s="69">
        <v>73.0</v>
      </c>
      <c r="B1079" s="69">
        <v>111.0</v>
      </c>
      <c r="C1079" s="86" t="s">
        <v>267</v>
      </c>
      <c r="D1079" s="86" t="s">
        <v>268</v>
      </c>
      <c r="E1079" s="86" t="s">
        <v>269</v>
      </c>
      <c r="F1079" s="69">
        <v>2000.0</v>
      </c>
      <c r="G1079" s="69">
        <v>46.28</v>
      </c>
      <c r="H1079" s="68">
        <f t="shared" si="1"/>
        <v>129.24</v>
      </c>
      <c r="I1079" s="81">
        <f>IFERROR(__xludf.DUMMYFUNCTION("IF(G1079="""", """", ROUND(G1079 / MAX(FILTER($G$2:$G5067, $D$2:$D5067=$D1079)) * 100, 2))"),86.83)</f>
        <v>86.83</v>
      </c>
      <c r="J1079" s="81">
        <f>IFERROR(__xludf.DUMMYFUNCTION("IF(H1079="""", """", ROUND(H1079 / MAX(FILTER($H$2:$H5067, $D$2:$D5067=$D1079)) * 100, 2))"),34.46)</f>
        <v>34.46</v>
      </c>
      <c r="K1079" s="2"/>
      <c r="L1079" s="48"/>
      <c r="M1079" s="48"/>
      <c r="N1079" s="48"/>
      <c r="O1079" s="48" t="str">
        <f t="shared" si="2"/>
        <v/>
      </c>
      <c r="P1079" s="48" t="str">
        <f t="shared" si="3"/>
        <v/>
      </c>
      <c r="Q1079" s="84"/>
      <c r="R1079" s="84"/>
      <c r="S1079" s="84"/>
      <c r="T1079" s="84"/>
      <c r="U1079" s="84"/>
      <c r="V1079" s="84"/>
      <c r="W1079" s="84"/>
      <c r="X1079" s="84"/>
      <c r="Y1079" s="84"/>
      <c r="Z1079" s="84"/>
      <c r="AA1079" s="84"/>
      <c r="AB1079" s="84"/>
    </row>
    <row r="1080">
      <c r="A1080" s="63">
        <v>73.0</v>
      </c>
      <c r="B1080" s="63">
        <v>111.0</v>
      </c>
      <c r="C1080" s="64" t="s">
        <v>267</v>
      </c>
      <c r="D1080" s="64" t="s">
        <v>268</v>
      </c>
      <c r="E1080" s="64" t="s">
        <v>269</v>
      </c>
      <c r="F1080" s="63">
        <v>2500.0</v>
      </c>
      <c r="G1080" s="63">
        <v>50.85</v>
      </c>
      <c r="H1080" s="66">
        <f t="shared" si="1"/>
        <v>177.5</v>
      </c>
      <c r="I1080" s="81">
        <f>IFERROR(__xludf.DUMMYFUNCTION("IF(G1080="""", """", ROUND(G1080 / MAX(FILTER($G$2:$G5067, $D$2:$D5067=$D1080)) * 100, 2))"),95.4)</f>
        <v>95.4</v>
      </c>
      <c r="J1080" s="81">
        <f>IFERROR(__xludf.DUMMYFUNCTION("IF(H1080="""", """", ROUND(H1080 / MAX(FILTER($H$2:$H5067, $D$2:$D5067=$D1080)) * 100, 2))"),47.33)</f>
        <v>47.33</v>
      </c>
      <c r="K1080" s="2"/>
      <c r="L1080" s="49"/>
      <c r="M1080" s="49"/>
      <c r="N1080" s="49"/>
      <c r="O1080" s="49" t="str">
        <f t="shared" si="2"/>
        <v/>
      </c>
      <c r="P1080" s="49" t="str">
        <f t="shared" si="3"/>
        <v/>
      </c>
      <c r="Q1080" s="84"/>
      <c r="R1080" s="84"/>
      <c r="S1080" s="84"/>
      <c r="T1080" s="84"/>
      <c r="U1080" s="84"/>
      <c r="V1080" s="84"/>
      <c r="W1080" s="84"/>
      <c r="X1080" s="84"/>
      <c r="Y1080" s="84"/>
      <c r="Z1080" s="84"/>
      <c r="AA1080" s="84"/>
      <c r="AB1080" s="84"/>
    </row>
    <row r="1081">
      <c r="A1081" s="69">
        <v>73.0</v>
      </c>
      <c r="B1081" s="69">
        <v>111.0</v>
      </c>
      <c r="C1081" s="86" t="s">
        <v>267</v>
      </c>
      <c r="D1081" s="86" t="s">
        <v>268</v>
      </c>
      <c r="E1081" s="86" t="s">
        <v>269</v>
      </c>
      <c r="F1081" s="69">
        <v>3000.0</v>
      </c>
      <c r="G1081" s="69">
        <v>52.33</v>
      </c>
      <c r="H1081" s="68">
        <f t="shared" si="1"/>
        <v>219.2</v>
      </c>
      <c r="I1081" s="81">
        <f>IFERROR(__xludf.DUMMYFUNCTION("IF(G1081="""", """", ROUND(G1081 / MAX(FILTER($G$2:$G5067, $D$2:$D5067=$D1081)) * 100, 2))"),98.18)</f>
        <v>98.18</v>
      </c>
      <c r="J1081" s="81">
        <f>IFERROR(__xludf.DUMMYFUNCTION("IF(H1081="""", """", ROUND(H1081 / MAX(FILTER($H$2:$H5067, $D$2:$D5067=$D1081)) * 100, 2))"),58.44)</f>
        <v>58.44</v>
      </c>
      <c r="K1081" s="2"/>
      <c r="L1081" s="48"/>
      <c r="M1081" s="48"/>
      <c r="N1081" s="48"/>
      <c r="O1081" s="48" t="str">
        <f t="shared" si="2"/>
        <v/>
      </c>
      <c r="P1081" s="48" t="str">
        <f t="shared" si="3"/>
        <v/>
      </c>
      <c r="Q1081" s="84"/>
      <c r="R1081" s="84"/>
      <c r="S1081" s="84"/>
      <c r="T1081" s="84"/>
      <c r="U1081" s="84"/>
      <c r="V1081" s="84"/>
      <c r="W1081" s="84"/>
      <c r="X1081" s="84"/>
      <c r="Y1081" s="84"/>
      <c r="Z1081" s="84"/>
      <c r="AA1081" s="84"/>
      <c r="AB1081" s="84"/>
    </row>
    <row r="1082">
      <c r="A1082" s="63">
        <v>73.0</v>
      </c>
      <c r="B1082" s="63">
        <v>111.0</v>
      </c>
      <c r="C1082" s="64" t="s">
        <v>267</v>
      </c>
      <c r="D1082" s="64" t="s">
        <v>268</v>
      </c>
      <c r="E1082" s="64" t="s">
        <v>269</v>
      </c>
      <c r="F1082" s="63">
        <v>3500.0</v>
      </c>
      <c r="G1082" s="63">
        <v>53.3</v>
      </c>
      <c r="H1082" s="66">
        <f t="shared" si="1"/>
        <v>260.47</v>
      </c>
      <c r="I1082" s="81">
        <f>IFERROR(__xludf.DUMMYFUNCTION("IF(G1082="""", """", ROUND(G1082 / MAX(FILTER($G$2:$G5067, $D$2:$D5067=$D1082)) * 100, 2))"),100.0)</f>
        <v>100</v>
      </c>
      <c r="J1082" s="81">
        <f>IFERROR(__xludf.DUMMYFUNCTION("IF(H1082="""", """", ROUND(H1082 / MAX(FILTER($H$2:$H5067, $D$2:$D5067=$D1082)) * 100, 2))"),69.45)</f>
        <v>69.45</v>
      </c>
      <c r="K1082" s="2"/>
      <c r="L1082" s="49"/>
      <c r="M1082" s="49"/>
      <c r="N1082" s="49"/>
      <c r="O1082" s="49" t="str">
        <f t="shared" si="2"/>
        <v/>
      </c>
      <c r="P1082" s="49" t="str">
        <f t="shared" si="3"/>
        <v/>
      </c>
      <c r="Q1082" s="84"/>
      <c r="R1082" s="84"/>
      <c r="S1082" s="84"/>
      <c r="T1082" s="84"/>
      <c r="U1082" s="84"/>
      <c r="V1082" s="84"/>
      <c r="W1082" s="84"/>
      <c r="X1082" s="84"/>
      <c r="Y1082" s="84"/>
      <c r="Z1082" s="84"/>
      <c r="AA1082" s="84"/>
      <c r="AB1082" s="84"/>
    </row>
    <row r="1083">
      <c r="A1083" s="69">
        <v>73.0</v>
      </c>
      <c r="B1083" s="69">
        <v>111.0</v>
      </c>
      <c r="C1083" s="86" t="s">
        <v>267</v>
      </c>
      <c r="D1083" s="86" t="s">
        <v>268</v>
      </c>
      <c r="E1083" s="86" t="s">
        <v>269</v>
      </c>
      <c r="F1083" s="69">
        <v>4000.0</v>
      </c>
      <c r="G1083" s="69">
        <v>53.1</v>
      </c>
      <c r="H1083" s="68">
        <f t="shared" si="1"/>
        <v>296.57</v>
      </c>
      <c r="I1083" s="81">
        <f>IFERROR(__xludf.DUMMYFUNCTION("IF(G1083="""", """", ROUND(G1083 / MAX(FILTER($G$2:$G5067, $D$2:$D5067=$D1083)) * 100, 2))"),99.62)</f>
        <v>99.62</v>
      </c>
      <c r="J1083" s="81">
        <f>IFERROR(__xludf.DUMMYFUNCTION("IF(H1083="""", """", ROUND(H1083 / MAX(FILTER($H$2:$H5067, $D$2:$D5067=$D1083)) * 100, 2))"),79.07)</f>
        <v>79.07</v>
      </c>
      <c r="K1083" s="2"/>
      <c r="L1083" s="48"/>
      <c r="M1083" s="48"/>
      <c r="N1083" s="48"/>
      <c r="O1083" s="48" t="str">
        <f t="shared" si="2"/>
        <v/>
      </c>
      <c r="P1083" s="48" t="str">
        <f t="shared" si="3"/>
        <v/>
      </c>
      <c r="Q1083" s="84"/>
      <c r="R1083" s="84"/>
      <c r="S1083" s="84"/>
      <c r="T1083" s="84"/>
      <c r="U1083" s="84"/>
      <c r="V1083" s="84"/>
      <c r="W1083" s="84"/>
      <c r="X1083" s="84"/>
      <c r="Y1083" s="84"/>
      <c r="Z1083" s="84"/>
      <c r="AA1083" s="84"/>
      <c r="AB1083" s="84"/>
    </row>
    <row r="1084">
      <c r="A1084" s="63">
        <v>73.0</v>
      </c>
      <c r="B1084" s="63">
        <v>111.0</v>
      </c>
      <c r="C1084" s="64" t="s">
        <v>267</v>
      </c>
      <c r="D1084" s="64" t="s">
        <v>268</v>
      </c>
      <c r="E1084" s="64" t="s">
        <v>269</v>
      </c>
      <c r="F1084" s="63">
        <v>4500.0</v>
      </c>
      <c r="G1084" s="63">
        <v>51.85</v>
      </c>
      <c r="H1084" s="66">
        <f t="shared" si="1"/>
        <v>325.78</v>
      </c>
      <c r="I1084" s="81">
        <f>IFERROR(__xludf.DUMMYFUNCTION("IF(G1084="""", """", ROUND(G1084 / MAX(FILTER($G$2:$G5067, $D$2:$D5067=$D1084)) * 100, 2))"),97.28)</f>
        <v>97.28</v>
      </c>
      <c r="J1084" s="81">
        <f>IFERROR(__xludf.DUMMYFUNCTION("IF(H1084="""", """", ROUND(H1084 / MAX(FILTER($H$2:$H5067, $D$2:$D5067=$D1084)) * 100, 2))"),86.86)</f>
        <v>86.86</v>
      </c>
      <c r="K1084" s="2"/>
      <c r="L1084" s="49"/>
      <c r="M1084" s="49"/>
      <c r="N1084" s="49"/>
      <c r="O1084" s="49" t="str">
        <f t="shared" si="2"/>
        <v/>
      </c>
      <c r="P1084" s="49" t="str">
        <f t="shared" si="3"/>
        <v/>
      </c>
      <c r="Q1084" s="84"/>
      <c r="R1084" s="84"/>
      <c r="S1084" s="84"/>
      <c r="T1084" s="84"/>
      <c r="U1084" s="84"/>
      <c r="V1084" s="84"/>
      <c r="W1084" s="84"/>
      <c r="X1084" s="84"/>
      <c r="Y1084" s="84"/>
      <c r="Z1084" s="84"/>
      <c r="AA1084" s="84"/>
      <c r="AB1084" s="84"/>
    </row>
    <row r="1085">
      <c r="A1085" s="69">
        <v>73.0</v>
      </c>
      <c r="B1085" s="69">
        <v>111.0</v>
      </c>
      <c r="C1085" s="86" t="s">
        <v>267</v>
      </c>
      <c r="D1085" s="86" t="s">
        <v>268</v>
      </c>
      <c r="E1085" s="86" t="s">
        <v>269</v>
      </c>
      <c r="F1085" s="69">
        <v>5000.0</v>
      </c>
      <c r="G1085" s="69">
        <v>49.82</v>
      </c>
      <c r="H1085" s="68">
        <f t="shared" si="1"/>
        <v>347.81</v>
      </c>
      <c r="I1085" s="81">
        <f>IFERROR(__xludf.DUMMYFUNCTION("IF(G1085="""", """", ROUND(G1085 / MAX(FILTER($G$2:$G5067, $D$2:$D5067=$D1085)) * 100, 2))"),93.47)</f>
        <v>93.47</v>
      </c>
      <c r="J1085" s="81">
        <f>IFERROR(__xludf.DUMMYFUNCTION("IF(H1085="""", """", ROUND(H1085 / MAX(FILTER($H$2:$H5067, $D$2:$D5067=$D1085)) * 100, 2))"),92.73)</f>
        <v>92.73</v>
      </c>
      <c r="K1085" s="2"/>
      <c r="L1085" s="48"/>
      <c r="M1085" s="48"/>
      <c r="N1085" s="48"/>
      <c r="O1085" s="48" t="str">
        <f t="shared" si="2"/>
        <v/>
      </c>
      <c r="P1085" s="48" t="str">
        <f t="shared" si="3"/>
        <v/>
      </c>
      <c r="Q1085" s="84"/>
      <c r="R1085" s="84"/>
      <c r="S1085" s="84"/>
      <c r="T1085" s="84"/>
      <c r="U1085" s="84"/>
      <c r="V1085" s="84"/>
      <c r="W1085" s="84"/>
      <c r="X1085" s="84"/>
      <c r="Y1085" s="84"/>
      <c r="Z1085" s="84"/>
      <c r="AA1085" s="84"/>
      <c r="AB1085" s="84"/>
    </row>
    <row r="1086">
      <c r="A1086" s="63">
        <v>73.0</v>
      </c>
      <c r="B1086" s="63">
        <v>111.0</v>
      </c>
      <c r="C1086" s="64" t="s">
        <v>267</v>
      </c>
      <c r="D1086" s="64" t="s">
        <v>268</v>
      </c>
      <c r="E1086" s="64" t="s">
        <v>269</v>
      </c>
      <c r="F1086" s="63">
        <v>5500.0</v>
      </c>
      <c r="G1086" s="63">
        <v>47.2</v>
      </c>
      <c r="H1086" s="66">
        <f t="shared" si="1"/>
        <v>362.47</v>
      </c>
      <c r="I1086" s="81">
        <f>IFERROR(__xludf.DUMMYFUNCTION("IF(G1086="""", """", ROUND(G1086 / MAX(FILTER($G$2:$G5067, $D$2:$D5067=$D1086)) * 100, 2))"),88.56)</f>
        <v>88.56</v>
      </c>
      <c r="J1086" s="81">
        <f>IFERROR(__xludf.DUMMYFUNCTION("IF(H1086="""", """", ROUND(H1086 / MAX(FILTER($H$2:$H5067, $D$2:$D5067=$D1086)) * 100, 2))"),96.64)</f>
        <v>96.64</v>
      </c>
      <c r="K1086" s="2"/>
      <c r="L1086" s="49"/>
      <c r="M1086" s="49"/>
      <c r="N1086" s="49"/>
      <c r="O1086" s="49" t="str">
        <f t="shared" si="2"/>
        <v/>
      </c>
      <c r="P1086" s="49" t="str">
        <f t="shared" si="3"/>
        <v/>
      </c>
      <c r="Q1086" s="84"/>
      <c r="R1086" s="84"/>
      <c r="S1086" s="84"/>
      <c r="T1086" s="84"/>
      <c r="U1086" s="84"/>
      <c r="V1086" s="84"/>
      <c r="W1086" s="84"/>
      <c r="X1086" s="84"/>
      <c r="Y1086" s="84"/>
      <c r="Z1086" s="84"/>
      <c r="AA1086" s="84"/>
      <c r="AB1086" s="84"/>
    </row>
    <row r="1087">
      <c r="A1087" s="69">
        <v>73.0</v>
      </c>
      <c r="B1087" s="69">
        <v>111.0</v>
      </c>
      <c r="C1087" s="86" t="s">
        <v>267</v>
      </c>
      <c r="D1087" s="86" t="s">
        <v>268</v>
      </c>
      <c r="E1087" s="86" t="s">
        <v>269</v>
      </c>
      <c r="F1087" s="69">
        <v>6000.0</v>
      </c>
      <c r="G1087" s="69">
        <v>44.77</v>
      </c>
      <c r="H1087" s="68">
        <f t="shared" si="1"/>
        <v>375.06</v>
      </c>
      <c r="I1087" s="81">
        <f>IFERROR(__xludf.DUMMYFUNCTION("IF(G1087="""", """", ROUND(G1087 / MAX(FILTER($G$2:$G5067, $D$2:$D5067=$D1087)) * 100, 2))"),84.0)</f>
        <v>84</v>
      </c>
      <c r="J1087" s="81">
        <f>IFERROR(__xludf.DUMMYFUNCTION("IF(H1087="""", """", ROUND(H1087 / MAX(FILTER($H$2:$H5067, $D$2:$D5067=$D1087)) * 100, 2))"),100.0)</f>
        <v>100</v>
      </c>
      <c r="K1087" s="2"/>
      <c r="L1087" s="48"/>
      <c r="M1087" s="48"/>
      <c r="N1087" s="48"/>
      <c r="O1087" s="48" t="str">
        <f t="shared" si="2"/>
        <v/>
      </c>
      <c r="P1087" s="48" t="str">
        <f t="shared" si="3"/>
        <v/>
      </c>
      <c r="Q1087" s="84"/>
      <c r="R1087" s="84"/>
      <c r="S1087" s="84"/>
      <c r="T1087" s="84"/>
      <c r="U1087" s="84"/>
      <c r="V1087" s="84"/>
      <c r="W1087" s="84"/>
      <c r="X1087" s="84"/>
      <c r="Y1087" s="84"/>
      <c r="Z1087" s="84"/>
      <c r="AA1087" s="84"/>
      <c r="AB1087" s="84"/>
    </row>
    <row r="1088">
      <c r="A1088" s="63">
        <v>73.0</v>
      </c>
      <c r="B1088" s="63">
        <v>111.0</v>
      </c>
      <c r="C1088" s="64" t="s">
        <v>267</v>
      </c>
      <c r="D1088" s="64" t="s">
        <v>268</v>
      </c>
      <c r="E1088" s="64" t="s">
        <v>269</v>
      </c>
      <c r="F1088" s="63">
        <v>6500.0</v>
      </c>
      <c r="G1088" s="63">
        <v>41.3</v>
      </c>
      <c r="H1088" s="66">
        <f t="shared" si="1"/>
        <v>374.83</v>
      </c>
      <c r="I1088" s="81">
        <f>IFERROR(__xludf.DUMMYFUNCTION("IF(G1088="""", """", ROUND(G1088 / MAX(FILTER($G$2:$G5067, $D$2:$D5067=$D1088)) * 100, 2))"),77.49)</f>
        <v>77.49</v>
      </c>
      <c r="J1088" s="81">
        <f>IFERROR(__xludf.DUMMYFUNCTION("IF(H1088="""", """", ROUND(H1088 / MAX(FILTER($H$2:$H5067, $D$2:$D5067=$D1088)) * 100, 2))"),99.94)</f>
        <v>99.94</v>
      </c>
      <c r="K1088" s="2"/>
      <c r="L1088" s="49"/>
      <c r="M1088" s="49"/>
      <c r="N1088" s="49"/>
      <c r="O1088" s="49" t="str">
        <f t="shared" si="2"/>
        <v/>
      </c>
      <c r="P1088" s="49" t="str">
        <f t="shared" si="3"/>
        <v/>
      </c>
      <c r="Q1088" s="84"/>
      <c r="R1088" s="84"/>
      <c r="S1088" s="84"/>
      <c r="T1088" s="84"/>
      <c r="U1088" s="84"/>
      <c r="V1088" s="84"/>
      <c r="W1088" s="84"/>
      <c r="X1088" s="84"/>
      <c r="Y1088" s="84"/>
      <c r="Z1088" s="84"/>
      <c r="AA1088" s="84"/>
      <c r="AB1088" s="84"/>
    </row>
    <row r="1089">
      <c r="A1089" s="69">
        <v>73.0</v>
      </c>
      <c r="B1089" s="69">
        <v>111.0</v>
      </c>
      <c r="C1089" s="86" t="s">
        <v>267</v>
      </c>
      <c r="D1089" s="86" t="s">
        <v>268</v>
      </c>
      <c r="E1089" s="86" t="s">
        <v>269</v>
      </c>
      <c r="F1089" s="69">
        <v>7000.0</v>
      </c>
      <c r="G1089" s="69">
        <v>36.84</v>
      </c>
      <c r="H1089" s="68">
        <f t="shared" si="1"/>
        <v>360.07</v>
      </c>
      <c r="I1089" s="81">
        <f>IFERROR(__xludf.DUMMYFUNCTION("IF(G1089="""", """", ROUND(G1089 / MAX(FILTER($G$2:$G5067, $D$2:$D5067=$D1089)) * 100, 2))"),69.12)</f>
        <v>69.12</v>
      </c>
      <c r="J1089" s="81">
        <f>IFERROR(__xludf.DUMMYFUNCTION("IF(H1089="""", """", ROUND(H1089 / MAX(FILTER($H$2:$H5067, $D$2:$D5067=$D1089)) * 100, 2))"),96.0)</f>
        <v>96</v>
      </c>
      <c r="K1089" s="2"/>
      <c r="L1089" s="48"/>
      <c r="M1089" s="48"/>
      <c r="N1089" s="48"/>
      <c r="O1089" s="48" t="str">
        <f t="shared" si="2"/>
        <v/>
      </c>
      <c r="P1089" s="48" t="str">
        <f t="shared" si="3"/>
        <v/>
      </c>
      <c r="Q1089" s="84"/>
      <c r="R1089" s="84"/>
      <c r="S1089" s="84"/>
      <c r="T1089" s="84"/>
      <c r="U1089" s="84"/>
      <c r="V1089" s="84"/>
      <c r="W1089" s="84"/>
      <c r="X1089" s="84"/>
      <c r="Y1089" s="84"/>
      <c r="Z1089" s="84"/>
      <c r="AA1089" s="84"/>
      <c r="AB1089" s="84"/>
    </row>
    <row r="1090">
      <c r="A1090" s="63">
        <v>74.0</v>
      </c>
      <c r="B1090" s="63">
        <v>112.0</v>
      </c>
      <c r="C1090" s="64" t="s">
        <v>270</v>
      </c>
      <c r="D1090" s="64" t="s">
        <v>271</v>
      </c>
      <c r="E1090" s="64" t="s">
        <v>272</v>
      </c>
      <c r="F1090" s="63">
        <v>500.0</v>
      </c>
      <c r="G1090" s="63">
        <v>35.63</v>
      </c>
      <c r="H1090" s="66">
        <f t="shared" si="1"/>
        <v>24.87</v>
      </c>
      <c r="I1090" s="81">
        <f>IFERROR(__xludf.DUMMYFUNCTION("IF(G1090="""", """", ROUND(G1090 / MAX(FILTER($G$2:$G5067, $D$2:$D5067=$D1090)) * 100, 2))"),79.35)</f>
        <v>79.35</v>
      </c>
      <c r="J1090" s="81">
        <f>IFERROR(__xludf.DUMMYFUNCTION("IF(H1090="""", """", ROUND(H1090 / MAX(FILTER($H$2:$H5067, $D$2:$D5067=$D1090)) * 100, 2))"),8.73)</f>
        <v>8.73</v>
      </c>
      <c r="K1090" s="2"/>
      <c r="L1090" s="49"/>
      <c r="M1090" s="49"/>
      <c r="N1090" s="49"/>
      <c r="O1090" s="49" t="str">
        <f t="shared" si="2"/>
        <v/>
      </c>
      <c r="P1090" s="49" t="str">
        <f t="shared" si="3"/>
        <v/>
      </c>
      <c r="Q1090" s="84"/>
      <c r="R1090" s="84"/>
      <c r="S1090" s="84"/>
      <c r="T1090" s="84"/>
      <c r="U1090" s="84"/>
      <c r="V1090" s="84"/>
      <c r="W1090" s="84"/>
      <c r="X1090" s="84"/>
      <c r="Y1090" s="84"/>
      <c r="Z1090" s="84"/>
      <c r="AA1090" s="84"/>
      <c r="AB1090" s="84"/>
    </row>
    <row r="1091">
      <c r="A1091" s="69">
        <v>74.0</v>
      </c>
      <c r="B1091" s="69">
        <v>112.0</v>
      </c>
      <c r="C1091" s="86" t="s">
        <v>270</v>
      </c>
      <c r="D1091" s="86" t="s">
        <v>271</v>
      </c>
      <c r="E1091" s="86" t="s">
        <v>272</v>
      </c>
      <c r="F1091" s="69">
        <v>1000.0</v>
      </c>
      <c r="G1091" s="69">
        <v>41.0</v>
      </c>
      <c r="H1091" s="68">
        <f t="shared" si="1"/>
        <v>57.25</v>
      </c>
      <c r="I1091" s="81">
        <f>IFERROR(__xludf.DUMMYFUNCTION("IF(G1091="""", """", ROUND(G1091 / MAX(FILTER($G$2:$G5067, $D$2:$D5067=$D1091)) * 100, 2))"),91.31)</f>
        <v>91.31</v>
      </c>
      <c r="J1091" s="81">
        <f>IFERROR(__xludf.DUMMYFUNCTION("IF(H1091="""", """", ROUND(H1091 / MAX(FILTER($H$2:$H5067, $D$2:$D5067=$D1091)) * 100, 2))"),20.09)</f>
        <v>20.09</v>
      </c>
      <c r="K1091" s="2"/>
      <c r="L1091" s="48"/>
      <c r="M1091" s="48"/>
      <c r="N1091" s="48"/>
      <c r="O1091" s="48" t="str">
        <f t="shared" si="2"/>
        <v/>
      </c>
      <c r="P1091" s="48" t="str">
        <f t="shared" si="3"/>
        <v/>
      </c>
      <c r="Q1091" s="84"/>
      <c r="R1091" s="84"/>
      <c r="S1091" s="84"/>
      <c r="T1091" s="84"/>
      <c r="U1091" s="84"/>
      <c r="V1091" s="84"/>
      <c r="W1091" s="84"/>
      <c r="X1091" s="84"/>
      <c r="Y1091" s="84"/>
      <c r="Z1091" s="84"/>
      <c r="AA1091" s="84"/>
      <c r="AB1091" s="84"/>
    </row>
    <row r="1092">
      <c r="A1092" s="63">
        <v>74.0</v>
      </c>
      <c r="B1092" s="63">
        <v>112.0</v>
      </c>
      <c r="C1092" s="64" t="s">
        <v>270</v>
      </c>
      <c r="D1092" s="64" t="s">
        <v>271</v>
      </c>
      <c r="E1092" s="64" t="s">
        <v>272</v>
      </c>
      <c r="F1092" s="63">
        <v>1500.0</v>
      </c>
      <c r="G1092" s="63">
        <v>43.0</v>
      </c>
      <c r="H1092" s="66">
        <f t="shared" si="1"/>
        <v>90.06</v>
      </c>
      <c r="I1092" s="81">
        <f>IFERROR(__xludf.DUMMYFUNCTION("IF(G1092="""", """", ROUND(G1092 / MAX(FILTER($G$2:$G5067, $D$2:$D5067=$D1092)) * 100, 2))"),95.77)</f>
        <v>95.77</v>
      </c>
      <c r="J1092" s="81">
        <f>IFERROR(__xludf.DUMMYFUNCTION("IF(H1092="""", """", ROUND(H1092 / MAX(FILTER($H$2:$H5067, $D$2:$D5067=$D1092)) * 100, 2))"),31.6)</f>
        <v>31.6</v>
      </c>
      <c r="K1092" s="2"/>
      <c r="L1092" s="49"/>
      <c r="M1092" s="49"/>
      <c r="N1092" s="49"/>
      <c r="O1092" s="49" t="str">
        <f t="shared" si="2"/>
        <v/>
      </c>
      <c r="P1092" s="49" t="str">
        <f t="shared" si="3"/>
        <v/>
      </c>
      <c r="Q1092" s="84"/>
      <c r="R1092" s="84"/>
      <c r="S1092" s="84"/>
      <c r="T1092" s="84"/>
      <c r="U1092" s="84"/>
      <c r="V1092" s="84"/>
      <c r="W1092" s="84"/>
      <c r="X1092" s="84"/>
      <c r="Y1092" s="84"/>
      <c r="Z1092" s="84"/>
      <c r="AA1092" s="84"/>
      <c r="AB1092" s="84"/>
    </row>
    <row r="1093">
      <c r="A1093" s="69">
        <v>74.0</v>
      </c>
      <c r="B1093" s="69">
        <v>112.0</v>
      </c>
      <c r="C1093" s="86" t="s">
        <v>270</v>
      </c>
      <c r="D1093" s="86" t="s">
        <v>271</v>
      </c>
      <c r="E1093" s="86" t="s">
        <v>272</v>
      </c>
      <c r="F1093" s="69">
        <v>2000.0</v>
      </c>
      <c r="G1093" s="69">
        <v>44.0</v>
      </c>
      <c r="H1093" s="68">
        <f t="shared" si="1"/>
        <v>122.87</v>
      </c>
      <c r="I1093" s="81">
        <f>IFERROR(__xludf.DUMMYFUNCTION("IF(G1093="""", """", ROUND(G1093 / MAX(FILTER($G$2:$G5067, $D$2:$D5067=$D1093)) * 100, 2))"),98.0)</f>
        <v>98</v>
      </c>
      <c r="J1093" s="81">
        <f>IFERROR(__xludf.DUMMYFUNCTION("IF(H1093="""", """", ROUND(H1093 / MAX(FILTER($H$2:$H5067, $D$2:$D5067=$D1093)) * 100, 2))"),43.11)</f>
        <v>43.11</v>
      </c>
      <c r="K1093" s="2"/>
      <c r="L1093" s="48"/>
      <c r="M1093" s="48"/>
      <c r="N1093" s="48"/>
      <c r="O1093" s="48" t="str">
        <f t="shared" si="2"/>
        <v/>
      </c>
      <c r="P1093" s="48" t="str">
        <f t="shared" si="3"/>
        <v/>
      </c>
      <c r="Q1093" s="84"/>
      <c r="R1093" s="84"/>
      <c r="S1093" s="84"/>
      <c r="T1093" s="84"/>
      <c r="U1093" s="84"/>
      <c r="V1093" s="84"/>
      <c r="W1093" s="84"/>
      <c r="X1093" s="84"/>
      <c r="Y1093" s="84"/>
      <c r="Z1093" s="84"/>
      <c r="AA1093" s="84"/>
      <c r="AB1093" s="84"/>
    </row>
    <row r="1094">
      <c r="A1094" s="63">
        <v>74.0</v>
      </c>
      <c r="B1094" s="63">
        <v>112.0</v>
      </c>
      <c r="C1094" s="64" t="s">
        <v>270</v>
      </c>
      <c r="D1094" s="64" t="s">
        <v>271</v>
      </c>
      <c r="E1094" s="64" t="s">
        <v>272</v>
      </c>
      <c r="F1094" s="63">
        <v>2500.0</v>
      </c>
      <c r="G1094" s="63">
        <v>44.5</v>
      </c>
      <c r="H1094" s="66">
        <f t="shared" si="1"/>
        <v>155.33</v>
      </c>
      <c r="I1094" s="81">
        <f>IFERROR(__xludf.DUMMYFUNCTION("IF(G1094="""", """", ROUND(G1094 / MAX(FILTER($G$2:$G5067, $D$2:$D5067=$D1094)) * 100, 2))"),99.11)</f>
        <v>99.11</v>
      </c>
      <c r="J1094" s="81">
        <f>IFERROR(__xludf.DUMMYFUNCTION("IF(H1094="""", """", ROUND(H1094 / MAX(FILTER($H$2:$H5067, $D$2:$D5067=$D1094)) * 100, 2))"),54.5)</f>
        <v>54.5</v>
      </c>
      <c r="K1094" s="2"/>
      <c r="L1094" s="49"/>
      <c r="M1094" s="49"/>
      <c r="N1094" s="49"/>
      <c r="O1094" s="49" t="str">
        <f t="shared" si="2"/>
        <v/>
      </c>
      <c r="P1094" s="49" t="str">
        <f t="shared" si="3"/>
        <v/>
      </c>
      <c r="Q1094" s="84"/>
      <c r="R1094" s="84"/>
      <c r="S1094" s="84"/>
      <c r="T1094" s="84"/>
      <c r="U1094" s="84"/>
      <c r="V1094" s="84"/>
      <c r="W1094" s="84"/>
      <c r="X1094" s="84"/>
      <c r="Y1094" s="84"/>
      <c r="Z1094" s="84"/>
      <c r="AA1094" s="84"/>
      <c r="AB1094" s="84"/>
    </row>
    <row r="1095">
      <c r="A1095" s="69">
        <v>74.0</v>
      </c>
      <c r="B1095" s="69">
        <v>112.0</v>
      </c>
      <c r="C1095" s="86" t="s">
        <v>270</v>
      </c>
      <c r="D1095" s="86" t="s">
        <v>271</v>
      </c>
      <c r="E1095" s="86" t="s">
        <v>272</v>
      </c>
      <c r="F1095" s="69">
        <v>3000.0</v>
      </c>
      <c r="G1095" s="69">
        <v>44.75</v>
      </c>
      <c r="H1095" s="68">
        <f t="shared" si="1"/>
        <v>187.45</v>
      </c>
      <c r="I1095" s="81">
        <f>IFERROR(__xludf.DUMMYFUNCTION("IF(G1095="""", """", ROUND(G1095 / MAX(FILTER($G$2:$G5067, $D$2:$D5067=$D1095)) * 100, 2))"),99.67)</f>
        <v>99.67</v>
      </c>
      <c r="J1095" s="81">
        <f>IFERROR(__xludf.DUMMYFUNCTION("IF(H1095="""", """", ROUND(H1095 / MAX(FILTER($H$2:$H5067, $D$2:$D5067=$D1095)) * 100, 2))"),65.77)</f>
        <v>65.77</v>
      </c>
      <c r="K1095" s="2"/>
      <c r="L1095" s="48"/>
      <c r="M1095" s="48"/>
      <c r="N1095" s="48"/>
      <c r="O1095" s="48" t="str">
        <f t="shared" si="2"/>
        <v/>
      </c>
      <c r="P1095" s="48" t="str">
        <f t="shared" si="3"/>
        <v/>
      </c>
      <c r="Q1095" s="84"/>
      <c r="R1095" s="84"/>
      <c r="S1095" s="84"/>
      <c r="T1095" s="84"/>
      <c r="U1095" s="84"/>
      <c r="V1095" s="84"/>
      <c r="W1095" s="84"/>
      <c r="X1095" s="84"/>
      <c r="Y1095" s="84"/>
      <c r="Z1095" s="84"/>
      <c r="AA1095" s="84"/>
      <c r="AB1095" s="84"/>
    </row>
    <row r="1096">
      <c r="A1096" s="63">
        <v>74.0</v>
      </c>
      <c r="B1096" s="63">
        <v>112.0</v>
      </c>
      <c r="C1096" s="64" t="s">
        <v>270</v>
      </c>
      <c r="D1096" s="64" t="s">
        <v>271</v>
      </c>
      <c r="E1096" s="64" t="s">
        <v>272</v>
      </c>
      <c r="F1096" s="63">
        <v>3600.0</v>
      </c>
      <c r="G1096" s="63">
        <v>44.9</v>
      </c>
      <c r="H1096" s="66">
        <f t="shared" si="1"/>
        <v>225.69</v>
      </c>
      <c r="I1096" s="81">
        <f>IFERROR(__xludf.DUMMYFUNCTION("IF(G1096="""", """", ROUND(G1096 / MAX(FILTER($G$2:$G5067, $D$2:$D5067=$D1096)) * 100, 2))"),100.0)</f>
        <v>100</v>
      </c>
      <c r="J1096" s="81">
        <f>IFERROR(__xludf.DUMMYFUNCTION("IF(H1096="""", """", ROUND(H1096 / MAX(FILTER($H$2:$H5067, $D$2:$D5067=$D1096)) * 100, 2))"),79.19)</f>
        <v>79.19</v>
      </c>
      <c r="K1096" s="2"/>
      <c r="L1096" s="49"/>
      <c r="M1096" s="49"/>
      <c r="N1096" s="49"/>
      <c r="O1096" s="49" t="str">
        <f t="shared" si="2"/>
        <v/>
      </c>
      <c r="P1096" s="49" t="str">
        <f t="shared" si="3"/>
        <v/>
      </c>
      <c r="Q1096" s="84"/>
      <c r="R1096" s="84"/>
      <c r="S1096" s="84"/>
      <c r="T1096" s="84"/>
      <c r="U1096" s="84"/>
      <c r="V1096" s="84"/>
      <c r="W1096" s="84"/>
      <c r="X1096" s="84"/>
      <c r="Y1096" s="84"/>
      <c r="Z1096" s="84"/>
      <c r="AA1096" s="84"/>
      <c r="AB1096" s="84"/>
    </row>
    <row r="1097">
      <c r="A1097" s="69">
        <v>74.0</v>
      </c>
      <c r="B1097" s="69">
        <v>112.0</v>
      </c>
      <c r="C1097" s="86" t="s">
        <v>270</v>
      </c>
      <c r="D1097" s="86" t="s">
        <v>271</v>
      </c>
      <c r="E1097" s="86" t="s">
        <v>272</v>
      </c>
      <c r="F1097" s="69">
        <v>4000.0</v>
      </c>
      <c r="G1097" s="69">
        <v>44.25</v>
      </c>
      <c r="H1097" s="68">
        <f t="shared" si="1"/>
        <v>247.14</v>
      </c>
      <c r="I1097" s="81">
        <f>IFERROR(__xludf.DUMMYFUNCTION("IF(G1097="""", """", ROUND(G1097 / MAX(FILTER($G$2:$G5067, $D$2:$D5067=$D1097)) * 100, 2))"),98.55)</f>
        <v>98.55</v>
      </c>
      <c r="J1097" s="81">
        <f>IFERROR(__xludf.DUMMYFUNCTION("IF(H1097="""", """", ROUND(H1097 / MAX(FILTER($H$2:$H5067, $D$2:$D5067=$D1097)) * 100, 2))"),86.72)</f>
        <v>86.72</v>
      </c>
      <c r="K1097" s="2"/>
      <c r="L1097" s="48"/>
      <c r="M1097" s="48"/>
      <c r="N1097" s="48"/>
      <c r="O1097" s="48" t="str">
        <f t="shared" si="2"/>
        <v/>
      </c>
      <c r="P1097" s="48" t="str">
        <f t="shared" si="3"/>
        <v/>
      </c>
      <c r="Q1097" s="84"/>
      <c r="R1097" s="84"/>
      <c r="S1097" s="84"/>
      <c r="T1097" s="84"/>
      <c r="U1097" s="84"/>
      <c r="V1097" s="84"/>
      <c r="W1097" s="84"/>
      <c r="X1097" s="84"/>
      <c r="Y1097" s="84"/>
      <c r="Z1097" s="84"/>
      <c r="AA1097" s="84"/>
      <c r="AB1097" s="84"/>
    </row>
    <row r="1098">
      <c r="A1098" s="63">
        <v>74.0</v>
      </c>
      <c r="B1098" s="63">
        <v>112.0</v>
      </c>
      <c r="C1098" s="64" t="s">
        <v>270</v>
      </c>
      <c r="D1098" s="64" t="s">
        <v>271</v>
      </c>
      <c r="E1098" s="64" t="s">
        <v>272</v>
      </c>
      <c r="F1098" s="63">
        <v>4500.0</v>
      </c>
      <c r="G1098" s="63">
        <v>42.75</v>
      </c>
      <c r="H1098" s="66">
        <f t="shared" si="1"/>
        <v>268.61</v>
      </c>
      <c r="I1098" s="81">
        <f>IFERROR(__xludf.DUMMYFUNCTION("IF(G1098="""", """", ROUND(G1098 / MAX(FILTER($G$2:$G5067, $D$2:$D5067=$D1098)) * 100, 2))"),95.21)</f>
        <v>95.21</v>
      </c>
      <c r="J1098" s="81">
        <f>IFERROR(__xludf.DUMMYFUNCTION("IF(H1098="""", """", ROUND(H1098 / MAX(FILTER($H$2:$H5067, $D$2:$D5067=$D1098)) * 100, 2))"),94.25)</f>
        <v>94.25</v>
      </c>
      <c r="K1098" s="2"/>
      <c r="L1098" s="49"/>
      <c r="M1098" s="49"/>
      <c r="N1098" s="49"/>
      <c r="O1098" s="49" t="str">
        <f t="shared" si="2"/>
        <v/>
      </c>
      <c r="P1098" s="49" t="str">
        <f t="shared" si="3"/>
        <v/>
      </c>
      <c r="Q1098" s="84"/>
      <c r="R1098" s="84"/>
      <c r="S1098" s="84"/>
      <c r="T1098" s="84"/>
      <c r="U1098" s="84"/>
      <c r="V1098" s="84"/>
      <c r="W1098" s="84"/>
      <c r="X1098" s="84"/>
      <c r="Y1098" s="84"/>
      <c r="Z1098" s="84"/>
      <c r="AA1098" s="84"/>
      <c r="AB1098" s="84"/>
    </row>
    <row r="1099">
      <c r="A1099" s="69">
        <v>74.0</v>
      </c>
      <c r="B1099" s="69">
        <v>112.0</v>
      </c>
      <c r="C1099" s="86" t="s">
        <v>270</v>
      </c>
      <c r="D1099" s="86" t="s">
        <v>271</v>
      </c>
      <c r="E1099" s="86" t="s">
        <v>272</v>
      </c>
      <c r="F1099" s="69">
        <v>5000.0</v>
      </c>
      <c r="G1099" s="69">
        <v>40.13</v>
      </c>
      <c r="H1099" s="68">
        <f t="shared" si="1"/>
        <v>280.16</v>
      </c>
      <c r="I1099" s="81">
        <f>IFERROR(__xludf.DUMMYFUNCTION("IF(G1099="""", """", ROUND(G1099 / MAX(FILTER($G$2:$G5067, $D$2:$D5067=$D1099)) * 100, 2))"),89.38)</f>
        <v>89.38</v>
      </c>
      <c r="J1099" s="81">
        <f>IFERROR(__xludf.DUMMYFUNCTION("IF(H1099="""", """", ROUND(H1099 / MAX(FILTER($H$2:$H5067, $D$2:$D5067=$D1099)) * 100, 2))"),98.3)</f>
        <v>98.3</v>
      </c>
      <c r="K1099" s="2"/>
      <c r="L1099" s="48"/>
      <c r="M1099" s="48"/>
      <c r="N1099" s="48"/>
      <c r="O1099" s="48" t="str">
        <f t="shared" si="2"/>
        <v/>
      </c>
      <c r="P1099" s="48" t="str">
        <f t="shared" si="3"/>
        <v/>
      </c>
      <c r="Q1099" s="84"/>
      <c r="R1099" s="84"/>
      <c r="S1099" s="84"/>
      <c r="T1099" s="84"/>
      <c r="U1099" s="84"/>
      <c r="V1099" s="84"/>
      <c r="W1099" s="84"/>
      <c r="X1099" s="84"/>
      <c r="Y1099" s="84"/>
      <c r="Z1099" s="84"/>
      <c r="AA1099" s="84"/>
      <c r="AB1099" s="84"/>
    </row>
    <row r="1100">
      <c r="A1100" s="63">
        <v>74.0</v>
      </c>
      <c r="B1100" s="63">
        <v>112.0</v>
      </c>
      <c r="C1100" s="64" t="s">
        <v>270</v>
      </c>
      <c r="D1100" s="64" t="s">
        <v>271</v>
      </c>
      <c r="E1100" s="64" t="s">
        <v>272</v>
      </c>
      <c r="F1100" s="63">
        <v>5400.0</v>
      </c>
      <c r="G1100" s="63">
        <v>37.8</v>
      </c>
      <c r="H1100" s="66">
        <f t="shared" si="1"/>
        <v>285</v>
      </c>
      <c r="I1100" s="81">
        <f>IFERROR(__xludf.DUMMYFUNCTION("IF(G1100="""", """", ROUND(G1100 / MAX(FILTER($G$2:$G5067, $D$2:$D5067=$D1100)) * 100, 2))"),84.19)</f>
        <v>84.19</v>
      </c>
      <c r="J1100" s="81">
        <f>IFERROR(__xludf.DUMMYFUNCTION("IF(H1100="""", """", ROUND(H1100 / MAX(FILTER($H$2:$H5067, $D$2:$D5067=$D1100)) * 100, 2))"),100.0)</f>
        <v>100</v>
      </c>
      <c r="K1100" s="2"/>
      <c r="L1100" s="49"/>
      <c r="M1100" s="49"/>
      <c r="N1100" s="49"/>
      <c r="O1100" s="49" t="str">
        <f t="shared" si="2"/>
        <v/>
      </c>
      <c r="P1100" s="49" t="str">
        <f t="shared" si="3"/>
        <v/>
      </c>
      <c r="Q1100" s="84"/>
      <c r="R1100" s="84"/>
      <c r="S1100" s="84"/>
      <c r="T1100" s="84"/>
      <c r="U1100" s="84"/>
      <c r="V1100" s="84"/>
      <c r="W1100" s="84"/>
      <c r="X1100" s="84"/>
      <c r="Y1100" s="84"/>
      <c r="Z1100" s="84"/>
      <c r="AA1100" s="84"/>
      <c r="AB1100" s="84"/>
    </row>
    <row r="1101">
      <c r="A1101" s="69">
        <v>74.0</v>
      </c>
      <c r="B1101" s="69">
        <v>112.0</v>
      </c>
      <c r="C1101" s="86" t="s">
        <v>270</v>
      </c>
      <c r="D1101" s="86" t="s">
        <v>271</v>
      </c>
      <c r="E1101" s="86" t="s">
        <v>272</v>
      </c>
      <c r="F1101" s="69">
        <v>6000.0</v>
      </c>
      <c r="G1101" s="69">
        <v>32.63</v>
      </c>
      <c r="H1101" s="68">
        <f t="shared" si="1"/>
        <v>273.36</v>
      </c>
      <c r="I1101" s="81">
        <f>IFERROR(__xludf.DUMMYFUNCTION("IF(G1101="""", """", ROUND(G1101 / MAX(FILTER($G$2:$G5067, $D$2:$D5067=$D1101)) * 100, 2))"),72.67)</f>
        <v>72.67</v>
      </c>
      <c r="J1101" s="81">
        <f>IFERROR(__xludf.DUMMYFUNCTION("IF(H1101="""", """", ROUND(H1101 / MAX(FILTER($H$2:$H5067, $D$2:$D5067=$D1101)) * 100, 2))"),95.92)</f>
        <v>95.92</v>
      </c>
      <c r="K1101" s="2"/>
      <c r="L1101" s="48"/>
      <c r="M1101" s="48"/>
      <c r="N1101" s="48"/>
      <c r="O1101" s="48" t="str">
        <f t="shared" si="2"/>
        <v/>
      </c>
      <c r="P1101" s="48" t="str">
        <f t="shared" si="3"/>
        <v/>
      </c>
      <c r="Q1101" s="84"/>
      <c r="R1101" s="84"/>
      <c r="S1101" s="84"/>
      <c r="T1101" s="84"/>
      <c r="U1101" s="84"/>
      <c r="V1101" s="84"/>
      <c r="W1101" s="84"/>
      <c r="X1101" s="84"/>
      <c r="Y1101" s="84"/>
      <c r="Z1101" s="84"/>
      <c r="AA1101" s="84"/>
      <c r="AB1101" s="84"/>
    </row>
    <row r="1102">
      <c r="A1102" s="63">
        <v>75.0</v>
      </c>
      <c r="B1102" s="63">
        <v>113.0</v>
      </c>
      <c r="C1102" s="64" t="s">
        <v>273</v>
      </c>
      <c r="D1102" s="64" t="s">
        <v>274</v>
      </c>
      <c r="E1102" s="64" t="s">
        <v>275</v>
      </c>
      <c r="F1102" s="63">
        <v>500.0</v>
      </c>
      <c r="G1102" s="63">
        <v>15.44</v>
      </c>
      <c r="H1102" s="66">
        <f t="shared" si="1"/>
        <v>10.78</v>
      </c>
      <c r="I1102" s="81">
        <f>IFERROR(__xludf.DUMMYFUNCTION("IF(G1102="""", """", ROUND(G1102 / MAX(FILTER($G$2:$G5067, $D$2:$D5067=$D1102)) * 100, 2))"),70.44)</f>
        <v>70.44</v>
      </c>
      <c r="J1102" s="81">
        <f>IFERROR(__xludf.DUMMYFUNCTION("IF(H1102="""", """", ROUND(H1102 / MAX(FILTER($H$2:$H5067, $D$2:$D5067=$D1102)) * 100, 2))"),6.11)</f>
        <v>6.11</v>
      </c>
      <c r="K1102" s="2"/>
      <c r="L1102" s="49"/>
      <c r="M1102" s="49"/>
      <c r="N1102" s="49"/>
      <c r="O1102" s="49" t="str">
        <f t="shared" si="2"/>
        <v/>
      </c>
      <c r="P1102" s="49" t="str">
        <f t="shared" si="3"/>
        <v/>
      </c>
      <c r="Q1102" s="84"/>
      <c r="R1102" s="84"/>
      <c r="S1102" s="84"/>
      <c r="T1102" s="84"/>
      <c r="U1102" s="84"/>
      <c r="V1102" s="84"/>
      <c r="W1102" s="84"/>
      <c r="X1102" s="84"/>
      <c r="Y1102" s="84"/>
      <c r="Z1102" s="84"/>
      <c r="AA1102" s="84"/>
      <c r="AB1102" s="84"/>
    </row>
    <row r="1103">
      <c r="A1103" s="69">
        <v>75.0</v>
      </c>
      <c r="B1103" s="69">
        <v>113.0</v>
      </c>
      <c r="C1103" s="86" t="s">
        <v>273</v>
      </c>
      <c r="D1103" s="86" t="s">
        <v>274</v>
      </c>
      <c r="E1103" s="86" t="s">
        <v>275</v>
      </c>
      <c r="F1103" s="69">
        <v>1000.0</v>
      </c>
      <c r="G1103" s="69">
        <v>17.54</v>
      </c>
      <c r="H1103" s="68">
        <f t="shared" si="1"/>
        <v>24.49</v>
      </c>
      <c r="I1103" s="81">
        <f>IFERROR(__xludf.DUMMYFUNCTION("IF(G1103="""", """", ROUND(G1103 / MAX(FILTER($G$2:$G5067, $D$2:$D5067=$D1103)) * 100, 2))"),80.02)</f>
        <v>80.02</v>
      </c>
      <c r="J1103" s="81">
        <f>IFERROR(__xludf.DUMMYFUNCTION("IF(H1103="""", """", ROUND(H1103 / MAX(FILTER($H$2:$H5067, $D$2:$D5067=$D1103)) * 100, 2))"),13.87)</f>
        <v>13.87</v>
      </c>
      <c r="K1103" s="2"/>
      <c r="L1103" s="48"/>
      <c r="M1103" s="48"/>
      <c r="N1103" s="48"/>
      <c r="O1103" s="48" t="str">
        <f t="shared" si="2"/>
        <v/>
      </c>
      <c r="P1103" s="48" t="str">
        <f t="shared" si="3"/>
        <v/>
      </c>
      <c r="Q1103" s="84"/>
      <c r="R1103" s="84"/>
      <c r="S1103" s="84"/>
      <c r="T1103" s="84"/>
      <c r="U1103" s="84"/>
      <c r="V1103" s="84"/>
      <c r="W1103" s="84"/>
      <c r="X1103" s="84"/>
      <c r="Y1103" s="84"/>
      <c r="Z1103" s="84"/>
      <c r="AA1103" s="84"/>
      <c r="AB1103" s="84"/>
    </row>
    <row r="1104">
      <c r="A1104" s="63">
        <v>75.0</v>
      </c>
      <c r="B1104" s="63">
        <v>113.0</v>
      </c>
      <c r="C1104" s="64" t="s">
        <v>273</v>
      </c>
      <c r="D1104" s="64" t="s">
        <v>274</v>
      </c>
      <c r="E1104" s="64" t="s">
        <v>275</v>
      </c>
      <c r="F1104" s="63">
        <v>1500.0</v>
      </c>
      <c r="G1104" s="63">
        <v>19.27</v>
      </c>
      <c r="H1104" s="66">
        <f t="shared" si="1"/>
        <v>40.36</v>
      </c>
      <c r="I1104" s="81">
        <f>IFERROR(__xludf.DUMMYFUNCTION("IF(G1104="""", """", ROUND(G1104 / MAX(FILTER($G$2:$G5067, $D$2:$D5067=$D1104)) * 100, 2))"),87.91)</f>
        <v>87.91</v>
      </c>
      <c r="J1104" s="81">
        <f>IFERROR(__xludf.DUMMYFUNCTION("IF(H1104="""", """", ROUND(H1104 / MAX(FILTER($H$2:$H5067, $D$2:$D5067=$D1104)) * 100, 2))"),22.86)</f>
        <v>22.86</v>
      </c>
      <c r="K1104" s="2"/>
      <c r="L1104" s="49"/>
      <c r="M1104" s="49"/>
      <c r="N1104" s="49"/>
      <c r="O1104" s="49" t="str">
        <f t="shared" si="2"/>
        <v/>
      </c>
      <c r="P1104" s="49" t="str">
        <f t="shared" si="3"/>
        <v/>
      </c>
      <c r="Q1104" s="84"/>
      <c r="R1104" s="84"/>
      <c r="S1104" s="84"/>
      <c r="T1104" s="84"/>
      <c r="U1104" s="84"/>
      <c r="V1104" s="84"/>
      <c r="W1104" s="84"/>
      <c r="X1104" s="84"/>
      <c r="Y1104" s="84"/>
      <c r="Z1104" s="84"/>
      <c r="AA1104" s="84"/>
      <c r="AB1104" s="84"/>
    </row>
    <row r="1105">
      <c r="A1105" s="69">
        <v>75.0</v>
      </c>
      <c r="B1105" s="69">
        <v>113.0</v>
      </c>
      <c r="C1105" s="86" t="s">
        <v>273</v>
      </c>
      <c r="D1105" s="86" t="s">
        <v>274</v>
      </c>
      <c r="E1105" s="86" t="s">
        <v>275</v>
      </c>
      <c r="F1105" s="69">
        <v>2000.0</v>
      </c>
      <c r="G1105" s="69">
        <v>20.19</v>
      </c>
      <c r="H1105" s="68">
        <f t="shared" si="1"/>
        <v>56.38</v>
      </c>
      <c r="I1105" s="81">
        <f>IFERROR(__xludf.DUMMYFUNCTION("IF(G1105="""", """", ROUND(G1105 / MAX(FILTER($G$2:$G5067, $D$2:$D5067=$D1105)) * 100, 2))"),92.11)</f>
        <v>92.11</v>
      </c>
      <c r="J1105" s="81">
        <f>IFERROR(__xludf.DUMMYFUNCTION("IF(H1105="""", """", ROUND(H1105 / MAX(FILTER($H$2:$H5067, $D$2:$D5067=$D1105)) * 100, 2))"),31.94)</f>
        <v>31.94</v>
      </c>
      <c r="K1105" s="2"/>
      <c r="L1105" s="48"/>
      <c r="M1105" s="48"/>
      <c r="N1105" s="48"/>
      <c r="O1105" s="48" t="str">
        <f t="shared" si="2"/>
        <v/>
      </c>
      <c r="P1105" s="48" t="str">
        <f t="shared" si="3"/>
        <v/>
      </c>
      <c r="Q1105" s="84"/>
      <c r="R1105" s="84"/>
      <c r="S1105" s="84"/>
      <c r="T1105" s="84"/>
      <c r="U1105" s="84"/>
      <c r="V1105" s="84"/>
      <c r="W1105" s="84"/>
      <c r="X1105" s="84"/>
      <c r="Y1105" s="84"/>
      <c r="Z1105" s="84"/>
      <c r="AA1105" s="84"/>
      <c r="AB1105" s="84"/>
    </row>
    <row r="1106">
      <c r="A1106" s="63">
        <v>75.0</v>
      </c>
      <c r="B1106" s="63">
        <v>113.0</v>
      </c>
      <c r="C1106" s="64" t="s">
        <v>273</v>
      </c>
      <c r="D1106" s="64" t="s">
        <v>274</v>
      </c>
      <c r="E1106" s="64" t="s">
        <v>275</v>
      </c>
      <c r="F1106" s="63">
        <v>2500.0</v>
      </c>
      <c r="G1106" s="63">
        <v>20.5</v>
      </c>
      <c r="H1106" s="66">
        <f t="shared" si="1"/>
        <v>71.56</v>
      </c>
      <c r="I1106" s="81">
        <f>IFERROR(__xludf.DUMMYFUNCTION("IF(G1106="""", """", ROUND(G1106 / MAX(FILTER($G$2:$G5067, $D$2:$D5067=$D1106)) * 100, 2))"),93.52)</f>
        <v>93.52</v>
      </c>
      <c r="J1106" s="81">
        <f>IFERROR(__xludf.DUMMYFUNCTION("IF(H1106="""", """", ROUND(H1106 / MAX(FILTER($H$2:$H5067, $D$2:$D5067=$D1106)) * 100, 2))"),40.54)</f>
        <v>40.54</v>
      </c>
      <c r="K1106" s="2"/>
      <c r="L1106" s="49"/>
      <c r="M1106" s="49"/>
      <c r="N1106" s="49"/>
      <c r="O1106" s="49" t="str">
        <f t="shared" si="2"/>
        <v/>
      </c>
      <c r="P1106" s="49" t="str">
        <f t="shared" si="3"/>
        <v/>
      </c>
      <c r="Q1106" s="84"/>
      <c r="R1106" s="84"/>
      <c r="S1106" s="84"/>
      <c r="T1106" s="84"/>
      <c r="U1106" s="84"/>
      <c r="V1106" s="84"/>
      <c r="W1106" s="84"/>
      <c r="X1106" s="84"/>
      <c r="Y1106" s="84"/>
      <c r="Z1106" s="84"/>
      <c r="AA1106" s="84"/>
      <c r="AB1106" s="84"/>
    </row>
    <row r="1107">
      <c r="A1107" s="69">
        <v>75.0</v>
      </c>
      <c r="B1107" s="69">
        <v>113.0</v>
      </c>
      <c r="C1107" s="86" t="s">
        <v>273</v>
      </c>
      <c r="D1107" s="86" t="s">
        <v>274</v>
      </c>
      <c r="E1107" s="86" t="s">
        <v>275</v>
      </c>
      <c r="F1107" s="69">
        <v>3000.0</v>
      </c>
      <c r="G1107" s="69">
        <v>20.83</v>
      </c>
      <c r="H1107" s="68">
        <f t="shared" si="1"/>
        <v>87.25</v>
      </c>
      <c r="I1107" s="81">
        <f>IFERROR(__xludf.DUMMYFUNCTION("IF(G1107="""", """", ROUND(G1107 / MAX(FILTER($G$2:$G5067, $D$2:$D5067=$D1107)) * 100, 2))"),95.03)</f>
        <v>95.03</v>
      </c>
      <c r="J1107" s="81">
        <f>IFERROR(__xludf.DUMMYFUNCTION("IF(H1107="""", """", ROUND(H1107 / MAX(FILTER($H$2:$H5067, $D$2:$D5067=$D1107)) * 100, 2))"),49.43)</f>
        <v>49.43</v>
      </c>
      <c r="K1107" s="2"/>
      <c r="L1107" s="48"/>
      <c r="M1107" s="48"/>
      <c r="N1107" s="48"/>
      <c r="O1107" s="48" t="str">
        <f t="shared" si="2"/>
        <v/>
      </c>
      <c r="P1107" s="48" t="str">
        <f t="shared" si="3"/>
        <v/>
      </c>
      <c r="Q1107" s="84"/>
      <c r="R1107" s="84"/>
      <c r="S1107" s="84"/>
      <c r="T1107" s="84"/>
      <c r="U1107" s="84"/>
      <c r="V1107" s="84"/>
      <c r="W1107" s="84"/>
      <c r="X1107" s="84"/>
      <c r="Y1107" s="84"/>
      <c r="Z1107" s="84"/>
      <c r="AA1107" s="84"/>
      <c r="AB1107" s="84"/>
    </row>
    <row r="1108">
      <c r="A1108" s="63">
        <v>75.0</v>
      </c>
      <c r="B1108" s="63">
        <v>113.0</v>
      </c>
      <c r="C1108" s="64" t="s">
        <v>273</v>
      </c>
      <c r="D1108" s="64" t="s">
        <v>274</v>
      </c>
      <c r="E1108" s="64" t="s">
        <v>275</v>
      </c>
      <c r="F1108" s="63">
        <v>3500.0</v>
      </c>
      <c r="G1108" s="63">
        <v>21.21</v>
      </c>
      <c r="H1108" s="66">
        <f t="shared" si="1"/>
        <v>103.65</v>
      </c>
      <c r="I1108" s="81">
        <f>IFERROR(__xludf.DUMMYFUNCTION("IF(G1108="""", """", ROUND(G1108 / MAX(FILTER($G$2:$G5067, $D$2:$D5067=$D1108)) * 100, 2))"),96.76)</f>
        <v>96.76</v>
      </c>
      <c r="J1108" s="81">
        <f>IFERROR(__xludf.DUMMYFUNCTION("IF(H1108="""", """", ROUND(H1108 / MAX(FILTER($H$2:$H5067, $D$2:$D5067=$D1108)) * 100, 2))"),58.72)</f>
        <v>58.72</v>
      </c>
      <c r="K1108" s="2"/>
      <c r="L1108" s="49"/>
      <c r="M1108" s="49"/>
      <c r="N1108" s="49"/>
      <c r="O1108" s="49" t="str">
        <f t="shared" si="2"/>
        <v/>
      </c>
      <c r="P1108" s="49" t="str">
        <f t="shared" si="3"/>
        <v/>
      </c>
      <c r="Q1108" s="84"/>
      <c r="R1108" s="84"/>
      <c r="S1108" s="84"/>
      <c r="T1108" s="84"/>
      <c r="U1108" s="84"/>
      <c r="V1108" s="84"/>
      <c r="W1108" s="84"/>
      <c r="X1108" s="84"/>
      <c r="Y1108" s="84"/>
      <c r="Z1108" s="84"/>
      <c r="AA1108" s="84"/>
      <c r="AB1108" s="84"/>
    </row>
    <row r="1109">
      <c r="A1109" s="69">
        <v>75.0</v>
      </c>
      <c r="B1109" s="69">
        <v>113.0</v>
      </c>
      <c r="C1109" s="86" t="s">
        <v>273</v>
      </c>
      <c r="D1109" s="86" t="s">
        <v>274</v>
      </c>
      <c r="E1109" s="86" t="s">
        <v>275</v>
      </c>
      <c r="F1109" s="69">
        <v>4000.0</v>
      </c>
      <c r="G1109" s="69">
        <v>21.92</v>
      </c>
      <c r="H1109" s="68">
        <f t="shared" si="1"/>
        <v>122.42</v>
      </c>
      <c r="I1109" s="81">
        <f>IFERROR(__xludf.DUMMYFUNCTION("IF(G1109="""", """", ROUND(G1109 / MAX(FILTER($G$2:$G5067, $D$2:$D5067=$D1109)) * 100, 2))"),100.0)</f>
        <v>100</v>
      </c>
      <c r="J1109" s="81">
        <f>IFERROR(__xludf.DUMMYFUNCTION("IF(H1109="""", """", ROUND(H1109 / MAX(FILTER($H$2:$H5067, $D$2:$D5067=$D1109)) * 100, 2))"),69.35)</f>
        <v>69.35</v>
      </c>
      <c r="K1109" s="2"/>
      <c r="L1109" s="48"/>
      <c r="M1109" s="48"/>
      <c r="N1109" s="48"/>
      <c r="O1109" s="48" t="str">
        <f t="shared" si="2"/>
        <v/>
      </c>
      <c r="P1109" s="48" t="str">
        <f t="shared" si="3"/>
        <v/>
      </c>
      <c r="Q1109" s="84"/>
      <c r="R1109" s="84"/>
      <c r="S1109" s="84"/>
      <c r="T1109" s="84"/>
      <c r="U1109" s="84"/>
      <c r="V1109" s="84"/>
      <c r="W1109" s="84"/>
      <c r="X1109" s="84"/>
      <c r="Y1109" s="84"/>
      <c r="Z1109" s="84"/>
      <c r="AA1109" s="84"/>
      <c r="AB1109" s="84"/>
    </row>
    <row r="1110">
      <c r="A1110" s="63">
        <v>75.0</v>
      </c>
      <c r="B1110" s="63">
        <v>113.0</v>
      </c>
      <c r="C1110" s="64" t="s">
        <v>273</v>
      </c>
      <c r="D1110" s="64" t="s">
        <v>274</v>
      </c>
      <c r="E1110" s="64" t="s">
        <v>275</v>
      </c>
      <c r="F1110" s="63">
        <v>4500.0</v>
      </c>
      <c r="G1110" s="63">
        <v>21.85</v>
      </c>
      <c r="H1110" s="66">
        <f t="shared" si="1"/>
        <v>137.29</v>
      </c>
      <c r="I1110" s="81">
        <f>IFERROR(__xludf.DUMMYFUNCTION("IF(G1110="""", """", ROUND(G1110 / MAX(FILTER($G$2:$G5067, $D$2:$D5067=$D1110)) * 100, 2))"),99.68)</f>
        <v>99.68</v>
      </c>
      <c r="J1110" s="81">
        <f>IFERROR(__xludf.DUMMYFUNCTION("IF(H1110="""", """", ROUND(H1110 / MAX(FILTER($H$2:$H5067, $D$2:$D5067=$D1110)) * 100, 2))"),77.78)</f>
        <v>77.78</v>
      </c>
      <c r="K1110" s="2"/>
      <c r="L1110" s="49"/>
      <c r="M1110" s="49"/>
      <c r="N1110" s="49"/>
      <c r="O1110" s="49" t="str">
        <f t="shared" si="2"/>
        <v/>
      </c>
      <c r="P1110" s="49" t="str">
        <f t="shared" si="3"/>
        <v/>
      </c>
      <c r="Q1110" s="84"/>
      <c r="R1110" s="84"/>
      <c r="S1110" s="84"/>
      <c r="T1110" s="84"/>
      <c r="U1110" s="84"/>
      <c r="V1110" s="84"/>
      <c r="W1110" s="84"/>
      <c r="X1110" s="84"/>
      <c r="Y1110" s="84"/>
      <c r="Z1110" s="84"/>
      <c r="AA1110" s="84"/>
      <c r="AB1110" s="84"/>
    </row>
    <row r="1111">
      <c r="A1111" s="69">
        <v>75.0</v>
      </c>
      <c r="B1111" s="69">
        <v>113.0</v>
      </c>
      <c r="C1111" s="86" t="s">
        <v>273</v>
      </c>
      <c r="D1111" s="86" t="s">
        <v>274</v>
      </c>
      <c r="E1111" s="86" t="s">
        <v>275</v>
      </c>
      <c r="F1111" s="69">
        <v>5000.0</v>
      </c>
      <c r="G1111" s="69">
        <v>21.27</v>
      </c>
      <c r="H1111" s="68">
        <f t="shared" si="1"/>
        <v>148.49</v>
      </c>
      <c r="I1111" s="81">
        <f>IFERROR(__xludf.DUMMYFUNCTION("IF(G1111="""", """", ROUND(G1111 / MAX(FILTER($G$2:$G5067, $D$2:$D5067=$D1111)) * 100, 2))"),97.03)</f>
        <v>97.03</v>
      </c>
      <c r="J1111" s="81">
        <f>IFERROR(__xludf.DUMMYFUNCTION("IF(H1111="""", """", ROUND(H1111 / MAX(FILTER($H$2:$H5067, $D$2:$D5067=$D1111)) * 100, 2))"),84.12)</f>
        <v>84.12</v>
      </c>
      <c r="K1111" s="2"/>
      <c r="L1111" s="48"/>
      <c r="M1111" s="48"/>
      <c r="N1111" s="48"/>
      <c r="O1111" s="48" t="str">
        <f t="shared" si="2"/>
        <v/>
      </c>
      <c r="P1111" s="48" t="str">
        <f t="shared" si="3"/>
        <v/>
      </c>
      <c r="Q1111" s="84"/>
      <c r="R1111" s="84"/>
      <c r="S1111" s="84"/>
      <c r="T1111" s="84"/>
      <c r="U1111" s="84"/>
      <c r="V1111" s="84"/>
      <c r="W1111" s="84"/>
      <c r="X1111" s="84"/>
      <c r="Y1111" s="84"/>
      <c r="Z1111" s="84"/>
      <c r="AA1111" s="84"/>
      <c r="AB1111" s="84"/>
    </row>
    <row r="1112">
      <c r="A1112" s="63">
        <v>75.0</v>
      </c>
      <c r="B1112" s="63">
        <v>113.0</v>
      </c>
      <c r="C1112" s="64" t="s">
        <v>273</v>
      </c>
      <c r="D1112" s="64" t="s">
        <v>274</v>
      </c>
      <c r="E1112" s="64" t="s">
        <v>275</v>
      </c>
      <c r="F1112" s="63">
        <v>5500.0</v>
      </c>
      <c r="G1112" s="63">
        <v>20.99</v>
      </c>
      <c r="H1112" s="66">
        <f t="shared" si="1"/>
        <v>161.19</v>
      </c>
      <c r="I1112" s="81">
        <f>IFERROR(__xludf.DUMMYFUNCTION("IF(G1112="""", """", ROUND(G1112 / MAX(FILTER($G$2:$G5067, $D$2:$D5067=$D1112)) * 100, 2))"),95.76)</f>
        <v>95.76</v>
      </c>
      <c r="J1112" s="81">
        <f>IFERROR(__xludf.DUMMYFUNCTION("IF(H1112="""", """", ROUND(H1112 / MAX(FILTER($H$2:$H5067, $D$2:$D5067=$D1112)) * 100, 2))"),91.32)</f>
        <v>91.32</v>
      </c>
      <c r="K1112" s="2"/>
      <c r="L1112" s="49"/>
      <c r="M1112" s="49"/>
      <c r="N1112" s="49"/>
      <c r="O1112" s="49" t="str">
        <f t="shared" si="2"/>
        <v/>
      </c>
      <c r="P1112" s="49" t="str">
        <f t="shared" si="3"/>
        <v/>
      </c>
      <c r="Q1112" s="84"/>
      <c r="R1112" s="84"/>
      <c r="S1112" s="84"/>
      <c r="T1112" s="84"/>
      <c r="U1112" s="84"/>
      <c r="V1112" s="84"/>
      <c r="W1112" s="84"/>
      <c r="X1112" s="84"/>
      <c r="Y1112" s="84"/>
      <c r="Z1112" s="84"/>
      <c r="AA1112" s="84"/>
      <c r="AB1112" s="84"/>
    </row>
    <row r="1113">
      <c r="A1113" s="69">
        <v>75.0</v>
      </c>
      <c r="B1113" s="69">
        <v>113.0</v>
      </c>
      <c r="C1113" s="86" t="s">
        <v>273</v>
      </c>
      <c r="D1113" s="86" t="s">
        <v>274</v>
      </c>
      <c r="E1113" s="86" t="s">
        <v>275</v>
      </c>
      <c r="F1113" s="69">
        <v>6000.0</v>
      </c>
      <c r="G1113" s="69">
        <v>20.44</v>
      </c>
      <c r="H1113" s="68">
        <f t="shared" si="1"/>
        <v>171.24</v>
      </c>
      <c r="I1113" s="81">
        <f>IFERROR(__xludf.DUMMYFUNCTION("IF(G1113="""", """", ROUND(G1113 / MAX(FILTER($G$2:$G5067, $D$2:$D5067=$D1113)) * 100, 2))"),93.25)</f>
        <v>93.25</v>
      </c>
      <c r="J1113" s="81">
        <f>IFERROR(__xludf.DUMMYFUNCTION("IF(H1113="""", """", ROUND(H1113 / MAX(FILTER($H$2:$H5067, $D$2:$D5067=$D1113)) * 100, 2))"),97.01)</f>
        <v>97.01</v>
      </c>
      <c r="K1113" s="2"/>
      <c r="L1113" s="48"/>
      <c r="M1113" s="48"/>
      <c r="N1113" s="48"/>
      <c r="O1113" s="48" t="str">
        <f t="shared" si="2"/>
        <v/>
      </c>
      <c r="P1113" s="48" t="str">
        <f t="shared" si="3"/>
        <v/>
      </c>
      <c r="Q1113" s="84"/>
      <c r="R1113" s="84"/>
      <c r="S1113" s="84"/>
      <c r="T1113" s="84"/>
      <c r="U1113" s="84"/>
      <c r="V1113" s="84"/>
      <c r="W1113" s="84"/>
      <c r="X1113" s="84"/>
      <c r="Y1113" s="84"/>
      <c r="Z1113" s="84"/>
      <c r="AA1113" s="84"/>
      <c r="AB1113" s="84"/>
    </row>
    <row r="1114">
      <c r="A1114" s="63">
        <v>75.0</v>
      </c>
      <c r="B1114" s="63">
        <v>113.0</v>
      </c>
      <c r="C1114" s="64" t="s">
        <v>273</v>
      </c>
      <c r="D1114" s="64" t="s">
        <v>274</v>
      </c>
      <c r="E1114" s="64" t="s">
        <v>275</v>
      </c>
      <c r="F1114" s="63">
        <v>6500.0</v>
      </c>
      <c r="G1114" s="63">
        <v>19.45</v>
      </c>
      <c r="H1114" s="66">
        <f t="shared" si="1"/>
        <v>176.52</v>
      </c>
      <c r="I1114" s="81">
        <f>IFERROR(__xludf.DUMMYFUNCTION("IF(G1114="""", """", ROUND(G1114 / MAX(FILTER($G$2:$G5067, $D$2:$D5067=$D1114)) * 100, 2))"),88.73)</f>
        <v>88.73</v>
      </c>
      <c r="J1114" s="81">
        <f>IFERROR(__xludf.DUMMYFUNCTION("IF(H1114="""", """", ROUND(H1114 / MAX(FILTER($H$2:$H5067, $D$2:$D5067=$D1114)) * 100, 2))"),100.0)</f>
        <v>100</v>
      </c>
      <c r="K1114" s="2"/>
      <c r="L1114" s="49"/>
      <c r="M1114" s="49"/>
      <c r="N1114" s="49"/>
      <c r="O1114" s="49" t="str">
        <f t="shared" si="2"/>
        <v/>
      </c>
      <c r="P1114" s="49" t="str">
        <f t="shared" si="3"/>
        <v/>
      </c>
      <c r="Q1114" s="84"/>
      <c r="R1114" s="84"/>
      <c r="S1114" s="84"/>
      <c r="T1114" s="84"/>
      <c r="U1114" s="84"/>
      <c r="V1114" s="84"/>
      <c r="W1114" s="84"/>
      <c r="X1114" s="84"/>
      <c r="Y1114" s="84"/>
      <c r="Z1114" s="84"/>
      <c r="AA1114" s="84"/>
      <c r="AB1114" s="84"/>
    </row>
    <row r="1115">
      <c r="A1115" s="69">
        <v>75.0</v>
      </c>
      <c r="B1115" s="69">
        <v>113.0</v>
      </c>
      <c r="C1115" s="86" t="s">
        <v>273</v>
      </c>
      <c r="D1115" s="86" t="s">
        <v>274</v>
      </c>
      <c r="E1115" s="86" t="s">
        <v>275</v>
      </c>
      <c r="F1115" s="69">
        <v>7000.0</v>
      </c>
      <c r="G1115" s="69">
        <v>17.75</v>
      </c>
      <c r="H1115" s="68">
        <f t="shared" si="1"/>
        <v>173.49</v>
      </c>
      <c r="I1115" s="81">
        <f>IFERROR(__xludf.DUMMYFUNCTION("IF(G1115="""", """", ROUND(G1115 / MAX(FILTER($G$2:$G5067, $D$2:$D5067=$D1115)) * 100, 2))"),80.98)</f>
        <v>80.98</v>
      </c>
      <c r="J1115" s="81">
        <f>IFERROR(__xludf.DUMMYFUNCTION("IF(H1115="""", """", ROUND(H1115 / MAX(FILTER($H$2:$H5067, $D$2:$D5067=$D1115)) * 100, 2))"),98.28)</f>
        <v>98.28</v>
      </c>
      <c r="K1115" s="2"/>
      <c r="L1115" s="48"/>
      <c r="M1115" s="48"/>
      <c r="N1115" s="48"/>
      <c r="O1115" s="48" t="str">
        <f t="shared" si="2"/>
        <v/>
      </c>
      <c r="P1115" s="48" t="str">
        <f t="shared" si="3"/>
        <v/>
      </c>
      <c r="Q1115" s="84"/>
      <c r="R1115" s="84"/>
      <c r="S1115" s="84"/>
      <c r="T1115" s="84"/>
      <c r="U1115" s="84"/>
      <c r="V1115" s="84"/>
      <c r="W1115" s="84"/>
      <c r="X1115" s="84"/>
      <c r="Y1115" s="84"/>
      <c r="Z1115" s="84"/>
      <c r="AA1115" s="84"/>
      <c r="AB1115" s="84"/>
    </row>
    <row r="1116">
      <c r="A1116" s="63">
        <v>75.0</v>
      </c>
      <c r="B1116" s="63">
        <v>113.0</v>
      </c>
      <c r="C1116" s="64" t="s">
        <v>273</v>
      </c>
      <c r="D1116" s="64" t="s">
        <v>274</v>
      </c>
      <c r="E1116" s="64" t="s">
        <v>275</v>
      </c>
      <c r="F1116" s="63">
        <v>7500.0</v>
      </c>
      <c r="G1116" s="63">
        <v>15.45</v>
      </c>
      <c r="H1116" s="66">
        <f t="shared" si="1"/>
        <v>161.79</v>
      </c>
      <c r="I1116" s="81">
        <f>IFERROR(__xludf.DUMMYFUNCTION("IF(G1116="""", """", ROUND(G1116 / MAX(FILTER($G$2:$G5067, $D$2:$D5067=$D1116)) * 100, 2))"),70.48)</f>
        <v>70.48</v>
      </c>
      <c r="J1116" s="81">
        <f>IFERROR(__xludf.DUMMYFUNCTION("IF(H1116="""", """", ROUND(H1116 / MAX(FILTER($H$2:$H5067, $D$2:$D5067=$D1116)) * 100, 2))"),91.66)</f>
        <v>91.66</v>
      </c>
      <c r="K1116" s="2"/>
      <c r="L1116" s="49"/>
      <c r="M1116" s="49"/>
      <c r="N1116" s="49"/>
      <c r="O1116" s="49" t="str">
        <f t="shared" si="2"/>
        <v/>
      </c>
      <c r="P1116" s="49" t="str">
        <f t="shared" si="3"/>
        <v/>
      </c>
      <c r="Q1116" s="84"/>
      <c r="R1116" s="84"/>
      <c r="S1116" s="84"/>
      <c r="T1116" s="84"/>
      <c r="U1116" s="84"/>
      <c r="V1116" s="84"/>
      <c r="W1116" s="84"/>
      <c r="X1116" s="84"/>
      <c r="Y1116" s="84"/>
      <c r="Z1116" s="84"/>
      <c r="AA1116" s="84"/>
      <c r="AB1116" s="84"/>
    </row>
    <row r="1117">
      <c r="A1117" s="69">
        <v>75.0</v>
      </c>
      <c r="B1117" s="69">
        <v>113.0</v>
      </c>
      <c r="C1117" s="86" t="s">
        <v>273</v>
      </c>
      <c r="D1117" s="86" t="s">
        <v>274</v>
      </c>
      <c r="E1117" s="86" t="s">
        <v>275</v>
      </c>
      <c r="F1117" s="69">
        <v>8000.0</v>
      </c>
      <c r="G1117" s="69">
        <v>12.23</v>
      </c>
      <c r="H1117" s="68">
        <f t="shared" si="1"/>
        <v>136.61</v>
      </c>
      <c r="I1117" s="81">
        <f>IFERROR(__xludf.DUMMYFUNCTION("IF(G1117="""", """", ROUND(G1117 / MAX(FILTER($G$2:$G5067, $D$2:$D5067=$D1117)) * 100, 2))"),55.79)</f>
        <v>55.79</v>
      </c>
      <c r="J1117" s="81">
        <f>IFERROR(__xludf.DUMMYFUNCTION("IF(H1117="""", """", ROUND(H1117 / MAX(FILTER($H$2:$H5067, $D$2:$D5067=$D1117)) * 100, 2))"),77.39)</f>
        <v>77.39</v>
      </c>
      <c r="K1117" s="2"/>
      <c r="L1117" s="48"/>
      <c r="M1117" s="48"/>
      <c r="N1117" s="48"/>
      <c r="O1117" s="48" t="str">
        <f t="shared" si="2"/>
        <v/>
      </c>
      <c r="P1117" s="48" t="str">
        <f t="shared" si="3"/>
        <v/>
      </c>
      <c r="Q1117" s="84"/>
      <c r="R1117" s="84"/>
      <c r="S1117" s="84"/>
      <c r="T1117" s="84"/>
      <c r="U1117" s="84"/>
      <c r="V1117" s="84"/>
      <c r="W1117" s="84"/>
      <c r="X1117" s="84"/>
      <c r="Y1117" s="84"/>
      <c r="Z1117" s="84"/>
      <c r="AA1117" s="84"/>
      <c r="AB1117" s="84"/>
    </row>
    <row r="1118">
      <c r="A1118" s="63">
        <v>76.0</v>
      </c>
      <c r="B1118" s="63">
        <v>114.0</v>
      </c>
      <c r="C1118" s="64" t="s">
        <v>276</v>
      </c>
      <c r="D1118" s="64" t="s">
        <v>277</v>
      </c>
      <c r="E1118" s="64" t="s">
        <v>278</v>
      </c>
      <c r="F1118" s="63">
        <v>500.0</v>
      </c>
      <c r="G1118" s="63">
        <v>17.99</v>
      </c>
      <c r="H1118" s="66">
        <f t="shared" si="1"/>
        <v>12.56</v>
      </c>
      <c r="I1118" s="81">
        <f>IFERROR(__xludf.DUMMYFUNCTION("IF(G1118="""", """", ROUND(G1118 / MAX(FILTER($G$2:$G5067, $D$2:$D5067=$D1118)) * 100, 2))"),50.41)</f>
        <v>50.41</v>
      </c>
      <c r="J1118" s="81">
        <f>IFERROR(__xludf.DUMMYFUNCTION("IF(H1118="""", """", ROUND(H1118 / MAX(FILTER($H$2:$H5067, $D$2:$D5067=$D1118)) * 100, 2))"),4.2)</f>
        <v>4.2</v>
      </c>
      <c r="K1118" s="2"/>
      <c r="L1118" s="49"/>
      <c r="M1118" s="49"/>
      <c r="N1118" s="49"/>
      <c r="O1118" s="49" t="str">
        <f t="shared" si="2"/>
        <v/>
      </c>
      <c r="P1118" s="49" t="str">
        <f t="shared" si="3"/>
        <v/>
      </c>
      <c r="Q1118" s="84"/>
      <c r="R1118" s="84"/>
      <c r="S1118" s="84"/>
      <c r="T1118" s="84"/>
      <c r="U1118" s="84"/>
      <c r="V1118" s="84"/>
      <c r="W1118" s="84"/>
      <c r="X1118" s="84"/>
      <c r="Y1118" s="84"/>
      <c r="Z1118" s="84"/>
      <c r="AA1118" s="84"/>
      <c r="AB1118" s="84"/>
    </row>
    <row r="1119">
      <c r="A1119" s="69">
        <v>76.0</v>
      </c>
      <c r="B1119" s="69">
        <v>114.0</v>
      </c>
      <c r="C1119" s="86" t="s">
        <v>276</v>
      </c>
      <c r="D1119" s="86" t="s">
        <v>277</v>
      </c>
      <c r="E1119" s="86" t="s">
        <v>278</v>
      </c>
      <c r="F1119" s="69">
        <v>1000.0</v>
      </c>
      <c r="G1119" s="69">
        <v>24.07</v>
      </c>
      <c r="H1119" s="68">
        <f t="shared" si="1"/>
        <v>33.61</v>
      </c>
      <c r="I1119" s="81">
        <f>IFERROR(__xludf.DUMMYFUNCTION("IF(G1119="""", """", ROUND(G1119 / MAX(FILTER($G$2:$G5067, $D$2:$D5067=$D1119)) * 100, 2))"),67.44)</f>
        <v>67.44</v>
      </c>
      <c r="J1119" s="81">
        <f>IFERROR(__xludf.DUMMYFUNCTION("IF(H1119="""", """", ROUND(H1119 / MAX(FILTER($H$2:$H5067, $D$2:$D5067=$D1119)) * 100, 2))"),11.24)</f>
        <v>11.24</v>
      </c>
      <c r="K1119" s="2"/>
      <c r="L1119" s="48"/>
      <c r="M1119" s="48"/>
      <c r="N1119" s="48"/>
      <c r="O1119" s="48" t="str">
        <f t="shared" si="2"/>
        <v/>
      </c>
      <c r="P1119" s="48" t="str">
        <f t="shared" si="3"/>
        <v/>
      </c>
      <c r="Q1119" s="84"/>
      <c r="R1119" s="84"/>
      <c r="S1119" s="84"/>
      <c r="T1119" s="84"/>
      <c r="U1119" s="84"/>
      <c r="V1119" s="84"/>
      <c r="W1119" s="84"/>
      <c r="X1119" s="84"/>
      <c r="Y1119" s="84"/>
      <c r="Z1119" s="84"/>
      <c r="AA1119" s="84"/>
      <c r="AB1119" s="84"/>
    </row>
    <row r="1120">
      <c r="A1120" s="63">
        <v>76.0</v>
      </c>
      <c r="B1120" s="63">
        <v>114.0</v>
      </c>
      <c r="C1120" s="64" t="s">
        <v>276</v>
      </c>
      <c r="D1120" s="64" t="s">
        <v>277</v>
      </c>
      <c r="E1120" s="64" t="s">
        <v>278</v>
      </c>
      <c r="F1120" s="63">
        <v>1500.0</v>
      </c>
      <c r="G1120" s="63">
        <v>29.06</v>
      </c>
      <c r="H1120" s="66">
        <f t="shared" si="1"/>
        <v>60.86</v>
      </c>
      <c r="I1120" s="81">
        <f>IFERROR(__xludf.DUMMYFUNCTION("IF(G1120="""", """", ROUND(G1120 / MAX(FILTER($G$2:$G5067, $D$2:$D5067=$D1120)) * 100, 2))"),81.42)</f>
        <v>81.42</v>
      </c>
      <c r="J1120" s="81">
        <f>IFERROR(__xludf.DUMMYFUNCTION("IF(H1120="""", """", ROUND(H1120 / MAX(FILTER($H$2:$H5067, $D$2:$D5067=$D1120)) * 100, 2))"),20.36)</f>
        <v>20.36</v>
      </c>
      <c r="K1120" s="2"/>
      <c r="L1120" s="49"/>
      <c r="M1120" s="49"/>
      <c r="N1120" s="49"/>
      <c r="O1120" s="49" t="str">
        <f t="shared" si="2"/>
        <v/>
      </c>
      <c r="P1120" s="49" t="str">
        <f t="shared" si="3"/>
        <v/>
      </c>
      <c r="Q1120" s="84"/>
      <c r="R1120" s="84"/>
      <c r="S1120" s="84"/>
      <c r="T1120" s="84"/>
      <c r="U1120" s="84"/>
      <c r="V1120" s="84"/>
      <c r="W1120" s="84"/>
      <c r="X1120" s="84"/>
      <c r="Y1120" s="84"/>
      <c r="Z1120" s="84"/>
      <c r="AA1120" s="84"/>
      <c r="AB1120" s="84"/>
    </row>
    <row r="1121">
      <c r="A1121" s="69">
        <v>76.0</v>
      </c>
      <c r="B1121" s="69">
        <v>114.0</v>
      </c>
      <c r="C1121" s="86" t="s">
        <v>276</v>
      </c>
      <c r="D1121" s="86" t="s">
        <v>277</v>
      </c>
      <c r="E1121" s="86" t="s">
        <v>278</v>
      </c>
      <c r="F1121" s="69">
        <v>2000.0</v>
      </c>
      <c r="G1121" s="69">
        <v>35.69</v>
      </c>
      <c r="H1121" s="68">
        <f t="shared" si="1"/>
        <v>99.66</v>
      </c>
      <c r="I1121" s="81">
        <f>IFERROR(__xludf.DUMMYFUNCTION("IF(G1121="""", """", ROUND(G1121 / MAX(FILTER($G$2:$G5067, $D$2:$D5067=$D1121)) * 100, 2))"),100.0)</f>
        <v>100</v>
      </c>
      <c r="J1121" s="81">
        <f>IFERROR(__xludf.DUMMYFUNCTION("IF(H1121="""", """", ROUND(H1121 / MAX(FILTER($H$2:$H5067, $D$2:$D5067=$D1121)) * 100, 2))"),33.33)</f>
        <v>33.33</v>
      </c>
      <c r="K1121" s="2"/>
      <c r="L1121" s="48"/>
      <c r="M1121" s="48"/>
      <c r="N1121" s="48"/>
      <c r="O1121" s="48" t="str">
        <f t="shared" si="2"/>
        <v/>
      </c>
      <c r="P1121" s="48" t="str">
        <f t="shared" si="3"/>
        <v/>
      </c>
      <c r="Q1121" s="84"/>
      <c r="R1121" s="84"/>
      <c r="S1121" s="84"/>
      <c r="T1121" s="84"/>
      <c r="U1121" s="84"/>
      <c r="V1121" s="84"/>
      <c r="W1121" s="84"/>
      <c r="X1121" s="84"/>
      <c r="Y1121" s="84"/>
      <c r="Z1121" s="84"/>
      <c r="AA1121" s="84"/>
      <c r="AB1121" s="84"/>
    </row>
    <row r="1122">
      <c r="A1122" s="63">
        <v>76.0</v>
      </c>
      <c r="B1122" s="63">
        <v>114.0</v>
      </c>
      <c r="C1122" s="64" t="s">
        <v>276</v>
      </c>
      <c r="D1122" s="64" t="s">
        <v>277</v>
      </c>
      <c r="E1122" s="64" t="s">
        <v>278</v>
      </c>
      <c r="F1122" s="63">
        <v>2500.0</v>
      </c>
      <c r="G1122" s="63">
        <v>35.69</v>
      </c>
      <c r="H1122" s="66">
        <f t="shared" si="1"/>
        <v>124.58</v>
      </c>
      <c r="I1122" s="81">
        <f>IFERROR(__xludf.DUMMYFUNCTION("IF(G1122="""", """", ROUND(G1122 / MAX(FILTER($G$2:$G5067, $D$2:$D5067=$D1122)) * 100, 2))"),100.0)</f>
        <v>100</v>
      </c>
      <c r="J1122" s="81">
        <f>IFERROR(__xludf.DUMMYFUNCTION("IF(H1122="""", """", ROUND(H1122 / MAX(FILTER($H$2:$H5067, $D$2:$D5067=$D1122)) * 100, 2))"),41.67)</f>
        <v>41.67</v>
      </c>
      <c r="K1122" s="2"/>
      <c r="L1122" s="49"/>
      <c r="M1122" s="49"/>
      <c r="N1122" s="49"/>
      <c r="O1122" s="49" t="str">
        <f t="shared" si="2"/>
        <v/>
      </c>
      <c r="P1122" s="49" t="str">
        <f t="shared" si="3"/>
        <v/>
      </c>
      <c r="Q1122" s="84"/>
      <c r="R1122" s="84"/>
      <c r="S1122" s="84"/>
      <c r="T1122" s="84"/>
      <c r="U1122" s="84"/>
      <c r="V1122" s="84"/>
      <c r="W1122" s="84"/>
      <c r="X1122" s="84"/>
      <c r="Y1122" s="84"/>
      <c r="Z1122" s="84"/>
      <c r="AA1122" s="84"/>
      <c r="AB1122" s="84"/>
    </row>
    <row r="1123">
      <c r="A1123" s="69">
        <v>76.0</v>
      </c>
      <c r="B1123" s="69">
        <v>114.0</v>
      </c>
      <c r="C1123" s="86" t="s">
        <v>276</v>
      </c>
      <c r="D1123" s="86" t="s">
        <v>277</v>
      </c>
      <c r="E1123" s="86" t="s">
        <v>278</v>
      </c>
      <c r="F1123" s="69">
        <v>3000.0</v>
      </c>
      <c r="G1123" s="69">
        <v>35.69</v>
      </c>
      <c r="H1123" s="68">
        <f t="shared" si="1"/>
        <v>149.5</v>
      </c>
      <c r="I1123" s="81">
        <f>IFERROR(__xludf.DUMMYFUNCTION("IF(G1123="""", """", ROUND(G1123 / MAX(FILTER($G$2:$G5067, $D$2:$D5067=$D1123)) * 100, 2))"),100.0)</f>
        <v>100</v>
      </c>
      <c r="J1123" s="81">
        <f>IFERROR(__xludf.DUMMYFUNCTION("IF(H1123="""", """", ROUND(H1123 / MAX(FILTER($H$2:$H5067, $D$2:$D5067=$D1123)) * 100, 2))"),50.0)</f>
        <v>50</v>
      </c>
      <c r="K1123" s="2"/>
      <c r="L1123" s="48"/>
      <c r="M1123" s="48"/>
      <c r="N1123" s="48"/>
      <c r="O1123" s="48" t="str">
        <f t="shared" si="2"/>
        <v/>
      </c>
      <c r="P1123" s="48" t="str">
        <f t="shared" si="3"/>
        <v/>
      </c>
      <c r="Q1123" s="84"/>
      <c r="R1123" s="84"/>
      <c r="S1123" s="84"/>
      <c r="T1123" s="84"/>
      <c r="U1123" s="84"/>
      <c r="V1123" s="84"/>
      <c r="W1123" s="84"/>
      <c r="X1123" s="84"/>
      <c r="Y1123" s="84"/>
      <c r="Z1123" s="84"/>
      <c r="AA1123" s="84"/>
      <c r="AB1123" s="84"/>
    </row>
    <row r="1124">
      <c r="A1124" s="63">
        <v>76.0</v>
      </c>
      <c r="B1124" s="63">
        <v>114.0</v>
      </c>
      <c r="C1124" s="64" t="s">
        <v>276</v>
      </c>
      <c r="D1124" s="64" t="s">
        <v>277</v>
      </c>
      <c r="E1124" s="64" t="s">
        <v>278</v>
      </c>
      <c r="F1124" s="63">
        <v>3500.0</v>
      </c>
      <c r="G1124" s="63">
        <v>35.69</v>
      </c>
      <c r="H1124" s="66">
        <f t="shared" si="1"/>
        <v>174.41</v>
      </c>
      <c r="I1124" s="81">
        <f>IFERROR(__xludf.DUMMYFUNCTION("IF(G1124="""", """", ROUND(G1124 / MAX(FILTER($G$2:$G5067, $D$2:$D5067=$D1124)) * 100, 2))"),100.0)</f>
        <v>100</v>
      </c>
      <c r="J1124" s="81">
        <f>IFERROR(__xludf.DUMMYFUNCTION("IF(H1124="""", """", ROUND(H1124 / MAX(FILTER($H$2:$H5067, $D$2:$D5067=$D1124)) * 100, 2))"),58.33)</f>
        <v>58.33</v>
      </c>
      <c r="K1124" s="2"/>
      <c r="L1124" s="49"/>
      <c r="M1124" s="49"/>
      <c r="N1124" s="49"/>
      <c r="O1124" s="49" t="str">
        <f t="shared" si="2"/>
        <v/>
      </c>
      <c r="P1124" s="49" t="str">
        <f t="shared" si="3"/>
        <v/>
      </c>
      <c r="Q1124" s="84"/>
      <c r="R1124" s="84"/>
      <c r="S1124" s="84"/>
      <c r="T1124" s="84"/>
      <c r="U1124" s="84"/>
      <c r="V1124" s="84"/>
      <c r="W1124" s="84"/>
      <c r="X1124" s="84"/>
      <c r="Y1124" s="84"/>
      <c r="Z1124" s="84"/>
      <c r="AA1124" s="84"/>
      <c r="AB1124" s="84"/>
    </row>
    <row r="1125">
      <c r="A1125" s="69">
        <v>76.0</v>
      </c>
      <c r="B1125" s="69">
        <v>114.0</v>
      </c>
      <c r="C1125" s="86" t="s">
        <v>276</v>
      </c>
      <c r="D1125" s="86" t="s">
        <v>277</v>
      </c>
      <c r="E1125" s="86" t="s">
        <v>278</v>
      </c>
      <c r="F1125" s="69">
        <v>4000.0</v>
      </c>
      <c r="G1125" s="69">
        <v>35.69</v>
      </c>
      <c r="H1125" s="68">
        <f t="shared" si="1"/>
        <v>199.33</v>
      </c>
      <c r="I1125" s="81">
        <f>IFERROR(__xludf.DUMMYFUNCTION("IF(G1125="""", """", ROUND(G1125 / MAX(FILTER($G$2:$G5067, $D$2:$D5067=$D1125)) * 100, 2))"),100.0)</f>
        <v>100</v>
      </c>
      <c r="J1125" s="81">
        <f>IFERROR(__xludf.DUMMYFUNCTION("IF(H1125="""", """", ROUND(H1125 / MAX(FILTER($H$2:$H5067, $D$2:$D5067=$D1125)) * 100, 2))"),66.67)</f>
        <v>66.67</v>
      </c>
      <c r="K1125" s="2"/>
      <c r="L1125" s="48"/>
      <c r="M1125" s="48"/>
      <c r="N1125" s="48"/>
      <c r="O1125" s="48" t="str">
        <f t="shared" si="2"/>
        <v/>
      </c>
      <c r="P1125" s="48" t="str">
        <f t="shared" si="3"/>
        <v/>
      </c>
      <c r="Q1125" s="84"/>
      <c r="R1125" s="84"/>
      <c r="S1125" s="84"/>
      <c r="T1125" s="84"/>
      <c r="U1125" s="84"/>
      <c r="V1125" s="84"/>
      <c r="W1125" s="84"/>
      <c r="X1125" s="84"/>
      <c r="Y1125" s="84"/>
      <c r="Z1125" s="84"/>
      <c r="AA1125" s="84"/>
      <c r="AB1125" s="84"/>
    </row>
    <row r="1126">
      <c r="A1126" s="63">
        <v>76.0</v>
      </c>
      <c r="B1126" s="63">
        <v>114.0</v>
      </c>
      <c r="C1126" s="64" t="s">
        <v>276</v>
      </c>
      <c r="D1126" s="64" t="s">
        <v>277</v>
      </c>
      <c r="E1126" s="64" t="s">
        <v>278</v>
      </c>
      <c r="F1126" s="63">
        <v>4500.0</v>
      </c>
      <c r="G1126" s="63">
        <v>35.69</v>
      </c>
      <c r="H1126" s="66">
        <f t="shared" si="1"/>
        <v>224.25</v>
      </c>
      <c r="I1126" s="81">
        <f>IFERROR(__xludf.DUMMYFUNCTION("IF(G1126="""", """", ROUND(G1126 / MAX(FILTER($G$2:$G5067, $D$2:$D5067=$D1126)) * 100, 2))"),100.0)</f>
        <v>100</v>
      </c>
      <c r="J1126" s="81">
        <f>IFERROR(__xludf.DUMMYFUNCTION("IF(H1126="""", """", ROUND(H1126 / MAX(FILTER($H$2:$H5067, $D$2:$D5067=$D1126)) * 100, 2))"),75.0)</f>
        <v>75</v>
      </c>
      <c r="K1126" s="2"/>
      <c r="L1126" s="49"/>
      <c r="M1126" s="49"/>
      <c r="N1126" s="49"/>
      <c r="O1126" s="49" t="str">
        <f t="shared" si="2"/>
        <v/>
      </c>
      <c r="P1126" s="49" t="str">
        <f t="shared" si="3"/>
        <v/>
      </c>
      <c r="Q1126" s="84"/>
      <c r="R1126" s="84"/>
      <c r="S1126" s="84"/>
      <c r="T1126" s="84"/>
      <c r="U1126" s="84"/>
      <c r="V1126" s="84"/>
      <c r="W1126" s="84"/>
      <c r="X1126" s="84"/>
      <c r="Y1126" s="84"/>
      <c r="Z1126" s="84"/>
      <c r="AA1126" s="84"/>
      <c r="AB1126" s="84"/>
    </row>
    <row r="1127">
      <c r="A1127" s="69">
        <v>76.0</v>
      </c>
      <c r="B1127" s="69">
        <v>114.0</v>
      </c>
      <c r="C1127" s="86" t="s">
        <v>276</v>
      </c>
      <c r="D1127" s="86" t="s">
        <v>277</v>
      </c>
      <c r="E1127" s="86" t="s">
        <v>278</v>
      </c>
      <c r="F1127" s="69">
        <v>5000.0</v>
      </c>
      <c r="G1127" s="69">
        <v>35.69</v>
      </c>
      <c r="H1127" s="68">
        <f t="shared" si="1"/>
        <v>249.16</v>
      </c>
      <c r="I1127" s="81">
        <f>IFERROR(__xludf.DUMMYFUNCTION("IF(G1127="""", """", ROUND(G1127 / MAX(FILTER($G$2:$G5067, $D$2:$D5067=$D1127)) * 100, 2))"),100.0)</f>
        <v>100</v>
      </c>
      <c r="J1127" s="81">
        <f>IFERROR(__xludf.DUMMYFUNCTION("IF(H1127="""", """", ROUND(H1127 / MAX(FILTER($H$2:$H5067, $D$2:$D5067=$D1127)) * 100, 2))"),83.33)</f>
        <v>83.33</v>
      </c>
      <c r="K1127" s="2"/>
      <c r="L1127" s="48"/>
      <c r="M1127" s="48"/>
      <c r="N1127" s="48"/>
      <c r="O1127" s="48" t="str">
        <f t="shared" si="2"/>
        <v/>
      </c>
      <c r="P1127" s="48" t="str">
        <f t="shared" si="3"/>
        <v/>
      </c>
      <c r="Q1127" s="84"/>
      <c r="R1127" s="84"/>
      <c r="S1127" s="84"/>
      <c r="T1127" s="84"/>
      <c r="U1127" s="84"/>
      <c r="V1127" s="84"/>
      <c r="W1127" s="84"/>
      <c r="X1127" s="84"/>
      <c r="Y1127" s="84"/>
      <c r="Z1127" s="84"/>
      <c r="AA1127" s="84"/>
      <c r="AB1127" s="84"/>
    </row>
    <row r="1128">
      <c r="A1128" s="63">
        <v>76.0</v>
      </c>
      <c r="B1128" s="63">
        <v>114.0</v>
      </c>
      <c r="C1128" s="64" t="s">
        <v>276</v>
      </c>
      <c r="D1128" s="64" t="s">
        <v>277</v>
      </c>
      <c r="E1128" s="64" t="s">
        <v>278</v>
      </c>
      <c r="F1128" s="63">
        <v>5500.0</v>
      </c>
      <c r="G1128" s="63">
        <v>35.69</v>
      </c>
      <c r="H1128" s="66">
        <f t="shared" si="1"/>
        <v>274.08</v>
      </c>
      <c r="I1128" s="81">
        <f>IFERROR(__xludf.DUMMYFUNCTION("IF(G1128="""", """", ROUND(G1128 / MAX(FILTER($G$2:$G5067, $D$2:$D5067=$D1128)) * 100, 2))"),100.0)</f>
        <v>100</v>
      </c>
      <c r="J1128" s="81">
        <f>IFERROR(__xludf.DUMMYFUNCTION("IF(H1128="""", """", ROUND(H1128 / MAX(FILTER($H$2:$H5067, $D$2:$D5067=$D1128)) * 100, 2))"),91.67)</f>
        <v>91.67</v>
      </c>
      <c r="K1128" s="2"/>
      <c r="L1128" s="49"/>
      <c r="M1128" s="49"/>
      <c r="N1128" s="49"/>
      <c r="O1128" s="49" t="str">
        <f t="shared" si="2"/>
        <v/>
      </c>
      <c r="P1128" s="49" t="str">
        <f t="shared" si="3"/>
        <v/>
      </c>
      <c r="Q1128" s="84"/>
      <c r="R1128" s="84"/>
      <c r="S1128" s="84"/>
      <c r="T1128" s="84"/>
      <c r="U1128" s="84"/>
      <c r="V1128" s="84"/>
      <c r="W1128" s="84"/>
      <c r="X1128" s="84"/>
      <c r="Y1128" s="84"/>
      <c r="Z1128" s="84"/>
      <c r="AA1128" s="84"/>
      <c r="AB1128" s="84"/>
    </row>
    <row r="1129">
      <c r="A1129" s="69">
        <v>76.0</v>
      </c>
      <c r="B1129" s="69">
        <v>114.0</v>
      </c>
      <c r="C1129" s="86" t="s">
        <v>276</v>
      </c>
      <c r="D1129" s="86" t="s">
        <v>277</v>
      </c>
      <c r="E1129" s="86" t="s">
        <v>278</v>
      </c>
      <c r="F1129" s="69">
        <v>6000.0</v>
      </c>
      <c r="G1129" s="69">
        <v>35.69</v>
      </c>
      <c r="H1129" s="68">
        <f t="shared" si="1"/>
        <v>298.99</v>
      </c>
      <c r="I1129" s="81">
        <f>IFERROR(__xludf.DUMMYFUNCTION("IF(G1129="""", """", ROUND(G1129 / MAX(FILTER($G$2:$G5067, $D$2:$D5067=$D1129)) * 100, 2))"),100.0)</f>
        <v>100</v>
      </c>
      <c r="J1129" s="81">
        <f>IFERROR(__xludf.DUMMYFUNCTION("IF(H1129="""", """", ROUND(H1129 / MAX(FILTER($H$2:$H5067, $D$2:$D5067=$D1129)) * 100, 2))"),100.0)</f>
        <v>100</v>
      </c>
      <c r="K1129" s="2"/>
      <c r="L1129" s="48"/>
      <c r="M1129" s="48"/>
      <c r="N1129" s="48"/>
      <c r="O1129" s="48" t="str">
        <f t="shared" si="2"/>
        <v/>
      </c>
      <c r="P1129" s="48" t="str">
        <f t="shared" si="3"/>
        <v/>
      </c>
      <c r="Q1129" s="84"/>
      <c r="R1129" s="84"/>
      <c r="S1129" s="84"/>
      <c r="T1129" s="84"/>
      <c r="U1129" s="84"/>
      <c r="V1129" s="84"/>
      <c r="W1129" s="84"/>
      <c r="X1129" s="84"/>
      <c r="Y1129" s="84"/>
      <c r="Z1129" s="84"/>
      <c r="AA1129" s="84"/>
      <c r="AB1129" s="84"/>
    </row>
    <row r="1130">
      <c r="A1130" s="63">
        <v>76.0</v>
      </c>
      <c r="B1130" s="63">
        <v>114.0</v>
      </c>
      <c r="C1130" s="64" t="s">
        <v>276</v>
      </c>
      <c r="D1130" s="64" t="s">
        <v>277</v>
      </c>
      <c r="E1130" s="64" t="s">
        <v>278</v>
      </c>
      <c r="F1130" s="63">
        <v>6500.0</v>
      </c>
      <c r="G1130" s="63">
        <v>32.63</v>
      </c>
      <c r="H1130" s="66">
        <f t="shared" si="1"/>
        <v>296.14</v>
      </c>
      <c r="I1130" s="81">
        <f>IFERROR(__xludf.DUMMYFUNCTION("IF(G1130="""", """", ROUND(G1130 / MAX(FILTER($G$2:$G5067, $D$2:$D5067=$D1130)) * 100, 2))"),91.43)</f>
        <v>91.43</v>
      </c>
      <c r="J1130" s="81">
        <f>IFERROR(__xludf.DUMMYFUNCTION("IF(H1130="""", """", ROUND(H1130 / MAX(FILTER($H$2:$H5067, $D$2:$D5067=$D1130)) * 100, 2))"),99.05)</f>
        <v>99.05</v>
      </c>
      <c r="K1130" s="2"/>
      <c r="L1130" s="49"/>
      <c r="M1130" s="49"/>
      <c r="N1130" s="49"/>
      <c r="O1130" s="49" t="str">
        <f t="shared" si="2"/>
        <v/>
      </c>
      <c r="P1130" s="49" t="str">
        <f t="shared" si="3"/>
        <v/>
      </c>
      <c r="Q1130" s="84"/>
      <c r="R1130" s="84"/>
      <c r="S1130" s="84"/>
      <c r="T1130" s="84"/>
      <c r="U1130" s="84"/>
      <c r="V1130" s="84"/>
      <c r="W1130" s="84"/>
      <c r="X1130" s="84"/>
      <c r="Y1130" s="84"/>
      <c r="Z1130" s="84"/>
      <c r="AA1130" s="84"/>
      <c r="AB1130" s="84"/>
    </row>
    <row r="1131">
      <c r="A1131" s="69">
        <v>76.0</v>
      </c>
      <c r="B1131" s="69">
        <v>114.0</v>
      </c>
      <c r="C1131" s="86" t="s">
        <v>276</v>
      </c>
      <c r="D1131" s="86" t="s">
        <v>277</v>
      </c>
      <c r="E1131" s="86" t="s">
        <v>278</v>
      </c>
      <c r="F1131" s="69">
        <v>7000.0</v>
      </c>
      <c r="G1131" s="69">
        <v>28.8</v>
      </c>
      <c r="H1131" s="68">
        <f t="shared" si="1"/>
        <v>281.49</v>
      </c>
      <c r="I1131" s="81">
        <f>IFERROR(__xludf.DUMMYFUNCTION("IF(G1131="""", """", ROUND(G1131 / MAX(FILTER($G$2:$G5067, $D$2:$D5067=$D1131)) * 100, 2))"),80.69)</f>
        <v>80.69</v>
      </c>
      <c r="J1131" s="81">
        <f>IFERROR(__xludf.DUMMYFUNCTION("IF(H1131="""", """", ROUND(H1131 / MAX(FILTER($H$2:$H5067, $D$2:$D5067=$D1131)) * 100, 2))"),94.15)</f>
        <v>94.15</v>
      </c>
      <c r="K1131" s="2"/>
      <c r="L1131" s="48"/>
      <c r="M1131" s="48"/>
      <c r="N1131" s="48"/>
      <c r="O1131" s="48" t="str">
        <f t="shared" si="2"/>
        <v/>
      </c>
      <c r="P1131" s="48" t="str">
        <f t="shared" si="3"/>
        <v/>
      </c>
      <c r="Q1131" s="84"/>
      <c r="R1131" s="84"/>
      <c r="S1131" s="84"/>
      <c r="T1131" s="84"/>
      <c r="U1131" s="84"/>
      <c r="V1131" s="84"/>
      <c r="W1131" s="84"/>
      <c r="X1131" s="84"/>
      <c r="Y1131" s="84"/>
      <c r="Z1131" s="84"/>
      <c r="AA1131" s="84"/>
      <c r="AB1131" s="84"/>
    </row>
    <row r="1132">
      <c r="A1132" s="63">
        <v>76.0</v>
      </c>
      <c r="B1132" s="63">
        <v>114.0</v>
      </c>
      <c r="C1132" s="64" t="s">
        <v>276</v>
      </c>
      <c r="D1132" s="64" t="s">
        <v>277</v>
      </c>
      <c r="E1132" s="64" t="s">
        <v>278</v>
      </c>
      <c r="F1132" s="63">
        <v>7500.0</v>
      </c>
      <c r="G1132" s="63">
        <v>19.0</v>
      </c>
      <c r="H1132" s="66">
        <f t="shared" si="1"/>
        <v>198.97</v>
      </c>
      <c r="I1132" s="81">
        <f>IFERROR(__xludf.DUMMYFUNCTION("IF(G1132="""", """", ROUND(G1132 / MAX(FILTER($G$2:$G5067, $D$2:$D5067=$D1132)) * 100, 2))"),53.24)</f>
        <v>53.24</v>
      </c>
      <c r="J1132" s="81">
        <f>IFERROR(__xludf.DUMMYFUNCTION("IF(H1132="""", """", ROUND(H1132 / MAX(FILTER($H$2:$H5067, $D$2:$D5067=$D1132)) * 100, 2))"),66.55)</f>
        <v>66.55</v>
      </c>
      <c r="K1132" s="2"/>
      <c r="L1132" s="49"/>
      <c r="M1132" s="49"/>
      <c r="N1132" s="49"/>
      <c r="O1132" s="49" t="str">
        <f t="shared" si="2"/>
        <v/>
      </c>
      <c r="P1132" s="49" t="str">
        <f t="shared" si="3"/>
        <v/>
      </c>
      <c r="Q1132" s="84"/>
      <c r="R1132" s="84"/>
      <c r="S1132" s="84"/>
      <c r="T1132" s="84"/>
      <c r="U1132" s="84"/>
      <c r="V1132" s="84"/>
      <c r="W1132" s="84"/>
      <c r="X1132" s="84"/>
      <c r="Y1132" s="84"/>
      <c r="Z1132" s="84"/>
      <c r="AA1132" s="84"/>
      <c r="AB1132" s="84"/>
    </row>
    <row r="1133">
      <c r="A1133" s="69">
        <v>77.0</v>
      </c>
      <c r="B1133" s="69">
        <v>117.0</v>
      </c>
      <c r="C1133" s="86" t="s">
        <v>279</v>
      </c>
      <c r="D1133" s="86" t="s">
        <v>280</v>
      </c>
      <c r="E1133" s="86" t="s">
        <v>281</v>
      </c>
      <c r="F1133" s="69">
        <v>500.0</v>
      </c>
      <c r="G1133" s="69">
        <v>28.4</v>
      </c>
      <c r="H1133" s="68">
        <f t="shared" si="1"/>
        <v>19.83</v>
      </c>
      <c r="I1133" s="81">
        <f>IFERROR(__xludf.DUMMYFUNCTION("IF(G1133="""", """", ROUND(G1133 / MAX(FILTER($G$2:$G5067, $D$2:$D5067=$D1133)) * 100, 2))"),80.0)</f>
        <v>80</v>
      </c>
      <c r="J1133" s="81">
        <f>IFERROR(__xludf.DUMMYFUNCTION("IF(H1133="""", """", ROUND(H1133 / MAX(FILTER($H$2:$H5067, $D$2:$D5067=$D1133)) * 100, 2))"),9.03)</f>
        <v>9.03</v>
      </c>
      <c r="K1133" s="2"/>
      <c r="L1133" s="48"/>
      <c r="M1133" s="48"/>
      <c r="N1133" s="48"/>
      <c r="O1133" s="48" t="str">
        <f t="shared" si="2"/>
        <v/>
      </c>
      <c r="P1133" s="48" t="str">
        <f t="shared" si="3"/>
        <v/>
      </c>
      <c r="Q1133" s="84"/>
      <c r="R1133" s="84"/>
      <c r="S1133" s="84"/>
      <c r="T1133" s="84"/>
      <c r="U1133" s="84"/>
      <c r="V1133" s="84"/>
      <c r="W1133" s="84"/>
      <c r="X1133" s="84"/>
      <c r="Y1133" s="84"/>
      <c r="Z1133" s="84"/>
      <c r="AA1133" s="84"/>
      <c r="AB1133" s="84"/>
    </row>
    <row r="1134">
      <c r="A1134" s="63">
        <v>77.0</v>
      </c>
      <c r="B1134" s="63">
        <v>117.0</v>
      </c>
      <c r="C1134" s="64" t="s">
        <v>279</v>
      </c>
      <c r="D1134" s="64" t="s">
        <v>280</v>
      </c>
      <c r="E1134" s="64" t="s">
        <v>281</v>
      </c>
      <c r="F1134" s="63">
        <v>1000.0</v>
      </c>
      <c r="G1134" s="63">
        <v>31.0</v>
      </c>
      <c r="H1134" s="66">
        <f t="shared" si="1"/>
        <v>43.28</v>
      </c>
      <c r="I1134" s="81">
        <f>IFERROR(__xludf.DUMMYFUNCTION("IF(G1134="""", """", ROUND(G1134 / MAX(FILTER($G$2:$G5067, $D$2:$D5067=$D1134)) * 100, 2))"),87.32)</f>
        <v>87.32</v>
      </c>
      <c r="J1134" s="81">
        <f>IFERROR(__xludf.DUMMYFUNCTION("IF(H1134="""", """", ROUND(H1134 / MAX(FILTER($H$2:$H5067, $D$2:$D5067=$D1134)) * 100, 2))"),19.71)</f>
        <v>19.71</v>
      </c>
      <c r="K1134" s="2"/>
      <c r="L1134" s="49"/>
      <c r="M1134" s="49"/>
      <c r="N1134" s="49"/>
      <c r="O1134" s="49" t="str">
        <f t="shared" si="2"/>
        <v/>
      </c>
      <c r="P1134" s="49" t="str">
        <f t="shared" si="3"/>
        <v/>
      </c>
      <c r="Q1134" s="84"/>
      <c r="R1134" s="84"/>
      <c r="S1134" s="84"/>
      <c r="T1134" s="84"/>
      <c r="U1134" s="84"/>
      <c r="V1134" s="84"/>
      <c r="W1134" s="84"/>
      <c r="X1134" s="84"/>
      <c r="Y1134" s="84"/>
      <c r="Z1134" s="84"/>
      <c r="AA1134" s="84"/>
      <c r="AB1134" s="84"/>
    </row>
    <row r="1135">
      <c r="A1135" s="69">
        <v>77.0</v>
      </c>
      <c r="B1135" s="69">
        <v>117.0</v>
      </c>
      <c r="C1135" s="86" t="s">
        <v>279</v>
      </c>
      <c r="D1135" s="86" t="s">
        <v>280</v>
      </c>
      <c r="E1135" s="86" t="s">
        <v>281</v>
      </c>
      <c r="F1135" s="69">
        <v>1500.0</v>
      </c>
      <c r="G1135" s="69">
        <v>32.3</v>
      </c>
      <c r="H1135" s="68">
        <f t="shared" si="1"/>
        <v>67.65</v>
      </c>
      <c r="I1135" s="81">
        <f>IFERROR(__xludf.DUMMYFUNCTION("IF(G1135="""", """", ROUND(G1135 / MAX(FILTER($G$2:$G5067, $D$2:$D5067=$D1135)) * 100, 2))"),90.99)</f>
        <v>90.99</v>
      </c>
      <c r="J1135" s="81">
        <f>IFERROR(__xludf.DUMMYFUNCTION("IF(H1135="""", """", ROUND(H1135 / MAX(FILTER($H$2:$H5067, $D$2:$D5067=$D1135)) * 100, 2))"),30.8)</f>
        <v>30.8</v>
      </c>
      <c r="K1135" s="2"/>
      <c r="L1135" s="48"/>
      <c r="M1135" s="48"/>
      <c r="N1135" s="48"/>
      <c r="O1135" s="48" t="str">
        <f t="shared" si="2"/>
        <v/>
      </c>
      <c r="P1135" s="48" t="str">
        <f t="shared" si="3"/>
        <v/>
      </c>
      <c r="Q1135" s="84"/>
      <c r="R1135" s="84"/>
      <c r="S1135" s="84"/>
      <c r="T1135" s="84"/>
      <c r="U1135" s="84"/>
      <c r="V1135" s="84"/>
      <c r="W1135" s="84"/>
      <c r="X1135" s="84"/>
      <c r="Y1135" s="84"/>
      <c r="Z1135" s="84"/>
      <c r="AA1135" s="84"/>
      <c r="AB1135" s="84"/>
    </row>
    <row r="1136">
      <c r="A1136" s="63">
        <v>77.0</v>
      </c>
      <c r="B1136" s="63">
        <v>117.0</v>
      </c>
      <c r="C1136" s="64" t="s">
        <v>279</v>
      </c>
      <c r="D1136" s="64" t="s">
        <v>280</v>
      </c>
      <c r="E1136" s="64" t="s">
        <v>281</v>
      </c>
      <c r="F1136" s="63">
        <v>2000.0</v>
      </c>
      <c r="G1136" s="63">
        <v>33.2</v>
      </c>
      <c r="H1136" s="66">
        <f t="shared" si="1"/>
        <v>92.71</v>
      </c>
      <c r="I1136" s="81">
        <f>IFERROR(__xludf.DUMMYFUNCTION("IF(G1136="""", """", ROUND(G1136 / MAX(FILTER($G$2:$G5067, $D$2:$D5067=$D1136)) * 100, 2))"),93.52)</f>
        <v>93.52</v>
      </c>
      <c r="J1136" s="81">
        <f>IFERROR(__xludf.DUMMYFUNCTION("IF(H1136="""", """", ROUND(H1136 / MAX(FILTER($H$2:$H5067, $D$2:$D5067=$D1136)) * 100, 2))"),42.21)</f>
        <v>42.21</v>
      </c>
      <c r="K1136" s="2"/>
      <c r="L1136" s="49"/>
      <c r="M1136" s="49"/>
      <c r="N1136" s="49"/>
      <c r="O1136" s="49" t="str">
        <f t="shared" si="2"/>
        <v/>
      </c>
      <c r="P1136" s="49" t="str">
        <f t="shared" si="3"/>
        <v/>
      </c>
      <c r="Q1136" s="84"/>
      <c r="R1136" s="84"/>
      <c r="S1136" s="84"/>
      <c r="T1136" s="84"/>
      <c r="U1136" s="84"/>
      <c r="V1136" s="84"/>
      <c r="W1136" s="84"/>
      <c r="X1136" s="84"/>
      <c r="Y1136" s="84"/>
      <c r="Z1136" s="84"/>
      <c r="AA1136" s="84"/>
      <c r="AB1136" s="84"/>
    </row>
    <row r="1137">
      <c r="A1137" s="69">
        <v>77.0</v>
      </c>
      <c r="B1137" s="69">
        <v>117.0</v>
      </c>
      <c r="C1137" s="86" t="s">
        <v>279</v>
      </c>
      <c r="D1137" s="86" t="s">
        <v>280</v>
      </c>
      <c r="E1137" s="86" t="s">
        <v>281</v>
      </c>
      <c r="F1137" s="69">
        <v>2500.0</v>
      </c>
      <c r="G1137" s="69">
        <v>34.0</v>
      </c>
      <c r="H1137" s="68">
        <f t="shared" si="1"/>
        <v>118.68</v>
      </c>
      <c r="I1137" s="81">
        <f>IFERROR(__xludf.DUMMYFUNCTION("IF(G1137="""", """", ROUND(G1137 / MAX(FILTER($G$2:$G5067, $D$2:$D5067=$D1137)) * 100, 2))"),95.77)</f>
        <v>95.77</v>
      </c>
      <c r="J1137" s="81">
        <f>IFERROR(__xludf.DUMMYFUNCTION("IF(H1137="""", """", ROUND(H1137 / MAX(FILTER($H$2:$H5067, $D$2:$D5067=$D1137)) * 100, 2))"),54.04)</f>
        <v>54.04</v>
      </c>
      <c r="K1137" s="2"/>
      <c r="L1137" s="48"/>
      <c r="M1137" s="48"/>
      <c r="N1137" s="48"/>
      <c r="O1137" s="48" t="str">
        <f t="shared" si="2"/>
        <v/>
      </c>
      <c r="P1137" s="48" t="str">
        <f t="shared" si="3"/>
        <v/>
      </c>
      <c r="Q1137" s="84"/>
      <c r="R1137" s="84"/>
      <c r="S1137" s="84"/>
      <c r="T1137" s="84"/>
      <c r="U1137" s="84"/>
      <c r="V1137" s="84"/>
      <c r="W1137" s="84"/>
      <c r="X1137" s="84"/>
      <c r="Y1137" s="84"/>
      <c r="Z1137" s="84"/>
      <c r="AA1137" s="84"/>
      <c r="AB1137" s="84"/>
    </row>
    <row r="1138">
      <c r="A1138" s="63">
        <v>77.0</v>
      </c>
      <c r="B1138" s="63">
        <v>117.0</v>
      </c>
      <c r="C1138" s="64" t="s">
        <v>279</v>
      </c>
      <c r="D1138" s="64" t="s">
        <v>280</v>
      </c>
      <c r="E1138" s="64" t="s">
        <v>281</v>
      </c>
      <c r="F1138" s="63">
        <v>3000.0</v>
      </c>
      <c r="G1138" s="63">
        <v>34.6</v>
      </c>
      <c r="H1138" s="66">
        <f t="shared" si="1"/>
        <v>144.93</v>
      </c>
      <c r="I1138" s="81">
        <f>IFERROR(__xludf.DUMMYFUNCTION("IF(G1138="""", """", ROUND(G1138 / MAX(FILTER($G$2:$G5067, $D$2:$D5067=$D1138)) * 100, 2))"),97.46)</f>
        <v>97.46</v>
      </c>
      <c r="J1138" s="81">
        <f>IFERROR(__xludf.DUMMYFUNCTION("IF(H1138="""", """", ROUND(H1138 / MAX(FILTER($H$2:$H5067, $D$2:$D5067=$D1138)) * 100, 2))"),65.99)</f>
        <v>65.99</v>
      </c>
      <c r="K1138" s="2"/>
      <c r="L1138" s="49"/>
      <c r="M1138" s="49"/>
      <c r="N1138" s="49"/>
      <c r="O1138" s="49" t="str">
        <f t="shared" si="2"/>
        <v/>
      </c>
      <c r="P1138" s="49" t="str">
        <f t="shared" si="3"/>
        <v/>
      </c>
      <c r="Q1138" s="84"/>
      <c r="R1138" s="84"/>
      <c r="S1138" s="84"/>
      <c r="T1138" s="84"/>
      <c r="U1138" s="84"/>
      <c r="V1138" s="84"/>
      <c r="W1138" s="84"/>
      <c r="X1138" s="84"/>
      <c r="Y1138" s="84"/>
      <c r="Z1138" s="84"/>
      <c r="AA1138" s="84"/>
      <c r="AB1138" s="84"/>
    </row>
    <row r="1139">
      <c r="A1139" s="69">
        <v>77.0</v>
      </c>
      <c r="B1139" s="69">
        <v>117.0</v>
      </c>
      <c r="C1139" s="86" t="s">
        <v>279</v>
      </c>
      <c r="D1139" s="86" t="s">
        <v>280</v>
      </c>
      <c r="E1139" s="86" t="s">
        <v>281</v>
      </c>
      <c r="F1139" s="69">
        <v>3750.0</v>
      </c>
      <c r="G1139" s="69">
        <v>35.5</v>
      </c>
      <c r="H1139" s="68">
        <f t="shared" si="1"/>
        <v>185.88</v>
      </c>
      <c r="I1139" s="81">
        <f>IFERROR(__xludf.DUMMYFUNCTION("IF(G1139="""", """", ROUND(G1139 / MAX(FILTER($G$2:$G5067, $D$2:$D5067=$D1139)) * 100, 2))"),100.0)</f>
        <v>100</v>
      </c>
      <c r="J1139" s="81">
        <f>IFERROR(__xludf.DUMMYFUNCTION("IF(H1139="""", """", ROUND(H1139 / MAX(FILTER($H$2:$H5067, $D$2:$D5067=$D1139)) * 100, 2))"),84.63)</f>
        <v>84.63</v>
      </c>
      <c r="K1139" s="2"/>
      <c r="L1139" s="48"/>
      <c r="M1139" s="48"/>
      <c r="N1139" s="48"/>
      <c r="O1139" s="48" t="str">
        <f t="shared" si="2"/>
        <v/>
      </c>
      <c r="P1139" s="48" t="str">
        <f t="shared" si="3"/>
        <v/>
      </c>
      <c r="Q1139" s="84"/>
      <c r="R1139" s="84"/>
      <c r="S1139" s="84"/>
      <c r="T1139" s="84"/>
      <c r="U1139" s="84"/>
      <c r="V1139" s="84"/>
      <c r="W1139" s="84"/>
      <c r="X1139" s="84"/>
      <c r="Y1139" s="84"/>
      <c r="Z1139" s="84"/>
      <c r="AA1139" s="84"/>
      <c r="AB1139" s="84"/>
    </row>
    <row r="1140">
      <c r="A1140" s="63">
        <v>77.0</v>
      </c>
      <c r="B1140" s="63">
        <v>117.0</v>
      </c>
      <c r="C1140" s="64" t="s">
        <v>279</v>
      </c>
      <c r="D1140" s="64" t="s">
        <v>280</v>
      </c>
      <c r="E1140" s="64" t="s">
        <v>281</v>
      </c>
      <c r="F1140" s="63">
        <v>4200.0</v>
      </c>
      <c r="G1140" s="63">
        <v>34.5</v>
      </c>
      <c r="H1140" s="66">
        <f t="shared" si="1"/>
        <v>202.32</v>
      </c>
      <c r="I1140" s="81">
        <f>IFERROR(__xludf.DUMMYFUNCTION("IF(G1140="""", """", ROUND(G1140 / MAX(FILTER($G$2:$G5067, $D$2:$D5067=$D1140)) * 100, 2))"),97.18)</f>
        <v>97.18</v>
      </c>
      <c r="J1140" s="81">
        <f>IFERROR(__xludf.DUMMYFUNCTION("IF(H1140="""", """", ROUND(H1140 / MAX(FILTER($H$2:$H5067, $D$2:$D5067=$D1140)) * 100, 2))"),92.12)</f>
        <v>92.12</v>
      </c>
      <c r="K1140" s="2"/>
      <c r="L1140" s="49"/>
      <c r="M1140" s="49"/>
      <c r="N1140" s="49"/>
      <c r="O1140" s="49" t="str">
        <f t="shared" si="2"/>
        <v/>
      </c>
      <c r="P1140" s="49" t="str">
        <f t="shared" si="3"/>
        <v/>
      </c>
      <c r="Q1140" s="84"/>
      <c r="R1140" s="84"/>
      <c r="S1140" s="84"/>
      <c r="T1140" s="84"/>
      <c r="U1140" s="84"/>
      <c r="V1140" s="84"/>
      <c r="W1140" s="84"/>
      <c r="X1140" s="84"/>
      <c r="Y1140" s="84"/>
      <c r="Z1140" s="84"/>
      <c r="AA1140" s="84"/>
      <c r="AB1140" s="84"/>
    </row>
    <row r="1141">
      <c r="A1141" s="69">
        <v>77.0</v>
      </c>
      <c r="B1141" s="69">
        <v>117.0</v>
      </c>
      <c r="C1141" s="86" t="s">
        <v>279</v>
      </c>
      <c r="D1141" s="86" t="s">
        <v>280</v>
      </c>
      <c r="E1141" s="86" t="s">
        <v>281</v>
      </c>
      <c r="F1141" s="69">
        <v>4600.0</v>
      </c>
      <c r="G1141" s="69">
        <v>32.9</v>
      </c>
      <c r="H1141" s="68">
        <f t="shared" si="1"/>
        <v>211.31</v>
      </c>
      <c r="I1141" s="81">
        <f>IFERROR(__xludf.DUMMYFUNCTION("IF(G1141="""", """", ROUND(G1141 / MAX(FILTER($G$2:$G5067, $D$2:$D5067=$D1141)) * 100, 2))"),92.68)</f>
        <v>92.68</v>
      </c>
      <c r="J1141" s="81">
        <f>IFERROR(__xludf.DUMMYFUNCTION("IF(H1141="""", """", ROUND(H1141 / MAX(FILTER($H$2:$H5067, $D$2:$D5067=$D1141)) * 100, 2))"),96.21)</f>
        <v>96.21</v>
      </c>
      <c r="K1141" s="2"/>
      <c r="L1141" s="48"/>
      <c r="M1141" s="48"/>
      <c r="N1141" s="48"/>
      <c r="O1141" s="48" t="str">
        <f t="shared" si="2"/>
        <v/>
      </c>
      <c r="P1141" s="48" t="str">
        <f t="shared" si="3"/>
        <v/>
      </c>
      <c r="Q1141" s="84"/>
      <c r="R1141" s="84"/>
      <c r="S1141" s="84"/>
      <c r="T1141" s="84"/>
      <c r="U1141" s="84"/>
      <c r="V1141" s="84"/>
      <c r="W1141" s="84"/>
      <c r="X1141" s="84"/>
      <c r="Y1141" s="84"/>
      <c r="Z1141" s="84"/>
      <c r="AA1141" s="84"/>
      <c r="AB1141" s="84"/>
    </row>
    <row r="1142">
      <c r="A1142" s="63">
        <v>77.0</v>
      </c>
      <c r="B1142" s="63">
        <v>117.0</v>
      </c>
      <c r="C1142" s="64" t="s">
        <v>279</v>
      </c>
      <c r="D1142" s="64" t="s">
        <v>280</v>
      </c>
      <c r="E1142" s="64" t="s">
        <v>281</v>
      </c>
      <c r="F1142" s="63">
        <v>5000.0</v>
      </c>
      <c r="G1142" s="63">
        <v>31.2</v>
      </c>
      <c r="H1142" s="66">
        <f t="shared" si="1"/>
        <v>217.82</v>
      </c>
      <c r="I1142" s="81">
        <f>IFERROR(__xludf.DUMMYFUNCTION("IF(G1142="""", """", ROUND(G1142 / MAX(FILTER($G$2:$G5067, $D$2:$D5067=$D1142)) * 100, 2))"),87.89)</f>
        <v>87.89</v>
      </c>
      <c r="J1142" s="81">
        <f>IFERROR(__xludf.DUMMYFUNCTION("IF(H1142="""", """", ROUND(H1142 / MAX(FILTER($H$2:$H5067, $D$2:$D5067=$D1142)) * 100, 2))"),99.18)</f>
        <v>99.18</v>
      </c>
      <c r="K1142" s="2"/>
      <c r="L1142" s="49"/>
      <c r="M1142" s="49"/>
      <c r="N1142" s="49"/>
      <c r="O1142" s="49" t="str">
        <f t="shared" si="2"/>
        <v/>
      </c>
      <c r="P1142" s="49" t="str">
        <f t="shared" si="3"/>
        <v/>
      </c>
      <c r="Q1142" s="84"/>
      <c r="R1142" s="84"/>
      <c r="S1142" s="84"/>
      <c r="T1142" s="84"/>
      <c r="U1142" s="84"/>
      <c r="V1142" s="84"/>
      <c r="W1142" s="84"/>
      <c r="X1142" s="84"/>
      <c r="Y1142" s="84"/>
      <c r="Z1142" s="84"/>
      <c r="AA1142" s="84"/>
      <c r="AB1142" s="84"/>
    </row>
    <row r="1143">
      <c r="A1143" s="69">
        <v>77.0</v>
      </c>
      <c r="B1143" s="69">
        <v>117.0</v>
      </c>
      <c r="C1143" s="86" t="s">
        <v>279</v>
      </c>
      <c r="D1143" s="86" t="s">
        <v>280</v>
      </c>
      <c r="E1143" s="86" t="s">
        <v>281</v>
      </c>
      <c r="F1143" s="69">
        <v>5500.0</v>
      </c>
      <c r="G1143" s="69">
        <v>28.6</v>
      </c>
      <c r="H1143" s="68">
        <f t="shared" si="1"/>
        <v>219.63</v>
      </c>
      <c r="I1143" s="81">
        <f>IFERROR(__xludf.DUMMYFUNCTION("IF(G1143="""", """", ROUND(G1143 / MAX(FILTER($G$2:$G5067, $D$2:$D5067=$D1143)) * 100, 2))"),80.56)</f>
        <v>80.56</v>
      </c>
      <c r="J1143" s="81">
        <f>IFERROR(__xludf.DUMMYFUNCTION("IF(H1143="""", """", ROUND(H1143 / MAX(FILTER($H$2:$H5067, $D$2:$D5067=$D1143)) * 100, 2))"),100.0)</f>
        <v>100</v>
      </c>
      <c r="K1143" s="2"/>
      <c r="L1143" s="48"/>
      <c r="M1143" s="48"/>
      <c r="N1143" s="48"/>
      <c r="O1143" s="48" t="str">
        <f t="shared" si="2"/>
        <v/>
      </c>
      <c r="P1143" s="48" t="str">
        <f t="shared" si="3"/>
        <v/>
      </c>
      <c r="Q1143" s="84"/>
      <c r="R1143" s="84"/>
      <c r="S1143" s="84"/>
      <c r="T1143" s="84"/>
      <c r="U1143" s="84"/>
      <c r="V1143" s="84"/>
      <c r="W1143" s="84"/>
      <c r="X1143" s="84"/>
      <c r="Y1143" s="84"/>
      <c r="Z1143" s="84"/>
      <c r="AA1143" s="84"/>
      <c r="AB1143" s="84"/>
    </row>
    <row r="1144">
      <c r="A1144" s="63">
        <v>77.0</v>
      </c>
      <c r="B1144" s="63">
        <v>117.0</v>
      </c>
      <c r="C1144" s="64" t="s">
        <v>279</v>
      </c>
      <c r="D1144" s="64" t="s">
        <v>280</v>
      </c>
      <c r="E1144" s="64" t="s">
        <v>281</v>
      </c>
      <c r="F1144" s="63">
        <v>6000.0</v>
      </c>
      <c r="G1144" s="63">
        <v>25.3</v>
      </c>
      <c r="H1144" s="66">
        <f t="shared" si="1"/>
        <v>211.95</v>
      </c>
      <c r="I1144" s="81">
        <f>IFERROR(__xludf.DUMMYFUNCTION("IF(G1144="""", """", ROUND(G1144 / MAX(FILTER($G$2:$G5067, $D$2:$D5067=$D1144)) * 100, 2))"),71.27)</f>
        <v>71.27</v>
      </c>
      <c r="J1144" s="81">
        <f>IFERROR(__xludf.DUMMYFUNCTION("IF(H1144="""", """", ROUND(H1144 / MAX(FILTER($H$2:$H5067, $D$2:$D5067=$D1144)) * 100, 2))"),96.5)</f>
        <v>96.5</v>
      </c>
      <c r="K1144" s="2"/>
      <c r="L1144" s="49"/>
      <c r="M1144" s="49"/>
      <c r="N1144" s="49"/>
      <c r="O1144" s="49" t="str">
        <f t="shared" si="2"/>
        <v/>
      </c>
      <c r="P1144" s="49" t="str">
        <f t="shared" si="3"/>
        <v/>
      </c>
      <c r="Q1144" s="84"/>
      <c r="R1144" s="84"/>
      <c r="S1144" s="84"/>
      <c r="T1144" s="84"/>
      <c r="U1144" s="84"/>
      <c r="V1144" s="84"/>
      <c r="W1144" s="84"/>
      <c r="X1144" s="84"/>
      <c r="Y1144" s="84"/>
      <c r="Z1144" s="84"/>
      <c r="AA1144" s="84"/>
      <c r="AB1144" s="84"/>
    </row>
    <row r="1145">
      <c r="A1145" s="69">
        <v>78.0</v>
      </c>
      <c r="B1145" s="69">
        <v>119.0</v>
      </c>
      <c r="C1145" s="86" t="s">
        <v>282</v>
      </c>
      <c r="D1145" s="86" t="s">
        <v>283</v>
      </c>
      <c r="E1145" s="86" t="s">
        <v>284</v>
      </c>
      <c r="F1145" s="69">
        <v>500.0</v>
      </c>
      <c r="G1145" s="69">
        <v>13.19</v>
      </c>
      <c r="H1145" s="68">
        <f t="shared" si="1"/>
        <v>9.21</v>
      </c>
      <c r="I1145" s="81">
        <f>IFERROR(__xludf.DUMMYFUNCTION("IF(G1145="""", """", ROUND(G1145 / MAX(FILTER($G$2:$G5067, $D$2:$D5067=$D1145)) * 100, 2))"),75.63)</f>
        <v>75.63</v>
      </c>
      <c r="J1145" s="81">
        <f>IFERROR(__xludf.DUMMYFUNCTION("IF(H1145="""", """", ROUND(H1145 / MAX(FILTER($H$2:$H5067, $D$2:$D5067=$D1145)) * 100, 2))"),6.6)</f>
        <v>6.6</v>
      </c>
      <c r="K1145" s="2"/>
      <c r="L1145" s="48"/>
      <c r="M1145" s="48"/>
      <c r="N1145" s="48"/>
      <c r="O1145" s="48" t="str">
        <f t="shared" si="2"/>
        <v/>
      </c>
      <c r="P1145" s="48" t="str">
        <f t="shared" si="3"/>
        <v/>
      </c>
      <c r="Q1145" s="84"/>
      <c r="R1145" s="84"/>
      <c r="S1145" s="84"/>
      <c r="T1145" s="84"/>
      <c r="U1145" s="84"/>
      <c r="V1145" s="84"/>
      <c r="W1145" s="84"/>
      <c r="X1145" s="84"/>
      <c r="Y1145" s="84"/>
      <c r="Z1145" s="84"/>
      <c r="AA1145" s="84"/>
      <c r="AB1145" s="84"/>
    </row>
    <row r="1146">
      <c r="A1146" s="63">
        <v>78.0</v>
      </c>
      <c r="B1146" s="63">
        <v>119.0</v>
      </c>
      <c r="C1146" s="64" t="s">
        <v>282</v>
      </c>
      <c r="D1146" s="64" t="s">
        <v>283</v>
      </c>
      <c r="E1146" s="64" t="s">
        <v>284</v>
      </c>
      <c r="F1146" s="63">
        <v>1000.0</v>
      </c>
      <c r="G1146" s="63">
        <v>14.17</v>
      </c>
      <c r="H1146" s="66">
        <f t="shared" si="1"/>
        <v>19.78</v>
      </c>
      <c r="I1146" s="81">
        <f>IFERROR(__xludf.DUMMYFUNCTION("IF(G1146="""", """", ROUND(G1146 / MAX(FILTER($G$2:$G5067, $D$2:$D5067=$D1146)) * 100, 2))"),81.25)</f>
        <v>81.25</v>
      </c>
      <c r="J1146" s="81">
        <f>IFERROR(__xludf.DUMMYFUNCTION("IF(H1146="""", """", ROUND(H1146 / MAX(FILTER($H$2:$H5067, $D$2:$D5067=$D1146)) * 100, 2))"),14.18)</f>
        <v>14.18</v>
      </c>
      <c r="K1146" s="2"/>
      <c r="L1146" s="49"/>
      <c r="M1146" s="49"/>
      <c r="N1146" s="49"/>
      <c r="O1146" s="49" t="str">
        <f t="shared" si="2"/>
        <v/>
      </c>
      <c r="P1146" s="49" t="str">
        <f t="shared" si="3"/>
        <v/>
      </c>
      <c r="Q1146" s="84"/>
      <c r="R1146" s="84"/>
      <c r="S1146" s="84"/>
      <c r="T1146" s="84"/>
      <c r="U1146" s="84"/>
      <c r="V1146" s="84"/>
      <c r="W1146" s="84"/>
      <c r="X1146" s="84"/>
      <c r="Y1146" s="84"/>
      <c r="Z1146" s="84"/>
      <c r="AA1146" s="84"/>
      <c r="AB1146" s="84"/>
    </row>
    <row r="1147">
      <c r="A1147" s="69">
        <v>78.0</v>
      </c>
      <c r="B1147" s="69">
        <v>119.0</v>
      </c>
      <c r="C1147" s="86" t="s">
        <v>282</v>
      </c>
      <c r="D1147" s="86" t="s">
        <v>283</v>
      </c>
      <c r="E1147" s="86" t="s">
        <v>284</v>
      </c>
      <c r="F1147" s="69">
        <v>1500.0</v>
      </c>
      <c r="G1147" s="69">
        <v>14.99</v>
      </c>
      <c r="H1147" s="68">
        <f t="shared" si="1"/>
        <v>31.39</v>
      </c>
      <c r="I1147" s="81">
        <f>IFERROR(__xludf.DUMMYFUNCTION("IF(G1147="""", """", ROUND(G1147 / MAX(FILTER($G$2:$G5067, $D$2:$D5067=$D1147)) * 100, 2))"),85.95)</f>
        <v>85.95</v>
      </c>
      <c r="J1147" s="81">
        <f>IFERROR(__xludf.DUMMYFUNCTION("IF(H1147="""", """", ROUND(H1147 / MAX(FILTER($H$2:$H5067, $D$2:$D5067=$D1147)) * 100, 2))"),22.5)</f>
        <v>22.5</v>
      </c>
      <c r="K1147" s="2"/>
      <c r="L1147" s="48"/>
      <c r="M1147" s="48"/>
      <c r="N1147" s="48"/>
      <c r="O1147" s="48" t="str">
        <f t="shared" si="2"/>
        <v/>
      </c>
      <c r="P1147" s="48" t="str">
        <f t="shared" si="3"/>
        <v/>
      </c>
      <c r="Q1147" s="84"/>
      <c r="R1147" s="84"/>
      <c r="S1147" s="84"/>
      <c r="T1147" s="84"/>
      <c r="U1147" s="84"/>
      <c r="V1147" s="84"/>
      <c r="W1147" s="84"/>
      <c r="X1147" s="84"/>
      <c r="Y1147" s="84"/>
      <c r="Z1147" s="84"/>
      <c r="AA1147" s="84"/>
      <c r="AB1147" s="84"/>
    </row>
    <row r="1148">
      <c r="A1148" s="63">
        <v>78.0</v>
      </c>
      <c r="B1148" s="63">
        <v>119.0</v>
      </c>
      <c r="C1148" s="64" t="s">
        <v>282</v>
      </c>
      <c r="D1148" s="64" t="s">
        <v>283</v>
      </c>
      <c r="E1148" s="64" t="s">
        <v>284</v>
      </c>
      <c r="F1148" s="63">
        <v>2000.0</v>
      </c>
      <c r="G1148" s="63">
        <v>15.5</v>
      </c>
      <c r="H1148" s="66">
        <f t="shared" si="1"/>
        <v>43.28</v>
      </c>
      <c r="I1148" s="81">
        <f>IFERROR(__xludf.DUMMYFUNCTION("IF(G1148="""", """", ROUND(G1148 / MAX(FILTER($G$2:$G5067, $D$2:$D5067=$D1148)) * 100, 2))"),88.88)</f>
        <v>88.88</v>
      </c>
      <c r="J1148" s="81">
        <f>IFERROR(__xludf.DUMMYFUNCTION("IF(H1148="""", """", ROUND(H1148 / MAX(FILTER($H$2:$H5067, $D$2:$D5067=$D1148)) * 100, 2))"),31.03)</f>
        <v>31.03</v>
      </c>
      <c r="K1148" s="2"/>
      <c r="L1148" s="49"/>
      <c r="M1148" s="49"/>
      <c r="N1148" s="49"/>
      <c r="O1148" s="49" t="str">
        <f t="shared" si="2"/>
        <v/>
      </c>
      <c r="P1148" s="49" t="str">
        <f t="shared" si="3"/>
        <v/>
      </c>
      <c r="Q1148" s="84"/>
      <c r="R1148" s="84"/>
      <c r="S1148" s="84"/>
      <c r="T1148" s="84"/>
      <c r="U1148" s="84"/>
      <c r="V1148" s="84"/>
      <c r="W1148" s="84"/>
      <c r="X1148" s="84"/>
      <c r="Y1148" s="84"/>
      <c r="Z1148" s="84"/>
      <c r="AA1148" s="84"/>
      <c r="AB1148" s="84"/>
    </row>
    <row r="1149">
      <c r="A1149" s="69">
        <v>78.0</v>
      </c>
      <c r="B1149" s="69">
        <v>119.0</v>
      </c>
      <c r="C1149" s="86" t="s">
        <v>282</v>
      </c>
      <c r="D1149" s="86" t="s">
        <v>283</v>
      </c>
      <c r="E1149" s="86" t="s">
        <v>284</v>
      </c>
      <c r="F1149" s="69">
        <v>2500.0</v>
      </c>
      <c r="G1149" s="69">
        <v>16.06</v>
      </c>
      <c r="H1149" s="68">
        <f t="shared" si="1"/>
        <v>56.06</v>
      </c>
      <c r="I1149" s="81">
        <f>IFERROR(__xludf.DUMMYFUNCTION("IF(G1149="""", """", ROUND(G1149 / MAX(FILTER($G$2:$G5067, $D$2:$D5067=$D1149)) * 100, 2))"),92.09)</f>
        <v>92.09</v>
      </c>
      <c r="J1149" s="81">
        <f>IFERROR(__xludf.DUMMYFUNCTION("IF(H1149="""", """", ROUND(H1149 / MAX(FILTER($H$2:$H5067, $D$2:$D5067=$D1149)) * 100, 2))"),40.19)</f>
        <v>40.19</v>
      </c>
      <c r="K1149" s="2"/>
      <c r="L1149" s="48"/>
      <c r="M1149" s="48"/>
      <c r="N1149" s="48"/>
      <c r="O1149" s="48" t="str">
        <f t="shared" si="2"/>
        <v/>
      </c>
      <c r="P1149" s="48" t="str">
        <f t="shared" si="3"/>
        <v/>
      </c>
      <c r="Q1149" s="84"/>
      <c r="R1149" s="84"/>
      <c r="S1149" s="84"/>
      <c r="T1149" s="84"/>
      <c r="U1149" s="84"/>
      <c r="V1149" s="84"/>
      <c r="W1149" s="84"/>
      <c r="X1149" s="84"/>
      <c r="Y1149" s="84"/>
      <c r="Z1149" s="84"/>
      <c r="AA1149" s="84"/>
      <c r="AB1149" s="84"/>
    </row>
    <row r="1150">
      <c r="A1150" s="63">
        <v>78.0</v>
      </c>
      <c r="B1150" s="63">
        <v>119.0</v>
      </c>
      <c r="C1150" s="64" t="s">
        <v>282</v>
      </c>
      <c r="D1150" s="64" t="s">
        <v>283</v>
      </c>
      <c r="E1150" s="64" t="s">
        <v>284</v>
      </c>
      <c r="F1150" s="63">
        <v>3000.0</v>
      </c>
      <c r="G1150" s="63">
        <v>16.32</v>
      </c>
      <c r="H1150" s="66">
        <f t="shared" si="1"/>
        <v>68.36</v>
      </c>
      <c r="I1150" s="81">
        <f>IFERROR(__xludf.DUMMYFUNCTION("IF(G1150="""", """", ROUND(G1150 / MAX(FILTER($G$2:$G5067, $D$2:$D5067=$D1150)) * 100, 2))"),93.58)</f>
        <v>93.58</v>
      </c>
      <c r="J1150" s="81">
        <f>IFERROR(__xludf.DUMMYFUNCTION("IF(H1150="""", """", ROUND(H1150 / MAX(FILTER($H$2:$H5067, $D$2:$D5067=$D1150)) * 100, 2))"),49.01)</f>
        <v>49.01</v>
      </c>
      <c r="K1150" s="2"/>
      <c r="L1150" s="49"/>
      <c r="M1150" s="49"/>
      <c r="N1150" s="49"/>
      <c r="O1150" s="49" t="str">
        <f t="shared" si="2"/>
        <v/>
      </c>
      <c r="P1150" s="49" t="str">
        <f t="shared" si="3"/>
        <v/>
      </c>
      <c r="Q1150" s="84"/>
      <c r="R1150" s="84"/>
      <c r="S1150" s="84"/>
      <c r="T1150" s="84"/>
      <c r="U1150" s="84"/>
      <c r="V1150" s="84"/>
      <c r="W1150" s="84"/>
      <c r="X1150" s="84"/>
      <c r="Y1150" s="84"/>
      <c r="Z1150" s="84"/>
      <c r="AA1150" s="84"/>
      <c r="AB1150" s="84"/>
    </row>
    <row r="1151">
      <c r="A1151" s="69">
        <v>78.0</v>
      </c>
      <c r="B1151" s="69">
        <v>119.0</v>
      </c>
      <c r="C1151" s="86" t="s">
        <v>282</v>
      </c>
      <c r="D1151" s="86" t="s">
        <v>283</v>
      </c>
      <c r="E1151" s="86" t="s">
        <v>284</v>
      </c>
      <c r="F1151" s="69">
        <v>3500.0</v>
      </c>
      <c r="G1151" s="69">
        <v>16.62</v>
      </c>
      <c r="H1151" s="68">
        <f t="shared" si="1"/>
        <v>81.22</v>
      </c>
      <c r="I1151" s="81">
        <f>IFERROR(__xludf.DUMMYFUNCTION("IF(G1151="""", """", ROUND(G1151 / MAX(FILTER($G$2:$G5067, $D$2:$D5067=$D1151)) * 100, 2))"),95.3)</f>
        <v>95.3</v>
      </c>
      <c r="J1151" s="81">
        <f>IFERROR(__xludf.DUMMYFUNCTION("IF(H1151="""", """", ROUND(H1151 / MAX(FILTER($H$2:$H5067, $D$2:$D5067=$D1151)) * 100, 2))"),58.23)</f>
        <v>58.23</v>
      </c>
      <c r="K1151" s="2"/>
      <c r="L1151" s="48"/>
      <c r="M1151" s="48"/>
      <c r="N1151" s="48"/>
      <c r="O1151" s="48" t="str">
        <f t="shared" si="2"/>
        <v/>
      </c>
      <c r="P1151" s="48" t="str">
        <f t="shared" si="3"/>
        <v/>
      </c>
      <c r="Q1151" s="84"/>
      <c r="R1151" s="84"/>
      <c r="S1151" s="84"/>
      <c r="T1151" s="84"/>
      <c r="U1151" s="84"/>
      <c r="V1151" s="84"/>
      <c r="W1151" s="84"/>
      <c r="X1151" s="84"/>
      <c r="Y1151" s="84"/>
      <c r="Z1151" s="84"/>
      <c r="AA1151" s="84"/>
      <c r="AB1151" s="84"/>
    </row>
    <row r="1152">
      <c r="A1152" s="63">
        <v>78.0</v>
      </c>
      <c r="B1152" s="63">
        <v>119.0</v>
      </c>
      <c r="C1152" s="64" t="s">
        <v>282</v>
      </c>
      <c r="D1152" s="64" t="s">
        <v>283</v>
      </c>
      <c r="E1152" s="64" t="s">
        <v>284</v>
      </c>
      <c r="F1152" s="63">
        <v>4000.0</v>
      </c>
      <c r="G1152" s="63">
        <v>16.93</v>
      </c>
      <c r="H1152" s="66">
        <f t="shared" si="1"/>
        <v>94.55</v>
      </c>
      <c r="I1152" s="81">
        <f>IFERROR(__xludf.DUMMYFUNCTION("IF(G1152="""", """", ROUND(G1152 / MAX(FILTER($G$2:$G5067, $D$2:$D5067=$D1152)) * 100, 2))"),97.08)</f>
        <v>97.08</v>
      </c>
      <c r="J1152" s="81">
        <f>IFERROR(__xludf.DUMMYFUNCTION("IF(H1152="""", """", ROUND(H1152 / MAX(FILTER($H$2:$H5067, $D$2:$D5067=$D1152)) * 100, 2))"),67.78)</f>
        <v>67.78</v>
      </c>
      <c r="K1152" s="2"/>
      <c r="L1152" s="49"/>
      <c r="M1152" s="49"/>
      <c r="N1152" s="49"/>
      <c r="O1152" s="49" t="str">
        <f t="shared" si="2"/>
        <v/>
      </c>
      <c r="P1152" s="49" t="str">
        <f t="shared" si="3"/>
        <v/>
      </c>
      <c r="Q1152" s="84"/>
      <c r="R1152" s="84"/>
      <c r="S1152" s="84"/>
      <c r="T1152" s="84"/>
      <c r="U1152" s="84"/>
      <c r="V1152" s="84"/>
      <c r="W1152" s="84"/>
      <c r="X1152" s="84"/>
      <c r="Y1152" s="84"/>
      <c r="Z1152" s="84"/>
      <c r="AA1152" s="84"/>
      <c r="AB1152" s="84"/>
    </row>
    <row r="1153">
      <c r="A1153" s="69">
        <v>78.0</v>
      </c>
      <c r="B1153" s="69">
        <v>119.0</v>
      </c>
      <c r="C1153" s="86" t="s">
        <v>282</v>
      </c>
      <c r="D1153" s="86" t="s">
        <v>283</v>
      </c>
      <c r="E1153" s="86" t="s">
        <v>284</v>
      </c>
      <c r="F1153" s="69">
        <v>4400.0</v>
      </c>
      <c r="G1153" s="69">
        <v>17.44</v>
      </c>
      <c r="H1153" s="68">
        <f t="shared" si="1"/>
        <v>107.14</v>
      </c>
      <c r="I1153" s="81">
        <f>IFERROR(__xludf.DUMMYFUNCTION("IF(G1153="""", """", ROUND(G1153 / MAX(FILTER($G$2:$G5067, $D$2:$D5067=$D1153)) * 100, 2))"),100.0)</f>
        <v>100</v>
      </c>
      <c r="J1153" s="81">
        <f>IFERROR(__xludf.DUMMYFUNCTION("IF(H1153="""", """", ROUND(H1153 / MAX(FILTER($H$2:$H5067, $D$2:$D5067=$D1153)) * 100, 2))"),76.81)</f>
        <v>76.81</v>
      </c>
      <c r="K1153" s="2"/>
      <c r="L1153" s="48"/>
      <c r="M1153" s="48"/>
      <c r="N1153" s="48"/>
      <c r="O1153" s="48" t="str">
        <f t="shared" si="2"/>
        <v/>
      </c>
      <c r="P1153" s="48" t="str">
        <f t="shared" si="3"/>
        <v/>
      </c>
      <c r="Q1153" s="84"/>
      <c r="R1153" s="84"/>
      <c r="S1153" s="84"/>
      <c r="T1153" s="84"/>
      <c r="U1153" s="84"/>
      <c r="V1153" s="84"/>
      <c r="W1153" s="84"/>
      <c r="X1153" s="84"/>
      <c r="Y1153" s="84"/>
      <c r="Z1153" s="84"/>
      <c r="AA1153" s="84"/>
      <c r="AB1153" s="84"/>
    </row>
    <row r="1154">
      <c r="A1154" s="63">
        <v>78.0</v>
      </c>
      <c r="B1154" s="63">
        <v>119.0</v>
      </c>
      <c r="C1154" s="64" t="s">
        <v>282</v>
      </c>
      <c r="D1154" s="64" t="s">
        <v>283</v>
      </c>
      <c r="E1154" s="64" t="s">
        <v>284</v>
      </c>
      <c r="F1154" s="63">
        <v>5000.0</v>
      </c>
      <c r="G1154" s="63">
        <v>17.13</v>
      </c>
      <c r="H1154" s="66">
        <f t="shared" si="1"/>
        <v>119.59</v>
      </c>
      <c r="I1154" s="81">
        <f>IFERROR(__xludf.DUMMYFUNCTION("IF(G1154="""", """", ROUND(G1154 / MAX(FILTER($G$2:$G5067, $D$2:$D5067=$D1154)) * 100, 2))"),98.22)</f>
        <v>98.22</v>
      </c>
      <c r="J1154" s="81">
        <f>IFERROR(__xludf.DUMMYFUNCTION("IF(H1154="""", """", ROUND(H1154 / MAX(FILTER($H$2:$H5067, $D$2:$D5067=$D1154)) * 100, 2))"),85.73)</f>
        <v>85.73</v>
      </c>
      <c r="K1154" s="2"/>
      <c r="L1154" s="49"/>
      <c r="M1154" s="49"/>
      <c r="N1154" s="49"/>
      <c r="O1154" s="49" t="str">
        <f t="shared" si="2"/>
        <v/>
      </c>
      <c r="P1154" s="49" t="str">
        <f t="shared" si="3"/>
        <v/>
      </c>
      <c r="Q1154" s="84"/>
      <c r="R1154" s="84"/>
      <c r="S1154" s="84"/>
      <c r="T1154" s="84"/>
      <c r="U1154" s="84"/>
      <c r="V1154" s="84"/>
      <c r="W1154" s="84"/>
      <c r="X1154" s="84"/>
      <c r="Y1154" s="84"/>
      <c r="Z1154" s="84"/>
      <c r="AA1154" s="84"/>
      <c r="AB1154" s="84"/>
    </row>
    <row r="1155">
      <c r="A1155" s="69">
        <v>78.0</v>
      </c>
      <c r="B1155" s="69">
        <v>119.0</v>
      </c>
      <c r="C1155" s="86" t="s">
        <v>282</v>
      </c>
      <c r="D1155" s="86" t="s">
        <v>283</v>
      </c>
      <c r="E1155" s="86" t="s">
        <v>284</v>
      </c>
      <c r="F1155" s="69">
        <v>5500.0</v>
      </c>
      <c r="G1155" s="69">
        <v>16.72</v>
      </c>
      <c r="H1155" s="68">
        <f t="shared" si="1"/>
        <v>128.4</v>
      </c>
      <c r="I1155" s="81">
        <f>IFERROR(__xludf.DUMMYFUNCTION("IF(G1155="""", """", ROUND(G1155 / MAX(FILTER($G$2:$G5067, $D$2:$D5067=$D1155)) * 100, 2))"),95.87)</f>
        <v>95.87</v>
      </c>
      <c r="J1155" s="81">
        <f>IFERROR(__xludf.DUMMYFUNCTION("IF(H1155="""", """", ROUND(H1155 / MAX(FILTER($H$2:$H5067, $D$2:$D5067=$D1155)) * 100, 2))"),92.05)</f>
        <v>92.05</v>
      </c>
      <c r="K1155" s="2"/>
      <c r="L1155" s="48"/>
      <c r="M1155" s="48"/>
      <c r="N1155" s="48"/>
      <c r="O1155" s="48" t="str">
        <f t="shared" si="2"/>
        <v/>
      </c>
      <c r="P1155" s="48" t="str">
        <f t="shared" si="3"/>
        <v/>
      </c>
      <c r="Q1155" s="84"/>
      <c r="R1155" s="84"/>
      <c r="S1155" s="84"/>
      <c r="T1155" s="84"/>
      <c r="U1155" s="84"/>
      <c r="V1155" s="84"/>
      <c r="W1155" s="84"/>
      <c r="X1155" s="84"/>
      <c r="Y1155" s="84"/>
      <c r="Z1155" s="84"/>
      <c r="AA1155" s="84"/>
      <c r="AB1155" s="84"/>
    </row>
    <row r="1156">
      <c r="A1156" s="63">
        <v>78.0</v>
      </c>
      <c r="B1156" s="63">
        <v>119.0</v>
      </c>
      <c r="C1156" s="64" t="s">
        <v>282</v>
      </c>
      <c r="D1156" s="64" t="s">
        <v>283</v>
      </c>
      <c r="E1156" s="64" t="s">
        <v>284</v>
      </c>
      <c r="F1156" s="63">
        <v>6000.0</v>
      </c>
      <c r="G1156" s="63">
        <v>16.32</v>
      </c>
      <c r="H1156" s="66">
        <f t="shared" si="1"/>
        <v>136.72</v>
      </c>
      <c r="I1156" s="81">
        <f>IFERROR(__xludf.DUMMYFUNCTION("IF(G1156="""", """", ROUND(G1156 / MAX(FILTER($G$2:$G5067, $D$2:$D5067=$D1156)) * 100, 2))"),93.58)</f>
        <v>93.58</v>
      </c>
      <c r="J1156" s="81">
        <f>IFERROR(__xludf.DUMMYFUNCTION("IF(H1156="""", """", ROUND(H1156 / MAX(FILTER($H$2:$H5067, $D$2:$D5067=$D1156)) * 100, 2))"),98.01)</f>
        <v>98.01</v>
      </c>
      <c r="K1156" s="2"/>
      <c r="L1156" s="49"/>
      <c r="M1156" s="49"/>
      <c r="N1156" s="49"/>
      <c r="O1156" s="49" t="str">
        <f t="shared" si="2"/>
        <v/>
      </c>
      <c r="P1156" s="49" t="str">
        <f t="shared" si="3"/>
        <v/>
      </c>
      <c r="Q1156" s="84"/>
      <c r="R1156" s="84"/>
      <c r="S1156" s="84"/>
      <c r="T1156" s="84"/>
      <c r="U1156" s="84"/>
      <c r="V1156" s="84"/>
      <c r="W1156" s="84"/>
      <c r="X1156" s="84"/>
      <c r="Y1156" s="84"/>
      <c r="Z1156" s="84"/>
      <c r="AA1156" s="84"/>
      <c r="AB1156" s="84"/>
    </row>
    <row r="1157">
      <c r="A1157" s="69">
        <v>78.0</v>
      </c>
      <c r="B1157" s="69">
        <v>119.0</v>
      </c>
      <c r="C1157" s="86" t="s">
        <v>282</v>
      </c>
      <c r="D1157" s="86" t="s">
        <v>283</v>
      </c>
      <c r="E1157" s="86" t="s">
        <v>284</v>
      </c>
      <c r="F1157" s="69">
        <v>6500.0</v>
      </c>
      <c r="G1157" s="69">
        <v>15.37</v>
      </c>
      <c r="H1157" s="68">
        <f t="shared" si="1"/>
        <v>139.49</v>
      </c>
      <c r="I1157" s="81">
        <f>IFERROR(__xludf.DUMMYFUNCTION("IF(G1157="""", """", ROUND(G1157 / MAX(FILTER($G$2:$G5067, $D$2:$D5067=$D1157)) * 100, 2))"),88.13)</f>
        <v>88.13</v>
      </c>
      <c r="J1157" s="81">
        <f>IFERROR(__xludf.DUMMYFUNCTION("IF(H1157="""", """", ROUND(H1157 / MAX(FILTER($H$2:$H5067, $D$2:$D5067=$D1157)) * 100, 2))"),100.0)</f>
        <v>100</v>
      </c>
      <c r="K1157" s="2"/>
      <c r="L1157" s="48"/>
      <c r="M1157" s="48"/>
      <c r="N1157" s="48"/>
      <c r="O1157" s="48" t="str">
        <f t="shared" si="2"/>
        <v/>
      </c>
      <c r="P1157" s="48" t="str">
        <f t="shared" si="3"/>
        <v/>
      </c>
      <c r="Q1157" s="84"/>
      <c r="R1157" s="84"/>
      <c r="S1157" s="84"/>
      <c r="T1157" s="84"/>
      <c r="U1157" s="84"/>
      <c r="V1157" s="84"/>
      <c r="W1157" s="84"/>
      <c r="X1157" s="84"/>
      <c r="Y1157" s="84"/>
      <c r="Z1157" s="84"/>
      <c r="AA1157" s="84"/>
      <c r="AB1157" s="84"/>
    </row>
    <row r="1158">
      <c r="A1158" s="63">
        <v>78.0</v>
      </c>
      <c r="B1158" s="63">
        <v>119.0</v>
      </c>
      <c r="C1158" s="64" t="s">
        <v>282</v>
      </c>
      <c r="D1158" s="64" t="s">
        <v>283</v>
      </c>
      <c r="E1158" s="64" t="s">
        <v>284</v>
      </c>
      <c r="F1158" s="63">
        <v>7000.0</v>
      </c>
      <c r="G1158" s="63">
        <v>14.05</v>
      </c>
      <c r="H1158" s="66">
        <f t="shared" si="1"/>
        <v>137.32</v>
      </c>
      <c r="I1158" s="81">
        <f>IFERROR(__xludf.DUMMYFUNCTION("IF(G1158="""", """", ROUND(G1158 / MAX(FILTER($G$2:$G5067, $D$2:$D5067=$D1158)) * 100, 2))"),80.56)</f>
        <v>80.56</v>
      </c>
      <c r="J1158" s="81">
        <f>IFERROR(__xludf.DUMMYFUNCTION("IF(H1158="""", """", ROUND(H1158 / MAX(FILTER($H$2:$H5067, $D$2:$D5067=$D1158)) * 100, 2))"),98.44)</f>
        <v>98.44</v>
      </c>
      <c r="K1158" s="2"/>
      <c r="L1158" s="49"/>
      <c r="M1158" s="49"/>
      <c r="N1158" s="49"/>
      <c r="O1158" s="49" t="str">
        <f t="shared" si="2"/>
        <v/>
      </c>
      <c r="P1158" s="49" t="str">
        <f t="shared" si="3"/>
        <v/>
      </c>
      <c r="Q1158" s="84"/>
      <c r="R1158" s="84"/>
      <c r="S1158" s="84"/>
      <c r="T1158" s="84"/>
      <c r="U1158" s="84"/>
      <c r="V1158" s="84"/>
      <c r="W1158" s="84"/>
      <c r="X1158" s="84"/>
      <c r="Y1158" s="84"/>
      <c r="Z1158" s="84"/>
      <c r="AA1158" s="84"/>
      <c r="AB1158" s="84"/>
    </row>
    <row r="1159">
      <c r="A1159" s="69">
        <v>79.0</v>
      </c>
      <c r="B1159" s="69">
        <v>120.0</v>
      </c>
      <c r="C1159" s="86" t="s">
        <v>285</v>
      </c>
      <c r="D1159" s="86" t="s">
        <v>286</v>
      </c>
      <c r="E1159" s="86" t="s">
        <v>287</v>
      </c>
      <c r="F1159" s="69">
        <v>500.0</v>
      </c>
      <c r="G1159" s="69">
        <v>10.2</v>
      </c>
      <c r="H1159" s="68">
        <f t="shared" si="1"/>
        <v>7.12</v>
      </c>
      <c r="I1159" s="81">
        <f>IFERROR(__xludf.DUMMYFUNCTION("IF(G1159="""", """", ROUND(G1159 / MAX(FILTER($G$2:$G5067, $D$2:$D5067=$D1159)) * 100, 2))"),69.39)</f>
        <v>69.39</v>
      </c>
      <c r="J1159" s="81">
        <f>IFERROR(__xludf.DUMMYFUNCTION("IF(H1159="""", """", ROUND(H1159 / MAX(FILTER($H$2:$H5067, $D$2:$D5067=$D1159)) * 100, 2))"),6.48)</f>
        <v>6.48</v>
      </c>
      <c r="K1159" s="2"/>
      <c r="L1159" s="48"/>
      <c r="M1159" s="48"/>
      <c r="N1159" s="48"/>
      <c r="O1159" s="48" t="str">
        <f t="shared" si="2"/>
        <v/>
      </c>
      <c r="P1159" s="48" t="str">
        <f t="shared" si="3"/>
        <v/>
      </c>
      <c r="Q1159" s="84"/>
      <c r="R1159" s="84"/>
      <c r="S1159" s="84"/>
      <c r="T1159" s="84"/>
      <c r="U1159" s="84"/>
      <c r="V1159" s="84"/>
      <c r="W1159" s="84"/>
      <c r="X1159" s="84"/>
      <c r="Y1159" s="84"/>
      <c r="Z1159" s="84"/>
      <c r="AA1159" s="84"/>
      <c r="AB1159" s="84"/>
    </row>
    <row r="1160">
      <c r="A1160" s="63">
        <v>79.0</v>
      </c>
      <c r="B1160" s="63">
        <v>120.0</v>
      </c>
      <c r="C1160" s="64" t="s">
        <v>285</v>
      </c>
      <c r="D1160" s="64" t="s">
        <v>286</v>
      </c>
      <c r="E1160" s="64" t="s">
        <v>287</v>
      </c>
      <c r="F1160" s="63">
        <v>1000.0</v>
      </c>
      <c r="G1160" s="63">
        <v>11.5</v>
      </c>
      <c r="H1160" s="66">
        <f t="shared" si="1"/>
        <v>16.06</v>
      </c>
      <c r="I1160" s="81">
        <f>IFERROR(__xludf.DUMMYFUNCTION("IF(G1160="""", """", ROUND(G1160 / MAX(FILTER($G$2:$G5067, $D$2:$D5067=$D1160)) * 100, 2))"),78.23)</f>
        <v>78.23</v>
      </c>
      <c r="J1160" s="81">
        <f>IFERROR(__xludf.DUMMYFUNCTION("IF(H1160="""", """", ROUND(H1160 / MAX(FILTER($H$2:$H5067, $D$2:$D5067=$D1160)) * 100, 2))"),14.61)</f>
        <v>14.61</v>
      </c>
      <c r="K1160" s="2"/>
      <c r="L1160" s="49"/>
      <c r="M1160" s="49"/>
      <c r="N1160" s="49"/>
      <c r="O1160" s="49" t="str">
        <f t="shared" si="2"/>
        <v/>
      </c>
      <c r="P1160" s="49" t="str">
        <f t="shared" si="3"/>
        <v/>
      </c>
      <c r="Q1160" s="84"/>
      <c r="R1160" s="84"/>
      <c r="S1160" s="84"/>
      <c r="T1160" s="84"/>
      <c r="U1160" s="84"/>
      <c r="V1160" s="84"/>
      <c r="W1160" s="84"/>
      <c r="X1160" s="84"/>
      <c r="Y1160" s="84"/>
      <c r="Z1160" s="84"/>
      <c r="AA1160" s="84"/>
      <c r="AB1160" s="84"/>
    </row>
    <row r="1161">
      <c r="A1161" s="69">
        <v>79.0</v>
      </c>
      <c r="B1161" s="69">
        <v>120.0</v>
      </c>
      <c r="C1161" s="86" t="s">
        <v>285</v>
      </c>
      <c r="D1161" s="86" t="s">
        <v>286</v>
      </c>
      <c r="E1161" s="86" t="s">
        <v>287</v>
      </c>
      <c r="F1161" s="69">
        <v>1500.0</v>
      </c>
      <c r="G1161" s="69">
        <v>12.0</v>
      </c>
      <c r="H1161" s="68">
        <f t="shared" si="1"/>
        <v>25.13</v>
      </c>
      <c r="I1161" s="81">
        <f>IFERROR(__xludf.DUMMYFUNCTION("IF(G1161="""", """", ROUND(G1161 / MAX(FILTER($G$2:$G5067, $D$2:$D5067=$D1161)) * 100, 2))"),81.63)</f>
        <v>81.63</v>
      </c>
      <c r="J1161" s="81">
        <f>IFERROR(__xludf.DUMMYFUNCTION("IF(H1161="""", """", ROUND(H1161 / MAX(FILTER($H$2:$H5067, $D$2:$D5067=$D1161)) * 100, 2))"),22.86)</f>
        <v>22.86</v>
      </c>
      <c r="K1161" s="2"/>
      <c r="L1161" s="48"/>
      <c r="M1161" s="48"/>
      <c r="N1161" s="48"/>
      <c r="O1161" s="48" t="str">
        <f t="shared" si="2"/>
        <v/>
      </c>
      <c r="P1161" s="48" t="str">
        <f t="shared" si="3"/>
        <v/>
      </c>
      <c r="Q1161" s="84"/>
      <c r="R1161" s="84"/>
      <c r="S1161" s="84"/>
      <c r="T1161" s="84"/>
      <c r="U1161" s="84"/>
      <c r="V1161" s="84"/>
      <c r="W1161" s="84"/>
      <c r="X1161" s="84"/>
      <c r="Y1161" s="84"/>
      <c r="Z1161" s="84"/>
      <c r="AA1161" s="84"/>
      <c r="AB1161" s="84"/>
    </row>
    <row r="1162">
      <c r="A1162" s="63">
        <v>79.0</v>
      </c>
      <c r="B1162" s="63">
        <v>120.0</v>
      </c>
      <c r="C1162" s="64" t="s">
        <v>285</v>
      </c>
      <c r="D1162" s="64" t="s">
        <v>286</v>
      </c>
      <c r="E1162" s="64" t="s">
        <v>287</v>
      </c>
      <c r="F1162" s="63">
        <v>2000.0</v>
      </c>
      <c r="G1162" s="63">
        <v>12.0</v>
      </c>
      <c r="H1162" s="66">
        <f t="shared" si="1"/>
        <v>33.51</v>
      </c>
      <c r="I1162" s="81">
        <f>IFERROR(__xludf.DUMMYFUNCTION("IF(G1162="""", """", ROUND(G1162 / MAX(FILTER($G$2:$G5067, $D$2:$D5067=$D1162)) * 100, 2))"),81.63)</f>
        <v>81.63</v>
      </c>
      <c r="J1162" s="81">
        <f>IFERROR(__xludf.DUMMYFUNCTION("IF(H1162="""", """", ROUND(H1162 / MAX(FILTER($H$2:$H5067, $D$2:$D5067=$D1162)) * 100, 2))"),30.49)</f>
        <v>30.49</v>
      </c>
      <c r="K1162" s="2"/>
      <c r="L1162" s="49"/>
      <c r="M1162" s="49"/>
      <c r="N1162" s="49"/>
      <c r="O1162" s="49" t="str">
        <f t="shared" si="2"/>
        <v/>
      </c>
      <c r="P1162" s="49" t="str">
        <f t="shared" si="3"/>
        <v/>
      </c>
      <c r="Q1162" s="84"/>
      <c r="R1162" s="84"/>
      <c r="S1162" s="84"/>
      <c r="T1162" s="84"/>
      <c r="U1162" s="84"/>
      <c r="V1162" s="84"/>
      <c r="W1162" s="84"/>
      <c r="X1162" s="84"/>
      <c r="Y1162" s="84"/>
      <c r="Z1162" s="84"/>
      <c r="AA1162" s="84"/>
      <c r="AB1162" s="84"/>
    </row>
    <row r="1163">
      <c r="A1163" s="69">
        <v>79.0</v>
      </c>
      <c r="B1163" s="69">
        <v>120.0</v>
      </c>
      <c r="C1163" s="86" t="s">
        <v>285</v>
      </c>
      <c r="D1163" s="86" t="s">
        <v>286</v>
      </c>
      <c r="E1163" s="86" t="s">
        <v>287</v>
      </c>
      <c r="F1163" s="69">
        <v>2500.0</v>
      </c>
      <c r="G1163" s="69">
        <v>12.1</v>
      </c>
      <c r="H1163" s="68">
        <f t="shared" si="1"/>
        <v>42.24</v>
      </c>
      <c r="I1163" s="81">
        <f>IFERROR(__xludf.DUMMYFUNCTION("IF(G1163="""", """", ROUND(G1163 / MAX(FILTER($G$2:$G5067, $D$2:$D5067=$D1163)) * 100, 2))"),82.31)</f>
        <v>82.31</v>
      </c>
      <c r="J1163" s="81">
        <f>IFERROR(__xludf.DUMMYFUNCTION("IF(H1163="""", """", ROUND(H1163 / MAX(FILTER($H$2:$H5067, $D$2:$D5067=$D1163)) * 100, 2))"),38.43)</f>
        <v>38.43</v>
      </c>
      <c r="K1163" s="2"/>
      <c r="L1163" s="48"/>
      <c r="M1163" s="48"/>
      <c r="N1163" s="48"/>
      <c r="O1163" s="48" t="str">
        <f t="shared" si="2"/>
        <v/>
      </c>
      <c r="P1163" s="48" t="str">
        <f t="shared" si="3"/>
        <v/>
      </c>
      <c r="Q1163" s="84"/>
      <c r="R1163" s="84"/>
      <c r="S1163" s="84"/>
      <c r="T1163" s="84"/>
      <c r="U1163" s="84"/>
      <c r="V1163" s="84"/>
      <c r="W1163" s="84"/>
      <c r="X1163" s="84"/>
      <c r="Y1163" s="84"/>
      <c r="Z1163" s="84"/>
      <c r="AA1163" s="84"/>
      <c r="AB1163" s="84"/>
    </row>
    <row r="1164">
      <c r="A1164" s="63">
        <v>79.0</v>
      </c>
      <c r="B1164" s="63">
        <v>120.0</v>
      </c>
      <c r="C1164" s="64" t="s">
        <v>285</v>
      </c>
      <c r="D1164" s="64" t="s">
        <v>286</v>
      </c>
      <c r="E1164" s="64" t="s">
        <v>287</v>
      </c>
      <c r="F1164" s="63">
        <v>3000.0</v>
      </c>
      <c r="G1164" s="63">
        <v>12.2</v>
      </c>
      <c r="H1164" s="66">
        <f t="shared" si="1"/>
        <v>51.1</v>
      </c>
      <c r="I1164" s="81">
        <f>IFERROR(__xludf.DUMMYFUNCTION("IF(G1164="""", """", ROUND(G1164 / MAX(FILTER($G$2:$G5067, $D$2:$D5067=$D1164)) * 100, 2))"),82.99)</f>
        <v>82.99</v>
      </c>
      <c r="J1164" s="81">
        <f>IFERROR(__xludf.DUMMYFUNCTION("IF(H1164="""", """", ROUND(H1164 / MAX(FILTER($H$2:$H5067, $D$2:$D5067=$D1164)) * 100, 2))"),46.49)</f>
        <v>46.49</v>
      </c>
      <c r="K1164" s="2"/>
      <c r="L1164" s="49"/>
      <c r="M1164" s="49"/>
      <c r="N1164" s="49"/>
      <c r="O1164" s="49" t="str">
        <f t="shared" si="2"/>
        <v/>
      </c>
      <c r="P1164" s="49" t="str">
        <f t="shared" si="3"/>
        <v/>
      </c>
      <c r="Q1164" s="84"/>
      <c r="R1164" s="84"/>
      <c r="S1164" s="84"/>
      <c r="T1164" s="84"/>
      <c r="U1164" s="84"/>
      <c r="V1164" s="84"/>
      <c r="W1164" s="84"/>
      <c r="X1164" s="84"/>
      <c r="Y1164" s="84"/>
      <c r="Z1164" s="84"/>
      <c r="AA1164" s="84"/>
      <c r="AB1164" s="84"/>
    </row>
    <row r="1165">
      <c r="A1165" s="69">
        <v>79.0</v>
      </c>
      <c r="B1165" s="69">
        <v>120.0</v>
      </c>
      <c r="C1165" s="86" t="s">
        <v>285</v>
      </c>
      <c r="D1165" s="86" t="s">
        <v>286</v>
      </c>
      <c r="E1165" s="86" t="s">
        <v>287</v>
      </c>
      <c r="F1165" s="69">
        <v>3500.0</v>
      </c>
      <c r="G1165" s="69">
        <v>13.3</v>
      </c>
      <c r="H1165" s="68">
        <f t="shared" si="1"/>
        <v>65</v>
      </c>
      <c r="I1165" s="81">
        <f>IFERROR(__xludf.DUMMYFUNCTION("IF(G1165="""", """", ROUND(G1165 / MAX(FILTER($G$2:$G5067, $D$2:$D5067=$D1165)) * 100, 2))"),90.48)</f>
        <v>90.48</v>
      </c>
      <c r="J1165" s="81">
        <f>IFERROR(__xludf.DUMMYFUNCTION("IF(H1165="""", """", ROUND(H1165 / MAX(FILTER($H$2:$H5067, $D$2:$D5067=$D1165)) * 100, 2))"),59.14)</f>
        <v>59.14</v>
      </c>
      <c r="K1165" s="2"/>
      <c r="L1165" s="48"/>
      <c r="M1165" s="48"/>
      <c r="N1165" s="48"/>
      <c r="O1165" s="48" t="str">
        <f t="shared" si="2"/>
        <v/>
      </c>
      <c r="P1165" s="48" t="str">
        <f t="shared" si="3"/>
        <v/>
      </c>
      <c r="Q1165" s="84"/>
      <c r="R1165" s="84"/>
      <c r="S1165" s="84"/>
      <c r="T1165" s="84"/>
      <c r="U1165" s="84"/>
      <c r="V1165" s="84"/>
      <c r="W1165" s="84"/>
      <c r="X1165" s="84"/>
      <c r="Y1165" s="84"/>
      <c r="Z1165" s="84"/>
      <c r="AA1165" s="84"/>
      <c r="AB1165" s="84"/>
    </row>
    <row r="1166">
      <c r="A1166" s="63">
        <v>79.0</v>
      </c>
      <c r="B1166" s="63">
        <v>120.0</v>
      </c>
      <c r="C1166" s="64" t="s">
        <v>285</v>
      </c>
      <c r="D1166" s="64" t="s">
        <v>286</v>
      </c>
      <c r="E1166" s="64" t="s">
        <v>287</v>
      </c>
      <c r="F1166" s="63">
        <v>4000.0</v>
      </c>
      <c r="G1166" s="63">
        <v>14.6</v>
      </c>
      <c r="H1166" s="66">
        <f t="shared" si="1"/>
        <v>81.54</v>
      </c>
      <c r="I1166" s="81">
        <f>IFERROR(__xludf.DUMMYFUNCTION("IF(G1166="""", """", ROUND(G1166 / MAX(FILTER($G$2:$G5067, $D$2:$D5067=$D1166)) * 100, 2))"),99.32)</f>
        <v>99.32</v>
      </c>
      <c r="J1166" s="81">
        <f>IFERROR(__xludf.DUMMYFUNCTION("IF(H1166="""", """", ROUND(H1166 / MAX(FILTER($H$2:$H5067, $D$2:$D5067=$D1166)) * 100, 2))"),74.19)</f>
        <v>74.19</v>
      </c>
      <c r="K1166" s="2"/>
      <c r="L1166" s="49"/>
      <c r="M1166" s="49"/>
      <c r="N1166" s="49"/>
      <c r="O1166" s="49" t="str">
        <f t="shared" si="2"/>
        <v/>
      </c>
      <c r="P1166" s="49" t="str">
        <f t="shared" si="3"/>
        <v/>
      </c>
      <c r="Q1166" s="84"/>
      <c r="R1166" s="84"/>
      <c r="S1166" s="84"/>
      <c r="T1166" s="84"/>
      <c r="U1166" s="84"/>
      <c r="V1166" s="84"/>
      <c r="W1166" s="84"/>
      <c r="X1166" s="84"/>
      <c r="Y1166" s="84"/>
      <c r="Z1166" s="84"/>
      <c r="AA1166" s="84"/>
      <c r="AB1166" s="84"/>
    </row>
    <row r="1167">
      <c r="A1167" s="69">
        <v>79.0</v>
      </c>
      <c r="B1167" s="69">
        <v>120.0</v>
      </c>
      <c r="C1167" s="86" t="s">
        <v>285</v>
      </c>
      <c r="D1167" s="86" t="s">
        <v>286</v>
      </c>
      <c r="E1167" s="86" t="s">
        <v>287</v>
      </c>
      <c r="F1167" s="69">
        <v>4500.0</v>
      </c>
      <c r="G1167" s="69">
        <v>14.7</v>
      </c>
      <c r="H1167" s="68">
        <f t="shared" si="1"/>
        <v>92.36</v>
      </c>
      <c r="I1167" s="81">
        <f>IFERROR(__xludf.DUMMYFUNCTION("IF(G1167="""", """", ROUND(G1167 / MAX(FILTER($G$2:$G5067, $D$2:$D5067=$D1167)) * 100, 2))"),100.0)</f>
        <v>100</v>
      </c>
      <c r="J1167" s="81">
        <f>IFERROR(__xludf.DUMMYFUNCTION("IF(H1167="""", """", ROUND(H1167 / MAX(FILTER($H$2:$H5067, $D$2:$D5067=$D1167)) * 100, 2))"),84.03)</f>
        <v>84.03</v>
      </c>
      <c r="K1167" s="2"/>
      <c r="L1167" s="48"/>
      <c r="M1167" s="48"/>
      <c r="N1167" s="48"/>
      <c r="O1167" s="48" t="str">
        <f t="shared" si="2"/>
        <v/>
      </c>
      <c r="P1167" s="48" t="str">
        <f t="shared" si="3"/>
        <v/>
      </c>
      <c r="Q1167" s="84"/>
      <c r="R1167" s="84"/>
      <c r="S1167" s="84"/>
      <c r="T1167" s="84"/>
      <c r="U1167" s="84"/>
      <c r="V1167" s="84"/>
      <c r="W1167" s="84"/>
      <c r="X1167" s="84"/>
      <c r="Y1167" s="84"/>
      <c r="Z1167" s="84"/>
      <c r="AA1167" s="84"/>
      <c r="AB1167" s="84"/>
    </row>
    <row r="1168">
      <c r="A1168" s="63">
        <v>79.0</v>
      </c>
      <c r="B1168" s="63">
        <v>120.0</v>
      </c>
      <c r="C1168" s="64" t="s">
        <v>285</v>
      </c>
      <c r="D1168" s="64" t="s">
        <v>286</v>
      </c>
      <c r="E1168" s="64" t="s">
        <v>287</v>
      </c>
      <c r="F1168" s="63">
        <v>5000.0</v>
      </c>
      <c r="G1168" s="63">
        <v>14.4</v>
      </c>
      <c r="H1168" s="66">
        <f t="shared" si="1"/>
        <v>100.53</v>
      </c>
      <c r="I1168" s="81">
        <f>IFERROR(__xludf.DUMMYFUNCTION("IF(G1168="""", """", ROUND(G1168 / MAX(FILTER($G$2:$G5067, $D$2:$D5067=$D1168)) * 100, 2))"),97.96)</f>
        <v>97.96</v>
      </c>
      <c r="J1168" s="81">
        <f>IFERROR(__xludf.DUMMYFUNCTION("IF(H1168="""", """", ROUND(H1168 / MAX(FILTER($H$2:$H5067, $D$2:$D5067=$D1168)) * 100, 2))"),91.47)</f>
        <v>91.47</v>
      </c>
      <c r="K1168" s="2"/>
      <c r="L1168" s="49"/>
      <c r="M1168" s="49"/>
      <c r="N1168" s="49"/>
      <c r="O1168" s="49" t="str">
        <f t="shared" si="2"/>
        <v/>
      </c>
      <c r="P1168" s="49" t="str">
        <f t="shared" si="3"/>
        <v/>
      </c>
      <c r="Q1168" s="84"/>
      <c r="R1168" s="84"/>
      <c r="S1168" s="84"/>
      <c r="T1168" s="84"/>
      <c r="U1168" s="84"/>
      <c r="V1168" s="84"/>
      <c r="W1168" s="84"/>
      <c r="X1168" s="84"/>
      <c r="Y1168" s="84"/>
      <c r="Z1168" s="84"/>
      <c r="AA1168" s="84"/>
      <c r="AB1168" s="84"/>
    </row>
    <row r="1169">
      <c r="A1169" s="69">
        <v>79.0</v>
      </c>
      <c r="B1169" s="69">
        <v>120.0</v>
      </c>
      <c r="C1169" s="86" t="s">
        <v>285</v>
      </c>
      <c r="D1169" s="86" t="s">
        <v>286</v>
      </c>
      <c r="E1169" s="86" t="s">
        <v>287</v>
      </c>
      <c r="F1169" s="69">
        <v>5500.0</v>
      </c>
      <c r="G1169" s="69">
        <v>13.6</v>
      </c>
      <c r="H1169" s="68">
        <f t="shared" si="1"/>
        <v>104.44</v>
      </c>
      <c r="I1169" s="81">
        <f>IFERROR(__xludf.DUMMYFUNCTION("IF(G1169="""", """", ROUND(G1169 / MAX(FILTER($G$2:$G5067, $D$2:$D5067=$D1169)) * 100, 2))"),92.52)</f>
        <v>92.52</v>
      </c>
      <c r="J1169" s="81">
        <f>IFERROR(__xludf.DUMMYFUNCTION("IF(H1169="""", """", ROUND(H1169 / MAX(FILTER($H$2:$H5067, $D$2:$D5067=$D1169)) * 100, 2))"),95.02)</f>
        <v>95.02</v>
      </c>
      <c r="K1169" s="2"/>
      <c r="L1169" s="48"/>
      <c r="M1169" s="48"/>
      <c r="N1169" s="48"/>
      <c r="O1169" s="48" t="str">
        <f t="shared" si="2"/>
        <v/>
      </c>
      <c r="P1169" s="48" t="str">
        <f t="shared" si="3"/>
        <v/>
      </c>
      <c r="Q1169" s="84"/>
      <c r="R1169" s="84"/>
      <c r="S1169" s="84"/>
      <c r="T1169" s="84"/>
      <c r="U1169" s="84"/>
      <c r="V1169" s="84"/>
      <c r="W1169" s="84"/>
      <c r="X1169" s="84"/>
      <c r="Y1169" s="84"/>
      <c r="Z1169" s="84"/>
      <c r="AA1169" s="84"/>
      <c r="AB1169" s="84"/>
    </row>
    <row r="1170">
      <c r="A1170" s="63">
        <v>79.0</v>
      </c>
      <c r="B1170" s="63">
        <v>120.0</v>
      </c>
      <c r="C1170" s="64" t="s">
        <v>285</v>
      </c>
      <c r="D1170" s="64" t="s">
        <v>286</v>
      </c>
      <c r="E1170" s="64" t="s">
        <v>287</v>
      </c>
      <c r="F1170" s="63">
        <v>6000.0</v>
      </c>
      <c r="G1170" s="63">
        <v>13.12</v>
      </c>
      <c r="H1170" s="66">
        <f t="shared" si="1"/>
        <v>109.91</v>
      </c>
      <c r="I1170" s="81">
        <f>IFERROR(__xludf.DUMMYFUNCTION("IF(G1170="""", """", ROUND(G1170 / MAX(FILTER($G$2:$G5067, $D$2:$D5067=$D1170)) * 100, 2))"),89.25)</f>
        <v>89.25</v>
      </c>
      <c r="J1170" s="81">
        <f>IFERROR(__xludf.DUMMYFUNCTION("IF(H1170="""", """", ROUND(H1170 / MAX(FILTER($H$2:$H5067, $D$2:$D5067=$D1170)) * 100, 2))"),100.0)</f>
        <v>100</v>
      </c>
      <c r="K1170" s="2"/>
      <c r="L1170" s="49"/>
      <c r="M1170" s="49"/>
      <c r="N1170" s="49"/>
      <c r="O1170" s="49" t="str">
        <f t="shared" si="2"/>
        <v/>
      </c>
      <c r="P1170" s="49" t="str">
        <f t="shared" si="3"/>
        <v/>
      </c>
      <c r="Q1170" s="84"/>
      <c r="R1170" s="84"/>
      <c r="S1170" s="84"/>
      <c r="T1170" s="84"/>
      <c r="U1170" s="84"/>
      <c r="V1170" s="84"/>
      <c r="W1170" s="84"/>
      <c r="X1170" s="84"/>
      <c r="Y1170" s="84"/>
      <c r="Z1170" s="84"/>
      <c r="AA1170" s="84"/>
      <c r="AB1170" s="84"/>
    </row>
    <row r="1171">
      <c r="A1171" s="69">
        <v>79.0</v>
      </c>
      <c r="B1171" s="69">
        <v>120.0</v>
      </c>
      <c r="C1171" s="86" t="s">
        <v>285</v>
      </c>
      <c r="D1171" s="86" t="s">
        <v>286</v>
      </c>
      <c r="E1171" s="86" t="s">
        <v>287</v>
      </c>
      <c r="F1171" s="69">
        <v>6500.0</v>
      </c>
      <c r="G1171" s="69">
        <v>11.83</v>
      </c>
      <c r="H1171" s="68">
        <f t="shared" si="1"/>
        <v>107.37</v>
      </c>
      <c r="I1171" s="81">
        <f>IFERROR(__xludf.DUMMYFUNCTION("IF(G1171="""", """", ROUND(G1171 / MAX(FILTER($G$2:$G5067, $D$2:$D5067=$D1171)) * 100, 2))"),80.48)</f>
        <v>80.48</v>
      </c>
      <c r="J1171" s="81">
        <f>IFERROR(__xludf.DUMMYFUNCTION("IF(H1171="""", """", ROUND(H1171 / MAX(FILTER($H$2:$H5067, $D$2:$D5067=$D1171)) * 100, 2))"),97.69)</f>
        <v>97.69</v>
      </c>
      <c r="K1171" s="2"/>
      <c r="L1171" s="48"/>
      <c r="M1171" s="48"/>
      <c r="N1171" s="48"/>
      <c r="O1171" s="48" t="str">
        <f t="shared" si="2"/>
        <v/>
      </c>
      <c r="P1171" s="48" t="str">
        <f t="shared" si="3"/>
        <v/>
      </c>
      <c r="Q1171" s="84"/>
      <c r="R1171" s="84"/>
      <c r="S1171" s="84"/>
      <c r="T1171" s="84"/>
      <c r="U1171" s="84"/>
      <c r="V1171" s="84"/>
      <c r="W1171" s="84"/>
      <c r="X1171" s="84"/>
      <c r="Y1171" s="84"/>
      <c r="Z1171" s="84"/>
      <c r="AA1171" s="84"/>
      <c r="AB1171" s="84"/>
    </row>
    <row r="1172">
      <c r="A1172" s="63">
        <v>79.0</v>
      </c>
      <c r="B1172" s="63">
        <v>120.0</v>
      </c>
      <c r="C1172" s="64" t="s">
        <v>285</v>
      </c>
      <c r="D1172" s="64" t="s">
        <v>286</v>
      </c>
      <c r="E1172" s="64" t="s">
        <v>287</v>
      </c>
      <c r="F1172" s="63">
        <v>7000.0</v>
      </c>
      <c r="G1172" s="63">
        <v>10.25</v>
      </c>
      <c r="H1172" s="66">
        <f t="shared" si="1"/>
        <v>100.18</v>
      </c>
      <c r="I1172" s="81">
        <f>IFERROR(__xludf.DUMMYFUNCTION("IF(G1172="""", """", ROUND(G1172 / MAX(FILTER($G$2:$G5067, $D$2:$D5067=$D1172)) * 100, 2))"),69.73)</f>
        <v>69.73</v>
      </c>
      <c r="J1172" s="81">
        <f>IFERROR(__xludf.DUMMYFUNCTION("IF(H1172="""", """", ROUND(H1172 / MAX(FILTER($H$2:$H5067, $D$2:$D5067=$D1172)) * 100, 2))"),91.15)</f>
        <v>91.15</v>
      </c>
      <c r="K1172" s="2"/>
      <c r="L1172" s="49"/>
      <c r="M1172" s="49"/>
      <c r="N1172" s="49"/>
      <c r="O1172" s="49" t="str">
        <f t="shared" si="2"/>
        <v/>
      </c>
      <c r="P1172" s="49" t="str">
        <f t="shared" si="3"/>
        <v/>
      </c>
      <c r="Q1172" s="84"/>
      <c r="R1172" s="84"/>
      <c r="S1172" s="84"/>
      <c r="T1172" s="84"/>
      <c r="U1172" s="84"/>
      <c r="V1172" s="84"/>
      <c r="W1172" s="84"/>
      <c r="X1172" s="84"/>
      <c r="Y1172" s="84"/>
      <c r="Z1172" s="84"/>
      <c r="AA1172" s="84"/>
      <c r="AB1172" s="84"/>
    </row>
    <row r="1173">
      <c r="A1173" s="69">
        <v>80.0</v>
      </c>
      <c r="B1173" s="69">
        <v>121.0</v>
      </c>
      <c r="C1173" s="86" t="s">
        <v>288</v>
      </c>
      <c r="D1173" s="86" t="s">
        <v>289</v>
      </c>
      <c r="E1173" s="86" t="s">
        <v>290</v>
      </c>
      <c r="F1173" s="69">
        <v>500.0</v>
      </c>
      <c r="G1173" s="69">
        <v>20.71</v>
      </c>
      <c r="H1173" s="68">
        <f t="shared" si="1"/>
        <v>14.46</v>
      </c>
      <c r="I1173" s="81">
        <f>IFERROR(__xludf.DUMMYFUNCTION("IF(G1173="""", """", ROUND(G1173 / MAX(FILTER($G$2:$G5067, $D$2:$D5067=$D1173)) * 100, 2))"),58.03)</f>
        <v>58.03</v>
      </c>
      <c r="J1173" s="81">
        <f>IFERROR(__xludf.DUMMYFUNCTION("IF(H1173="""", """", ROUND(H1173 / MAX(FILTER($H$2:$H5067, $D$2:$D5067=$D1173)) * 100, 2))"),5.81)</f>
        <v>5.81</v>
      </c>
      <c r="K1173" s="2"/>
      <c r="L1173" s="48"/>
      <c r="M1173" s="48"/>
      <c r="N1173" s="48"/>
      <c r="O1173" s="48" t="str">
        <f t="shared" si="2"/>
        <v/>
      </c>
      <c r="P1173" s="48" t="str">
        <f t="shared" si="3"/>
        <v/>
      </c>
      <c r="Q1173" s="84"/>
      <c r="R1173" s="84"/>
      <c r="S1173" s="84"/>
      <c r="T1173" s="84"/>
      <c r="U1173" s="84"/>
      <c r="V1173" s="84"/>
      <c r="W1173" s="84"/>
      <c r="X1173" s="84"/>
      <c r="Y1173" s="84"/>
      <c r="Z1173" s="84"/>
      <c r="AA1173" s="84"/>
      <c r="AB1173" s="84"/>
    </row>
    <row r="1174">
      <c r="A1174" s="63">
        <v>80.0</v>
      </c>
      <c r="B1174" s="63">
        <v>121.0</v>
      </c>
      <c r="C1174" s="64" t="s">
        <v>288</v>
      </c>
      <c r="D1174" s="64" t="s">
        <v>289</v>
      </c>
      <c r="E1174" s="64" t="s">
        <v>290</v>
      </c>
      <c r="F1174" s="63">
        <v>1000.0</v>
      </c>
      <c r="G1174" s="63">
        <v>30.33</v>
      </c>
      <c r="H1174" s="66">
        <f t="shared" si="1"/>
        <v>42.35</v>
      </c>
      <c r="I1174" s="81">
        <f>IFERROR(__xludf.DUMMYFUNCTION("IF(G1174="""", """", ROUND(G1174 / MAX(FILTER($G$2:$G5067, $D$2:$D5067=$D1174)) * 100, 2))"),84.98)</f>
        <v>84.98</v>
      </c>
      <c r="J1174" s="81">
        <f>IFERROR(__xludf.DUMMYFUNCTION("IF(H1174="""", """", ROUND(H1174 / MAX(FILTER($H$2:$H5067, $D$2:$D5067=$D1174)) * 100, 2))"),17.01)</f>
        <v>17.01</v>
      </c>
      <c r="K1174" s="2"/>
      <c r="L1174" s="49"/>
      <c r="M1174" s="49"/>
      <c r="N1174" s="49"/>
      <c r="O1174" s="49" t="str">
        <f t="shared" si="2"/>
        <v/>
      </c>
      <c r="P1174" s="49" t="str">
        <f t="shared" si="3"/>
        <v/>
      </c>
      <c r="Q1174" s="84"/>
      <c r="R1174" s="84"/>
      <c r="S1174" s="84"/>
      <c r="T1174" s="84"/>
      <c r="U1174" s="84"/>
      <c r="V1174" s="84"/>
      <c r="W1174" s="84"/>
      <c r="X1174" s="84"/>
      <c r="Y1174" s="84"/>
      <c r="Z1174" s="84"/>
      <c r="AA1174" s="84"/>
      <c r="AB1174" s="84"/>
    </row>
    <row r="1175">
      <c r="A1175" s="69">
        <v>80.0</v>
      </c>
      <c r="B1175" s="69">
        <v>121.0</v>
      </c>
      <c r="C1175" s="86" t="s">
        <v>288</v>
      </c>
      <c r="D1175" s="86" t="s">
        <v>289</v>
      </c>
      <c r="E1175" s="86" t="s">
        <v>290</v>
      </c>
      <c r="F1175" s="69">
        <v>1500.0</v>
      </c>
      <c r="G1175" s="69">
        <v>34.23</v>
      </c>
      <c r="H1175" s="68">
        <f t="shared" si="1"/>
        <v>71.69</v>
      </c>
      <c r="I1175" s="81">
        <f>IFERROR(__xludf.DUMMYFUNCTION("IF(G1175="""", """", ROUND(G1175 / MAX(FILTER($G$2:$G5067, $D$2:$D5067=$D1175)) * 100, 2))"),95.91)</f>
        <v>95.91</v>
      </c>
      <c r="J1175" s="81">
        <f>IFERROR(__xludf.DUMMYFUNCTION("IF(H1175="""", """", ROUND(H1175 / MAX(FILTER($H$2:$H5067, $D$2:$D5067=$D1175)) * 100, 2))"),28.79)</f>
        <v>28.79</v>
      </c>
      <c r="K1175" s="2"/>
      <c r="L1175" s="48"/>
      <c r="M1175" s="48"/>
      <c r="N1175" s="48"/>
      <c r="O1175" s="48" t="str">
        <f t="shared" si="2"/>
        <v/>
      </c>
      <c r="P1175" s="48" t="str">
        <f t="shared" si="3"/>
        <v/>
      </c>
      <c r="Q1175" s="84"/>
      <c r="R1175" s="84"/>
      <c r="S1175" s="84"/>
      <c r="T1175" s="84"/>
      <c r="U1175" s="84"/>
      <c r="V1175" s="84"/>
      <c r="W1175" s="84"/>
      <c r="X1175" s="84"/>
      <c r="Y1175" s="84"/>
      <c r="Z1175" s="84"/>
      <c r="AA1175" s="84"/>
      <c r="AB1175" s="84"/>
    </row>
    <row r="1176">
      <c r="A1176" s="63">
        <v>80.0</v>
      </c>
      <c r="B1176" s="63">
        <v>121.0</v>
      </c>
      <c r="C1176" s="64" t="s">
        <v>288</v>
      </c>
      <c r="D1176" s="64" t="s">
        <v>289</v>
      </c>
      <c r="E1176" s="64" t="s">
        <v>290</v>
      </c>
      <c r="F1176" s="63">
        <v>2000.0</v>
      </c>
      <c r="G1176" s="63">
        <v>35.69</v>
      </c>
      <c r="H1176" s="66">
        <f t="shared" si="1"/>
        <v>99.66</v>
      </c>
      <c r="I1176" s="81">
        <f>IFERROR(__xludf.DUMMYFUNCTION("IF(G1176="""", """", ROUND(G1176 / MAX(FILTER($G$2:$G5067, $D$2:$D5067=$D1176)) * 100, 2))"),100.0)</f>
        <v>100</v>
      </c>
      <c r="J1176" s="81">
        <f>IFERROR(__xludf.DUMMYFUNCTION("IF(H1176="""", """", ROUND(H1176 / MAX(FILTER($H$2:$H5067, $D$2:$D5067=$D1176)) * 100, 2))"),40.02)</f>
        <v>40.02</v>
      </c>
      <c r="K1176" s="2"/>
      <c r="L1176" s="49"/>
      <c r="M1176" s="49"/>
      <c r="N1176" s="49"/>
      <c r="O1176" s="49" t="str">
        <f t="shared" si="2"/>
        <v/>
      </c>
      <c r="P1176" s="49" t="str">
        <f t="shared" si="3"/>
        <v/>
      </c>
      <c r="Q1176" s="84"/>
      <c r="R1176" s="84"/>
      <c r="S1176" s="84"/>
      <c r="T1176" s="84"/>
      <c r="U1176" s="84"/>
      <c r="V1176" s="84"/>
      <c r="W1176" s="84"/>
      <c r="X1176" s="84"/>
      <c r="Y1176" s="84"/>
      <c r="Z1176" s="84"/>
      <c r="AA1176" s="84"/>
      <c r="AB1176" s="84"/>
    </row>
    <row r="1177">
      <c r="A1177" s="69">
        <v>80.0</v>
      </c>
      <c r="B1177" s="69">
        <v>121.0</v>
      </c>
      <c r="C1177" s="86" t="s">
        <v>288</v>
      </c>
      <c r="D1177" s="86" t="s">
        <v>289</v>
      </c>
      <c r="E1177" s="86" t="s">
        <v>290</v>
      </c>
      <c r="F1177" s="69">
        <v>2500.0</v>
      </c>
      <c r="G1177" s="69">
        <v>35.69</v>
      </c>
      <c r="H1177" s="68">
        <f t="shared" si="1"/>
        <v>124.58</v>
      </c>
      <c r="I1177" s="81">
        <f>IFERROR(__xludf.DUMMYFUNCTION("IF(G1177="""", """", ROUND(G1177 / MAX(FILTER($G$2:$G5067, $D$2:$D5067=$D1177)) * 100, 2))"),100.0)</f>
        <v>100</v>
      </c>
      <c r="J1177" s="81">
        <f>IFERROR(__xludf.DUMMYFUNCTION("IF(H1177="""", """", ROUND(H1177 / MAX(FILTER($H$2:$H5067, $D$2:$D5067=$D1177)) * 100, 2))"),50.02)</f>
        <v>50.02</v>
      </c>
      <c r="K1177" s="2"/>
      <c r="L1177" s="48"/>
      <c r="M1177" s="48"/>
      <c r="N1177" s="48"/>
      <c r="O1177" s="48" t="str">
        <f t="shared" si="2"/>
        <v/>
      </c>
      <c r="P1177" s="48" t="str">
        <f t="shared" si="3"/>
        <v/>
      </c>
      <c r="Q1177" s="84"/>
      <c r="R1177" s="84"/>
      <c r="S1177" s="84"/>
      <c r="T1177" s="84"/>
      <c r="U1177" s="84"/>
      <c r="V1177" s="84"/>
      <c r="W1177" s="84"/>
      <c r="X1177" s="84"/>
      <c r="Y1177" s="84"/>
      <c r="Z1177" s="84"/>
      <c r="AA1177" s="84"/>
      <c r="AB1177" s="84"/>
    </row>
    <row r="1178">
      <c r="A1178" s="63">
        <v>80.0</v>
      </c>
      <c r="B1178" s="63">
        <v>121.0</v>
      </c>
      <c r="C1178" s="64" t="s">
        <v>288</v>
      </c>
      <c r="D1178" s="64" t="s">
        <v>289</v>
      </c>
      <c r="E1178" s="64" t="s">
        <v>290</v>
      </c>
      <c r="F1178" s="63">
        <v>3000.0</v>
      </c>
      <c r="G1178" s="63">
        <v>35.69</v>
      </c>
      <c r="H1178" s="66">
        <f t="shared" si="1"/>
        <v>149.5</v>
      </c>
      <c r="I1178" s="81">
        <f>IFERROR(__xludf.DUMMYFUNCTION("IF(G1178="""", """", ROUND(G1178 / MAX(FILTER($G$2:$G5067, $D$2:$D5067=$D1178)) * 100, 2))"),100.0)</f>
        <v>100</v>
      </c>
      <c r="J1178" s="81">
        <f>IFERROR(__xludf.DUMMYFUNCTION("IF(H1178="""", """", ROUND(H1178 / MAX(FILTER($H$2:$H5067, $D$2:$D5067=$D1178)) * 100, 2))"),60.03)</f>
        <v>60.03</v>
      </c>
      <c r="K1178" s="2"/>
      <c r="L1178" s="49"/>
      <c r="M1178" s="49"/>
      <c r="N1178" s="49"/>
      <c r="O1178" s="49" t="str">
        <f t="shared" si="2"/>
        <v/>
      </c>
      <c r="P1178" s="49" t="str">
        <f t="shared" si="3"/>
        <v/>
      </c>
      <c r="Q1178" s="84"/>
      <c r="R1178" s="84"/>
      <c r="S1178" s="84"/>
      <c r="T1178" s="84"/>
      <c r="U1178" s="84"/>
      <c r="V1178" s="84"/>
      <c r="W1178" s="84"/>
      <c r="X1178" s="84"/>
      <c r="Y1178" s="84"/>
      <c r="Z1178" s="84"/>
      <c r="AA1178" s="84"/>
      <c r="AB1178" s="84"/>
    </row>
    <row r="1179">
      <c r="A1179" s="69">
        <v>80.0</v>
      </c>
      <c r="B1179" s="69">
        <v>121.0</v>
      </c>
      <c r="C1179" s="86" t="s">
        <v>288</v>
      </c>
      <c r="D1179" s="86" t="s">
        <v>289</v>
      </c>
      <c r="E1179" s="86" t="s">
        <v>290</v>
      </c>
      <c r="F1179" s="69">
        <v>3500.0</v>
      </c>
      <c r="G1179" s="69">
        <v>35.69</v>
      </c>
      <c r="H1179" s="68">
        <f t="shared" si="1"/>
        <v>174.41</v>
      </c>
      <c r="I1179" s="81">
        <f>IFERROR(__xludf.DUMMYFUNCTION("IF(G1179="""", """", ROUND(G1179 / MAX(FILTER($G$2:$G5067, $D$2:$D5067=$D1179)) * 100, 2))"),100.0)</f>
        <v>100</v>
      </c>
      <c r="J1179" s="81">
        <f>IFERROR(__xludf.DUMMYFUNCTION("IF(H1179="""", """", ROUND(H1179 / MAX(FILTER($H$2:$H5067, $D$2:$D5067=$D1179)) * 100, 2))"),70.03)</f>
        <v>70.03</v>
      </c>
      <c r="K1179" s="2"/>
      <c r="L1179" s="48"/>
      <c r="M1179" s="48"/>
      <c r="N1179" s="48"/>
      <c r="O1179" s="48" t="str">
        <f t="shared" si="2"/>
        <v/>
      </c>
      <c r="P1179" s="48" t="str">
        <f t="shared" si="3"/>
        <v/>
      </c>
      <c r="Q1179" s="84"/>
      <c r="R1179" s="84"/>
      <c r="S1179" s="84"/>
      <c r="T1179" s="84"/>
      <c r="U1179" s="84"/>
      <c r="V1179" s="84"/>
      <c r="W1179" s="84"/>
      <c r="X1179" s="84"/>
      <c r="Y1179" s="84"/>
      <c r="Z1179" s="84"/>
      <c r="AA1179" s="84"/>
      <c r="AB1179" s="84"/>
    </row>
    <row r="1180">
      <c r="A1180" s="63">
        <v>80.0</v>
      </c>
      <c r="B1180" s="63">
        <v>121.0</v>
      </c>
      <c r="C1180" s="64" t="s">
        <v>288</v>
      </c>
      <c r="D1180" s="64" t="s">
        <v>289</v>
      </c>
      <c r="E1180" s="64" t="s">
        <v>290</v>
      </c>
      <c r="F1180" s="63">
        <v>4000.0</v>
      </c>
      <c r="G1180" s="63">
        <v>35.69</v>
      </c>
      <c r="H1180" s="66">
        <f t="shared" si="1"/>
        <v>199.33</v>
      </c>
      <c r="I1180" s="81">
        <f>IFERROR(__xludf.DUMMYFUNCTION("IF(G1180="""", """", ROUND(G1180 / MAX(FILTER($G$2:$G5067, $D$2:$D5067=$D1180)) * 100, 2))"),100.0)</f>
        <v>100</v>
      </c>
      <c r="J1180" s="81">
        <f>IFERROR(__xludf.DUMMYFUNCTION("IF(H1180="""", """", ROUND(H1180 / MAX(FILTER($H$2:$H5067, $D$2:$D5067=$D1180)) * 100, 2))"),80.04)</f>
        <v>80.04</v>
      </c>
      <c r="K1180" s="2"/>
      <c r="L1180" s="49"/>
      <c r="M1180" s="49"/>
      <c r="N1180" s="49"/>
      <c r="O1180" s="49" t="str">
        <f t="shared" si="2"/>
        <v/>
      </c>
      <c r="P1180" s="49" t="str">
        <f t="shared" si="3"/>
        <v/>
      </c>
      <c r="Q1180" s="84"/>
      <c r="R1180" s="84"/>
      <c r="S1180" s="84"/>
      <c r="T1180" s="84"/>
      <c r="U1180" s="84"/>
      <c r="V1180" s="84"/>
      <c r="W1180" s="84"/>
      <c r="X1180" s="84"/>
      <c r="Y1180" s="84"/>
      <c r="Z1180" s="84"/>
      <c r="AA1180" s="84"/>
      <c r="AB1180" s="84"/>
    </row>
    <row r="1181">
      <c r="A1181" s="69">
        <v>80.0</v>
      </c>
      <c r="B1181" s="69">
        <v>121.0</v>
      </c>
      <c r="C1181" s="86" t="s">
        <v>288</v>
      </c>
      <c r="D1181" s="86" t="s">
        <v>289</v>
      </c>
      <c r="E1181" s="86" t="s">
        <v>290</v>
      </c>
      <c r="F1181" s="69">
        <v>4500.0</v>
      </c>
      <c r="G1181" s="69">
        <v>35.69</v>
      </c>
      <c r="H1181" s="68">
        <f t="shared" si="1"/>
        <v>224.25</v>
      </c>
      <c r="I1181" s="81">
        <f>IFERROR(__xludf.DUMMYFUNCTION("IF(G1181="""", """", ROUND(G1181 / MAX(FILTER($G$2:$G5067, $D$2:$D5067=$D1181)) * 100, 2))"),100.0)</f>
        <v>100</v>
      </c>
      <c r="J1181" s="81">
        <f>IFERROR(__xludf.DUMMYFUNCTION("IF(H1181="""", """", ROUND(H1181 / MAX(FILTER($H$2:$H5067, $D$2:$D5067=$D1181)) * 100, 2))"),90.05)</f>
        <v>90.05</v>
      </c>
      <c r="K1181" s="2"/>
      <c r="L1181" s="48"/>
      <c r="M1181" s="48"/>
      <c r="N1181" s="48"/>
      <c r="O1181" s="48" t="str">
        <f t="shared" si="2"/>
        <v/>
      </c>
      <c r="P1181" s="48" t="str">
        <f t="shared" si="3"/>
        <v/>
      </c>
      <c r="Q1181" s="84"/>
      <c r="R1181" s="84"/>
      <c r="S1181" s="84"/>
      <c r="T1181" s="84"/>
      <c r="U1181" s="84"/>
      <c r="V1181" s="84"/>
      <c r="W1181" s="84"/>
      <c r="X1181" s="84"/>
      <c r="Y1181" s="84"/>
      <c r="Z1181" s="84"/>
      <c r="AA1181" s="84"/>
      <c r="AB1181" s="84"/>
    </row>
    <row r="1182">
      <c r="A1182" s="63">
        <v>80.0</v>
      </c>
      <c r="B1182" s="63">
        <v>121.0</v>
      </c>
      <c r="C1182" s="64" t="s">
        <v>288</v>
      </c>
      <c r="D1182" s="64" t="s">
        <v>289</v>
      </c>
      <c r="E1182" s="64" t="s">
        <v>290</v>
      </c>
      <c r="F1182" s="63">
        <v>5000.0</v>
      </c>
      <c r="G1182" s="63">
        <v>34.67</v>
      </c>
      <c r="H1182" s="66">
        <f t="shared" si="1"/>
        <v>242.04</v>
      </c>
      <c r="I1182" s="81">
        <f>IFERROR(__xludf.DUMMYFUNCTION("IF(G1182="""", """", ROUND(G1182 / MAX(FILTER($G$2:$G5067, $D$2:$D5067=$D1182)) * 100, 2))"),97.14)</f>
        <v>97.14</v>
      </c>
      <c r="J1182" s="81">
        <f>IFERROR(__xludf.DUMMYFUNCTION("IF(H1182="""", """", ROUND(H1182 / MAX(FILTER($H$2:$H5067, $D$2:$D5067=$D1182)) * 100, 2))"),97.19)</f>
        <v>97.19</v>
      </c>
      <c r="K1182" s="2"/>
      <c r="L1182" s="49"/>
      <c r="M1182" s="49"/>
      <c r="N1182" s="49"/>
      <c r="O1182" s="49" t="str">
        <f t="shared" si="2"/>
        <v/>
      </c>
      <c r="P1182" s="49" t="str">
        <f t="shared" si="3"/>
        <v/>
      </c>
      <c r="Q1182" s="84"/>
      <c r="R1182" s="84"/>
      <c r="S1182" s="84"/>
      <c r="T1182" s="84"/>
      <c r="U1182" s="84"/>
      <c r="V1182" s="84"/>
      <c r="W1182" s="84"/>
      <c r="X1182" s="84"/>
      <c r="Y1182" s="84"/>
      <c r="Z1182" s="84"/>
      <c r="AA1182" s="84"/>
      <c r="AB1182" s="84"/>
    </row>
    <row r="1183">
      <c r="A1183" s="69">
        <v>80.0</v>
      </c>
      <c r="B1183" s="69">
        <v>121.0</v>
      </c>
      <c r="C1183" s="86" t="s">
        <v>288</v>
      </c>
      <c r="D1183" s="86" t="s">
        <v>289</v>
      </c>
      <c r="E1183" s="86" t="s">
        <v>290</v>
      </c>
      <c r="F1183" s="69">
        <v>5500.0</v>
      </c>
      <c r="G1183" s="69">
        <v>32.43</v>
      </c>
      <c r="H1183" s="68">
        <f t="shared" si="1"/>
        <v>249.04</v>
      </c>
      <c r="I1183" s="81">
        <f>IFERROR(__xludf.DUMMYFUNCTION("IF(G1183="""", """", ROUND(G1183 / MAX(FILTER($G$2:$G5067, $D$2:$D5067=$D1183)) * 100, 2))"),90.87)</f>
        <v>90.87</v>
      </c>
      <c r="J1183" s="81">
        <f>IFERROR(__xludf.DUMMYFUNCTION("IF(H1183="""", """", ROUND(H1183 / MAX(FILTER($H$2:$H5067, $D$2:$D5067=$D1183)) * 100, 2))"),100.0)</f>
        <v>100</v>
      </c>
      <c r="K1183" s="2"/>
      <c r="L1183" s="48"/>
      <c r="M1183" s="48"/>
      <c r="N1183" s="48"/>
      <c r="O1183" s="48" t="str">
        <f t="shared" si="2"/>
        <v/>
      </c>
      <c r="P1183" s="48" t="str">
        <f t="shared" si="3"/>
        <v/>
      </c>
      <c r="Q1183" s="84"/>
      <c r="R1183" s="84"/>
      <c r="S1183" s="84"/>
      <c r="T1183" s="84"/>
      <c r="U1183" s="84"/>
      <c r="V1183" s="84"/>
      <c r="W1183" s="84"/>
      <c r="X1183" s="84"/>
      <c r="Y1183" s="84"/>
      <c r="Z1183" s="84"/>
      <c r="AA1183" s="84"/>
      <c r="AB1183" s="84"/>
    </row>
    <row r="1184">
      <c r="A1184" s="63">
        <v>80.0</v>
      </c>
      <c r="B1184" s="63">
        <v>121.0</v>
      </c>
      <c r="C1184" s="64" t="s">
        <v>288</v>
      </c>
      <c r="D1184" s="64" t="s">
        <v>289</v>
      </c>
      <c r="E1184" s="64" t="s">
        <v>290</v>
      </c>
      <c r="F1184" s="63">
        <v>6000.0</v>
      </c>
      <c r="G1184" s="63">
        <v>29.5</v>
      </c>
      <c r="H1184" s="66">
        <f t="shared" si="1"/>
        <v>247.14</v>
      </c>
      <c r="I1184" s="81">
        <f>IFERROR(__xludf.DUMMYFUNCTION("IF(G1184="""", """", ROUND(G1184 / MAX(FILTER($G$2:$G5067, $D$2:$D5067=$D1184)) * 100, 2))"),82.66)</f>
        <v>82.66</v>
      </c>
      <c r="J1184" s="81">
        <f>IFERROR(__xludf.DUMMYFUNCTION("IF(H1184="""", """", ROUND(H1184 / MAX(FILTER($H$2:$H5067, $D$2:$D5067=$D1184)) * 100, 2))"),99.24)</f>
        <v>99.24</v>
      </c>
      <c r="K1184" s="2"/>
      <c r="L1184" s="49"/>
      <c r="M1184" s="49"/>
      <c r="N1184" s="49"/>
      <c r="O1184" s="49" t="str">
        <f t="shared" si="2"/>
        <v/>
      </c>
      <c r="P1184" s="49" t="str">
        <f t="shared" si="3"/>
        <v/>
      </c>
      <c r="Q1184" s="84"/>
      <c r="R1184" s="84"/>
      <c r="S1184" s="84"/>
      <c r="T1184" s="84"/>
      <c r="U1184" s="84"/>
      <c r="V1184" s="84"/>
      <c r="W1184" s="84"/>
      <c r="X1184" s="84"/>
      <c r="Y1184" s="84"/>
      <c r="Z1184" s="84"/>
      <c r="AA1184" s="84"/>
      <c r="AB1184" s="84"/>
    </row>
    <row r="1185">
      <c r="A1185" s="69">
        <v>80.0</v>
      </c>
      <c r="B1185" s="69">
        <v>121.0</v>
      </c>
      <c r="C1185" s="86" t="s">
        <v>288</v>
      </c>
      <c r="D1185" s="86" t="s">
        <v>289</v>
      </c>
      <c r="E1185" s="86" t="s">
        <v>290</v>
      </c>
      <c r="F1185" s="69">
        <v>6500.0</v>
      </c>
      <c r="G1185" s="69">
        <v>26.3</v>
      </c>
      <c r="H1185" s="68">
        <f t="shared" si="1"/>
        <v>238.69</v>
      </c>
      <c r="I1185" s="81">
        <f>IFERROR(__xludf.DUMMYFUNCTION("IF(G1185="""", """", ROUND(G1185 / MAX(FILTER($G$2:$G5067, $D$2:$D5067=$D1185)) * 100, 2))"),73.69)</f>
        <v>73.69</v>
      </c>
      <c r="J1185" s="81">
        <f>IFERROR(__xludf.DUMMYFUNCTION("IF(H1185="""", """", ROUND(H1185 / MAX(FILTER($H$2:$H5067, $D$2:$D5067=$D1185)) * 100, 2))"),95.84)</f>
        <v>95.84</v>
      </c>
      <c r="K1185" s="2"/>
      <c r="L1185" s="48"/>
      <c r="M1185" s="48"/>
      <c r="N1185" s="48"/>
      <c r="O1185" s="48" t="str">
        <f t="shared" si="2"/>
        <v/>
      </c>
      <c r="P1185" s="48" t="str">
        <f t="shared" si="3"/>
        <v/>
      </c>
      <c r="Q1185" s="84"/>
      <c r="R1185" s="84"/>
      <c r="S1185" s="84"/>
      <c r="T1185" s="84"/>
      <c r="U1185" s="84"/>
      <c r="V1185" s="84"/>
      <c r="W1185" s="84"/>
      <c r="X1185" s="84"/>
      <c r="Y1185" s="84"/>
      <c r="Z1185" s="84"/>
      <c r="AA1185" s="84"/>
      <c r="AB1185" s="84"/>
    </row>
    <row r="1186">
      <c r="A1186" s="63">
        <v>80.0</v>
      </c>
      <c r="B1186" s="63">
        <v>121.0</v>
      </c>
      <c r="C1186" s="64" t="s">
        <v>288</v>
      </c>
      <c r="D1186" s="64" t="s">
        <v>289</v>
      </c>
      <c r="E1186" s="64" t="s">
        <v>290</v>
      </c>
      <c r="F1186" s="63">
        <v>7000.0</v>
      </c>
      <c r="G1186" s="63">
        <v>22.9</v>
      </c>
      <c r="H1186" s="66">
        <f t="shared" si="1"/>
        <v>223.82</v>
      </c>
      <c r="I1186" s="81">
        <f>IFERROR(__xludf.DUMMYFUNCTION("IF(G1186="""", """", ROUND(G1186 / MAX(FILTER($G$2:$G5067, $D$2:$D5067=$D1186)) * 100, 2))"),64.16)</f>
        <v>64.16</v>
      </c>
      <c r="J1186" s="81">
        <f>IFERROR(__xludf.DUMMYFUNCTION("IF(H1186="""", """", ROUND(H1186 / MAX(FILTER($H$2:$H5067, $D$2:$D5067=$D1186)) * 100, 2))"),89.87)</f>
        <v>89.87</v>
      </c>
      <c r="K1186" s="2"/>
      <c r="L1186" s="49"/>
      <c r="M1186" s="49"/>
      <c r="N1186" s="49"/>
      <c r="O1186" s="49" t="str">
        <f t="shared" si="2"/>
        <v/>
      </c>
      <c r="P1186" s="49" t="str">
        <f t="shared" si="3"/>
        <v/>
      </c>
      <c r="Q1186" s="84"/>
      <c r="R1186" s="84"/>
      <c r="S1186" s="84"/>
      <c r="T1186" s="84"/>
      <c r="U1186" s="84"/>
      <c r="V1186" s="84"/>
      <c r="W1186" s="84"/>
      <c r="X1186" s="84"/>
      <c r="Y1186" s="84"/>
      <c r="Z1186" s="84"/>
      <c r="AA1186" s="84"/>
      <c r="AB1186" s="84"/>
    </row>
    <row r="1187">
      <c r="A1187" s="69">
        <v>81.0</v>
      </c>
      <c r="B1187" s="69">
        <v>122.0</v>
      </c>
      <c r="C1187" s="86" t="s">
        <v>291</v>
      </c>
      <c r="D1187" s="86" t="s">
        <v>292</v>
      </c>
      <c r="E1187" s="86" t="s">
        <v>293</v>
      </c>
      <c r="F1187" s="69">
        <v>500.0</v>
      </c>
      <c r="G1187" s="69">
        <v>30.88</v>
      </c>
      <c r="H1187" s="68">
        <f t="shared" si="1"/>
        <v>21.56</v>
      </c>
      <c r="I1187" s="81">
        <f>IFERROR(__xludf.DUMMYFUNCTION("IF(G1187="""", """", ROUND(G1187 / MAX(FILTER($G$2:$G5067, $D$2:$D5067=$D1187)) * 100, 2))"),75.69)</f>
        <v>75.69</v>
      </c>
      <c r="J1187" s="81">
        <f>IFERROR(__xludf.DUMMYFUNCTION("IF(H1187="""", """", ROUND(H1187 / MAX(FILTER($H$2:$H5067, $D$2:$D5067=$D1187)) * 100, 2))"),7.11)</f>
        <v>7.11</v>
      </c>
      <c r="K1187" s="2"/>
      <c r="L1187" s="48"/>
      <c r="M1187" s="48"/>
      <c r="N1187" s="48"/>
      <c r="O1187" s="48" t="str">
        <f t="shared" si="2"/>
        <v/>
      </c>
      <c r="P1187" s="48" t="str">
        <f t="shared" si="3"/>
        <v/>
      </c>
      <c r="Q1187" s="84"/>
      <c r="R1187" s="84"/>
      <c r="S1187" s="84"/>
      <c r="T1187" s="84"/>
      <c r="U1187" s="84"/>
      <c r="V1187" s="84"/>
      <c r="W1187" s="84"/>
      <c r="X1187" s="84"/>
      <c r="Y1187" s="84"/>
      <c r="Z1187" s="84"/>
      <c r="AA1187" s="84"/>
      <c r="AB1187" s="84"/>
    </row>
    <row r="1188">
      <c r="A1188" s="63">
        <v>81.0</v>
      </c>
      <c r="B1188" s="63">
        <v>122.0</v>
      </c>
      <c r="C1188" s="64" t="s">
        <v>291</v>
      </c>
      <c r="D1188" s="64" t="s">
        <v>292</v>
      </c>
      <c r="E1188" s="64" t="s">
        <v>293</v>
      </c>
      <c r="F1188" s="63">
        <v>1000.0</v>
      </c>
      <c r="G1188" s="63">
        <v>33.38</v>
      </c>
      <c r="H1188" s="66">
        <f t="shared" si="1"/>
        <v>46.61</v>
      </c>
      <c r="I1188" s="81">
        <f>IFERROR(__xludf.DUMMYFUNCTION("IF(G1188="""", """", ROUND(G1188 / MAX(FILTER($G$2:$G5067, $D$2:$D5067=$D1188)) * 100, 2))"),81.81)</f>
        <v>81.81</v>
      </c>
      <c r="J1188" s="81">
        <f>IFERROR(__xludf.DUMMYFUNCTION("IF(H1188="""", """", ROUND(H1188 / MAX(FILTER($H$2:$H5067, $D$2:$D5067=$D1188)) * 100, 2))"),15.37)</f>
        <v>15.37</v>
      </c>
      <c r="K1188" s="2"/>
      <c r="L1188" s="49"/>
      <c r="M1188" s="49"/>
      <c r="N1188" s="49"/>
      <c r="O1188" s="49" t="str">
        <f t="shared" si="2"/>
        <v/>
      </c>
      <c r="P1188" s="49" t="str">
        <f t="shared" si="3"/>
        <v/>
      </c>
      <c r="Q1188" s="84"/>
      <c r="R1188" s="84"/>
      <c r="S1188" s="84"/>
      <c r="T1188" s="84"/>
      <c r="U1188" s="84"/>
      <c r="V1188" s="84"/>
      <c r="W1188" s="84"/>
      <c r="X1188" s="84"/>
      <c r="Y1188" s="84"/>
      <c r="Z1188" s="84"/>
      <c r="AA1188" s="84"/>
      <c r="AB1188" s="84"/>
    </row>
    <row r="1189">
      <c r="A1189" s="69">
        <v>81.0</v>
      </c>
      <c r="B1189" s="69">
        <v>122.0</v>
      </c>
      <c r="C1189" s="86" t="s">
        <v>291</v>
      </c>
      <c r="D1189" s="86" t="s">
        <v>292</v>
      </c>
      <c r="E1189" s="86" t="s">
        <v>293</v>
      </c>
      <c r="F1189" s="69">
        <v>1500.0</v>
      </c>
      <c r="G1189" s="69">
        <v>35.13</v>
      </c>
      <c r="H1189" s="68">
        <f t="shared" si="1"/>
        <v>73.58</v>
      </c>
      <c r="I1189" s="81">
        <f>IFERROR(__xludf.DUMMYFUNCTION("IF(G1189="""", """", ROUND(G1189 / MAX(FILTER($G$2:$G5067, $D$2:$D5067=$D1189)) * 100, 2))"),86.1)</f>
        <v>86.1</v>
      </c>
      <c r="J1189" s="81">
        <f>IFERROR(__xludf.DUMMYFUNCTION("IF(H1189="""", """", ROUND(H1189 / MAX(FILTER($H$2:$H5067, $D$2:$D5067=$D1189)) * 100, 2))"),24.26)</f>
        <v>24.26</v>
      </c>
      <c r="K1189" s="2"/>
      <c r="L1189" s="48"/>
      <c r="M1189" s="48"/>
      <c r="N1189" s="48"/>
      <c r="O1189" s="48" t="str">
        <f t="shared" si="2"/>
        <v/>
      </c>
      <c r="P1189" s="48" t="str">
        <f t="shared" si="3"/>
        <v/>
      </c>
      <c r="Q1189" s="84"/>
      <c r="R1189" s="84"/>
      <c r="S1189" s="84"/>
      <c r="T1189" s="84"/>
      <c r="U1189" s="84"/>
      <c r="V1189" s="84"/>
      <c r="W1189" s="84"/>
      <c r="X1189" s="84"/>
      <c r="Y1189" s="84"/>
      <c r="Z1189" s="84"/>
      <c r="AA1189" s="84"/>
      <c r="AB1189" s="84"/>
    </row>
    <row r="1190">
      <c r="A1190" s="63">
        <v>81.0</v>
      </c>
      <c r="B1190" s="63">
        <v>122.0</v>
      </c>
      <c r="C1190" s="64" t="s">
        <v>291</v>
      </c>
      <c r="D1190" s="64" t="s">
        <v>292</v>
      </c>
      <c r="E1190" s="64" t="s">
        <v>293</v>
      </c>
      <c r="F1190" s="63">
        <v>2000.0</v>
      </c>
      <c r="G1190" s="63">
        <v>36.38</v>
      </c>
      <c r="H1190" s="66">
        <f t="shared" si="1"/>
        <v>101.59</v>
      </c>
      <c r="I1190" s="81">
        <f>IFERROR(__xludf.DUMMYFUNCTION("IF(G1190="""", """", ROUND(G1190 / MAX(FILTER($G$2:$G5067, $D$2:$D5067=$D1190)) * 100, 2))"),89.17)</f>
        <v>89.17</v>
      </c>
      <c r="J1190" s="81">
        <f>IFERROR(__xludf.DUMMYFUNCTION("IF(H1190="""", """", ROUND(H1190 / MAX(FILTER($H$2:$H5067, $D$2:$D5067=$D1190)) * 100, 2))"),33.5)</f>
        <v>33.5</v>
      </c>
      <c r="K1190" s="2"/>
      <c r="L1190" s="49"/>
      <c r="M1190" s="49"/>
      <c r="N1190" s="49"/>
      <c r="O1190" s="49" t="str">
        <f t="shared" si="2"/>
        <v/>
      </c>
      <c r="P1190" s="49" t="str">
        <f t="shared" si="3"/>
        <v/>
      </c>
      <c r="Q1190" s="84"/>
      <c r="R1190" s="84"/>
      <c r="S1190" s="84"/>
      <c r="T1190" s="84"/>
      <c r="U1190" s="84"/>
      <c r="V1190" s="84"/>
      <c r="W1190" s="84"/>
      <c r="X1190" s="84"/>
      <c r="Y1190" s="84"/>
      <c r="Z1190" s="84"/>
      <c r="AA1190" s="84"/>
      <c r="AB1190" s="84"/>
    </row>
    <row r="1191">
      <c r="A1191" s="69">
        <v>81.0</v>
      </c>
      <c r="B1191" s="69">
        <v>122.0</v>
      </c>
      <c r="C1191" s="86" t="s">
        <v>291</v>
      </c>
      <c r="D1191" s="86" t="s">
        <v>292</v>
      </c>
      <c r="E1191" s="86" t="s">
        <v>293</v>
      </c>
      <c r="F1191" s="69">
        <v>2500.0</v>
      </c>
      <c r="G1191" s="69">
        <v>37.5</v>
      </c>
      <c r="H1191" s="68">
        <f t="shared" si="1"/>
        <v>130.9</v>
      </c>
      <c r="I1191" s="81">
        <f>IFERROR(__xludf.DUMMYFUNCTION("IF(G1191="""", """", ROUND(G1191 / MAX(FILTER($G$2:$G5067, $D$2:$D5067=$D1191)) * 100, 2))"),91.91)</f>
        <v>91.91</v>
      </c>
      <c r="J1191" s="81">
        <f>IFERROR(__xludf.DUMMYFUNCTION("IF(H1191="""", """", ROUND(H1191 / MAX(FILTER($H$2:$H5067, $D$2:$D5067=$D1191)) * 100, 2))"),43.16)</f>
        <v>43.16</v>
      </c>
      <c r="K1191" s="2"/>
      <c r="L1191" s="48"/>
      <c r="M1191" s="48"/>
      <c r="N1191" s="48"/>
      <c r="O1191" s="48" t="str">
        <f t="shared" si="2"/>
        <v/>
      </c>
      <c r="P1191" s="48" t="str">
        <f t="shared" si="3"/>
        <v/>
      </c>
      <c r="Q1191" s="84"/>
      <c r="R1191" s="84"/>
      <c r="S1191" s="84"/>
      <c r="T1191" s="84"/>
      <c r="U1191" s="84"/>
      <c r="V1191" s="84"/>
      <c r="W1191" s="84"/>
      <c r="X1191" s="84"/>
      <c r="Y1191" s="84"/>
      <c r="Z1191" s="84"/>
      <c r="AA1191" s="84"/>
      <c r="AB1191" s="84"/>
    </row>
    <row r="1192">
      <c r="A1192" s="63">
        <v>81.0</v>
      </c>
      <c r="B1192" s="63">
        <v>122.0</v>
      </c>
      <c r="C1192" s="64" t="s">
        <v>291</v>
      </c>
      <c r="D1192" s="64" t="s">
        <v>292</v>
      </c>
      <c r="E1192" s="64" t="s">
        <v>293</v>
      </c>
      <c r="F1192" s="63">
        <v>3000.0</v>
      </c>
      <c r="G1192" s="63">
        <v>38.63</v>
      </c>
      <c r="H1192" s="66">
        <f t="shared" si="1"/>
        <v>161.81</v>
      </c>
      <c r="I1192" s="81">
        <f>IFERROR(__xludf.DUMMYFUNCTION("IF(G1192="""", """", ROUND(G1192 / MAX(FILTER($G$2:$G5067, $D$2:$D5067=$D1192)) * 100, 2))"),94.68)</f>
        <v>94.68</v>
      </c>
      <c r="J1192" s="81">
        <f>IFERROR(__xludf.DUMMYFUNCTION("IF(H1192="""", """", ROUND(H1192 / MAX(FILTER($H$2:$H5067, $D$2:$D5067=$D1192)) * 100, 2))"),53.36)</f>
        <v>53.36</v>
      </c>
      <c r="K1192" s="2"/>
      <c r="L1192" s="49"/>
      <c r="M1192" s="49"/>
      <c r="N1192" s="49"/>
      <c r="O1192" s="49" t="str">
        <f t="shared" si="2"/>
        <v/>
      </c>
      <c r="P1192" s="49" t="str">
        <f t="shared" si="3"/>
        <v/>
      </c>
      <c r="Q1192" s="84"/>
      <c r="R1192" s="84"/>
      <c r="S1192" s="84"/>
      <c r="T1192" s="84"/>
      <c r="U1192" s="84"/>
      <c r="V1192" s="84"/>
      <c r="W1192" s="84"/>
      <c r="X1192" s="84"/>
      <c r="Y1192" s="84"/>
      <c r="Z1192" s="84"/>
      <c r="AA1192" s="84"/>
      <c r="AB1192" s="84"/>
    </row>
    <row r="1193">
      <c r="A1193" s="69">
        <v>81.0</v>
      </c>
      <c r="B1193" s="69">
        <v>122.0</v>
      </c>
      <c r="C1193" s="86" t="s">
        <v>291</v>
      </c>
      <c r="D1193" s="86" t="s">
        <v>292</v>
      </c>
      <c r="E1193" s="86" t="s">
        <v>293</v>
      </c>
      <c r="F1193" s="69">
        <v>3500.0</v>
      </c>
      <c r="G1193" s="69">
        <v>39.75</v>
      </c>
      <c r="H1193" s="68">
        <f t="shared" si="1"/>
        <v>194.25</v>
      </c>
      <c r="I1193" s="81">
        <f>IFERROR(__xludf.DUMMYFUNCTION("IF(G1193="""", """", ROUND(G1193 / MAX(FILTER($G$2:$G5067, $D$2:$D5067=$D1193)) * 100, 2))"),97.43)</f>
        <v>97.43</v>
      </c>
      <c r="J1193" s="81">
        <f>IFERROR(__xludf.DUMMYFUNCTION("IF(H1193="""", """", ROUND(H1193 / MAX(FILTER($H$2:$H5067, $D$2:$D5067=$D1193)) * 100, 2))"),64.05)</f>
        <v>64.05</v>
      </c>
      <c r="K1193" s="2"/>
      <c r="L1193" s="48"/>
      <c r="M1193" s="48"/>
      <c r="N1193" s="48"/>
      <c r="O1193" s="48" t="str">
        <f t="shared" si="2"/>
        <v/>
      </c>
      <c r="P1193" s="48" t="str">
        <f t="shared" si="3"/>
        <v/>
      </c>
      <c r="Q1193" s="84"/>
      <c r="R1193" s="84"/>
      <c r="S1193" s="84"/>
      <c r="T1193" s="84"/>
      <c r="U1193" s="84"/>
      <c r="V1193" s="84"/>
      <c r="W1193" s="84"/>
      <c r="X1193" s="84"/>
      <c r="Y1193" s="84"/>
      <c r="Z1193" s="84"/>
      <c r="AA1193" s="84"/>
      <c r="AB1193" s="84"/>
    </row>
    <row r="1194">
      <c r="A1194" s="63">
        <v>81.0</v>
      </c>
      <c r="B1194" s="63">
        <v>122.0</v>
      </c>
      <c r="C1194" s="64" t="s">
        <v>291</v>
      </c>
      <c r="D1194" s="64" t="s">
        <v>292</v>
      </c>
      <c r="E1194" s="64" t="s">
        <v>293</v>
      </c>
      <c r="F1194" s="63">
        <v>4000.0</v>
      </c>
      <c r="G1194" s="63">
        <v>40.38</v>
      </c>
      <c r="H1194" s="66">
        <f t="shared" si="1"/>
        <v>225.52</v>
      </c>
      <c r="I1194" s="81">
        <f>IFERROR(__xludf.DUMMYFUNCTION("IF(G1194="""", """", ROUND(G1194 / MAX(FILTER($G$2:$G5067, $D$2:$D5067=$D1194)) * 100, 2))"),98.97)</f>
        <v>98.97</v>
      </c>
      <c r="J1194" s="81">
        <f>IFERROR(__xludf.DUMMYFUNCTION("IF(H1194="""", """", ROUND(H1194 / MAX(FILTER($H$2:$H5067, $D$2:$D5067=$D1194)) * 100, 2))"),74.36)</f>
        <v>74.36</v>
      </c>
      <c r="K1194" s="2"/>
      <c r="L1194" s="49"/>
      <c r="M1194" s="49"/>
      <c r="N1194" s="49"/>
      <c r="O1194" s="49" t="str">
        <f t="shared" si="2"/>
        <v/>
      </c>
      <c r="P1194" s="49" t="str">
        <f t="shared" si="3"/>
        <v/>
      </c>
      <c r="Q1194" s="84"/>
      <c r="R1194" s="84"/>
      <c r="S1194" s="84"/>
      <c r="T1194" s="84"/>
      <c r="U1194" s="84"/>
      <c r="V1194" s="84"/>
      <c r="W1194" s="84"/>
      <c r="X1194" s="84"/>
      <c r="Y1194" s="84"/>
      <c r="Z1194" s="84"/>
      <c r="AA1194" s="84"/>
      <c r="AB1194" s="84"/>
    </row>
    <row r="1195">
      <c r="A1195" s="69">
        <v>81.0</v>
      </c>
      <c r="B1195" s="69">
        <v>122.0</v>
      </c>
      <c r="C1195" s="86" t="s">
        <v>291</v>
      </c>
      <c r="D1195" s="86" t="s">
        <v>292</v>
      </c>
      <c r="E1195" s="86" t="s">
        <v>293</v>
      </c>
      <c r="F1195" s="69">
        <v>4400.0</v>
      </c>
      <c r="G1195" s="69">
        <v>40.8</v>
      </c>
      <c r="H1195" s="68">
        <f t="shared" si="1"/>
        <v>250.66</v>
      </c>
      <c r="I1195" s="81">
        <f>IFERROR(__xludf.DUMMYFUNCTION("IF(G1195="""", """", ROUND(G1195 / MAX(FILTER($G$2:$G5067, $D$2:$D5067=$D1195)) * 100, 2))"),100.0)</f>
        <v>100</v>
      </c>
      <c r="J1195" s="81">
        <f>IFERROR(__xludf.DUMMYFUNCTION("IF(H1195="""", """", ROUND(H1195 / MAX(FILTER($H$2:$H5067, $D$2:$D5067=$D1195)) * 100, 2))"),82.65)</f>
        <v>82.65</v>
      </c>
      <c r="K1195" s="2"/>
      <c r="L1195" s="48"/>
      <c r="M1195" s="48"/>
      <c r="N1195" s="48"/>
      <c r="O1195" s="48" t="str">
        <f t="shared" si="2"/>
        <v/>
      </c>
      <c r="P1195" s="48" t="str">
        <f t="shared" si="3"/>
        <v/>
      </c>
      <c r="Q1195" s="84"/>
      <c r="R1195" s="84"/>
      <c r="S1195" s="84"/>
      <c r="T1195" s="84"/>
      <c r="U1195" s="84"/>
      <c r="V1195" s="84"/>
      <c r="W1195" s="84"/>
      <c r="X1195" s="84"/>
      <c r="Y1195" s="84"/>
      <c r="Z1195" s="84"/>
      <c r="AA1195" s="84"/>
      <c r="AB1195" s="84"/>
    </row>
    <row r="1196">
      <c r="A1196" s="63">
        <v>81.0</v>
      </c>
      <c r="B1196" s="63">
        <v>122.0</v>
      </c>
      <c r="C1196" s="64" t="s">
        <v>291</v>
      </c>
      <c r="D1196" s="64" t="s">
        <v>292</v>
      </c>
      <c r="E1196" s="64" t="s">
        <v>293</v>
      </c>
      <c r="F1196" s="63">
        <v>5000.0</v>
      </c>
      <c r="G1196" s="63">
        <v>39.5</v>
      </c>
      <c r="H1196" s="66">
        <f t="shared" si="1"/>
        <v>275.76</v>
      </c>
      <c r="I1196" s="81">
        <f>IFERROR(__xludf.DUMMYFUNCTION("IF(G1196="""", """", ROUND(G1196 / MAX(FILTER($G$2:$G5067, $D$2:$D5067=$D1196)) * 100, 2))"),96.81)</f>
        <v>96.81</v>
      </c>
      <c r="J1196" s="81">
        <f>IFERROR(__xludf.DUMMYFUNCTION("IF(H1196="""", """", ROUND(H1196 / MAX(FILTER($H$2:$H5067, $D$2:$D5067=$D1196)) * 100, 2))"),90.93)</f>
        <v>90.93</v>
      </c>
      <c r="K1196" s="2"/>
      <c r="L1196" s="49"/>
      <c r="M1196" s="49"/>
      <c r="N1196" s="49"/>
      <c r="O1196" s="49" t="str">
        <f t="shared" si="2"/>
        <v/>
      </c>
      <c r="P1196" s="49" t="str">
        <f t="shared" si="3"/>
        <v/>
      </c>
      <c r="Q1196" s="84"/>
      <c r="R1196" s="84"/>
      <c r="S1196" s="84"/>
      <c r="T1196" s="84"/>
      <c r="U1196" s="84"/>
      <c r="V1196" s="84"/>
      <c r="W1196" s="84"/>
      <c r="X1196" s="84"/>
      <c r="Y1196" s="84"/>
      <c r="Z1196" s="84"/>
      <c r="AA1196" s="84"/>
      <c r="AB1196" s="84"/>
    </row>
    <row r="1197">
      <c r="A1197" s="69">
        <v>81.0</v>
      </c>
      <c r="B1197" s="69">
        <v>122.0</v>
      </c>
      <c r="C1197" s="86" t="s">
        <v>291</v>
      </c>
      <c r="D1197" s="86" t="s">
        <v>292</v>
      </c>
      <c r="E1197" s="86" t="s">
        <v>293</v>
      </c>
      <c r="F1197" s="69">
        <v>5500.0</v>
      </c>
      <c r="G1197" s="69">
        <v>38.0</v>
      </c>
      <c r="H1197" s="68">
        <f t="shared" si="1"/>
        <v>291.82</v>
      </c>
      <c r="I1197" s="81">
        <f>IFERROR(__xludf.DUMMYFUNCTION("IF(G1197="""", """", ROUND(G1197 / MAX(FILTER($G$2:$G5067, $D$2:$D5067=$D1197)) * 100, 2))"),93.14)</f>
        <v>93.14</v>
      </c>
      <c r="J1197" s="81">
        <f>IFERROR(__xludf.DUMMYFUNCTION("IF(H1197="""", """", ROUND(H1197 / MAX(FILTER($H$2:$H5067, $D$2:$D5067=$D1197)) * 100, 2))"),96.22)</f>
        <v>96.22</v>
      </c>
      <c r="K1197" s="2"/>
      <c r="L1197" s="48"/>
      <c r="M1197" s="48"/>
      <c r="N1197" s="48"/>
      <c r="O1197" s="48" t="str">
        <f t="shared" si="2"/>
        <v/>
      </c>
      <c r="P1197" s="48" t="str">
        <f t="shared" si="3"/>
        <v/>
      </c>
      <c r="Q1197" s="84"/>
      <c r="R1197" s="84"/>
      <c r="S1197" s="84"/>
      <c r="T1197" s="84"/>
      <c r="U1197" s="84"/>
      <c r="V1197" s="84"/>
      <c r="W1197" s="84"/>
      <c r="X1197" s="84"/>
      <c r="Y1197" s="84"/>
      <c r="Z1197" s="84"/>
      <c r="AA1197" s="84"/>
      <c r="AB1197" s="84"/>
    </row>
    <row r="1198">
      <c r="A1198" s="63">
        <v>81.0</v>
      </c>
      <c r="B1198" s="63">
        <v>122.0</v>
      </c>
      <c r="C1198" s="64" t="s">
        <v>291</v>
      </c>
      <c r="D1198" s="64" t="s">
        <v>292</v>
      </c>
      <c r="E1198" s="64" t="s">
        <v>293</v>
      </c>
      <c r="F1198" s="63">
        <v>6000.0</v>
      </c>
      <c r="G1198" s="63">
        <v>36.2</v>
      </c>
      <c r="H1198" s="66">
        <f t="shared" si="1"/>
        <v>303.27</v>
      </c>
      <c r="I1198" s="81">
        <f>IFERROR(__xludf.DUMMYFUNCTION("IF(G1198="""", """", ROUND(G1198 / MAX(FILTER($G$2:$G5067, $D$2:$D5067=$D1198)) * 100, 2))"),88.73)</f>
        <v>88.73</v>
      </c>
      <c r="J1198" s="81">
        <f>IFERROR(__xludf.DUMMYFUNCTION("IF(H1198="""", """", ROUND(H1198 / MAX(FILTER($H$2:$H5067, $D$2:$D5067=$D1198)) * 100, 2))"),100.0)</f>
        <v>100</v>
      </c>
      <c r="K1198" s="2"/>
      <c r="L1198" s="49"/>
      <c r="M1198" s="49"/>
      <c r="N1198" s="49"/>
      <c r="O1198" s="49" t="str">
        <f t="shared" si="2"/>
        <v/>
      </c>
      <c r="P1198" s="49" t="str">
        <f t="shared" si="3"/>
        <v/>
      </c>
      <c r="Q1198" s="84"/>
      <c r="R1198" s="84"/>
      <c r="S1198" s="84"/>
      <c r="T1198" s="84"/>
      <c r="U1198" s="84"/>
      <c r="V1198" s="84"/>
      <c r="W1198" s="84"/>
      <c r="X1198" s="84"/>
      <c r="Y1198" s="84"/>
      <c r="Z1198" s="84"/>
      <c r="AA1198" s="84"/>
      <c r="AB1198" s="84"/>
    </row>
    <row r="1199">
      <c r="A1199" s="69">
        <v>81.0</v>
      </c>
      <c r="B1199" s="69">
        <v>122.0</v>
      </c>
      <c r="C1199" s="86" t="s">
        <v>291</v>
      </c>
      <c r="D1199" s="86" t="s">
        <v>292</v>
      </c>
      <c r="E1199" s="86" t="s">
        <v>293</v>
      </c>
      <c r="F1199" s="69">
        <v>6500.0</v>
      </c>
      <c r="G1199" s="69">
        <v>33.13</v>
      </c>
      <c r="H1199" s="68">
        <f t="shared" si="1"/>
        <v>300.68</v>
      </c>
      <c r="I1199" s="81">
        <f>IFERROR(__xludf.DUMMYFUNCTION("IF(G1199="""", """", ROUND(G1199 / MAX(FILTER($G$2:$G5067, $D$2:$D5067=$D1199)) * 100, 2))"),81.2)</f>
        <v>81.2</v>
      </c>
      <c r="J1199" s="81">
        <f>IFERROR(__xludf.DUMMYFUNCTION("IF(H1199="""", """", ROUND(H1199 / MAX(FILTER($H$2:$H5067, $D$2:$D5067=$D1199)) * 100, 2))"),99.15)</f>
        <v>99.15</v>
      </c>
      <c r="K1199" s="2"/>
      <c r="L1199" s="48"/>
      <c r="M1199" s="48"/>
      <c r="N1199" s="48"/>
      <c r="O1199" s="48" t="str">
        <f t="shared" si="2"/>
        <v/>
      </c>
      <c r="P1199" s="48" t="str">
        <f t="shared" si="3"/>
        <v/>
      </c>
      <c r="Q1199" s="84"/>
      <c r="R1199" s="84"/>
      <c r="S1199" s="84"/>
      <c r="T1199" s="84"/>
      <c r="U1199" s="84"/>
      <c r="V1199" s="84"/>
      <c r="W1199" s="84"/>
      <c r="X1199" s="84"/>
      <c r="Y1199" s="84"/>
      <c r="Z1199" s="84"/>
      <c r="AA1199" s="84"/>
      <c r="AB1199" s="84"/>
    </row>
    <row r="1200">
      <c r="A1200" s="63">
        <v>81.0</v>
      </c>
      <c r="B1200" s="63">
        <v>122.0</v>
      </c>
      <c r="C1200" s="64" t="s">
        <v>291</v>
      </c>
      <c r="D1200" s="64" t="s">
        <v>292</v>
      </c>
      <c r="E1200" s="64" t="s">
        <v>293</v>
      </c>
      <c r="F1200" s="63">
        <v>7000.0</v>
      </c>
      <c r="G1200" s="63">
        <v>29.38</v>
      </c>
      <c r="H1200" s="66">
        <f t="shared" si="1"/>
        <v>287.15</v>
      </c>
      <c r="I1200" s="81">
        <f>IFERROR(__xludf.DUMMYFUNCTION("IF(G1200="""", """", ROUND(G1200 / MAX(FILTER($G$2:$G5067, $D$2:$D5067=$D1200)) * 100, 2))"),72.01)</f>
        <v>72.01</v>
      </c>
      <c r="J1200" s="81">
        <f>IFERROR(__xludf.DUMMYFUNCTION("IF(H1200="""", """", ROUND(H1200 / MAX(FILTER($H$2:$H5067, $D$2:$D5067=$D1200)) * 100, 2))"),94.68)</f>
        <v>94.68</v>
      </c>
      <c r="K1200" s="2"/>
      <c r="L1200" s="49"/>
      <c r="M1200" s="49"/>
      <c r="N1200" s="49"/>
      <c r="O1200" s="49" t="str">
        <f t="shared" si="2"/>
        <v/>
      </c>
      <c r="P1200" s="49" t="str">
        <f t="shared" si="3"/>
        <v/>
      </c>
      <c r="Q1200" s="84"/>
      <c r="R1200" s="84"/>
      <c r="S1200" s="84"/>
      <c r="T1200" s="84"/>
      <c r="U1200" s="84"/>
      <c r="V1200" s="84"/>
      <c r="W1200" s="84"/>
      <c r="X1200" s="84"/>
      <c r="Y1200" s="84"/>
      <c r="Z1200" s="84"/>
      <c r="AA1200" s="84"/>
      <c r="AB1200" s="84"/>
    </row>
    <row r="1201">
      <c r="A1201" s="69">
        <v>82.0</v>
      </c>
      <c r="B1201" s="69">
        <v>123.0</v>
      </c>
      <c r="C1201" s="86" t="s">
        <v>294</v>
      </c>
      <c r="D1201" s="86" t="s">
        <v>295</v>
      </c>
      <c r="E1201" s="86" t="s">
        <v>296</v>
      </c>
      <c r="F1201" s="69">
        <v>500.0</v>
      </c>
      <c r="G1201" s="69">
        <v>13.92</v>
      </c>
      <c r="H1201" s="68">
        <f t="shared" si="1"/>
        <v>9.72</v>
      </c>
      <c r="I1201" s="81">
        <f>IFERROR(__xludf.DUMMYFUNCTION("IF(G1201="""", """", ROUND(G1201 / MAX(FILTER($G$2:$G5067, $D$2:$D5067=$D1201)) * 100, 2))"),75.86)</f>
        <v>75.86</v>
      </c>
      <c r="J1201" s="81">
        <f>IFERROR(__xludf.DUMMYFUNCTION("IF(H1201="""", """", ROUND(H1201 / MAX(FILTER($H$2:$H5067, $D$2:$D5067=$D1201)) * 100, 2))"),5.13)</f>
        <v>5.13</v>
      </c>
      <c r="K1201" s="2"/>
      <c r="L1201" s="48"/>
      <c r="M1201" s="48"/>
      <c r="N1201" s="48"/>
      <c r="O1201" s="48" t="str">
        <f t="shared" si="2"/>
        <v/>
      </c>
      <c r="P1201" s="48" t="str">
        <f t="shared" si="3"/>
        <v/>
      </c>
      <c r="Q1201" s="84"/>
      <c r="R1201" s="84"/>
      <c r="S1201" s="84"/>
      <c r="T1201" s="84"/>
      <c r="U1201" s="84"/>
      <c r="V1201" s="84"/>
      <c r="W1201" s="84"/>
      <c r="X1201" s="84"/>
      <c r="Y1201" s="84"/>
      <c r="Z1201" s="84"/>
      <c r="AA1201" s="84"/>
      <c r="AB1201" s="84"/>
    </row>
    <row r="1202">
      <c r="A1202" s="63">
        <v>82.0</v>
      </c>
      <c r="B1202" s="63">
        <v>123.0</v>
      </c>
      <c r="C1202" s="64" t="s">
        <v>294</v>
      </c>
      <c r="D1202" s="64" t="s">
        <v>295</v>
      </c>
      <c r="E1202" s="64" t="s">
        <v>296</v>
      </c>
      <c r="F1202" s="63">
        <v>1000.0</v>
      </c>
      <c r="G1202" s="63">
        <v>15.29</v>
      </c>
      <c r="H1202" s="66">
        <f t="shared" si="1"/>
        <v>21.35</v>
      </c>
      <c r="I1202" s="81">
        <f>IFERROR(__xludf.DUMMYFUNCTION("IF(G1202="""", """", ROUND(G1202 / MAX(FILTER($G$2:$G5067, $D$2:$D5067=$D1202)) * 100, 2))"),83.32)</f>
        <v>83.32</v>
      </c>
      <c r="J1202" s="81">
        <f>IFERROR(__xludf.DUMMYFUNCTION("IF(H1202="""", """", ROUND(H1202 / MAX(FILTER($H$2:$H5067, $D$2:$D5067=$D1202)) * 100, 2))"),11.27)</f>
        <v>11.27</v>
      </c>
      <c r="K1202" s="2"/>
      <c r="L1202" s="49"/>
      <c r="M1202" s="49"/>
      <c r="N1202" s="49"/>
      <c r="O1202" s="49" t="str">
        <f t="shared" si="2"/>
        <v/>
      </c>
      <c r="P1202" s="49" t="str">
        <f t="shared" si="3"/>
        <v/>
      </c>
      <c r="Q1202" s="84"/>
      <c r="R1202" s="84"/>
      <c r="S1202" s="84"/>
      <c r="T1202" s="84"/>
      <c r="U1202" s="84"/>
      <c r="V1202" s="84"/>
      <c r="W1202" s="84"/>
      <c r="X1202" s="84"/>
      <c r="Y1202" s="84"/>
      <c r="Z1202" s="84"/>
      <c r="AA1202" s="84"/>
      <c r="AB1202" s="84"/>
    </row>
    <row r="1203">
      <c r="A1203" s="69">
        <v>82.0</v>
      </c>
      <c r="B1203" s="69">
        <v>123.0</v>
      </c>
      <c r="C1203" s="86" t="s">
        <v>294</v>
      </c>
      <c r="D1203" s="86" t="s">
        <v>295</v>
      </c>
      <c r="E1203" s="86" t="s">
        <v>296</v>
      </c>
      <c r="F1203" s="69">
        <v>1500.0</v>
      </c>
      <c r="G1203" s="69">
        <v>16.11</v>
      </c>
      <c r="H1203" s="68">
        <f t="shared" si="1"/>
        <v>33.74</v>
      </c>
      <c r="I1203" s="81">
        <f>IFERROR(__xludf.DUMMYFUNCTION("IF(G1203="""", """", ROUND(G1203 / MAX(FILTER($G$2:$G5067, $D$2:$D5067=$D1203)) * 100, 2))"),87.79)</f>
        <v>87.79</v>
      </c>
      <c r="J1203" s="81">
        <f>IFERROR(__xludf.DUMMYFUNCTION("IF(H1203="""", """", ROUND(H1203 / MAX(FILTER($H$2:$H5067, $D$2:$D5067=$D1203)) * 100, 2))"),17.81)</f>
        <v>17.81</v>
      </c>
      <c r="K1203" s="2"/>
      <c r="L1203" s="48"/>
      <c r="M1203" s="48"/>
      <c r="N1203" s="48"/>
      <c r="O1203" s="48" t="str">
        <f t="shared" si="2"/>
        <v/>
      </c>
      <c r="P1203" s="48" t="str">
        <f t="shared" si="3"/>
        <v/>
      </c>
      <c r="Q1203" s="84"/>
      <c r="R1203" s="84"/>
      <c r="S1203" s="84"/>
      <c r="T1203" s="84"/>
      <c r="U1203" s="84"/>
      <c r="V1203" s="84"/>
      <c r="W1203" s="84"/>
      <c r="X1203" s="84"/>
      <c r="Y1203" s="84"/>
      <c r="Z1203" s="84"/>
      <c r="AA1203" s="84"/>
      <c r="AB1203" s="84"/>
    </row>
    <row r="1204">
      <c r="A1204" s="63">
        <v>82.0</v>
      </c>
      <c r="B1204" s="63">
        <v>123.0</v>
      </c>
      <c r="C1204" s="64" t="s">
        <v>294</v>
      </c>
      <c r="D1204" s="64" t="s">
        <v>295</v>
      </c>
      <c r="E1204" s="64" t="s">
        <v>296</v>
      </c>
      <c r="F1204" s="63">
        <v>2000.0</v>
      </c>
      <c r="G1204" s="63">
        <v>16.42</v>
      </c>
      <c r="H1204" s="66">
        <f t="shared" si="1"/>
        <v>45.85</v>
      </c>
      <c r="I1204" s="81">
        <f>IFERROR(__xludf.DUMMYFUNCTION("IF(G1204="""", """", ROUND(G1204 / MAX(FILTER($G$2:$G5067, $D$2:$D5067=$D1204)) * 100, 2))"),89.48)</f>
        <v>89.48</v>
      </c>
      <c r="J1204" s="81">
        <f>IFERROR(__xludf.DUMMYFUNCTION("IF(H1204="""", """", ROUND(H1204 / MAX(FILTER($H$2:$H5067, $D$2:$D5067=$D1204)) * 100, 2))"),24.2)</f>
        <v>24.2</v>
      </c>
      <c r="K1204" s="2"/>
      <c r="L1204" s="49"/>
      <c r="M1204" s="49"/>
      <c r="N1204" s="49"/>
      <c r="O1204" s="49" t="str">
        <f t="shared" si="2"/>
        <v/>
      </c>
      <c r="P1204" s="49" t="str">
        <f t="shared" si="3"/>
        <v/>
      </c>
      <c r="Q1204" s="84"/>
      <c r="R1204" s="84"/>
      <c r="S1204" s="84"/>
      <c r="T1204" s="84"/>
      <c r="U1204" s="84"/>
      <c r="V1204" s="84"/>
      <c r="W1204" s="84"/>
      <c r="X1204" s="84"/>
      <c r="Y1204" s="84"/>
      <c r="Z1204" s="84"/>
      <c r="AA1204" s="84"/>
      <c r="AB1204" s="84"/>
    </row>
    <row r="1205">
      <c r="A1205" s="69">
        <v>82.0</v>
      </c>
      <c r="B1205" s="69">
        <v>123.0</v>
      </c>
      <c r="C1205" s="86" t="s">
        <v>294</v>
      </c>
      <c r="D1205" s="86" t="s">
        <v>295</v>
      </c>
      <c r="E1205" s="86" t="s">
        <v>296</v>
      </c>
      <c r="F1205" s="69">
        <v>2500.0</v>
      </c>
      <c r="G1205" s="69">
        <v>16.7</v>
      </c>
      <c r="H1205" s="68">
        <f t="shared" si="1"/>
        <v>58.29</v>
      </c>
      <c r="I1205" s="81">
        <f>IFERROR(__xludf.DUMMYFUNCTION("IF(G1205="""", """", ROUND(G1205 / MAX(FILTER($G$2:$G5067, $D$2:$D5067=$D1205)) * 100, 2))"),91.01)</f>
        <v>91.01</v>
      </c>
      <c r="J1205" s="81">
        <f>IFERROR(__xludf.DUMMYFUNCTION("IF(H1205="""", """", ROUND(H1205 / MAX(FILTER($H$2:$H5067, $D$2:$D5067=$D1205)) * 100, 2))"),30.77)</f>
        <v>30.77</v>
      </c>
      <c r="K1205" s="2"/>
      <c r="L1205" s="48"/>
      <c r="M1205" s="48"/>
      <c r="N1205" s="48"/>
      <c r="O1205" s="48" t="str">
        <f t="shared" si="2"/>
        <v/>
      </c>
      <c r="P1205" s="48" t="str">
        <f t="shared" si="3"/>
        <v/>
      </c>
      <c r="Q1205" s="84"/>
      <c r="R1205" s="84"/>
      <c r="S1205" s="84"/>
      <c r="T1205" s="84"/>
      <c r="U1205" s="84"/>
      <c r="V1205" s="84"/>
      <c r="W1205" s="84"/>
      <c r="X1205" s="84"/>
      <c r="Y1205" s="84"/>
      <c r="Z1205" s="84"/>
      <c r="AA1205" s="84"/>
      <c r="AB1205" s="84"/>
    </row>
    <row r="1206">
      <c r="A1206" s="63">
        <v>82.0</v>
      </c>
      <c r="B1206" s="63">
        <v>123.0</v>
      </c>
      <c r="C1206" s="64" t="s">
        <v>294</v>
      </c>
      <c r="D1206" s="64" t="s">
        <v>295</v>
      </c>
      <c r="E1206" s="64" t="s">
        <v>296</v>
      </c>
      <c r="F1206" s="63">
        <v>3000.0</v>
      </c>
      <c r="G1206" s="63">
        <v>16.8</v>
      </c>
      <c r="H1206" s="66">
        <f t="shared" si="1"/>
        <v>70.37</v>
      </c>
      <c r="I1206" s="81">
        <f>IFERROR(__xludf.DUMMYFUNCTION("IF(G1206="""", """", ROUND(G1206 / MAX(FILTER($G$2:$G5067, $D$2:$D5067=$D1206)) * 100, 2))"),91.55)</f>
        <v>91.55</v>
      </c>
      <c r="J1206" s="81">
        <f>IFERROR(__xludf.DUMMYFUNCTION("IF(H1206="""", """", ROUND(H1206 / MAX(FILTER($H$2:$H5067, $D$2:$D5067=$D1206)) * 100, 2))"),37.15)</f>
        <v>37.15</v>
      </c>
      <c r="K1206" s="2"/>
      <c r="L1206" s="49"/>
      <c r="M1206" s="49"/>
      <c r="N1206" s="49"/>
      <c r="O1206" s="49" t="str">
        <f t="shared" si="2"/>
        <v/>
      </c>
      <c r="P1206" s="49" t="str">
        <f t="shared" si="3"/>
        <v/>
      </c>
      <c r="Q1206" s="84"/>
      <c r="R1206" s="84"/>
      <c r="S1206" s="84"/>
      <c r="T1206" s="84"/>
      <c r="U1206" s="84"/>
      <c r="V1206" s="84"/>
      <c r="W1206" s="84"/>
      <c r="X1206" s="84"/>
      <c r="Y1206" s="84"/>
      <c r="Z1206" s="84"/>
      <c r="AA1206" s="84"/>
      <c r="AB1206" s="84"/>
    </row>
    <row r="1207">
      <c r="A1207" s="69">
        <v>82.0</v>
      </c>
      <c r="B1207" s="69">
        <v>123.0</v>
      </c>
      <c r="C1207" s="86" t="s">
        <v>294</v>
      </c>
      <c r="D1207" s="86" t="s">
        <v>295</v>
      </c>
      <c r="E1207" s="86" t="s">
        <v>296</v>
      </c>
      <c r="F1207" s="69">
        <v>3500.0</v>
      </c>
      <c r="G1207" s="69">
        <v>17.26</v>
      </c>
      <c r="H1207" s="68">
        <f t="shared" si="1"/>
        <v>84.35</v>
      </c>
      <c r="I1207" s="81">
        <f>IFERROR(__xludf.DUMMYFUNCTION("IF(G1207="""", """", ROUND(G1207 / MAX(FILTER($G$2:$G5067, $D$2:$D5067=$D1207)) * 100, 2))"),94.06)</f>
        <v>94.06</v>
      </c>
      <c r="J1207" s="81">
        <f>IFERROR(__xludf.DUMMYFUNCTION("IF(H1207="""", """", ROUND(H1207 / MAX(FILTER($H$2:$H5067, $D$2:$D5067=$D1207)) * 100, 2))"),44.53)</f>
        <v>44.53</v>
      </c>
      <c r="K1207" s="2"/>
      <c r="L1207" s="48"/>
      <c r="M1207" s="48"/>
      <c r="N1207" s="48"/>
      <c r="O1207" s="48" t="str">
        <f t="shared" si="2"/>
        <v/>
      </c>
      <c r="P1207" s="48" t="str">
        <f t="shared" si="3"/>
        <v/>
      </c>
      <c r="Q1207" s="84"/>
      <c r="R1207" s="84"/>
      <c r="S1207" s="84"/>
      <c r="T1207" s="84"/>
      <c r="U1207" s="84"/>
      <c r="V1207" s="84"/>
      <c r="W1207" s="84"/>
      <c r="X1207" s="84"/>
      <c r="Y1207" s="84"/>
      <c r="Z1207" s="84"/>
      <c r="AA1207" s="84"/>
      <c r="AB1207" s="84"/>
    </row>
    <row r="1208">
      <c r="A1208" s="63">
        <v>82.0</v>
      </c>
      <c r="B1208" s="63">
        <v>123.0</v>
      </c>
      <c r="C1208" s="64" t="s">
        <v>294</v>
      </c>
      <c r="D1208" s="64" t="s">
        <v>295</v>
      </c>
      <c r="E1208" s="64" t="s">
        <v>296</v>
      </c>
      <c r="F1208" s="63">
        <v>4000.0</v>
      </c>
      <c r="G1208" s="63">
        <v>17.54</v>
      </c>
      <c r="H1208" s="66">
        <f t="shared" si="1"/>
        <v>97.96</v>
      </c>
      <c r="I1208" s="81">
        <f>IFERROR(__xludf.DUMMYFUNCTION("IF(G1208="""", """", ROUND(G1208 / MAX(FILTER($G$2:$G5067, $D$2:$D5067=$D1208)) * 100, 2))"),95.59)</f>
        <v>95.59</v>
      </c>
      <c r="J1208" s="81">
        <f>IFERROR(__xludf.DUMMYFUNCTION("IF(H1208="""", """", ROUND(H1208 / MAX(FILTER($H$2:$H5067, $D$2:$D5067=$D1208)) * 100, 2))"),51.71)</f>
        <v>51.71</v>
      </c>
      <c r="K1208" s="2"/>
      <c r="L1208" s="49"/>
      <c r="M1208" s="49"/>
      <c r="N1208" s="49"/>
      <c r="O1208" s="49" t="str">
        <f t="shared" si="2"/>
        <v/>
      </c>
      <c r="P1208" s="49" t="str">
        <f t="shared" si="3"/>
        <v/>
      </c>
      <c r="Q1208" s="84"/>
      <c r="R1208" s="84"/>
      <c r="S1208" s="84"/>
      <c r="T1208" s="84"/>
      <c r="U1208" s="84"/>
      <c r="V1208" s="84"/>
      <c r="W1208" s="84"/>
      <c r="X1208" s="84"/>
      <c r="Y1208" s="84"/>
      <c r="Z1208" s="84"/>
      <c r="AA1208" s="84"/>
      <c r="AB1208" s="84"/>
    </row>
    <row r="1209">
      <c r="A1209" s="69">
        <v>82.0</v>
      </c>
      <c r="B1209" s="69">
        <v>123.0</v>
      </c>
      <c r="C1209" s="86" t="s">
        <v>294</v>
      </c>
      <c r="D1209" s="86" t="s">
        <v>295</v>
      </c>
      <c r="E1209" s="86" t="s">
        <v>296</v>
      </c>
      <c r="F1209" s="69">
        <v>4500.0</v>
      </c>
      <c r="G1209" s="69">
        <v>17.44</v>
      </c>
      <c r="H1209" s="68">
        <f t="shared" si="1"/>
        <v>109.58</v>
      </c>
      <c r="I1209" s="81">
        <f>IFERROR(__xludf.DUMMYFUNCTION("IF(G1209="""", """", ROUND(G1209 / MAX(FILTER($G$2:$G5067, $D$2:$D5067=$D1209)) * 100, 2))"),95.04)</f>
        <v>95.04</v>
      </c>
      <c r="J1209" s="81">
        <f>IFERROR(__xludf.DUMMYFUNCTION("IF(H1209="""", """", ROUND(H1209 / MAX(FILTER($H$2:$H5067, $D$2:$D5067=$D1209)) * 100, 2))"),57.84)</f>
        <v>57.84</v>
      </c>
      <c r="K1209" s="2"/>
      <c r="L1209" s="48"/>
      <c r="M1209" s="48"/>
      <c r="N1209" s="48"/>
      <c r="O1209" s="48" t="str">
        <f t="shared" si="2"/>
        <v/>
      </c>
      <c r="P1209" s="48" t="str">
        <f t="shared" si="3"/>
        <v/>
      </c>
      <c r="Q1209" s="84"/>
      <c r="R1209" s="84"/>
      <c r="S1209" s="84"/>
      <c r="T1209" s="84"/>
      <c r="U1209" s="84"/>
      <c r="V1209" s="84"/>
      <c r="W1209" s="84"/>
      <c r="X1209" s="84"/>
      <c r="Y1209" s="84"/>
      <c r="Z1209" s="84"/>
      <c r="AA1209" s="84"/>
      <c r="AB1209" s="84"/>
    </row>
    <row r="1210">
      <c r="A1210" s="63">
        <v>82.0</v>
      </c>
      <c r="B1210" s="63">
        <v>123.0</v>
      </c>
      <c r="C1210" s="64" t="s">
        <v>294</v>
      </c>
      <c r="D1210" s="64" t="s">
        <v>295</v>
      </c>
      <c r="E1210" s="64" t="s">
        <v>296</v>
      </c>
      <c r="F1210" s="63">
        <v>5000.0</v>
      </c>
      <c r="G1210" s="63">
        <v>17.34</v>
      </c>
      <c r="H1210" s="66">
        <f t="shared" si="1"/>
        <v>121.06</v>
      </c>
      <c r="I1210" s="81">
        <f>IFERROR(__xludf.DUMMYFUNCTION("IF(G1210="""", """", ROUND(G1210 / MAX(FILTER($G$2:$G5067, $D$2:$D5067=$D1210)) * 100, 2))"),94.5)</f>
        <v>94.5</v>
      </c>
      <c r="J1210" s="81">
        <f>IFERROR(__xludf.DUMMYFUNCTION("IF(H1210="""", """", ROUND(H1210 / MAX(FILTER($H$2:$H5067, $D$2:$D5067=$D1210)) * 100, 2))"),63.9)</f>
        <v>63.9</v>
      </c>
      <c r="K1210" s="2"/>
      <c r="L1210" s="49"/>
      <c r="M1210" s="49"/>
      <c r="N1210" s="49"/>
      <c r="O1210" s="49" t="str">
        <f t="shared" si="2"/>
        <v/>
      </c>
      <c r="P1210" s="49" t="str">
        <f t="shared" si="3"/>
        <v/>
      </c>
      <c r="Q1210" s="84"/>
      <c r="R1210" s="84"/>
      <c r="S1210" s="84"/>
      <c r="T1210" s="84"/>
      <c r="U1210" s="84"/>
      <c r="V1210" s="84"/>
      <c r="W1210" s="84"/>
      <c r="X1210" s="84"/>
      <c r="Y1210" s="84"/>
      <c r="Z1210" s="84"/>
      <c r="AA1210" s="84"/>
      <c r="AB1210" s="84"/>
    </row>
    <row r="1211">
      <c r="A1211" s="69">
        <v>82.0</v>
      </c>
      <c r="B1211" s="69">
        <v>123.0</v>
      </c>
      <c r="C1211" s="86" t="s">
        <v>294</v>
      </c>
      <c r="D1211" s="86" t="s">
        <v>295</v>
      </c>
      <c r="E1211" s="86" t="s">
        <v>296</v>
      </c>
      <c r="F1211" s="69">
        <v>5500.0</v>
      </c>
      <c r="G1211" s="69">
        <v>17.03</v>
      </c>
      <c r="H1211" s="68">
        <f t="shared" si="1"/>
        <v>130.78</v>
      </c>
      <c r="I1211" s="81">
        <f>IFERROR(__xludf.DUMMYFUNCTION("IF(G1211="""", """", ROUND(G1211 / MAX(FILTER($G$2:$G5067, $D$2:$D5067=$D1211)) * 100, 2))"),92.81)</f>
        <v>92.81</v>
      </c>
      <c r="J1211" s="81">
        <f>IFERROR(__xludf.DUMMYFUNCTION("IF(H1211="""", """", ROUND(H1211 / MAX(FILTER($H$2:$H5067, $D$2:$D5067=$D1211)) * 100, 2))"),69.04)</f>
        <v>69.04</v>
      </c>
      <c r="K1211" s="2"/>
      <c r="L1211" s="48"/>
      <c r="M1211" s="48"/>
      <c r="N1211" s="48"/>
      <c r="O1211" s="48" t="str">
        <f t="shared" si="2"/>
        <v/>
      </c>
      <c r="P1211" s="48" t="str">
        <f t="shared" si="3"/>
        <v/>
      </c>
      <c r="Q1211" s="84"/>
      <c r="R1211" s="84"/>
      <c r="S1211" s="84"/>
      <c r="T1211" s="84"/>
      <c r="U1211" s="84"/>
      <c r="V1211" s="84"/>
      <c r="W1211" s="84"/>
      <c r="X1211" s="84"/>
      <c r="Y1211" s="84"/>
      <c r="Z1211" s="84"/>
      <c r="AA1211" s="84"/>
      <c r="AB1211" s="84"/>
    </row>
    <row r="1212">
      <c r="A1212" s="63">
        <v>82.0</v>
      </c>
      <c r="B1212" s="63">
        <v>123.0</v>
      </c>
      <c r="C1212" s="64" t="s">
        <v>294</v>
      </c>
      <c r="D1212" s="64" t="s">
        <v>295</v>
      </c>
      <c r="E1212" s="64" t="s">
        <v>296</v>
      </c>
      <c r="F1212" s="63">
        <v>6000.0</v>
      </c>
      <c r="G1212" s="63">
        <v>17.47</v>
      </c>
      <c r="H1212" s="66">
        <f t="shared" si="1"/>
        <v>146.36</v>
      </c>
      <c r="I1212" s="81">
        <f>IFERROR(__xludf.DUMMYFUNCTION("IF(G1212="""", """", ROUND(G1212 / MAX(FILTER($G$2:$G5067, $D$2:$D5067=$D1212)) * 100, 2))"),95.2)</f>
        <v>95.2</v>
      </c>
      <c r="J1212" s="81">
        <f>IFERROR(__xludf.DUMMYFUNCTION("IF(H1212="""", """", ROUND(H1212 / MAX(FILTER($H$2:$H5067, $D$2:$D5067=$D1212)) * 100, 2))"),77.26)</f>
        <v>77.26</v>
      </c>
      <c r="K1212" s="2"/>
      <c r="L1212" s="49"/>
      <c r="M1212" s="49"/>
      <c r="N1212" s="49"/>
      <c r="O1212" s="49" t="str">
        <f t="shared" si="2"/>
        <v/>
      </c>
      <c r="P1212" s="49" t="str">
        <f t="shared" si="3"/>
        <v/>
      </c>
      <c r="Q1212" s="84"/>
      <c r="R1212" s="84"/>
      <c r="S1212" s="84"/>
      <c r="T1212" s="84"/>
      <c r="U1212" s="84"/>
      <c r="V1212" s="84"/>
      <c r="W1212" s="84"/>
      <c r="X1212" s="84"/>
      <c r="Y1212" s="84"/>
      <c r="Z1212" s="84"/>
      <c r="AA1212" s="84"/>
      <c r="AB1212" s="84"/>
    </row>
    <row r="1213">
      <c r="A1213" s="69">
        <v>82.0</v>
      </c>
      <c r="B1213" s="69">
        <v>123.0</v>
      </c>
      <c r="C1213" s="86" t="s">
        <v>294</v>
      </c>
      <c r="D1213" s="86" t="s">
        <v>295</v>
      </c>
      <c r="E1213" s="86" t="s">
        <v>296</v>
      </c>
      <c r="F1213" s="69">
        <v>6500.0</v>
      </c>
      <c r="G1213" s="69">
        <v>17.91</v>
      </c>
      <c r="H1213" s="68">
        <f t="shared" si="1"/>
        <v>162.55</v>
      </c>
      <c r="I1213" s="81">
        <f>IFERROR(__xludf.DUMMYFUNCTION("IF(G1213="""", """", ROUND(G1213 / MAX(FILTER($G$2:$G5067, $D$2:$D5067=$D1213)) * 100, 2))"),97.6)</f>
        <v>97.6</v>
      </c>
      <c r="J1213" s="81">
        <f>IFERROR(__xludf.DUMMYFUNCTION("IF(H1213="""", """", ROUND(H1213 / MAX(FILTER($H$2:$H5067, $D$2:$D5067=$D1213)) * 100, 2))"),85.81)</f>
        <v>85.81</v>
      </c>
      <c r="K1213" s="2"/>
      <c r="L1213" s="48"/>
      <c r="M1213" s="48"/>
      <c r="N1213" s="48"/>
      <c r="O1213" s="48" t="str">
        <f t="shared" si="2"/>
        <v/>
      </c>
      <c r="P1213" s="48" t="str">
        <f t="shared" si="3"/>
        <v/>
      </c>
      <c r="Q1213" s="84"/>
      <c r="R1213" s="84"/>
      <c r="S1213" s="84"/>
      <c r="T1213" s="84"/>
      <c r="U1213" s="84"/>
      <c r="V1213" s="84"/>
      <c r="W1213" s="84"/>
      <c r="X1213" s="84"/>
      <c r="Y1213" s="84"/>
      <c r="Z1213" s="84"/>
      <c r="AA1213" s="84"/>
      <c r="AB1213" s="84"/>
    </row>
    <row r="1214">
      <c r="A1214" s="63">
        <v>82.0</v>
      </c>
      <c r="B1214" s="63">
        <v>123.0</v>
      </c>
      <c r="C1214" s="64" t="s">
        <v>294</v>
      </c>
      <c r="D1214" s="64" t="s">
        <v>295</v>
      </c>
      <c r="E1214" s="64" t="s">
        <v>296</v>
      </c>
      <c r="F1214" s="63">
        <v>7000.0</v>
      </c>
      <c r="G1214" s="63">
        <v>18.35</v>
      </c>
      <c r="H1214" s="66">
        <f t="shared" si="1"/>
        <v>179.35</v>
      </c>
      <c r="I1214" s="81">
        <f>IFERROR(__xludf.DUMMYFUNCTION("IF(G1214="""", """", ROUND(G1214 / MAX(FILTER($G$2:$G5067, $D$2:$D5067=$D1214)) * 100, 2))"),100.0)</f>
        <v>100</v>
      </c>
      <c r="J1214" s="81">
        <f>IFERROR(__xludf.DUMMYFUNCTION("IF(H1214="""", """", ROUND(H1214 / MAX(FILTER($H$2:$H5067, $D$2:$D5067=$D1214)) * 100, 2))"),94.67)</f>
        <v>94.67</v>
      </c>
      <c r="K1214" s="2"/>
      <c r="L1214" s="49"/>
      <c r="M1214" s="49"/>
      <c r="N1214" s="49"/>
      <c r="O1214" s="49" t="str">
        <f t="shared" si="2"/>
        <v/>
      </c>
      <c r="P1214" s="49" t="str">
        <f t="shared" si="3"/>
        <v/>
      </c>
      <c r="Q1214" s="84"/>
      <c r="R1214" s="84"/>
      <c r="S1214" s="84"/>
      <c r="T1214" s="84"/>
      <c r="U1214" s="84"/>
      <c r="V1214" s="84"/>
      <c r="W1214" s="84"/>
      <c r="X1214" s="84"/>
      <c r="Y1214" s="84"/>
      <c r="Z1214" s="84"/>
      <c r="AA1214" s="84"/>
      <c r="AB1214" s="84"/>
    </row>
    <row r="1215">
      <c r="A1215" s="69">
        <v>82.0</v>
      </c>
      <c r="B1215" s="69">
        <v>123.0</v>
      </c>
      <c r="C1215" s="86" t="s">
        <v>294</v>
      </c>
      <c r="D1215" s="86" t="s">
        <v>295</v>
      </c>
      <c r="E1215" s="86" t="s">
        <v>296</v>
      </c>
      <c r="F1215" s="69">
        <v>7500.0</v>
      </c>
      <c r="G1215" s="69">
        <v>18.09</v>
      </c>
      <c r="H1215" s="68">
        <f t="shared" si="1"/>
        <v>189.44</v>
      </c>
      <c r="I1215" s="81">
        <f>IFERROR(__xludf.DUMMYFUNCTION("IF(G1215="""", """", ROUND(G1215 / MAX(FILTER($G$2:$G5067, $D$2:$D5067=$D1215)) * 100, 2))"),98.58)</f>
        <v>98.58</v>
      </c>
      <c r="J1215" s="81">
        <f>IFERROR(__xludf.DUMMYFUNCTION("IF(H1215="""", """", ROUND(H1215 / MAX(FILTER($H$2:$H5067, $D$2:$D5067=$D1215)) * 100, 2))"),100.0)</f>
        <v>100</v>
      </c>
      <c r="K1215" s="2"/>
      <c r="L1215" s="48"/>
      <c r="M1215" s="48"/>
      <c r="N1215" s="48"/>
      <c r="O1215" s="48" t="str">
        <f t="shared" si="2"/>
        <v/>
      </c>
      <c r="P1215" s="48" t="str">
        <f t="shared" si="3"/>
        <v/>
      </c>
      <c r="Q1215" s="84"/>
      <c r="R1215" s="84"/>
      <c r="S1215" s="84"/>
      <c r="T1215" s="84"/>
      <c r="U1215" s="84"/>
      <c r="V1215" s="84"/>
      <c r="W1215" s="84"/>
      <c r="X1215" s="84"/>
      <c r="Y1215" s="84"/>
      <c r="Z1215" s="84"/>
      <c r="AA1215" s="84"/>
      <c r="AB1215" s="84"/>
    </row>
    <row r="1216">
      <c r="A1216" s="63">
        <v>82.0</v>
      </c>
      <c r="B1216" s="63">
        <v>123.0</v>
      </c>
      <c r="C1216" s="64" t="s">
        <v>294</v>
      </c>
      <c r="D1216" s="64" t="s">
        <v>295</v>
      </c>
      <c r="E1216" s="64" t="s">
        <v>296</v>
      </c>
      <c r="F1216" s="63">
        <v>8000.0</v>
      </c>
      <c r="G1216" s="63">
        <v>16.65</v>
      </c>
      <c r="H1216" s="66">
        <f t="shared" si="1"/>
        <v>185.98</v>
      </c>
      <c r="I1216" s="81">
        <f>IFERROR(__xludf.DUMMYFUNCTION("IF(G1216="""", """", ROUND(G1216 / MAX(FILTER($G$2:$G5067, $D$2:$D5067=$D1216)) * 100, 2))"),90.74)</f>
        <v>90.74</v>
      </c>
      <c r="J1216" s="81">
        <f>IFERROR(__xludf.DUMMYFUNCTION("IF(H1216="""", """", ROUND(H1216 / MAX(FILTER($H$2:$H5067, $D$2:$D5067=$D1216)) * 100, 2))"),98.17)</f>
        <v>98.17</v>
      </c>
      <c r="K1216" s="2"/>
      <c r="L1216" s="49"/>
      <c r="M1216" s="49"/>
      <c r="N1216" s="49"/>
      <c r="O1216" s="49" t="str">
        <f t="shared" si="2"/>
        <v/>
      </c>
      <c r="P1216" s="49" t="str">
        <f t="shared" si="3"/>
        <v/>
      </c>
      <c r="Q1216" s="84"/>
      <c r="R1216" s="84"/>
      <c r="S1216" s="84"/>
      <c r="T1216" s="84"/>
      <c r="U1216" s="84"/>
      <c r="V1216" s="84"/>
      <c r="W1216" s="84"/>
      <c r="X1216" s="84"/>
      <c r="Y1216" s="84"/>
      <c r="Z1216" s="84"/>
      <c r="AA1216" s="84"/>
      <c r="AB1216" s="84"/>
    </row>
    <row r="1217">
      <c r="A1217" s="69">
        <v>82.0</v>
      </c>
      <c r="B1217" s="69">
        <v>123.0</v>
      </c>
      <c r="C1217" s="86" t="s">
        <v>294</v>
      </c>
      <c r="D1217" s="86" t="s">
        <v>295</v>
      </c>
      <c r="E1217" s="86" t="s">
        <v>296</v>
      </c>
      <c r="F1217" s="69">
        <v>8500.0</v>
      </c>
      <c r="G1217" s="69">
        <v>14.95</v>
      </c>
      <c r="H1217" s="68">
        <f t="shared" si="1"/>
        <v>177.43</v>
      </c>
      <c r="I1217" s="81">
        <f>IFERROR(__xludf.DUMMYFUNCTION("IF(G1217="""", """", ROUND(G1217 / MAX(FILTER($G$2:$G5067, $D$2:$D5067=$D1217)) * 100, 2))"),81.47)</f>
        <v>81.47</v>
      </c>
      <c r="J1217" s="81">
        <f>IFERROR(__xludf.DUMMYFUNCTION("IF(H1217="""", """", ROUND(H1217 / MAX(FILTER($H$2:$H5067, $D$2:$D5067=$D1217)) * 100, 2))"),93.66)</f>
        <v>93.66</v>
      </c>
      <c r="K1217" s="2"/>
      <c r="L1217" s="48"/>
      <c r="M1217" s="48"/>
      <c r="N1217" s="48"/>
      <c r="O1217" s="48" t="str">
        <f t="shared" si="2"/>
        <v/>
      </c>
      <c r="P1217" s="48" t="str">
        <f t="shared" si="3"/>
        <v/>
      </c>
      <c r="Q1217" s="84"/>
      <c r="R1217" s="84"/>
      <c r="S1217" s="84"/>
      <c r="T1217" s="84"/>
      <c r="U1217" s="84"/>
      <c r="V1217" s="84"/>
      <c r="W1217" s="84"/>
      <c r="X1217" s="84"/>
      <c r="Y1217" s="84"/>
      <c r="Z1217" s="84"/>
      <c r="AA1217" s="84"/>
      <c r="AB1217" s="84"/>
    </row>
    <row r="1218">
      <c r="A1218" s="63">
        <v>82.0</v>
      </c>
      <c r="B1218" s="63">
        <v>123.0</v>
      </c>
      <c r="C1218" s="64" t="s">
        <v>294</v>
      </c>
      <c r="D1218" s="64" t="s">
        <v>295</v>
      </c>
      <c r="E1218" s="64" t="s">
        <v>296</v>
      </c>
      <c r="F1218" s="63">
        <v>9000.0</v>
      </c>
      <c r="G1218" s="63">
        <v>13.0</v>
      </c>
      <c r="H1218" s="66">
        <f t="shared" si="1"/>
        <v>163.36</v>
      </c>
      <c r="I1218" s="81">
        <f>IFERROR(__xludf.DUMMYFUNCTION("IF(G1218="""", """", ROUND(G1218 / MAX(FILTER($G$2:$G5067, $D$2:$D5067=$D1218)) * 100, 2))"),70.84)</f>
        <v>70.84</v>
      </c>
      <c r="J1218" s="81">
        <f>IFERROR(__xludf.DUMMYFUNCTION("IF(H1218="""", """", ROUND(H1218 / MAX(FILTER($H$2:$H5067, $D$2:$D5067=$D1218)) * 100, 2))"),86.23)</f>
        <v>86.23</v>
      </c>
      <c r="K1218" s="2"/>
      <c r="L1218" s="49"/>
      <c r="M1218" s="49"/>
      <c r="N1218" s="49"/>
      <c r="O1218" s="49" t="str">
        <f t="shared" si="2"/>
        <v/>
      </c>
      <c r="P1218" s="49" t="str">
        <f t="shared" si="3"/>
        <v/>
      </c>
      <c r="Q1218" s="84"/>
      <c r="R1218" s="84"/>
      <c r="S1218" s="84"/>
      <c r="T1218" s="84"/>
      <c r="U1218" s="84"/>
      <c r="V1218" s="84"/>
      <c r="W1218" s="84"/>
      <c r="X1218" s="84"/>
      <c r="Y1218" s="84"/>
      <c r="Z1218" s="84"/>
      <c r="AA1218" s="84"/>
      <c r="AB1218" s="84"/>
    </row>
    <row r="1219">
      <c r="A1219" s="69">
        <v>83.0</v>
      </c>
      <c r="B1219" s="69">
        <v>124.0</v>
      </c>
      <c r="C1219" s="86" t="s">
        <v>297</v>
      </c>
      <c r="D1219" s="86" t="s">
        <v>298</v>
      </c>
      <c r="E1219" s="86" t="s">
        <v>299</v>
      </c>
      <c r="F1219" s="69">
        <v>500.0</v>
      </c>
      <c r="G1219" s="69">
        <v>28.1</v>
      </c>
      <c r="H1219" s="68">
        <f t="shared" si="1"/>
        <v>19.62</v>
      </c>
      <c r="I1219" s="81">
        <f>IFERROR(__xludf.DUMMYFUNCTION("IF(G1219="""", """", ROUND(G1219 / MAX(FILTER($G$2:$G5067, $D$2:$D5067=$D1219)) * 100, 2))"),81.21)</f>
        <v>81.21</v>
      </c>
      <c r="J1219" s="81">
        <f>IFERROR(__xludf.DUMMYFUNCTION("IF(H1219="""", """", ROUND(H1219 / MAX(FILTER($H$2:$H5067, $D$2:$D5067=$D1219)) * 100, 2))"),10.14)</f>
        <v>10.14</v>
      </c>
      <c r="K1219" s="2"/>
      <c r="L1219" s="48"/>
      <c r="M1219" s="48"/>
      <c r="N1219" s="48"/>
      <c r="O1219" s="48" t="str">
        <f t="shared" si="2"/>
        <v/>
      </c>
      <c r="P1219" s="48" t="str">
        <f t="shared" si="3"/>
        <v/>
      </c>
      <c r="Q1219" s="84"/>
      <c r="R1219" s="84"/>
      <c r="S1219" s="84"/>
      <c r="T1219" s="84"/>
      <c r="U1219" s="84"/>
      <c r="V1219" s="84"/>
      <c r="W1219" s="84"/>
      <c r="X1219" s="84"/>
      <c r="Y1219" s="84"/>
      <c r="Z1219" s="84"/>
      <c r="AA1219" s="84"/>
      <c r="AB1219" s="84"/>
    </row>
    <row r="1220">
      <c r="A1220" s="63">
        <v>83.0</v>
      </c>
      <c r="B1220" s="63">
        <v>124.0</v>
      </c>
      <c r="C1220" s="64" t="s">
        <v>297</v>
      </c>
      <c r="D1220" s="64" t="s">
        <v>298</v>
      </c>
      <c r="E1220" s="64" t="s">
        <v>299</v>
      </c>
      <c r="F1220" s="63">
        <v>1000.0</v>
      </c>
      <c r="G1220" s="63">
        <v>31.0</v>
      </c>
      <c r="H1220" s="66">
        <f t="shared" si="1"/>
        <v>43.28</v>
      </c>
      <c r="I1220" s="81">
        <f>IFERROR(__xludf.DUMMYFUNCTION("IF(G1220="""", """", ROUND(G1220 / MAX(FILTER($G$2:$G5067, $D$2:$D5067=$D1220)) * 100, 2))"),89.6)</f>
        <v>89.6</v>
      </c>
      <c r="J1220" s="81">
        <f>IFERROR(__xludf.DUMMYFUNCTION("IF(H1220="""", """", ROUND(H1220 / MAX(FILTER($H$2:$H5067, $D$2:$D5067=$D1220)) * 100, 2))"),22.36)</f>
        <v>22.36</v>
      </c>
      <c r="K1220" s="2"/>
      <c r="L1220" s="49"/>
      <c r="M1220" s="49"/>
      <c r="N1220" s="49"/>
      <c r="O1220" s="49" t="str">
        <f t="shared" si="2"/>
        <v/>
      </c>
      <c r="P1220" s="49" t="str">
        <f t="shared" si="3"/>
        <v/>
      </c>
      <c r="Q1220" s="84"/>
      <c r="R1220" s="84"/>
      <c r="S1220" s="84"/>
      <c r="T1220" s="84"/>
      <c r="U1220" s="84"/>
      <c r="V1220" s="84"/>
      <c r="W1220" s="84"/>
      <c r="X1220" s="84"/>
      <c r="Y1220" s="84"/>
      <c r="Z1220" s="84"/>
      <c r="AA1220" s="84"/>
      <c r="AB1220" s="84"/>
    </row>
    <row r="1221">
      <c r="A1221" s="69">
        <v>83.0</v>
      </c>
      <c r="B1221" s="69">
        <v>124.0</v>
      </c>
      <c r="C1221" s="86" t="s">
        <v>297</v>
      </c>
      <c r="D1221" s="86" t="s">
        <v>298</v>
      </c>
      <c r="E1221" s="86" t="s">
        <v>299</v>
      </c>
      <c r="F1221" s="69">
        <v>1500.0</v>
      </c>
      <c r="G1221" s="69">
        <v>32.9</v>
      </c>
      <c r="H1221" s="68">
        <f t="shared" si="1"/>
        <v>68.91</v>
      </c>
      <c r="I1221" s="81">
        <f>IFERROR(__xludf.DUMMYFUNCTION("IF(G1221="""", """", ROUND(G1221 / MAX(FILTER($G$2:$G5067, $D$2:$D5067=$D1221)) * 100, 2))"),95.09)</f>
        <v>95.09</v>
      </c>
      <c r="J1221" s="81">
        <f>IFERROR(__xludf.DUMMYFUNCTION("IF(H1221="""", """", ROUND(H1221 / MAX(FILTER($H$2:$H5067, $D$2:$D5067=$D1221)) * 100, 2))"),35.61)</f>
        <v>35.61</v>
      </c>
      <c r="K1221" s="2"/>
      <c r="L1221" s="48"/>
      <c r="M1221" s="48"/>
      <c r="N1221" s="48"/>
      <c r="O1221" s="48" t="str">
        <f t="shared" si="2"/>
        <v/>
      </c>
      <c r="P1221" s="48" t="str">
        <f t="shared" si="3"/>
        <v/>
      </c>
      <c r="Q1221" s="84"/>
      <c r="R1221" s="84"/>
      <c r="S1221" s="84"/>
      <c r="T1221" s="84"/>
      <c r="U1221" s="84"/>
      <c r="V1221" s="84"/>
      <c r="W1221" s="84"/>
      <c r="X1221" s="84"/>
      <c r="Y1221" s="84"/>
      <c r="Z1221" s="84"/>
      <c r="AA1221" s="84"/>
      <c r="AB1221" s="84"/>
    </row>
    <row r="1222">
      <c r="A1222" s="63">
        <v>83.0</v>
      </c>
      <c r="B1222" s="63">
        <v>124.0</v>
      </c>
      <c r="C1222" s="64" t="s">
        <v>297</v>
      </c>
      <c r="D1222" s="64" t="s">
        <v>298</v>
      </c>
      <c r="E1222" s="64" t="s">
        <v>299</v>
      </c>
      <c r="F1222" s="63">
        <v>2000.0</v>
      </c>
      <c r="G1222" s="63">
        <v>34.1</v>
      </c>
      <c r="H1222" s="66">
        <f t="shared" si="1"/>
        <v>95.22</v>
      </c>
      <c r="I1222" s="81">
        <f>IFERROR(__xludf.DUMMYFUNCTION("IF(G1222="""", """", ROUND(G1222 / MAX(FILTER($G$2:$G5067, $D$2:$D5067=$D1222)) * 100, 2))"),98.55)</f>
        <v>98.55</v>
      </c>
      <c r="J1222" s="81">
        <f>IFERROR(__xludf.DUMMYFUNCTION("IF(H1222="""", """", ROUND(H1222 / MAX(FILTER($H$2:$H5067, $D$2:$D5067=$D1222)) * 100, 2))"),49.2)</f>
        <v>49.2</v>
      </c>
      <c r="K1222" s="2"/>
      <c r="L1222" s="49"/>
      <c r="M1222" s="49"/>
      <c r="N1222" s="49"/>
      <c r="O1222" s="49" t="str">
        <f t="shared" si="2"/>
        <v/>
      </c>
      <c r="P1222" s="49" t="str">
        <f t="shared" si="3"/>
        <v/>
      </c>
      <c r="Q1222" s="84"/>
      <c r="R1222" s="84"/>
      <c r="S1222" s="84"/>
      <c r="T1222" s="84"/>
      <c r="U1222" s="84"/>
      <c r="V1222" s="84"/>
      <c r="W1222" s="84"/>
      <c r="X1222" s="84"/>
      <c r="Y1222" s="84"/>
      <c r="Z1222" s="84"/>
      <c r="AA1222" s="84"/>
      <c r="AB1222" s="84"/>
    </row>
    <row r="1223">
      <c r="A1223" s="69">
        <v>83.0</v>
      </c>
      <c r="B1223" s="69">
        <v>124.0</v>
      </c>
      <c r="C1223" s="86" t="s">
        <v>297</v>
      </c>
      <c r="D1223" s="86" t="s">
        <v>298</v>
      </c>
      <c r="E1223" s="86" t="s">
        <v>299</v>
      </c>
      <c r="F1223" s="69">
        <v>2500.0</v>
      </c>
      <c r="G1223" s="69">
        <v>34.5</v>
      </c>
      <c r="H1223" s="68">
        <f t="shared" si="1"/>
        <v>120.43</v>
      </c>
      <c r="I1223" s="81">
        <f>IFERROR(__xludf.DUMMYFUNCTION("IF(G1223="""", """", ROUND(G1223 / MAX(FILTER($G$2:$G5067, $D$2:$D5067=$D1223)) * 100, 2))"),99.71)</f>
        <v>99.71</v>
      </c>
      <c r="J1223" s="81">
        <f>IFERROR(__xludf.DUMMYFUNCTION("IF(H1223="""", """", ROUND(H1223 / MAX(FILTER($H$2:$H5067, $D$2:$D5067=$D1223)) * 100, 2))"),62.23)</f>
        <v>62.23</v>
      </c>
      <c r="K1223" s="2"/>
      <c r="L1223" s="48"/>
      <c r="M1223" s="48"/>
      <c r="N1223" s="48"/>
      <c r="O1223" s="48" t="str">
        <f t="shared" si="2"/>
        <v/>
      </c>
      <c r="P1223" s="48" t="str">
        <f t="shared" si="3"/>
        <v/>
      </c>
      <c r="Q1223" s="84"/>
      <c r="R1223" s="84"/>
      <c r="S1223" s="84"/>
      <c r="T1223" s="84"/>
      <c r="U1223" s="84"/>
      <c r="V1223" s="84"/>
      <c r="W1223" s="84"/>
      <c r="X1223" s="84"/>
      <c r="Y1223" s="84"/>
      <c r="Z1223" s="84"/>
      <c r="AA1223" s="84"/>
      <c r="AB1223" s="84"/>
    </row>
    <row r="1224">
      <c r="A1224" s="63">
        <v>83.0</v>
      </c>
      <c r="B1224" s="63">
        <v>124.0</v>
      </c>
      <c r="C1224" s="64" t="s">
        <v>297</v>
      </c>
      <c r="D1224" s="64" t="s">
        <v>298</v>
      </c>
      <c r="E1224" s="64" t="s">
        <v>299</v>
      </c>
      <c r="F1224" s="63">
        <v>2800.0</v>
      </c>
      <c r="G1224" s="63">
        <v>34.6</v>
      </c>
      <c r="H1224" s="66">
        <f t="shared" si="1"/>
        <v>135.27</v>
      </c>
      <c r="I1224" s="81">
        <f>IFERROR(__xludf.DUMMYFUNCTION("IF(G1224="""", """", ROUND(G1224 / MAX(FILTER($G$2:$G5067, $D$2:$D5067=$D1224)) * 100, 2))"),100.0)</f>
        <v>100</v>
      </c>
      <c r="J1224" s="81">
        <f>IFERROR(__xludf.DUMMYFUNCTION("IF(H1224="""", """", ROUND(H1224 / MAX(FILTER($H$2:$H5067, $D$2:$D5067=$D1224)) * 100, 2))"),69.9)</f>
        <v>69.9</v>
      </c>
      <c r="K1224" s="2"/>
      <c r="L1224" s="49"/>
      <c r="M1224" s="49"/>
      <c r="N1224" s="49"/>
      <c r="O1224" s="49" t="str">
        <f t="shared" si="2"/>
        <v/>
      </c>
      <c r="P1224" s="49" t="str">
        <f t="shared" si="3"/>
        <v/>
      </c>
      <c r="Q1224" s="84"/>
      <c r="R1224" s="84"/>
      <c r="S1224" s="84"/>
      <c r="T1224" s="84"/>
      <c r="U1224" s="84"/>
      <c r="V1224" s="84"/>
      <c r="W1224" s="84"/>
      <c r="X1224" s="84"/>
      <c r="Y1224" s="84"/>
      <c r="Z1224" s="84"/>
      <c r="AA1224" s="84"/>
      <c r="AB1224" s="84"/>
    </row>
    <row r="1225">
      <c r="A1225" s="69">
        <v>83.0</v>
      </c>
      <c r="B1225" s="69">
        <v>124.0</v>
      </c>
      <c r="C1225" s="86" t="s">
        <v>297</v>
      </c>
      <c r="D1225" s="86" t="s">
        <v>298</v>
      </c>
      <c r="E1225" s="86" t="s">
        <v>299</v>
      </c>
      <c r="F1225" s="69">
        <v>3300.0</v>
      </c>
      <c r="G1225" s="69">
        <v>34.4</v>
      </c>
      <c r="H1225" s="68">
        <f t="shared" si="1"/>
        <v>158.5</v>
      </c>
      <c r="I1225" s="81">
        <f>IFERROR(__xludf.DUMMYFUNCTION("IF(G1225="""", """", ROUND(G1225 / MAX(FILTER($G$2:$G5067, $D$2:$D5067=$D1225)) * 100, 2))"),99.42)</f>
        <v>99.42</v>
      </c>
      <c r="J1225" s="81">
        <f>IFERROR(__xludf.DUMMYFUNCTION("IF(H1225="""", """", ROUND(H1225 / MAX(FILTER($H$2:$H5067, $D$2:$D5067=$D1225)) * 100, 2))"),81.9)</f>
        <v>81.9</v>
      </c>
      <c r="K1225" s="2"/>
      <c r="L1225" s="48"/>
      <c r="M1225" s="48"/>
      <c r="N1225" s="48"/>
      <c r="O1225" s="48" t="str">
        <f t="shared" si="2"/>
        <v/>
      </c>
      <c r="P1225" s="48" t="str">
        <f t="shared" si="3"/>
        <v/>
      </c>
      <c r="Q1225" s="84"/>
      <c r="R1225" s="84"/>
      <c r="S1225" s="84"/>
      <c r="T1225" s="84"/>
      <c r="U1225" s="84"/>
      <c r="V1225" s="84"/>
      <c r="W1225" s="84"/>
      <c r="X1225" s="84"/>
      <c r="Y1225" s="84"/>
      <c r="Z1225" s="84"/>
      <c r="AA1225" s="84"/>
      <c r="AB1225" s="84"/>
    </row>
    <row r="1226">
      <c r="A1226" s="63">
        <v>83.0</v>
      </c>
      <c r="B1226" s="63">
        <v>124.0</v>
      </c>
      <c r="C1226" s="64" t="s">
        <v>297</v>
      </c>
      <c r="D1226" s="64" t="s">
        <v>298</v>
      </c>
      <c r="E1226" s="64" t="s">
        <v>299</v>
      </c>
      <c r="F1226" s="63">
        <v>4000.0</v>
      </c>
      <c r="G1226" s="63">
        <v>33.4</v>
      </c>
      <c r="H1226" s="66">
        <f t="shared" si="1"/>
        <v>186.54</v>
      </c>
      <c r="I1226" s="81">
        <f>IFERROR(__xludf.DUMMYFUNCTION("IF(G1226="""", """", ROUND(G1226 / MAX(FILTER($G$2:$G5067, $D$2:$D5067=$D1226)) * 100, 2))"),96.53)</f>
        <v>96.53</v>
      </c>
      <c r="J1226" s="81">
        <f>IFERROR(__xludf.DUMMYFUNCTION("IF(H1226="""", """", ROUND(H1226 / MAX(FILTER($H$2:$H5067, $D$2:$D5067=$D1226)) * 100, 2))"),96.39)</f>
        <v>96.39</v>
      </c>
      <c r="K1226" s="2"/>
      <c r="L1226" s="49"/>
      <c r="M1226" s="49"/>
      <c r="N1226" s="49"/>
      <c r="O1226" s="49" t="str">
        <f t="shared" si="2"/>
        <v/>
      </c>
      <c r="P1226" s="49" t="str">
        <f t="shared" si="3"/>
        <v/>
      </c>
      <c r="Q1226" s="84"/>
      <c r="R1226" s="84"/>
      <c r="S1226" s="84"/>
      <c r="T1226" s="84"/>
      <c r="U1226" s="84"/>
      <c r="V1226" s="84"/>
      <c r="W1226" s="84"/>
      <c r="X1226" s="84"/>
      <c r="Y1226" s="84"/>
      <c r="Z1226" s="84"/>
      <c r="AA1226" s="84"/>
      <c r="AB1226" s="84"/>
    </row>
    <row r="1227">
      <c r="A1227" s="69">
        <v>83.0</v>
      </c>
      <c r="B1227" s="69">
        <v>124.0</v>
      </c>
      <c r="C1227" s="86" t="s">
        <v>297</v>
      </c>
      <c r="D1227" s="86" t="s">
        <v>298</v>
      </c>
      <c r="E1227" s="86" t="s">
        <v>299</v>
      </c>
      <c r="F1227" s="69">
        <v>4400.0</v>
      </c>
      <c r="G1227" s="69">
        <v>31.5</v>
      </c>
      <c r="H1227" s="68">
        <f t="shared" si="1"/>
        <v>193.52</v>
      </c>
      <c r="I1227" s="81">
        <f>IFERROR(__xludf.DUMMYFUNCTION("IF(G1227="""", """", ROUND(G1227 / MAX(FILTER($G$2:$G5067, $D$2:$D5067=$D1227)) * 100, 2))"),91.04)</f>
        <v>91.04</v>
      </c>
      <c r="J1227" s="81">
        <f>IFERROR(__xludf.DUMMYFUNCTION("IF(H1227="""", """", ROUND(H1227 / MAX(FILTER($H$2:$H5067, $D$2:$D5067=$D1227)) * 100, 2))"),100.0)</f>
        <v>100</v>
      </c>
      <c r="K1227" s="2"/>
      <c r="L1227" s="48"/>
      <c r="M1227" s="48"/>
      <c r="N1227" s="48"/>
      <c r="O1227" s="48" t="str">
        <f t="shared" si="2"/>
        <v/>
      </c>
      <c r="P1227" s="48" t="str">
        <f t="shared" si="3"/>
        <v/>
      </c>
      <c r="Q1227" s="84"/>
      <c r="R1227" s="84"/>
      <c r="S1227" s="84"/>
      <c r="T1227" s="84"/>
      <c r="U1227" s="84"/>
      <c r="V1227" s="84"/>
      <c r="W1227" s="84"/>
      <c r="X1227" s="84"/>
      <c r="Y1227" s="84"/>
      <c r="Z1227" s="84"/>
      <c r="AA1227" s="84"/>
      <c r="AB1227" s="84"/>
    </row>
    <row r="1228">
      <c r="A1228" s="63">
        <v>83.0</v>
      </c>
      <c r="B1228" s="63">
        <v>124.0</v>
      </c>
      <c r="C1228" s="64" t="s">
        <v>297</v>
      </c>
      <c r="D1228" s="64" t="s">
        <v>298</v>
      </c>
      <c r="E1228" s="64" t="s">
        <v>299</v>
      </c>
      <c r="F1228" s="63">
        <v>5000.0</v>
      </c>
      <c r="G1228" s="63">
        <v>27.7</v>
      </c>
      <c r="H1228" s="66">
        <f t="shared" si="1"/>
        <v>193.38</v>
      </c>
      <c r="I1228" s="81">
        <f>IFERROR(__xludf.DUMMYFUNCTION("IF(G1228="""", """", ROUND(G1228 / MAX(FILTER($G$2:$G5067, $D$2:$D5067=$D1228)) * 100, 2))"),80.06)</f>
        <v>80.06</v>
      </c>
      <c r="J1228" s="81">
        <f>IFERROR(__xludf.DUMMYFUNCTION("IF(H1228="""", """", ROUND(H1228 / MAX(FILTER($H$2:$H5067, $D$2:$D5067=$D1228)) * 100, 2))"),99.93)</f>
        <v>99.93</v>
      </c>
      <c r="K1228" s="2"/>
      <c r="L1228" s="49"/>
      <c r="M1228" s="49"/>
      <c r="N1228" s="49"/>
      <c r="O1228" s="49" t="str">
        <f t="shared" si="2"/>
        <v/>
      </c>
      <c r="P1228" s="49" t="str">
        <f t="shared" si="3"/>
        <v/>
      </c>
      <c r="Q1228" s="84"/>
      <c r="R1228" s="84"/>
      <c r="S1228" s="84"/>
      <c r="T1228" s="84"/>
      <c r="U1228" s="84"/>
      <c r="V1228" s="84"/>
      <c r="W1228" s="84"/>
      <c r="X1228" s="84"/>
      <c r="Y1228" s="84"/>
      <c r="Z1228" s="84"/>
      <c r="AA1228" s="84"/>
      <c r="AB1228" s="84"/>
    </row>
    <row r="1229">
      <c r="A1229" s="69">
        <v>83.0</v>
      </c>
      <c r="B1229" s="69">
        <v>124.0</v>
      </c>
      <c r="C1229" s="86" t="s">
        <v>297</v>
      </c>
      <c r="D1229" s="86" t="s">
        <v>298</v>
      </c>
      <c r="E1229" s="86" t="s">
        <v>299</v>
      </c>
      <c r="F1229" s="69">
        <v>5500.0</v>
      </c>
      <c r="G1229" s="69">
        <v>24.3</v>
      </c>
      <c r="H1229" s="68">
        <f t="shared" si="1"/>
        <v>186.61</v>
      </c>
      <c r="I1229" s="81">
        <f>IFERROR(__xludf.DUMMYFUNCTION("IF(G1229="""", """", ROUND(G1229 / MAX(FILTER($G$2:$G5067, $D$2:$D5067=$D1229)) * 100, 2))"),70.23)</f>
        <v>70.23</v>
      </c>
      <c r="J1229" s="81">
        <f>IFERROR(__xludf.DUMMYFUNCTION("IF(H1229="""", """", ROUND(H1229 / MAX(FILTER($H$2:$H5067, $D$2:$D5067=$D1229)) * 100, 2))"),96.43)</f>
        <v>96.43</v>
      </c>
      <c r="K1229" s="2"/>
      <c r="L1229" s="48"/>
      <c r="M1229" s="48"/>
      <c r="N1229" s="48"/>
      <c r="O1229" s="48" t="str">
        <f t="shared" si="2"/>
        <v/>
      </c>
      <c r="P1229" s="48" t="str">
        <f t="shared" si="3"/>
        <v/>
      </c>
      <c r="Q1229" s="84"/>
      <c r="R1229" s="84"/>
      <c r="S1229" s="84"/>
      <c r="T1229" s="84"/>
      <c r="U1229" s="84"/>
      <c r="V1229" s="84"/>
      <c r="W1229" s="84"/>
      <c r="X1229" s="84"/>
      <c r="Y1229" s="84"/>
      <c r="Z1229" s="84"/>
      <c r="AA1229" s="84"/>
      <c r="AB1229" s="84"/>
    </row>
    <row r="1230">
      <c r="A1230" s="63">
        <v>83.0</v>
      </c>
      <c r="B1230" s="63">
        <v>124.0</v>
      </c>
      <c r="C1230" s="64" t="s">
        <v>297</v>
      </c>
      <c r="D1230" s="64" t="s">
        <v>298</v>
      </c>
      <c r="E1230" s="64" t="s">
        <v>299</v>
      </c>
      <c r="F1230" s="63">
        <v>6000.0</v>
      </c>
      <c r="G1230" s="63">
        <v>20.1</v>
      </c>
      <c r="H1230" s="66">
        <f t="shared" si="1"/>
        <v>168.39</v>
      </c>
      <c r="I1230" s="81">
        <f>IFERROR(__xludf.DUMMYFUNCTION("IF(G1230="""", """", ROUND(G1230 / MAX(FILTER($G$2:$G5067, $D$2:$D5067=$D1230)) * 100, 2))"),58.09)</f>
        <v>58.09</v>
      </c>
      <c r="J1230" s="81">
        <f>IFERROR(__xludf.DUMMYFUNCTION("IF(H1230="""", """", ROUND(H1230 / MAX(FILTER($H$2:$H5067, $D$2:$D5067=$D1230)) * 100, 2))"),87.01)</f>
        <v>87.01</v>
      </c>
      <c r="K1230" s="2"/>
      <c r="L1230" s="49"/>
      <c r="M1230" s="49"/>
      <c r="N1230" s="49"/>
      <c r="O1230" s="49" t="str">
        <f t="shared" si="2"/>
        <v/>
      </c>
      <c r="P1230" s="49" t="str">
        <f t="shared" si="3"/>
        <v/>
      </c>
      <c r="Q1230" s="84"/>
      <c r="R1230" s="84"/>
      <c r="S1230" s="84"/>
      <c r="T1230" s="84"/>
      <c r="U1230" s="84"/>
      <c r="V1230" s="84"/>
      <c r="W1230" s="84"/>
      <c r="X1230" s="84"/>
      <c r="Y1230" s="84"/>
      <c r="Z1230" s="84"/>
      <c r="AA1230" s="84"/>
      <c r="AB1230" s="84"/>
    </row>
    <row r="1231">
      <c r="A1231" s="69">
        <v>84.0</v>
      </c>
      <c r="B1231" s="69">
        <v>126.0</v>
      </c>
      <c r="C1231" s="86" t="s">
        <v>300</v>
      </c>
      <c r="D1231" s="86" t="s">
        <v>301</v>
      </c>
      <c r="E1231" s="86" t="s">
        <v>302</v>
      </c>
      <c r="F1231" s="69">
        <v>500.0</v>
      </c>
      <c r="G1231" s="69">
        <v>14.65</v>
      </c>
      <c r="H1231" s="68">
        <f t="shared" si="1"/>
        <v>10.23</v>
      </c>
      <c r="I1231" s="81">
        <f>IFERROR(__xludf.DUMMYFUNCTION("IF(G1231="""", """", ROUND(G1231 / MAX(FILTER($G$2:$G5067, $D$2:$D5067=$D1231)) * 100, 2))"),76.3)</f>
        <v>76.3</v>
      </c>
      <c r="J1231" s="81">
        <f>IFERROR(__xludf.DUMMYFUNCTION("IF(H1231="""", """", ROUND(H1231 / MAX(FILTER($H$2:$H5067, $D$2:$D5067=$D1231)) * 100, 2))"),7.22)</f>
        <v>7.22</v>
      </c>
      <c r="K1231" s="2"/>
      <c r="L1231" s="48"/>
      <c r="M1231" s="48"/>
      <c r="N1231" s="48"/>
      <c r="O1231" s="48" t="str">
        <f t="shared" si="2"/>
        <v/>
      </c>
      <c r="P1231" s="48" t="str">
        <f t="shared" si="3"/>
        <v/>
      </c>
      <c r="Q1231" s="84"/>
      <c r="R1231" s="84"/>
      <c r="S1231" s="84"/>
      <c r="T1231" s="84"/>
      <c r="U1231" s="84"/>
      <c r="V1231" s="84"/>
      <c r="W1231" s="84"/>
      <c r="X1231" s="84"/>
      <c r="Y1231" s="84"/>
      <c r="Z1231" s="84"/>
      <c r="AA1231" s="84"/>
      <c r="AB1231" s="84"/>
    </row>
    <row r="1232">
      <c r="A1232" s="63">
        <v>84.0</v>
      </c>
      <c r="B1232" s="63">
        <v>126.0</v>
      </c>
      <c r="C1232" s="64" t="s">
        <v>300</v>
      </c>
      <c r="D1232" s="64" t="s">
        <v>301</v>
      </c>
      <c r="E1232" s="64" t="s">
        <v>302</v>
      </c>
      <c r="F1232" s="63">
        <v>1000.0</v>
      </c>
      <c r="G1232" s="63">
        <v>15.35</v>
      </c>
      <c r="H1232" s="66">
        <f t="shared" si="1"/>
        <v>21.43</v>
      </c>
      <c r="I1232" s="81">
        <f>IFERROR(__xludf.DUMMYFUNCTION("IF(G1232="""", """", ROUND(G1232 / MAX(FILTER($G$2:$G5067, $D$2:$D5067=$D1232)) * 100, 2))"),79.95)</f>
        <v>79.95</v>
      </c>
      <c r="J1232" s="81">
        <f>IFERROR(__xludf.DUMMYFUNCTION("IF(H1232="""", """", ROUND(H1232 / MAX(FILTER($H$2:$H5067, $D$2:$D5067=$D1232)) * 100, 2))"),15.13)</f>
        <v>15.13</v>
      </c>
      <c r="K1232" s="2"/>
      <c r="L1232" s="49"/>
      <c r="M1232" s="49"/>
      <c r="N1232" s="49"/>
      <c r="O1232" s="49" t="str">
        <f t="shared" si="2"/>
        <v/>
      </c>
      <c r="P1232" s="49" t="str">
        <f t="shared" si="3"/>
        <v/>
      </c>
      <c r="Q1232" s="84"/>
      <c r="R1232" s="84"/>
      <c r="S1232" s="84"/>
      <c r="T1232" s="84"/>
      <c r="U1232" s="84"/>
      <c r="V1232" s="84"/>
      <c r="W1232" s="84"/>
      <c r="X1232" s="84"/>
      <c r="Y1232" s="84"/>
      <c r="Z1232" s="84"/>
      <c r="AA1232" s="84"/>
      <c r="AB1232" s="84"/>
    </row>
    <row r="1233">
      <c r="A1233" s="69">
        <v>84.0</v>
      </c>
      <c r="B1233" s="69">
        <v>126.0</v>
      </c>
      <c r="C1233" s="86" t="s">
        <v>300</v>
      </c>
      <c r="D1233" s="86" t="s">
        <v>301</v>
      </c>
      <c r="E1233" s="86" t="s">
        <v>302</v>
      </c>
      <c r="F1233" s="69">
        <v>1500.0</v>
      </c>
      <c r="G1233" s="69">
        <v>15.85</v>
      </c>
      <c r="H1233" s="68">
        <f t="shared" si="1"/>
        <v>33.2</v>
      </c>
      <c r="I1233" s="81">
        <f>IFERROR(__xludf.DUMMYFUNCTION("IF(G1233="""", """", ROUND(G1233 / MAX(FILTER($G$2:$G5067, $D$2:$D5067=$D1233)) * 100, 2))"),82.55)</f>
        <v>82.55</v>
      </c>
      <c r="J1233" s="81">
        <f>IFERROR(__xludf.DUMMYFUNCTION("IF(H1233="""", """", ROUND(H1233 / MAX(FILTER($H$2:$H5067, $D$2:$D5067=$D1233)) * 100, 2))"),23.44)</f>
        <v>23.44</v>
      </c>
      <c r="K1233" s="2"/>
      <c r="L1233" s="48"/>
      <c r="M1233" s="48"/>
      <c r="N1233" s="48"/>
      <c r="O1233" s="48" t="str">
        <f t="shared" si="2"/>
        <v/>
      </c>
      <c r="P1233" s="48" t="str">
        <f t="shared" si="3"/>
        <v/>
      </c>
      <c r="Q1233" s="84"/>
      <c r="R1233" s="84"/>
      <c r="S1233" s="84"/>
      <c r="T1233" s="84"/>
      <c r="U1233" s="84"/>
      <c r="V1233" s="84"/>
      <c r="W1233" s="84"/>
      <c r="X1233" s="84"/>
      <c r="Y1233" s="84"/>
      <c r="Z1233" s="84"/>
      <c r="AA1233" s="84"/>
      <c r="AB1233" s="84"/>
    </row>
    <row r="1234">
      <c r="A1234" s="63">
        <v>84.0</v>
      </c>
      <c r="B1234" s="63">
        <v>126.0</v>
      </c>
      <c r="C1234" s="64" t="s">
        <v>300</v>
      </c>
      <c r="D1234" s="64" t="s">
        <v>301</v>
      </c>
      <c r="E1234" s="64" t="s">
        <v>302</v>
      </c>
      <c r="F1234" s="63">
        <v>2000.0</v>
      </c>
      <c r="G1234" s="63">
        <v>16.4</v>
      </c>
      <c r="H1234" s="66">
        <f t="shared" si="1"/>
        <v>45.8</v>
      </c>
      <c r="I1234" s="81">
        <f>IFERROR(__xludf.DUMMYFUNCTION("IF(G1234="""", """", ROUND(G1234 / MAX(FILTER($G$2:$G5067, $D$2:$D5067=$D1234)) * 100, 2))"),85.42)</f>
        <v>85.42</v>
      </c>
      <c r="J1234" s="81">
        <f>IFERROR(__xludf.DUMMYFUNCTION("IF(H1234="""", """", ROUND(H1234 / MAX(FILTER($H$2:$H5067, $D$2:$D5067=$D1234)) * 100, 2))"),32.33)</f>
        <v>32.33</v>
      </c>
      <c r="K1234" s="2"/>
      <c r="L1234" s="49"/>
      <c r="M1234" s="49"/>
      <c r="N1234" s="49"/>
      <c r="O1234" s="49" t="str">
        <f t="shared" si="2"/>
        <v/>
      </c>
      <c r="P1234" s="49" t="str">
        <f t="shared" si="3"/>
        <v/>
      </c>
      <c r="Q1234" s="84"/>
      <c r="R1234" s="84"/>
      <c r="S1234" s="84"/>
      <c r="T1234" s="84"/>
      <c r="U1234" s="84"/>
      <c r="V1234" s="84"/>
      <c r="W1234" s="84"/>
      <c r="X1234" s="84"/>
      <c r="Y1234" s="84"/>
      <c r="Z1234" s="84"/>
      <c r="AA1234" s="84"/>
      <c r="AB1234" s="84"/>
    </row>
    <row r="1235">
      <c r="A1235" s="69">
        <v>84.0</v>
      </c>
      <c r="B1235" s="69">
        <v>126.0</v>
      </c>
      <c r="C1235" s="86" t="s">
        <v>300</v>
      </c>
      <c r="D1235" s="86" t="s">
        <v>301</v>
      </c>
      <c r="E1235" s="86" t="s">
        <v>302</v>
      </c>
      <c r="F1235" s="69">
        <v>2500.0</v>
      </c>
      <c r="G1235" s="69">
        <v>17.2</v>
      </c>
      <c r="H1235" s="68">
        <f t="shared" si="1"/>
        <v>60.04</v>
      </c>
      <c r="I1235" s="81">
        <f>IFERROR(__xludf.DUMMYFUNCTION("IF(G1235="""", """", ROUND(G1235 / MAX(FILTER($G$2:$G5067, $D$2:$D5067=$D1235)) * 100, 2))"),89.58)</f>
        <v>89.58</v>
      </c>
      <c r="J1235" s="81">
        <f>IFERROR(__xludf.DUMMYFUNCTION("IF(H1235="""", """", ROUND(H1235 / MAX(FILTER($H$2:$H5067, $D$2:$D5067=$D1235)) * 100, 2))"),42.38)</f>
        <v>42.38</v>
      </c>
      <c r="K1235" s="2"/>
      <c r="L1235" s="48"/>
      <c r="M1235" s="48"/>
      <c r="N1235" s="48"/>
      <c r="O1235" s="48" t="str">
        <f t="shared" si="2"/>
        <v/>
      </c>
      <c r="P1235" s="48" t="str">
        <f t="shared" si="3"/>
        <v/>
      </c>
      <c r="Q1235" s="84"/>
      <c r="R1235" s="84"/>
      <c r="S1235" s="84"/>
      <c r="T1235" s="84"/>
      <c r="U1235" s="84"/>
      <c r="V1235" s="84"/>
      <c r="W1235" s="84"/>
      <c r="X1235" s="84"/>
      <c r="Y1235" s="84"/>
      <c r="Z1235" s="84"/>
      <c r="AA1235" s="84"/>
      <c r="AB1235" s="84"/>
    </row>
    <row r="1236">
      <c r="A1236" s="63">
        <v>84.0</v>
      </c>
      <c r="B1236" s="63">
        <v>126.0</v>
      </c>
      <c r="C1236" s="64" t="s">
        <v>300</v>
      </c>
      <c r="D1236" s="64" t="s">
        <v>301</v>
      </c>
      <c r="E1236" s="64" t="s">
        <v>302</v>
      </c>
      <c r="F1236" s="63">
        <v>3000.0</v>
      </c>
      <c r="G1236" s="63">
        <v>18.1</v>
      </c>
      <c r="H1236" s="66">
        <f t="shared" si="1"/>
        <v>75.82</v>
      </c>
      <c r="I1236" s="81">
        <f>IFERROR(__xludf.DUMMYFUNCTION("IF(G1236="""", """", ROUND(G1236 / MAX(FILTER($G$2:$G5067, $D$2:$D5067=$D1236)) * 100, 2))"),94.27)</f>
        <v>94.27</v>
      </c>
      <c r="J1236" s="81">
        <f>IFERROR(__xludf.DUMMYFUNCTION("IF(H1236="""", """", ROUND(H1236 / MAX(FILTER($H$2:$H5067, $D$2:$D5067=$D1236)) * 100, 2))"),53.52)</f>
        <v>53.52</v>
      </c>
      <c r="K1236" s="2"/>
      <c r="L1236" s="49"/>
      <c r="M1236" s="49"/>
      <c r="N1236" s="49"/>
      <c r="O1236" s="49" t="str">
        <f t="shared" si="2"/>
        <v/>
      </c>
      <c r="P1236" s="49" t="str">
        <f t="shared" si="3"/>
        <v/>
      </c>
      <c r="Q1236" s="84"/>
      <c r="R1236" s="84"/>
      <c r="S1236" s="84"/>
      <c r="T1236" s="84"/>
      <c r="U1236" s="84"/>
      <c r="V1236" s="84"/>
      <c r="W1236" s="84"/>
      <c r="X1236" s="84"/>
      <c r="Y1236" s="84"/>
      <c r="Z1236" s="84"/>
      <c r="AA1236" s="84"/>
      <c r="AB1236" s="84"/>
    </row>
    <row r="1237">
      <c r="A1237" s="69">
        <v>84.0</v>
      </c>
      <c r="B1237" s="69">
        <v>126.0</v>
      </c>
      <c r="C1237" s="86" t="s">
        <v>300</v>
      </c>
      <c r="D1237" s="86" t="s">
        <v>301</v>
      </c>
      <c r="E1237" s="86" t="s">
        <v>302</v>
      </c>
      <c r="F1237" s="69">
        <v>3500.0</v>
      </c>
      <c r="G1237" s="69">
        <v>18.85</v>
      </c>
      <c r="H1237" s="68">
        <f t="shared" si="1"/>
        <v>92.12</v>
      </c>
      <c r="I1237" s="81">
        <f>IFERROR(__xludf.DUMMYFUNCTION("IF(G1237="""", """", ROUND(G1237 / MAX(FILTER($G$2:$G5067, $D$2:$D5067=$D1237)) * 100, 2))"),98.18)</f>
        <v>98.18</v>
      </c>
      <c r="J1237" s="81">
        <f>IFERROR(__xludf.DUMMYFUNCTION("IF(H1237="""", """", ROUND(H1237 / MAX(FILTER($H$2:$H5067, $D$2:$D5067=$D1237)) * 100, 2))"),65.03)</f>
        <v>65.03</v>
      </c>
      <c r="K1237" s="2"/>
      <c r="L1237" s="48"/>
      <c r="M1237" s="48"/>
      <c r="N1237" s="48"/>
      <c r="O1237" s="48" t="str">
        <f t="shared" si="2"/>
        <v/>
      </c>
      <c r="P1237" s="48" t="str">
        <f t="shared" si="3"/>
        <v/>
      </c>
      <c r="Q1237" s="84"/>
      <c r="R1237" s="84"/>
      <c r="S1237" s="84"/>
      <c r="T1237" s="84"/>
      <c r="U1237" s="84"/>
      <c r="V1237" s="84"/>
      <c r="W1237" s="84"/>
      <c r="X1237" s="84"/>
      <c r="Y1237" s="84"/>
      <c r="Z1237" s="84"/>
      <c r="AA1237" s="84"/>
      <c r="AB1237" s="84"/>
    </row>
    <row r="1238">
      <c r="A1238" s="63">
        <v>84.0</v>
      </c>
      <c r="B1238" s="63">
        <v>126.0</v>
      </c>
      <c r="C1238" s="64" t="s">
        <v>300</v>
      </c>
      <c r="D1238" s="64" t="s">
        <v>301</v>
      </c>
      <c r="E1238" s="64" t="s">
        <v>302</v>
      </c>
      <c r="F1238" s="63">
        <v>4150.0</v>
      </c>
      <c r="G1238" s="63">
        <v>19.2</v>
      </c>
      <c r="H1238" s="66">
        <f t="shared" si="1"/>
        <v>111.25</v>
      </c>
      <c r="I1238" s="81">
        <f>IFERROR(__xludf.DUMMYFUNCTION("IF(G1238="""", """", ROUND(G1238 / MAX(FILTER($G$2:$G5067, $D$2:$D5067=$D1238)) * 100, 2))"),100.0)</f>
        <v>100</v>
      </c>
      <c r="J1238" s="81">
        <f>IFERROR(__xludf.DUMMYFUNCTION("IF(H1238="""", """", ROUND(H1238 / MAX(FILTER($H$2:$H5067, $D$2:$D5067=$D1238)) * 100, 2))"),78.53)</f>
        <v>78.53</v>
      </c>
      <c r="K1238" s="2"/>
      <c r="L1238" s="49"/>
      <c r="M1238" s="49"/>
      <c r="N1238" s="49"/>
      <c r="O1238" s="49" t="str">
        <f t="shared" si="2"/>
        <v/>
      </c>
      <c r="P1238" s="49" t="str">
        <f t="shared" si="3"/>
        <v/>
      </c>
      <c r="Q1238" s="84"/>
      <c r="R1238" s="84"/>
      <c r="S1238" s="84"/>
      <c r="T1238" s="84"/>
      <c r="U1238" s="84"/>
      <c r="V1238" s="84"/>
      <c r="W1238" s="84"/>
      <c r="X1238" s="84"/>
      <c r="Y1238" s="84"/>
      <c r="Z1238" s="84"/>
      <c r="AA1238" s="84"/>
      <c r="AB1238" s="84"/>
    </row>
    <row r="1239">
      <c r="A1239" s="69">
        <v>84.0</v>
      </c>
      <c r="B1239" s="69">
        <v>126.0</v>
      </c>
      <c r="C1239" s="86" t="s">
        <v>300</v>
      </c>
      <c r="D1239" s="86" t="s">
        <v>301</v>
      </c>
      <c r="E1239" s="86" t="s">
        <v>302</v>
      </c>
      <c r="F1239" s="69">
        <v>4500.0</v>
      </c>
      <c r="G1239" s="69">
        <v>19.15</v>
      </c>
      <c r="H1239" s="68">
        <f t="shared" si="1"/>
        <v>120.32</v>
      </c>
      <c r="I1239" s="81">
        <f>IFERROR(__xludf.DUMMYFUNCTION("IF(G1239="""", """", ROUND(G1239 / MAX(FILTER($G$2:$G5067, $D$2:$D5067=$D1239)) * 100, 2))"),99.74)</f>
        <v>99.74</v>
      </c>
      <c r="J1239" s="81">
        <f>IFERROR(__xludf.DUMMYFUNCTION("IF(H1239="""", """", ROUND(H1239 / MAX(FILTER($H$2:$H5067, $D$2:$D5067=$D1239)) * 100, 2))"),84.94)</f>
        <v>84.94</v>
      </c>
      <c r="K1239" s="2"/>
      <c r="L1239" s="48"/>
      <c r="M1239" s="48"/>
      <c r="N1239" s="48"/>
      <c r="O1239" s="48" t="str">
        <f t="shared" si="2"/>
        <v/>
      </c>
      <c r="P1239" s="48" t="str">
        <f t="shared" si="3"/>
        <v/>
      </c>
      <c r="Q1239" s="84"/>
      <c r="R1239" s="84"/>
      <c r="S1239" s="84"/>
      <c r="T1239" s="84"/>
      <c r="U1239" s="84"/>
      <c r="V1239" s="84"/>
      <c r="W1239" s="84"/>
      <c r="X1239" s="84"/>
      <c r="Y1239" s="84"/>
      <c r="Z1239" s="84"/>
      <c r="AA1239" s="84"/>
      <c r="AB1239" s="84"/>
    </row>
    <row r="1240">
      <c r="A1240" s="63">
        <v>84.0</v>
      </c>
      <c r="B1240" s="63">
        <v>126.0</v>
      </c>
      <c r="C1240" s="64" t="s">
        <v>300</v>
      </c>
      <c r="D1240" s="64" t="s">
        <v>301</v>
      </c>
      <c r="E1240" s="64" t="s">
        <v>302</v>
      </c>
      <c r="F1240" s="63">
        <v>5100.0</v>
      </c>
      <c r="G1240" s="63">
        <v>18.75</v>
      </c>
      <c r="H1240" s="66">
        <f t="shared" si="1"/>
        <v>133.52</v>
      </c>
      <c r="I1240" s="81">
        <f>IFERROR(__xludf.DUMMYFUNCTION("IF(G1240="""", """", ROUND(G1240 / MAX(FILTER($G$2:$G5067, $D$2:$D5067=$D1240)) * 100, 2))"),97.66)</f>
        <v>97.66</v>
      </c>
      <c r="J1240" s="81">
        <f>IFERROR(__xludf.DUMMYFUNCTION("IF(H1240="""", """", ROUND(H1240 / MAX(FILTER($H$2:$H5067, $D$2:$D5067=$D1240)) * 100, 2))"),94.25)</f>
        <v>94.25</v>
      </c>
      <c r="K1240" s="2"/>
      <c r="L1240" s="49"/>
      <c r="M1240" s="49"/>
      <c r="N1240" s="49"/>
      <c r="O1240" s="49" t="str">
        <f t="shared" si="2"/>
        <v/>
      </c>
      <c r="P1240" s="49" t="str">
        <f t="shared" si="3"/>
        <v/>
      </c>
      <c r="Q1240" s="84"/>
      <c r="R1240" s="84"/>
      <c r="S1240" s="84"/>
      <c r="T1240" s="84"/>
      <c r="U1240" s="84"/>
      <c r="V1240" s="84"/>
      <c r="W1240" s="84"/>
      <c r="X1240" s="84"/>
      <c r="Y1240" s="84"/>
      <c r="Z1240" s="84"/>
      <c r="AA1240" s="84"/>
      <c r="AB1240" s="84"/>
    </row>
    <row r="1241">
      <c r="A1241" s="69">
        <v>84.0</v>
      </c>
      <c r="B1241" s="69">
        <v>126.0</v>
      </c>
      <c r="C1241" s="86" t="s">
        <v>300</v>
      </c>
      <c r="D1241" s="86" t="s">
        <v>301</v>
      </c>
      <c r="E1241" s="86" t="s">
        <v>302</v>
      </c>
      <c r="F1241" s="69">
        <v>5700.0</v>
      </c>
      <c r="G1241" s="69">
        <v>17.8</v>
      </c>
      <c r="H1241" s="68">
        <f t="shared" si="1"/>
        <v>141.66</v>
      </c>
      <c r="I1241" s="81">
        <f>IFERROR(__xludf.DUMMYFUNCTION("IF(G1241="""", """", ROUND(G1241 / MAX(FILTER($G$2:$G5067, $D$2:$D5067=$D1241)) * 100, 2))"),92.71)</f>
        <v>92.71</v>
      </c>
      <c r="J1241" s="81">
        <f>IFERROR(__xludf.DUMMYFUNCTION("IF(H1241="""", """", ROUND(H1241 / MAX(FILTER($H$2:$H5067, $D$2:$D5067=$D1241)) * 100, 2))"),100.0)</f>
        <v>100</v>
      </c>
      <c r="K1241" s="2"/>
      <c r="L1241" s="48"/>
      <c r="M1241" s="48"/>
      <c r="N1241" s="48"/>
      <c r="O1241" s="48" t="str">
        <f t="shared" si="2"/>
        <v/>
      </c>
      <c r="P1241" s="48" t="str">
        <f t="shared" si="3"/>
        <v/>
      </c>
      <c r="Q1241" s="84"/>
      <c r="R1241" s="84"/>
      <c r="S1241" s="84"/>
      <c r="T1241" s="84"/>
      <c r="U1241" s="84"/>
      <c r="V1241" s="84"/>
      <c r="W1241" s="84"/>
      <c r="X1241" s="84"/>
      <c r="Y1241" s="84"/>
      <c r="Z1241" s="84"/>
      <c r="AA1241" s="84"/>
      <c r="AB1241" s="84"/>
    </row>
    <row r="1242">
      <c r="A1242" s="63">
        <v>84.0</v>
      </c>
      <c r="B1242" s="63">
        <v>126.0</v>
      </c>
      <c r="C1242" s="64" t="s">
        <v>300</v>
      </c>
      <c r="D1242" s="64" t="s">
        <v>301</v>
      </c>
      <c r="E1242" s="64" t="s">
        <v>302</v>
      </c>
      <c r="F1242" s="63">
        <v>6000.0</v>
      </c>
      <c r="G1242" s="63">
        <v>16.8</v>
      </c>
      <c r="H1242" s="66">
        <f t="shared" si="1"/>
        <v>140.74</v>
      </c>
      <c r="I1242" s="81">
        <f>IFERROR(__xludf.DUMMYFUNCTION("IF(G1242="""", """", ROUND(G1242 / MAX(FILTER($G$2:$G5067, $D$2:$D5067=$D1242)) * 100, 2))"),87.5)</f>
        <v>87.5</v>
      </c>
      <c r="J1242" s="81">
        <f>IFERROR(__xludf.DUMMYFUNCTION("IF(H1242="""", """", ROUND(H1242 / MAX(FILTER($H$2:$H5067, $D$2:$D5067=$D1242)) * 100, 2))"),99.35)</f>
        <v>99.35</v>
      </c>
      <c r="K1242" s="2"/>
      <c r="L1242" s="49"/>
      <c r="M1242" s="49"/>
      <c r="N1242" s="49"/>
      <c r="O1242" s="49" t="str">
        <f t="shared" si="2"/>
        <v/>
      </c>
      <c r="P1242" s="49" t="str">
        <f t="shared" si="3"/>
        <v/>
      </c>
      <c r="Q1242" s="84"/>
      <c r="R1242" s="84"/>
      <c r="S1242" s="84"/>
      <c r="T1242" s="84"/>
      <c r="U1242" s="84"/>
      <c r="V1242" s="84"/>
      <c r="W1242" s="84"/>
      <c r="X1242" s="84"/>
      <c r="Y1242" s="84"/>
      <c r="Z1242" s="84"/>
      <c r="AA1242" s="84"/>
      <c r="AB1242" s="84"/>
    </row>
    <row r="1243">
      <c r="A1243" s="69">
        <v>84.0</v>
      </c>
      <c r="B1243" s="69">
        <v>126.0</v>
      </c>
      <c r="C1243" s="86" t="s">
        <v>300</v>
      </c>
      <c r="D1243" s="86" t="s">
        <v>301</v>
      </c>
      <c r="E1243" s="86" t="s">
        <v>302</v>
      </c>
      <c r="F1243" s="69">
        <v>6500.0</v>
      </c>
      <c r="G1243" s="69">
        <v>14.75</v>
      </c>
      <c r="H1243" s="68">
        <f t="shared" si="1"/>
        <v>133.87</v>
      </c>
      <c r="I1243" s="81">
        <f>IFERROR(__xludf.DUMMYFUNCTION("IF(G1243="""", """", ROUND(G1243 / MAX(FILTER($G$2:$G5067, $D$2:$D5067=$D1243)) * 100, 2))"),76.82)</f>
        <v>76.82</v>
      </c>
      <c r="J1243" s="81">
        <f>IFERROR(__xludf.DUMMYFUNCTION("IF(H1243="""", """", ROUND(H1243 / MAX(FILTER($H$2:$H5067, $D$2:$D5067=$D1243)) * 100, 2))"),94.5)</f>
        <v>94.5</v>
      </c>
      <c r="K1243" s="2"/>
      <c r="L1243" s="48"/>
      <c r="M1243" s="48"/>
      <c r="N1243" s="48"/>
      <c r="O1243" s="48" t="str">
        <f t="shared" si="2"/>
        <v/>
      </c>
      <c r="P1243" s="48" t="str">
        <f t="shared" si="3"/>
        <v/>
      </c>
      <c r="Q1243" s="84"/>
      <c r="R1243" s="84"/>
      <c r="S1243" s="84"/>
      <c r="T1243" s="84"/>
      <c r="U1243" s="84"/>
      <c r="V1243" s="84"/>
      <c r="W1243" s="84"/>
      <c r="X1243" s="84"/>
      <c r="Y1243" s="84"/>
      <c r="Z1243" s="84"/>
      <c r="AA1243" s="84"/>
      <c r="AB1243" s="84"/>
    </row>
    <row r="1244">
      <c r="A1244" s="63">
        <v>84.0</v>
      </c>
      <c r="B1244" s="63">
        <v>126.0</v>
      </c>
      <c r="C1244" s="64" t="s">
        <v>300</v>
      </c>
      <c r="D1244" s="64" t="s">
        <v>301</v>
      </c>
      <c r="E1244" s="64" t="s">
        <v>302</v>
      </c>
      <c r="F1244" s="63">
        <v>7000.0</v>
      </c>
      <c r="G1244" s="63">
        <v>11.55</v>
      </c>
      <c r="H1244" s="66">
        <f t="shared" si="1"/>
        <v>112.89</v>
      </c>
      <c r="I1244" s="81">
        <f>IFERROR(__xludf.DUMMYFUNCTION("IF(G1244="""", """", ROUND(G1244 / MAX(FILTER($G$2:$G5067, $D$2:$D5067=$D1244)) * 100, 2))"),60.16)</f>
        <v>60.16</v>
      </c>
      <c r="J1244" s="81">
        <f>IFERROR(__xludf.DUMMYFUNCTION("IF(H1244="""", """", ROUND(H1244 / MAX(FILTER($H$2:$H5067, $D$2:$D5067=$D1244)) * 100, 2))"),79.69)</f>
        <v>79.69</v>
      </c>
      <c r="K1244" s="2"/>
      <c r="L1244" s="49"/>
      <c r="M1244" s="49"/>
      <c r="N1244" s="49"/>
      <c r="O1244" s="49" t="str">
        <f t="shared" si="2"/>
        <v/>
      </c>
      <c r="P1244" s="49" t="str">
        <f t="shared" si="3"/>
        <v/>
      </c>
      <c r="Q1244" s="84"/>
      <c r="R1244" s="84"/>
      <c r="S1244" s="84"/>
      <c r="T1244" s="84"/>
      <c r="U1244" s="84"/>
      <c r="V1244" s="84"/>
      <c r="W1244" s="84"/>
      <c r="X1244" s="84"/>
      <c r="Y1244" s="84"/>
      <c r="Z1244" s="84"/>
      <c r="AA1244" s="84"/>
      <c r="AB1244" s="84"/>
    </row>
    <row r="1245">
      <c r="A1245" s="69">
        <v>85.0</v>
      </c>
      <c r="B1245" s="69">
        <v>127.0</v>
      </c>
      <c r="C1245" s="86" t="s">
        <v>303</v>
      </c>
      <c r="D1245" s="86" t="s">
        <v>304</v>
      </c>
      <c r="E1245" s="86" t="s">
        <v>305</v>
      </c>
      <c r="F1245" s="69">
        <v>500.0</v>
      </c>
      <c r="G1245" s="69">
        <v>57.58</v>
      </c>
      <c r="H1245" s="68">
        <f t="shared" si="1"/>
        <v>40.2</v>
      </c>
      <c r="I1245" s="81">
        <f>IFERROR(__xludf.DUMMYFUNCTION("IF(G1245="""", """", ROUND(G1245 / MAX(FILTER($G$2:$G5067, $D$2:$D5067=$D1245)) * 100, 2))"),85.46)</f>
        <v>85.46</v>
      </c>
      <c r="J1245" s="81">
        <f>IFERROR(__xludf.DUMMYFUNCTION("IF(H1245="""", """", ROUND(H1245 / MAX(FILTER($H$2:$H5067, $D$2:$D5067=$D1245)) * 100, 2))"),9.36)</f>
        <v>9.36</v>
      </c>
      <c r="K1245" s="2"/>
      <c r="L1245" s="48"/>
      <c r="M1245" s="48"/>
      <c r="N1245" s="48"/>
      <c r="O1245" s="48" t="str">
        <f t="shared" si="2"/>
        <v/>
      </c>
      <c r="P1245" s="48" t="str">
        <f t="shared" si="3"/>
        <v/>
      </c>
      <c r="Q1245" s="84"/>
      <c r="R1245" s="84"/>
      <c r="S1245" s="84"/>
      <c r="T1245" s="84"/>
      <c r="U1245" s="84"/>
      <c r="V1245" s="84"/>
      <c r="W1245" s="84"/>
      <c r="X1245" s="84"/>
      <c r="Y1245" s="84"/>
      <c r="Z1245" s="84"/>
      <c r="AA1245" s="84"/>
      <c r="AB1245" s="84"/>
    </row>
    <row r="1246">
      <c r="A1246" s="63">
        <v>85.0</v>
      </c>
      <c r="B1246" s="63">
        <v>127.0</v>
      </c>
      <c r="C1246" s="64" t="s">
        <v>303</v>
      </c>
      <c r="D1246" s="64" t="s">
        <v>304</v>
      </c>
      <c r="E1246" s="64" t="s">
        <v>305</v>
      </c>
      <c r="F1246" s="63">
        <v>1000.0</v>
      </c>
      <c r="G1246" s="63">
        <v>61.6</v>
      </c>
      <c r="H1246" s="66">
        <f t="shared" si="1"/>
        <v>86.01</v>
      </c>
      <c r="I1246" s="81">
        <f>IFERROR(__xludf.DUMMYFUNCTION("IF(G1246="""", """", ROUND(G1246 / MAX(FILTER($G$2:$G5067, $D$2:$D5067=$D1246)) * 100, 2))"),91.42)</f>
        <v>91.42</v>
      </c>
      <c r="J1246" s="81">
        <f>IFERROR(__xludf.DUMMYFUNCTION("IF(H1246="""", """", ROUND(H1246 / MAX(FILTER($H$2:$H5067, $D$2:$D5067=$D1246)) * 100, 2))"),20.02)</f>
        <v>20.02</v>
      </c>
      <c r="K1246" s="2"/>
      <c r="L1246" s="49"/>
      <c r="M1246" s="49"/>
      <c r="N1246" s="49"/>
      <c r="O1246" s="49" t="str">
        <f t="shared" si="2"/>
        <v/>
      </c>
      <c r="P1246" s="49" t="str">
        <f t="shared" si="3"/>
        <v/>
      </c>
      <c r="Q1246" s="84"/>
      <c r="R1246" s="84"/>
      <c r="S1246" s="84"/>
      <c r="T1246" s="84"/>
      <c r="U1246" s="84"/>
      <c r="V1246" s="84"/>
      <c r="W1246" s="84"/>
      <c r="X1246" s="84"/>
      <c r="Y1246" s="84"/>
      <c r="Z1246" s="84"/>
      <c r="AA1246" s="84"/>
      <c r="AB1246" s="84"/>
    </row>
    <row r="1247">
      <c r="A1247" s="69">
        <v>85.0</v>
      </c>
      <c r="B1247" s="69">
        <v>127.0</v>
      </c>
      <c r="C1247" s="86" t="s">
        <v>303</v>
      </c>
      <c r="D1247" s="86" t="s">
        <v>304</v>
      </c>
      <c r="E1247" s="86" t="s">
        <v>305</v>
      </c>
      <c r="F1247" s="69">
        <v>1500.0</v>
      </c>
      <c r="G1247" s="69">
        <v>64.4</v>
      </c>
      <c r="H1247" s="68">
        <f t="shared" si="1"/>
        <v>134.88</v>
      </c>
      <c r="I1247" s="81">
        <f>IFERROR(__xludf.DUMMYFUNCTION("IF(G1247="""", """", ROUND(G1247 / MAX(FILTER($G$2:$G5067, $D$2:$D5067=$D1247)) * 100, 2))"),95.58)</f>
        <v>95.58</v>
      </c>
      <c r="J1247" s="81">
        <f>IFERROR(__xludf.DUMMYFUNCTION("IF(H1247="""", """", ROUND(H1247 / MAX(FILTER($H$2:$H5067, $D$2:$D5067=$D1247)) * 100, 2))"),31.4)</f>
        <v>31.4</v>
      </c>
      <c r="K1247" s="2"/>
      <c r="L1247" s="48"/>
      <c r="M1247" s="48"/>
      <c r="N1247" s="48"/>
      <c r="O1247" s="48" t="str">
        <f t="shared" si="2"/>
        <v/>
      </c>
      <c r="P1247" s="48" t="str">
        <f t="shared" si="3"/>
        <v/>
      </c>
      <c r="Q1247" s="84"/>
      <c r="R1247" s="84"/>
      <c r="S1247" s="84"/>
      <c r="T1247" s="84"/>
      <c r="U1247" s="84"/>
      <c r="V1247" s="84"/>
      <c r="W1247" s="84"/>
      <c r="X1247" s="84"/>
      <c r="Y1247" s="84"/>
      <c r="Z1247" s="84"/>
      <c r="AA1247" s="84"/>
      <c r="AB1247" s="84"/>
    </row>
    <row r="1248">
      <c r="A1248" s="63">
        <v>85.0</v>
      </c>
      <c r="B1248" s="63">
        <v>127.0</v>
      </c>
      <c r="C1248" s="64" t="s">
        <v>303</v>
      </c>
      <c r="D1248" s="64" t="s">
        <v>304</v>
      </c>
      <c r="E1248" s="64" t="s">
        <v>305</v>
      </c>
      <c r="F1248" s="63">
        <v>2000.0</v>
      </c>
      <c r="G1248" s="63">
        <v>66.33</v>
      </c>
      <c r="H1248" s="66">
        <f t="shared" si="1"/>
        <v>185.23</v>
      </c>
      <c r="I1248" s="81">
        <f>IFERROR(__xludf.DUMMYFUNCTION("IF(G1248="""", """", ROUND(G1248 / MAX(FILTER($G$2:$G5067, $D$2:$D5067=$D1248)) * 100, 2))"),98.44)</f>
        <v>98.44</v>
      </c>
      <c r="J1248" s="81">
        <f>IFERROR(__xludf.DUMMYFUNCTION("IF(H1248="""", """", ROUND(H1248 / MAX(FILTER($H$2:$H5067, $D$2:$D5067=$D1248)) * 100, 2))"),43.12)</f>
        <v>43.12</v>
      </c>
      <c r="K1248" s="2"/>
      <c r="L1248" s="49"/>
      <c r="M1248" s="49"/>
      <c r="N1248" s="49"/>
      <c r="O1248" s="49" t="str">
        <f t="shared" si="2"/>
        <v/>
      </c>
      <c r="P1248" s="49" t="str">
        <f t="shared" si="3"/>
        <v/>
      </c>
      <c r="Q1248" s="84"/>
      <c r="R1248" s="84"/>
      <c r="S1248" s="84"/>
      <c r="T1248" s="84"/>
      <c r="U1248" s="84"/>
      <c r="V1248" s="84"/>
      <c r="W1248" s="84"/>
      <c r="X1248" s="84"/>
      <c r="Y1248" s="84"/>
      <c r="Z1248" s="84"/>
      <c r="AA1248" s="84"/>
      <c r="AB1248" s="84"/>
    </row>
    <row r="1249">
      <c r="A1249" s="69">
        <v>85.0</v>
      </c>
      <c r="B1249" s="69">
        <v>127.0</v>
      </c>
      <c r="C1249" s="86" t="s">
        <v>303</v>
      </c>
      <c r="D1249" s="86" t="s">
        <v>304</v>
      </c>
      <c r="E1249" s="86" t="s">
        <v>305</v>
      </c>
      <c r="F1249" s="69">
        <v>2500.0</v>
      </c>
      <c r="G1249" s="69">
        <v>67.2</v>
      </c>
      <c r="H1249" s="68">
        <f t="shared" si="1"/>
        <v>234.57</v>
      </c>
      <c r="I1249" s="81">
        <f>IFERROR(__xludf.DUMMYFUNCTION("IF(G1249="""", """", ROUND(G1249 / MAX(FILTER($G$2:$G5067, $D$2:$D5067=$D1249)) * 100, 2))"),99.73)</f>
        <v>99.73</v>
      </c>
      <c r="J1249" s="81">
        <f>IFERROR(__xludf.DUMMYFUNCTION("IF(H1249="""", """", ROUND(H1249 / MAX(FILTER($H$2:$H5067, $D$2:$D5067=$D1249)) * 100, 2))"),54.6)</f>
        <v>54.6</v>
      </c>
      <c r="K1249" s="2"/>
      <c r="L1249" s="48"/>
      <c r="M1249" s="48"/>
      <c r="N1249" s="48"/>
      <c r="O1249" s="48" t="str">
        <f t="shared" si="2"/>
        <v/>
      </c>
      <c r="P1249" s="48" t="str">
        <f t="shared" si="3"/>
        <v/>
      </c>
      <c r="Q1249" s="84"/>
      <c r="R1249" s="84"/>
      <c r="S1249" s="84"/>
      <c r="T1249" s="84"/>
      <c r="U1249" s="84"/>
      <c r="V1249" s="84"/>
      <c r="W1249" s="84"/>
      <c r="X1249" s="84"/>
      <c r="Y1249" s="84"/>
      <c r="Z1249" s="84"/>
      <c r="AA1249" s="84"/>
      <c r="AB1249" s="84"/>
    </row>
    <row r="1250">
      <c r="A1250" s="63">
        <v>85.0</v>
      </c>
      <c r="B1250" s="63">
        <v>127.0</v>
      </c>
      <c r="C1250" s="64" t="s">
        <v>303</v>
      </c>
      <c r="D1250" s="64" t="s">
        <v>304</v>
      </c>
      <c r="E1250" s="64" t="s">
        <v>305</v>
      </c>
      <c r="F1250" s="63">
        <v>3000.0</v>
      </c>
      <c r="G1250" s="63">
        <v>67.38</v>
      </c>
      <c r="H1250" s="66">
        <f t="shared" si="1"/>
        <v>282.24</v>
      </c>
      <c r="I1250" s="81">
        <f>IFERROR(__xludf.DUMMYFUNCTION("IF(G1250="""", """", ROUND(G1250 / MAX(FILTER($G$2:$G5067, $D$2:$D5067=$D1250)) * 100, 2))"),100.0)</f>
        <v>100</v>
      </c>
      <c r="J1250" s="81">
        <f>IFERROR(__xludf.DUMMYFUNCTION("IF(H1250="""", """", ROUND(H1250 / MAX(FILTER($H$2:$H5067, $D$2:$D5067=$D1250)) * 100, 2))"),65.7)</f>
        <v>65.7</v>
      </c>
      <c r="K1250" s="2"/>
      <c r="L1250" s="49"/>
      <c r="M1250" s="49"/>
      <c r="N1250" s="49"/>
      <c r="O1250" s="49" t="str">
        <f t="shared" si="2"/>
        <v/>
      </c>
      <c r="P1250" s="49" t="str">
        <f t="shared" si="3"/>
        <v/>
      </c>
      <c r="Q1250" s="84"/>
      <c r="R1250" s="84"/>
      <c r="S1250" s="84"/>
      <c r="T1250" s="84"/>
      <c r="U1250" s="84"/>
      <c r="V1250" s="84"/>
      <c r="W1250" s="84"/>
      <c r="X1250" s="84"/>
      <c r="Y1250" s="84"/>
      <c r="Z1250" s="84"/>
      <c r="AA1250" s="84"/>
      <c r="AB1250" s="84"/>
    </row>
    <row r="1251">
      <c r="A1251" s="69">
        <v>85.0</v>
      </c>
      <c r="B1251" s="69">
        <v>127.0</v>
      </c>
      <c r="C1251" s="86" t="s">
        <v>303</v>
      </c>
      <c r="D1251" s="86" t="s">
        <v>304</v>
      </c>
      <c r="E1251" s="86" t="s">
        <v>305</v>
      </c>
      <c r="F1251" s="69">
        <v>3700.0</v>
      </c>
      <c r="G1251" s="69">
        <v>66.82</v>
      </c>
      <c r="H1251" s="68">
        <f t="shared" si="1"/>
        <v>345.2</v>
      </c>
      <c r="I1251" s="81">
        <f>IFERROR(__xludf.DUMMYFUNCTION("IF(G1251="""", """", ROUND(G1251 / MAX(FILTER($G$2:$G5067, $D$2:$D5067=$D1251)) * 100, 2))"),99.17)</f>
        <v>99.17</v>
      </c>
      <c r="J1251" s="81">
        <f>IFERROR(__xludf.DUMMYFUNCTION("IF(H1251="""", """", ROUND(H1251 / MAX(FILTER($H$2:$H5067, $D$2:$D5067=$D1251)) * 100, 2))"),80.35)</f>
        <v>80.35</v>
      </c>
      <c r="K1251" s="2"/>
      <c r="L1251" s="48"/>
      <c r="M1251" s="48"/>
      <c r="N1251" s="48"/>
      <c r="O1251" s="48" t="str">
        <f t="shared" si="2"/>
        <v/>
      </c>
      <c r="P1251" s="48" t="str">
        <f t="shared" si="3"/>
        <v/>
      </c>
      <c r="Q1251" s="84"/>
      <c r="R1251" s="84"/>
      <c r="S1251" s="84"/>
      <c r="T1251" s="84"/>
      <c r="U1251" s="84"/>
      <c r="V1251" s="84"/>
      <c r="W1251" s="84"/>
      <c r="X1251" s="84"/>
      <c r="Y1251" s="84"/>
      <c r="Z1251" s="84"/>
      <c r="AA1251" s="84"/>
      <c r="AB1251" s="84"/>
    </row>
    <row r="1252">
      <c r="A1252" s="63">
        <v>85.0</v>
      </c>
      <c r="B1252" s="63">
        <v>127.0</v>
      </c>
      <c r="C1252" s="64" t="s">
        <v>303</v>
      </c>
      <c r="D1252" s="64" t="s">
        <v>304</v>
      </c>
      <c r="E1252" s="64" t="s">
        <v>305</v>
      </c>
      <c r="F1252" s="63">
        <v>4000.0</v>
      </c>
      <c r="G1252" s="63">
        <v>66.33</v>
      </c>
      <c r="H1252" s="66">
        <f t="shared" si="1"/>
        <v>370.46</v>
      </c>
      <c r="I1252" s="81">
        <f>IFERROR(__xludf.DUMMYFUNCTION("IF(G1252="""", """", ROUND(G1252 / MAX(FILTER($G$2:$G5067, $D$2:$D5067=$D1252)) * 100, 2))"),98.44)</f>
        <v>98.44</v>
      </c>
      <c r="J1252" s="81">
        <f>IFERROR(__xludf.DUMMYFUNCTION("IF(H1252="""", """", ROUND(H1252 / MAX(FILTER($H$2:$H5067, $D$2:$D5067=$D1252)) * 100, 2))"),86.23)</f>
        <v>86.23</v>
      </c>
      <c r="K1252" s="2"/>
      <c r="L1252" s="49"/>
      <c r="M1252" s="49"/>
      <c r="N1252" s="49"/>
      <c r="O1252" s="49" t="str">
        <f t="shared" si="2"/>
        <v/>
      </c>
      <c r="P1252" s="49" t="str">
        <f t="shared" si="3"/>
        <v/>
      </c>
      <c r="Q1252" s="84"/>
      <c r="R1252" s="84"/>
      <c r="S1252" s="84"/>
      <c r="T1252" s="84"/>
      <c r="U1252" s="84"/>
      <c r="V1252" s="84"/>
      <c r="W1252" s="84"/>
      <c r="X1252" s="84"/>
      <c r="Y1252" s="84"/>
      <c r="Z1252" s="84"/>
      <c r="AA1252" s="84"/>
      <c r="AB1252" s="84"/>
    </row>
    <row r="1253">
      <c r="A1253" s="69">
        <v>85.0</v>
      </c>
      <c r="B1253" s="69">
        <v>127.0</v>
      </c>
      <c r="C1253" s="86" t="s">
        <v>303</v>
      </c>
      <c r="D1253" s="86" t="s">
        <v>304</v>
      </c>
      <c r="E1253" s="86" t="s">
        <v>305</v>
      </c>
      <c r="F1253" s="69">
        <v>4700.0</v>
      </c>
      <c r="G1253" s="69">
        <v>63.88</v>
      </c>
      <c r="H1253" s="68">
        <f t="shared" si="1"/>
        <v>419.21</v>
      </c>
      <c r="I1253" s="81">
        <f>IFERROR(__xludf.DUMMYFUNCTION("IF(G1253="""", """", ROUND(G1253 / MAX(FILTER($G$2:$G5067, $D$2:$D5067=$D1253)) * 100, 2))"),94.81)</f>
        <v>94.81</v>
      </c>
      <c r="J1253" s="81">
        <f>IFERROR(__xludf.DUMMYFUNCTION("IF(H1253="""", """", ROUND(H1253 / MAX(FILTER($H$2:$H5067, $D$2:$D5067=$D1253)) * 100, 2))"),97.58)</f>
        <v>97.58</v>
      </c>
      <c r="K1253" s="2"/>
      <c r="L1253" s="48"/>
      <c r="M1253" s="48"/>
      <c r="N1253" s="48"/>
      <c r="O1253" s="48" t="str">
        <f t="shared" si="2"/>
        <v/>
      </c>
      <c r="P1253" s="48" t="str">
        <f t="shared" si="3"/>
        <v/>
      </c>
      <c r="Q1253" s="84"/>
      <c r="R1253" s="84"/>
      <c r="S1253" s="84"/>
      <c r="T1253" s="84"/>
      <c r="U1253" s="84"/>
      <c r="V1253" s="84"/>
      <c r="W1253" s="84"/>
      <c r="X1253" s="84"/>
      <c r="Y1253" s="84"/>
      <c r="Z1253" s="84"/>
      <c r="AA1253" s="84"/>
      <c r="AB1253" s="84"/>
    </row>
    <row r="1254">
      <c r="A1254" s="63">
        <v>85.0</v>
      </c>
      <c r="B1254" s="63">
        <v>127.0</v>
      </c>
      <c r="C1254" s="64" t="s">
        <v>303</v>
      </c>
      <c r="D1254" s="64" t="s">
        <v>304</v>
      </c>
      <c r="E1254" s="64" t="s">
        <v>305</v>
      </c>
      <c r="F1254" s="63">
        <v>5200.0</v>
      </c>
      <c r="G1254" s="63">
        <v>59.17</v>
      </c>
      <c r="H1254" s="66">
        <f t="shared" si="1"/>
        <v>429.61</v>
      </c>
      <c r="I1254" s="81">
        <f>IFERROR(__xludf.DUMMYFUNCTION("IF(G1254="""", """", ROUND(G1254 / MAX(FILTER($G$2:$G5067, $D$2:$D5067=$D1254)) * 100, 2))"),87.82)</f>
        <v>87.82</v>
      </c>
      <c r="J1254" s="81">
        <f>IFERROR(__xludf.DUMMYFUNCTION("IF(H1254="""", """", ROUND(H1254 / MAX(FILTER($H$2:$H5067, $D$2:$D5067=$D1254)) * 100, 2))"),100.0)</f>
        <v>100</v>
      </c>
      <c r="K1254" s="2"/>
      <c r="L1254" s="49"/>
      <c r="M1254" s="49"/>
      <c r="N1254" s="49"/>
      <c r="O1254" s="49" t="str">
        <f t="shared" si="2"/>
        <v/>
      </c>
      <c r="P1254" s="49" t="str">
        <f t="shared" si="3"/>
        <v/>
      </c>
      <c r="Q1254" s="84"/>
      <c r="R1254" s="84"/>
      <c r="S1254" s="84"/>
      <c r="T1254" s="84"/>
      <c r="U1254" s="84"/>
      <c r="V1254" s="84"/>
      <c r="W1254" s="84"/>
      <c r="X1254" s="84"/>
      <c r="Y1254" s="84"/>
      <c r="Z1254" s="84"/>
      <c r="AA1254" s="84"/>
      <c r="AB1254" s="84"/>
    </row>
    <row r="1255">
      <c r="A1255" s="69">
        <v>85.0</v>
      </c>
      <c r="B1255" s="69">
        <v>127.0</v>
      </c>
      <c r="C1255" s="86" t="s">
        <v>303</v>
      </c>
      <c r="D1255" s="86" t="s">
        <v>304</v>
      </c>
      <c r="E1255" s="86" t="s">
        <v>305</v>
      </c>
      <c r="F1255" s="69">
        <v>5600.0</v>
      </c>
      <c r="G1255" s="69">
        <v>54.08</v>
      </c>
      <c r="H1255" s="68">
        <f t="shared" si="1"/>
        <v>422.85</v>
      </c>
      <c r="I1255" s="81">
        <f>IFERROR(__xludf.DUMMYFUNCTION("IF(G1255="""", """", ROUND(G1255 / MAX(FILTER($G$2:$G5067, $D$2:$D5067=$D1255)) * 100, 2))"),80.26)</f>
        <v>80.26</v>
      </c>
      <c r="J1255" s="81">
        <f>IFERROR(__xludf.DUMMYFUNCTION("IF(H1255="""", """", ROUND(H1255 / MAX(FILTER($H$2:$H5067, $D$2:$D5067=$D1255)) * 100, 2))"),98.43)</f>
        <v>98.43</v>
      </c>
      <c r="K1255" s="2"/>
      <c r="L1255" s="48"/>
      <c r="M1255" s="48"/>
      <c r="N1255" s="48"/>
      <c r="O1255" s="48" t="str">
        <f t="shared" si="2"/>
        <v/>
      </c>
      <c r="P1255" s="48" t="str">
        <f t="shared" si="3"/>
        <v/>
      </c>
      <c r="Q1255" s="84"/>
      <c r="R1255" s="84"/>
      <c r="S1255" s="84"/>
      <c r="T1255" s="84"/>
      <c r="U1255" s="84"/>
      <c r="V1255" s="84"/>
      <c r="W1255" s="84"/>
      <c r="X1255" s="84"/>
      <c r="Y1255" s="84"/>
      <c r="Z1255" s="84"/>
      <c r="AA1255" s="84"/>
      <c r="AB1255" s="84"/>
    </row>
    <row r="1256">
      <c r="A1256" s="63">
        <v>85.0</v>
      </c>
      <c r="B1256" s="63">
        <v>127.0</v>
      </c>
      <c r="C1256" s="64" t="s">
        <v>303</v>
      </c>
      <c r="D1256" s="64" t="s">
        <v>304</v>
      </c>
      <c r="E1256" s="64" t="s">
        <v>305</v>
      </c>
      <c r="F1256" s="63">
        <v>6000.0</v>
      </c>
      <c r="G1256" s="63">
        <v>47.26</v>
      </c>
      <c r="H1256" s="66">
        <f t="shared" si="1"/>
        <v>395.92</v>
      </c>
      <c r="I1256" s="81">
        <f>IFERROR(__xludf.DUMMYFUNCTION("IF(G1256="""", """", ROUND(G1256 / MAX(FILTER($G$2:$G5067, $D$2:$D5067=$D1256)) * 100, 2))"),70.14)</f>
        <v>70.14</v>
      </c>
      <c r="J1256" s="81">
        <f>IFERROR(__xludf.DUMMYFUNCTION("IF(H1256="""", """", ROUND(H1256 / MAX(FILTER($H$2:$H5067, $D$2:$D5067=$D1256)) * 100, 2))"),92.16)</f>
        <v>92.16</v>
      </c>
      <c r="K1256" s="2"/>
      <c r="L1256" s="49"/>
      <c r="M1256" s="49"/>
      <c r="N1256" s="49"/>
      <c r="O1256" s="49" t="str">
        <f t="shared" si="2"/>
        <v/>
      </c>
      <c r="P1256" s="49" t="str">
        <f t="shared" si="3"/>
        <v/>
      </c>
      <c r="Q1256" s="84"/>
      <c r="R1256" s="84"/>
      <c r="S1256" s="84"/>
      <c r="T1256" s="84"/>
      <c r="U1256" s="84"/>
      <c r="V1256" s="84"/>
      <c r="W1256" s="84"/>
      <c r="X1256" s="84"/>
      <c r="Y1256" s="84"/>
      <c r="Z1256" s="84"/>
      <c r="AA1256" s="84"/>
      <c r="AB1256" s="84"/>
    </row>
    <row r="1257">
      <c r="A1257" s="69">
        <v>85.0</v>
      </c>
      <c r="B1257" s="69">
        <v>127.0</v>
      </c>
      <c r="C1257" s="86" t="s">
        <v>303</v>
      </c>
      <c r="D1257" s="86" t="s">
        <v>304</v>
      </c>
      <c r="E1257" s="86" t="s">
        <v>305</v>
      </c>
      <c r="F1257" s="69">
        <v>6500.0</v>
      </c>
      <c r="G1257" s="69">
        <v>37.45</v>
      </c>
      <c r="H1257" s="68">
        <f t="shared" si="1"/>
        <v>339.88</v>
      </c>
      <c r="I1257" s="81">
        <f>IFERROR(__xludf.DUMMYFUNCTION("IF(G1257="""", """", ROUND(G1257 / MAX(FILTER($G$2:$G5067, $D$2:$D5067=$D1257)) * 100, 2))"),55.58)</f>
        <v>55.58</v>
      </c>
      <c r="J1257" s="81">
        <f>IFERROR(__xludf.DUMMYFUNCTION("IF(H1257="""", """", ROUND(H1257 / MAX(FILTER($H$2:$H5067, $D$2:$D5067=$D1257)) * 100, 2))"),79.11)</f>
        <v>79.11</v>
      </c>
      <c r="K1257" s="2"/>
      <c r="L1257" s="48"/>
      <c r="M1257" s="48"/>
      <c r="N1257" s="48"/>
      <c r="O1257" s="48" t="str">
        <f t="shared" si="2"/>
        <v/>
      </c>
      <c r="P1257" s="48" t="str">
        <f t="shared" si="3"/>
        <v/>
      </c>
      <c r="Q1257" s="84"/>
      <c r="R1257" s="84"/>
      <c r="S1257" s="84"/>
      <c r="T1257" s="84"/>
      <c r="U1257" s="84"/>
      <c r="V1257" s="84"/>
      <c r="W1257" s="84"/>
      <c r="X1257" s="84"/>
      <c r="Y1257" s="84"/>
      <c r="Z1257" s="84"/>
      <c r="AA1257" s="84"/>
      <c r="AB1257" s="84"/>
    </row>
    <row r="1258">
      <c r="A1258" s="63">
        <v>86.0</v>
      </c>
      <c r="B1258" s="63">
        <v>129.0</v>
      </c>
      <c r="C1258" s="64" t="s">
        <v>306</v>
      </c>
      <c r="D1258" s="64" t="s">
        <v>307</v>
      </c>
      <c r="E1258" s="64" t="s">
        <v>308</v>
      </c>
      <c r="F1258" s="63">
        <v>500.0</v>
      </c>
      <c r="G1258" s="63">
        <v>3.1</v>
      </c>
      <c r="H1258" s="66">
        <f t="shared" si="1"/>
        <v>2.16</v>
      </c>
      <c r="I1258" s="81">
        <f>IFERROR(__xludf.DUMMYFUNCTION("IF(G1258="""", """", ROUND(G1258 / MAX(FILTER($G$2:$G5067, $D$2:$D5067=$D1258)) * 100, 2))"),50.82)</f>
        <v>50.82</v>
      </c>
      <c r="J1258" s="81">
        <f>IFERROR(__xludf.DUMMYFUNCTION("IF(H1258="""", """", ROUND(H1258 / MAX(FILTER($H$2:$H5067, $D$2:$D5067=$D1258)) * 100, 2))"),3.38)</f>
        <v>3.38</v>
      </c>
      <c r="K1258" s="2"/>
      <c r="L1258" s="49"/>
      <c r="M1258" s="49"/>
      <c r="N1258" s="49"/>
      <c r="O1258" s="49" t="str">
        <f t="shared" si="2"/>
        <v/>
      </c>
      <c r="P1258" s="49" t="str">
        <f t="shared" si="3"/>
        <v/>
      </c>
      <c r="Q1258" s="84"/>
      <c r="R1258" s="84"/>
      <c r="S1258" s="84"/>
      <c r="T1258" s="84"/>
      <c r="U1258" s="84"/>
      <c r="V1258" s="84"/>
      <c r="W1258" s="84"/>
      <c r="X1258" s="84"/>
      <c r="Y1258" s="84"/>
      <c r="Z1258" s="84"/>
      <c r="AA1258" s="84"/>
      <c r="AB1258" s="84"/>
    </row>
    <row r="1259">
      <c r="A1259" s="69">
        <v>86.0</v>
      </c>
      <c r="B1259" s="69">
        <v>129.0</v>
      </c>
      <c r="C1259" s="86" t="s">
        <v>306</v>
      </c>
      <c r="D1259" s="86" t="s">
        <v>307</v>
      </c>
      <c r="E1259" s="86" t="s">
        <v>308</v>
      </c>
      <c r="F1259" s="69">
        <v>1000.0</v>
      </c>
      <c r="G1259" s="69">
        <v>3.72</v>
      </c>
      <c r="H1259" s="68">
        <f t="shared" si="1"/>
        <v>5.19</v>
      </c>
      <c r="I1259" s="81">
        <f>IFERROR(__xludf.DUMMYFUNCTION("IF(G1259="""", """", ROUND(G1259 / MAX(FILTER($G$2:$G5067, $D$2:$D5067=$D1259)) * 100, 2))"),60.98)</f>
        <v>60.98</v>
      </c>
      <c r="J1259" s="81">
        <f>IFERROR(__xludf.DUMMYFUNCTION("IF(H1259="""", """", ROUND(H1259 / MAX(FILTER($H$2:$H5067, $D$2:$D5067=$D1259)) * 100, 2))"),8.12)</f>
        <v>8.12</v>
      </c>
      <c r="K1259" s="2"/>
      <c r="L1259" s="48"/>
      <c r="M1259" s="48"/>
      <c r="N1259" s="48"/>
      <c r="O1259" s="48" t="str">
        <f t="shared" si="2"/>
        <v/>
      </c>
      <c r="P1259" s="48" t="str">
        <f t="shared" si="3"/>
        <v/>
      </c>
      <c r="Q1259" s="84"/>
      <c r="R1259" s="84"/>
      <c r="S1259" s="84"/>
      <c r="T1259" s="84"/>
      <c r="U1259" s="84"/>
      <c r="V1259" s="84"/>
      <c r="W1259" s="84"/>
      <c r="X1259" s="84"/>
      <c r="Y1259" s="84"/>
      <c r="Z1259" s="84"/>
      <c r="AA1259" s="84"/>
      <c r="AB1259" s="84"/>
    </row>
    <row r="1260">
      <c r="A1260" s="63">
        <v>86.0</v>
      </c>
      <c r="B1260" s="63">
        <v>129.0</v>
      </c>
      <c r="C1260" s="64" t="s">
        <v>306</v>
      </c>
      <c r="D1260" s="64" t="s">
        <v>307</v>
      </c>
      <c r="E1260" s="64" t="s">
        <v>308</v>
      </c>
      <c r="F1260" s="63">
        <v>1500.0</v>
      </c>
      <c r="G1260" s="63">
        <v>4.25</v>
      </c>
      <c r="H1260" s="66">
        <f t="shared" si="1"/>
        <v>8.9</v>
      </c>
      <c r="I1260" s="81">
        <f>IFERROR(__xludf.DUMMYFUNCTION("IF(G1260="""", """", ROUND(G1260 / MAX(FILTER($G$2:$G5067, $D$2:$D5067=$D1260)) * 100, 2))"),69.67)</f>
        <v>69.67</v>
      </c>
      <c r="J1260" s="81">
        <f>IFERROR(__xludf.DUMMYFUNCTION("IF(H1260="""", """", ROUND(H1260 / MAX(FILTER($H$2:$H5067, $D$2:$D5067=$D1260)) * 100, 2))"),13.93)</f>
        <v>13.93</v>
      </c>
      <c r="K1260" s="2"/>
      <c r="L1260" s="49"/>
      <c r="M1260" s="49"/>
      <c r="N1260" s="49"/>
      <c r="O1260" s="49" t="str">
        <f t="shared" si="2"/>
        <v/>
      </c>
      <c r="P1260" s="49" t="str">
        <f t="shared" si="3"/>
        <v/>
      </c>
      <c r="Q1260" s="84"/>
      <c r="R1260" s="84"/>
      <c r="S1260" s="84"/>
      <c r="T1260" s="84"/>
      <c r="U1260" s="84"/>
      <c r="V1260" s="84"/>
      <c r="W1260" s="84"/>
      <c r="X1260" s="84"/>
      <c r="Y1260" s="84"/>
      <c r="Z1260" s="84"/>
      <c r="AA1260" s="84"/>
      <c r="AB1260" s="84"/>
    </row>
    <row r="1261">
      <c r="A1261" s="69">
        <v>86.0</v>
      </c>
      <c r="B1261" s="69">
        <v>129.0</v>
      </c>
      <c r="C1261" s="86" t="s">
        <v>306</v>
      </c>
      <c r="D1261" s="86" t="s">
        <v>307</v>
      </c>
      <c r="E1261" s="86" t="s">
        <v>308</v>
      </c>
      <c r="F1261" s="69">
        <v>2000.0</v>
      </c>
      <c r="G1261" s="69">
        <v>4.73</v>
      </c>
      <c r="H1261" s="68">
        <f t="shared" si="1"/>
        <v>13.21</v>
      </c>
      <c r="I1261" s="81">
        <f>IFERROR(__xludf.DUMMYFUNCTION("IF(G1261="""", """", ROUND(G1261 / MAX(FILTER($G$2:$G5067, $D$2:$D5067=$D1261)) * 100, 2))"),77.54)</f>
        <v>77.54</v>
      </c>
      <c r="J1261" s="81">
        <f>IFERROR(__xludf.DUMMYFUNCTION("IF(H1261="""", """", ROUND(H1261 / MAX(FILTER($H$2:$H5067, $D$2:$D5067=$D1261)) * 100, 2))"),20.68)</f>
        <v>20.68</v>
      </c>
      <c r="K1261" s="2"/>
      <c r="L1261" s="48"/>
      <c r="M1261" s="48"/>
      <c r="N1261" s="48"/>
      <c r="O1261" s="48" t="str">
        <f t="shared" si="2"/>
        <v/>
      </c>
      <c r="P1261" s="48" t="str">
        <f t="shared" si="3"/>
        <v/>
      </c>
      <c r="Q1261" s="84"/>
      <c r="R1261" s="84"/>
      <c r="S1261" s="84"/>
      <c r="T1261" s="84"/>
      <c r="U1261" s="84"/>
      <c r="V1261" s="84"/>
      <c r="W1261" s="84"/>
      <c r="X1261" s="84"/>
      <c r="Y1261" s="84"/>
      <c r="Z1261" s="84"/>
      <c r="AA1261" s="84"/>
      <c r="AB1261" s="84"/>
    </row>
    <row r="1262">
      <c r="A1262" s="63">
        <v>86.0</v>
      </c>
      <c r="B1262" s="63">
        <v>129.0</v>
      </c>
      <c r="C1262" s="64" t="s">
        <v>306</v>
      </c>
      <c r="D1262" s="64" t="s">
        <v>307</v>
      </c>
      <c r="E1262" s="64" t="s">
        <v>308</v>
      </c>
      <c r="F1262" s="63">
        <v>2500.0</v>
      </c>
      <c r="G1262" s="63">
        <v>5.04</v>
      </c>
      <c r="H1262" s="66">
        <f t="shared" si="1"/>
        <v>17.59</v>
      </c>
      <c r="I1262" s="81">
        <f>IFERROR(__xludf.DUMMYFUNCTION("IF(G1262="""", """", ROUND(G1262 / MAX(FILTER($G$2:$G5067, $D$2:$D5067=$D1262)) * 100, 2))"),82.62)</f>
        <v>82.62</v>
      </c>
      <c r="J1262" s="81">
        <f>IFERROR(__xludf.DUMMYFUNCTION("IF(H1262="""", """", ROUND(H1262 / MAX(FILTER($H$2:$H5067, $D$2:$D5067=$D1262)) * 100, 2))"),27.53)</f>
        <v>27.53</v>
      </c>
      <c r="K1262" s="2"/>
      <c r="L1262" s="49"/>
      <c r="M1262" s="49"/>
      <c r="N1262" s="49"/>
      <c r="O1262" s="49" t="str">
        <f t="shared" si="2"/>
        <v/>
      </c>
      <c r="P1262" s="49" t="str">
        <f t="shared" si="3"/>
        <v/>
      </c>
      <c r="Q1262" s="84"/>
      <c r="R1262" s="84"/>
      <c r="S1262" s="84"/>
      <c r="T1262" s="84"/>
      <c r="U1262" s="84"/>
      <c r="V1262" s="84"/>
      <c r="W1262" s="84"/>
      <c r="X1262" s="84"/>
      <c r="Y1262" s="84"/>
      <c r="Z1262" s="84"/>
      <c r="AA1262" s="84"/>
      <c r="AB1262" s="84"/>
    </row>
    <row r="1263">
      <c r="A1263" s="69">
        <v>86.0</v>
      </c>
      <c r="B1263" s="69">
        <v>129.0</v>
      </c>
      <c r="C1263" s="86" t="s">
        <v>306</v>
      </c>
      <c r="D1263" s="86" t="s">
        <v>307</v>
      </c>
      <c r="E1263" s="86" t="s">
        <v>308</v>
      </c>
      <c r="F1263" s="69">
        <v>3000.0</v>
      </c>
      <c r="G1263" s="69">
        <v>5.13</v>
      </c>
      <c r="H1263" s="68">
        <f t="shared" si="1"/>
        <v>21.49</v>
      </c>
      <c r="I1263" s="81">
        <f>IFERROR(__xludf.DUMMYFUNCTION("IF(G1263="""", """", ROUND(G1263 / MAX(FILTER($G$2:$G5067, $D$2:$D5067=$D1263)) * 100, 2))"),84.1)</f>
        <v>84.1</v>
      </c>
      <c r="J1263" s="81">
        <f>IFERROR(__xludf.DUMMYFUNCTION("IF(H1263="""", """", ROUND(H1263 / MAX(FILTER($H$2:$H5067, $D$2:$D5067=$D1263)) * 100, 2))"),33.64)</f>
        <v>33.64</v>
      </c>
      <c r="K1263" s="2"/>
      <c r="L1263" s="48"/>
      <c r="M1263" s="48"/>
      <c r="N1263" s="48"/>
      <c r="O1263" s="48" t="str">
        <f t="shared" si="2"/>
        <v/>
      </c>
      <c r="P1263" s="48" t="str">
        <f t="shared" si="3"/>
        <v/>
      </c>
      <c r="Q1263" s="84"/>
      <c r="R1263" s="84"/>
      <c r="S1263" s="84"/>
      <c r="T1263" s="84"/>
      <c r="U1263" s="84"/>
      <c r="V1263" s="84"/>
      <c r="W1263" s="84"/>
      <c r="X1263" s="84"/>
      <c r="Y1263" s="84"/>
      <c r="Z1263" s="84"/>
      <c r="AA1263" s="84"/>
      <c r="AB1263" s="84"/>
    </row>
    <row r="1264">
      <c r="A1264" s="63">
        <v>86.0</v>
      </c>
      <c r="B1264" s="63">
        <v>129.0</v>
      </c>
      <c r="C1264" s="64" t="s">
        <v>306</v>
      </c>
      <c r="D1264" s="64" t="s">
        <v>307</v>
      </c>
      <c r="E1264" s="64" t="s">
        <v>308</v>
      </c>
      <c r="F1264" s="63">
        <v>3500.0</v>
      </c>
      <c r="G1264" s="63">
        <v>5.25</v>
      </c>
      <c r="H1264" s="66">
        <f t="shared" si="1"/>
        <v>25.66</v>
      </c>
      <c r="I1264" s="81">
        <f>IFERROR(__xludf.DUMMYFUNCTION("IF(G1264="""", """", ROUND(G1264 / MAX(FILTER($G$2:$G5067, $D$2:$D5067=$D1264)) * 100, 2))"),86.07)</f>
        <v>86.07</v>
      </c>
      <c r="J1264" s="81">
        <f>IFERROR(__xludf.DUMMYFUNCTION("IF(H1264="""", """", ROUND(H1264 / MAX(FILTER($H$2:$H5067, $D$2:$D5067=$D1264)) * 100, 2))"),40.16)</f>
        <v>40.16</v>
      </c>
      <c r="K1264" s="2"/>
      <c r="L1264" s="49"/>
      <c r="M1264" s="49"/>
      <c r="N1264" s="49"/>
      <c r="O1264" s="49" t="str">
        <f t="shared" si="2"/>
        <v/>
      </c>
      <c r="P1264" s="49" t="str">
        <f t="shared" si="3"/>
        <v/>
      </c>
      <c r="Q1264" s="84"/>
      <c r="R1264" s="84"/>
      <c r="S1264" s="84"/>
      <c r="T1264" s="84"/>
      <c r="U1264" s="84"/>
      <c r="V1264" s="84"/>
      <c r="W1264" s="84"/>
      <c r="X1264" s="84"/>
      <c r="Y1264" s="84"/>
      <c r="Z1264" s="84"/>
      <c r="AA1264" s="84"/>
      <c r="AB1264" s="84"/>
    </row>
    <row r="1265">
      <c r="A1265" s="69">
        <v>86.0</v>
      </c>
      <c r="B1265" s="69">
        <v>129.0</v>
      </c>
      <c r="C1265" s="86" t="s">
        <v>306</v>
      </c>
      <c r="D1265" s="86" t="s">
        <v>307</v>
      </c>
      <c r="E1265" s="86" t="s">
        <v>308</v>
      </c>
      <c r="F1265" s="69">
        <v>4000.0</v>
      </c>
      <c r="G1265" s="69">
        <v>5.33</v>
      </c>
      <c r="H1265" s="68">
        <f t="shared" si="1"/>
        <v>29.77</v>
      </c>
      <c r="I1265" s="81">
        <f>IFERROR(__xludf.DUMMYFUNCTION("IF(G1265="""", """", ROUND(G1265 / MAX(FILTER($G$2:$G5067, $D$2:$D5067=$D1265)) * 100, 2))"),87.38)</f>
        <v>87.38</v>
      </c>
      <c r="J1265" s="81">
        <f>IFERROR(__xludf.DUMMYFUNCTION("IF(H1265="""", """", ROUND(H1265 / MAX(FILTER($H$2:$H5067, $D$2:$D5067=$D1265)) * 100, 2))"),46.6)</f>
        <v>46.6</v>
      </c>
      <c r="K1265" s="2"/>
      <c r="L1265" s="48"/>
      <c r="M1265" s="48"/>
      <c r="N1265" s="48"/>
      <c r="O1265" s="48" t="str">
        <f t="shared" si="2"/>
        <v/>
      </c>
      <c r="P1265" s="48" t="str">
        <f t="shared" si="3"/>
        <v/>
      </c>
      <c r="Q1265" s="84"/>
      <c r="R1265" s="84"/>
      <c r="S1265" s="84"/>
      <c r="T1265" s="84"/>
      <c r="U1265" s="84"/>
      <c r="V1265" s="84"/>
      <c r="W1265" s="84"/>
      <c r="X1265" s="84"/>
      <c r="Y1265" s="84"/>
      <c r="Z1265" s="84"/>
      <c r="AA1265" s="84"/>
      <c r="AB1265" s="84"/>
    </row>
    <row r="1266">
      <c r="A1266" s="63">
        <v>86.0</v>
      </c>
      <c r="B1266" s="63">
        <v>129.0</v>
      </c>
      <c r="C1266" s="64" t="s">
        <v>306</v>
      </c>
      <c r="D1266" s="64" t="s">
        <v>307</v>
      </c>
      <c r="E1266" s="64" t="s">
        <v>308</v>
      </c>
      <c r="F1266" s="63">
        <v>4500.0</v>
      </c>
      <c r="G1266" s="63">
        <v>5.36</v>
      </c>
      <c r="H1266" s="66">
        <f t="shared" si="1"/>
        <v>33.68</v>
      </c>
      <c r="I1266" s="81">
        <f>IFERROR(__xludf.DUMMYFUNCTION("IF(G1266="""", """", ROUND(G1266 / MAX(FILTER($G$2:$G5067, $D$2:$D5067=$D1266)) * 100, 2))"),87.87)</f>
        <v>87.87</v>
      </c>
      <c r="J1266" s="81">
        <f>IFERROR(__xludf.DUMMYFUNCTION("IF(H1266="""", """", ROUND(H1266 / MAX(FILTER($H$2:$H5067, $D$2:$D5067=$D1266)) * 100, 2))"),52.72)</f>
        <v>52.72</v>
      </c>
      <c r="K1266" s="2"/>
      <c r="L1266" s="49"/>
      <c r="M1266" s="49"/>
      <c r="N1266" s="49"/>
      <c r="O1266" s="49" t="str">
        <f t="shared" si="2"/>
        <v/>
      </c>
      <c r="P1266" s="49" t="str">
        <f t="shared" si="3"/>
        <v/>
      </c>
      <c r="Q1266" s="84"/>
      <c r="R1266" s="84"/>
      <c r="S1266" s="84"/>
      <c r="T1266" s="84"/>
      <c r="U1266" s="84"/>
      <c r="V1266" s="84"/>
      <c r="W1266" s="84"/>
      <c r="X1266" s="84"/>
      <c r="Y1266" s="84"/>
      <c r="Z1266" s="84"/>
      <c r="AA1266" s="84"/>
      <c r="AB1266" s="84"/>
    </row>
    <row r="1267">
      <c r="A1267" s="69">
        <v>86.0</v>
      </c>
      <c r="B1267" s="69">
        <v>129.0</v>
      </c>
      <c r="C1267" s="86" t="s">
        <v>306</v>
      </c>
      <c r="D1267" s="86" t="s">
        <v>307</v>
      </c>
      <c r="E1267" s="86" t="s">
        <v>308</v>
      </c>
      <c r="F1267" s="69">
        <v>5000.0</v>
      </c>
      <c r="G1267" s="69">
        <v>5.46</v>
      </c>
      <c r="H1267" s="68">
        <f t="shared" si="1"/>
        <v>38.12</v>
      </c>
      <c r="I1267" s="81">
        <f>IFERROR(__xludf.DUMMYFUNCTION("IF(G1267="""", """", ROUND(G1267 / MAX(FILTER($G$2:$G5067, $D$2:$D5067=$D1267)) * 100, 2))"),89.51)</f>
        <v>89.51</v>
      </c>
      <c r="J1267" s="81">
        <f>IFERROR(__xludf.DUMMYFUNCTION("IF(H1267="""", """", ROUND(H1267 / MAX(FILTER($H$2:$H5067, $D$2:$D5067=$D1267)) * 100, 2))"),59.67)</f>
        <v>59.67</v>
      </c>
      <c r="K1267" s="2"/>
      <c r="L1267" s="48"/>
      <c r="M1267" s="48"/>
      <c r="N1267" s="48"/>
      <c r="O1267" s="48" t="str">
        <f t="shared" si="2"/>
        <v/>
      </c>
      <c r="P1267" s="48" t="str">
        <f t="shared" si="3"/>
        <v/>
      </c>
      <c r="Q1267" s="84"/>
      <c r="R1267" s="84"/>
      <c r="S1267" s="84"/>
      <c r="T1267" s="84"/>
      <c r="U1267" s="84"/>
      <c r="V1267" s="84"/>
      <c r="W1267" s="84"/>
      <c r="X1267" s="84"/>
      <c r="Y1267" s="84"/>
      <c r="Z1267" s="84"/>
      <c r="AA1267" s="84"/>
      <c r="AB1267" s="84"/>
    </row>
    <row r="1268">
      <c r="A1268" s="63">
        <v>86.0</v>
      </c>
      <c r="B1268" s="63">
        <v>129.0</v>
      </c>
      <c r="C1268" s="64" t="s">
        <v>306</v>
      </c>
      <c r="D1268" s="64" t="s">
        <v>307</v>
      </c>
      <c r="E1268" s="64" t="s">
        <v>308</v>
      </c>
      <c r="F1268" s="63">
        <v>5500.0</v>
      </c>
      <c r="G1268" s="63">
        <v>5.69</v>
      </c>
      <c r="H1268" s="66">
        <f t="shared" si="1"/>
        <v>43.7</v>
      </c>
      <c r="I1268" s="81">
        <f>IFERROR(__xludf.DUMMYFUNCTION("IF(G1268="""", """", ROUND(G1268 / MAX(FILTER($G$2:$G5067, $D$2:$D5067=$D1268)) * 100, 2))"),93.28)</f>
        <v>93.28</v>
      </c>
      <c r="J1268" s="81">
        <f>IFERROR(__xludf.DUMMYFUNCTION("IF(H1268="""", """", ROUND(H1268 / MAX(FILTER($H$2:$H5067, $D$2:$D5067=$D1268)) * 100, 2))"),68.4)</f>
        <v>68.4</v>
      </c>
      <c r="K1268" s="2"/>
      <c r="L1268" s="49"/>
      <c r="M1268" s="49"/>
      <c r="N1268" s="49"/>
      <c r="O1268" s="49" t="str">
        <f t="shared" si="2"/>
        <v/>
      </c>
      <c r="P1268" s="49" t="str">
        <f t="shared" si="3"/>
        <v/>
      </c>
      <c r="Q1268" s="84"/>
      <c r="R1268" s="84"/>
      <c r="S1268" s="84"/>
      <c r="T1268" s="84"/>
      <c r="U1268" s="84"/>
      <c r="V1268" s="84"/>
      <c r="W1268" s="84"/>
      <c r="X1268" s="84"/>
      <c r="Y1268" s="84"/>
      <c r="Z1268" s="84"/>
      <c r="AA1268" s="84"/>
      <c r="AB1268" s="84"/>
    </row>
    <row r="1269">
      <c r="A1269" s="69">
        <v>86.0</v>
      </c>
      <c r="B1269" s="69">
        <v>129.0</v>
      </c>
      <c r="C1269" s="86" t="s">
        <v>306</v>
      </c>
      <c r="D1269" s="86" t="s">
        <v>307</v>
      </c>
      <c r="E1269" s="86" t="s">
        <v>308</v>
      </c>
      <c r="F1269" s="69">
        <v>6000.0</v>
      </c>
      <c r="G1269" s="69">
        <v>6.0</v>
      </c>
      <c r="H1269" s="68">
        <f t="shared" si="1"/>
        <v>50.27</v>
      </c>
      <c r="I1269" s="81">
        <f>IFERROR(__xludf.DUMMYFUNCTION("IF(G1269="""", """", ROUND(G1269 / MAX(FILTER($G$2:$G5067, $D$2:$D5067=$D1269)) * 100, 2))"),98.36)</f>
        <v>98.36</v>
      </c>
      <c r="J1269" s="81">
        <f>IFERROR(__xludf.DUMMYFUNCTION("IF(H1269="""", """", ROUND(H1269 / MAX(FILTER($H$2:$H5067, $D$2:$D5067=$D1269)) * 100, 2))"),78.68)</f>
        <v>78.68</v>
      </c>
      <c r="K1269" s="2"/>
      <c r="L1269" s="48"/>
      <c r="M1269" s="48"/>
      <c r="N1269" s="48"/>
      <c r="O1269" s="48" t="str">
        <f t="shared" si="2"/>
        <v/>
      </c>
      <c r="P1269" s="48" t="str">
        <f t="shared" si="3"/>
        <v/>
      </c>
      <c r="Q1269" s="84"/>
      <c r="R1269" s="84"/>
      <c r="S1269" s="84"/>
      <c r="T1269" s="84"/>
      <c r="U1269" s="84"/>
      <c r="V1269" s="84"/>
      <c r="W1269" s="84"/>
      <c r="X1269" s="84"/>
      <c r="Y1269" s="84"/>
      <c r="Z1269" s="84"/>
      <c r="AA1269" s="84"/>
      <c r="AB1269" s="84"/>
    </row>
    <row r="1270">
      <c r="A1270" s="63">
        <v>86.0</v>
      </c>
      <c r="B1270" s="63">
        <v>129.0</v>
      </c>
      <c r="C1270" s="64" t="s">
        <v>306</v>
      </c>
      <c r="D1270" s="64" t="s">
        <v>307</v>
      </c>
      <c r="E1270" s="64" t="s">
        <v>308</v>
      </c>
      <c r="F1270" s="63">
        <v>6500.0</v>
      </c>
      <c r="G1270" s="63">
        <v>6.1</v>
      </c>
      <c r="H1270" s="66">
        <f t="shared" si="1"/>
        <v>55.36</v>
      </c>
      <c r="I1270" s="81">
        <f>IFERROR(__xludf.DUMMYFUNCTION("IF(G1270="""", """", ROUND(G1270 / MAX(FILTER($G$2:$G5067, $D$2:$D5067=$D1270)) * 100, 2))"),100.0)</f>
        <v>100</v>
      </c>
      <c r="J1270" s="81">
        <f>IFERROR(__xludf.DUMMYFUNCTION("IF(H1270="""", """", ROUND(H1270 / MAX(FILTER($H$2:$H5067, $D$2:$D5067=$D1270)) * 100, 2))"),86.65)</f>
        <v>86.65</v>
      </c>
      <c r="K1270" s="2"/>
      <c r="L1270" s="49"/>
      <c r="M1270" s="49"/>
      <c r="N1270" s="49"/>
      <c r="O1270" s="49" t="str">
        <f t="shared" si="2"/>
        <v/>
      </c>
      <c r="P1270" s="49" t="str">
        <f t="shared" si="3"/>
        <v/>
      </c>
      <c r="Q1270" s="84"/>
      <c r="R1270" s="84"/>
      <c r="S1270" s="84"/>
      <c r="T1270" s="84"/>
      <c r="U1270" s="84"/>
      <c r="V1270" s="84"/>
      <c r="W1270" s="84"/>
      <c r="X1270" s="84"/>
      <c r="Y1270" s="84"/>
      <c r="Z1270" s="84"/>
      <c r="AA1270" s="84"/>
      <c r="AB1270" s="84"/>
    </row>
    <row r="1271">
      <c r="A1271" s="69">
        <v>86.0</v>
      </c>
      <c r="B1271" s="69">
        <v>129.0</v>
      </c>
      <c r="C1271" s="86" t="s">
        <v>306</v>
      </c>
      <c r="D1271" s="86" t="s">
        <v>307</v>
      </c>
      <c r="E1271" s="86" t="s">
        <v>308</v>
      </c>
      <c r="F1271" s="69">
        <v>7000.0</v>
      </c>
      <c r="G1271" s="69">
        <v>6.1</v>
      </c>
      <c r="H1271" s="68">
        <f t="shared" si="1"/>
        <v>59.62</v>
      </c>
      <c r="I1271" s="81">
        <f>IFERROR(__xludf.DUMMYFUNCTION("IF(G1271="""", """", ROUND(G1271 / MAX(FILTER($G$2:$G5067, $D$2:$D5067=$D1271)) * 100, 2))"),100.0)</f>
        <v>100</v>
      </c>
      <c r="J1271" s="81">
        <f>IFERROR(__xludf.DUMMYFUNCTION("IF(H1271="""", """", ROUND(H1271 / MAX(FILTER($H$2:$H5067, $D$2:$D5067=$D1271)) * 100, 2))"),93.32)</f>
        <v>93.32</v>
      </c>
      <c r="K1271" s="2"/>
      <c r="L1271" s="48"/>
      <c r="M1271" s="48"/>
      <c r="N1271" s="48"/>
      <c r="O1271" s="48" t="str">
        <f t="shared" si="2"/>
        <v/>
      </c>
      <c r="P1271" s="48" t="str">
        <f t="shared" si="3"/>
        <v/>
      </c>
      <c r="Q1271" s="84"/>
      <c r="R1271" s="84"/>
      <c r="S1271" s="84"/>
      <c r="T1271" s="84"/>
      <c r="U1271" s="84"/>
      <c r="V1271" s="84"/>
      <c r="W1271" s="84"/>
      <c r="X1271" s="84"/>
      <c r="Y1271" s="84"/>
      <c r="Z1271" s="84"/>
      <c r="AA1271" s="84"/>
      <c r="AB1271" s="84"/>
    </row>
    <row r="1272">
      <c r="A1272" s="63">
        <v>86.0</v>
      </c>
      <c r="B1272" s="63">
        <v>129.0</v>
      </c>
      <c r="C1272" s="64" t="s">
        <v>306</v>
      </c>
      <c r="D1272" s="64" t="s">
        <v>307</v>
      </c>
      <c r="E1272" s="64" t="s">
        <v>308</v>
      </c>
      <c r="F1272" s="63">
        <v>7500.0</v>
      </c>
      <c r="G1272" s="63">
        <v>5.95</v>
      </c>
      <c r="H1272" s="66">
        <f t="shared" si="1"/>
        <v>62.31</v>
      </c>
      <c r="I1272" s="81">
        <f>IFERROR(__xludf.DUMMYFUNCTION("IF(G1272="""", """", ROUND(G1272 / MAX(FILTER($G$2:$G5067, $D$2:$D5067=$D1272)) * 100, 2))"),97.54)</f>
        <v>97.54</v>
      </c>
      <c r="J1272" s="81">
        <f>IFERROR(__xludf.DUMMYFUNCTION("IF(H1272="""", """", ROUND(H1272 / MAX(FILTER($H$2:$H5067, $D$2:$D5067=$D1272)) * 100, 2))"),97.53)</f>
        <v>97.53</v>
      </c>
      <c r="K1272" s="2"/>
      <c r="L1272" s="49"/>
      <c r="M1272" s="49"/>
      <c r="N1272" s="49"/>
      <c r="O1272" s="49" t="str">
        <f t="shared" si="2"/>
        <v/>
      </c>
      <c r="P1272" s="49" t="str">
        <f t="shared" si="3"/>
        <v/>
      </c>
      <c r="Q1272" s="84"/>
      <c r="R1272" s="84"/>
      <c r="S1272" s="84"/>
      <c r="T1272" s="84"/>
      <c r="U1272" s="84"/>
      <c r="V1272" s="84"/>
      <c r="W1272" s="84"/>
      <c r="X1272" s="84"/>
      <c r="Y1272" s="84"/>
      <c r="Z1272" s="84"/>
      <c r="AA1272" s="84"/>
      <c r="AB1272" s="84"/>
    </row>
    <row r="1273">
      <c r="A1273" s="69">
        <v>86.0</v>
      </c>
      <c r="B1273" s="69">
        <v>129.0</v>
      </c>
      <c r="C1273" s="86" t="s">
        <v>306</v>
      </c>
      <c r="D1273" s="86" t="s">
        <v>307</v>
      </c>
      <c r="E1273" s="86" t="s">
        <v>308</v>
      </c>
      <c r="F1273" s="69">
        <v>8000.0</v>
      </c>
      <c r="G1273" s="69">
        <v>5.72</v>
      </c>
      <c r="H1273" s="68">
        <f t="shared" si="1"/>
        <v>63.89</v>
      </c>
      <c r="I1273" s="81">
        <f>IFERROR(__xludf.DUMMYFUNCTION("IF(G1273="""", """", ROUND(G1273 / MAX(FILTER($G$2:$G5067, $D$2:$D5067=$D1273)) * 100, 2))"),93.77)</f>
        <v>93.77</v>
      </c>
      <c r="J1273" s="81">
        <f>IFERROR(__xludf.DUMMYFUNCTION("IF(H1273="""", """", ROUND(H1273 / MAX(FILTER($H$2:$H5067, $D$2:$D5067=$D1273)) * 100, 2))"),100.0)</f>
        <v>100</v>
      </c>
      <c r="K1273" s="2"/>
      <c r="L1273" s="48"/>
      <c r="M1273" s="48"/>
      <c r="N1273" s="48"/>
      <c r="O1273" s="48" t="str">
        <f t="shared" si="2"/>
        <v/>
      </c>
      <c r="P1273" s="48" t="str">
        <f t="shared" si="3"/>
        <v/>
      </c>
      <c r="Q1273" s="84"/>
      <c r="R1273" s="84"/>
      <c r="S1273" s="84"/>
      <c r="T1273" s="84"/>
      <c r="U1273" s="84"/>
      <c r="V1273" s="84"/>
      <c r="W1273" s="84"/>
      <c r="X1273" s="84"/>
      <c r="Y1273" s="84"/>
      <c r="Z1273" s="84"/>
      <c r="AA1273" s="84"/>
      <c r="AB1273" s="84"/>
    </row>
    <row r="1274">
      <c r="A1274" s="63">
        <v>86.0</v>
      </c>
      <c r="B1274" s="63">
        <v>129.0</v>
      </c>
      <c r="C1274" s="64" t="s">
        <v>306</v>
      </c>
      <c r="D1274" s="64" t="s">
        <v>307</v>
      </c>
      <c r="E1274" s="64" t="s">
        <v>308</v>
      </c>
      <c r="F1274" s="63">
        <v>8500.0</v>
      </c>
      <c r="G1274" s="63">
        <v>5.38</v>
      </c>
      <c r="H1274" s="66">
        <f t="shared" si="1"/>
        <v>63.85</v>
      </c>
      <c r="I1274" s="81">
        <f>IFERROR(__xludf.DUMMYFUNCTION("IF(G1274="""", """", ROUND(G1274 / MAX(FILTER($G$2:$G5067, $D$2:$D5067=$D1274)) * 100, 2))"),88.2)</f>
        <v>88.2</v>
      </c>
      <c r="J1274" s="81">
        <f>IFERROR(__xludf.DUMMYFUNCTION("IF(H1274="""", """", ROUND(H1274 / MAX(FILTER($H$2:$H5067, $D$2:$D5067=$D1274)) * 100, 2))"),99.94)</f>
        <v>99.94</v>
      </c>
      <c r="K1274" s="2"/>
      <c r="L1274" s="49"/>
      <c r="M1274" s="49"/>
      <c r="N1274" s="49"/>
      <c r="O1274" s="49" t="str">
        <f t="shared" si="2"/>
        <v/>
      </c>
      <c r="P1274" s="49" t="str">
        <f t="shared" si="3"/>
        <v/>
      </c>
      <c r="Q1274" s="84"/>
      <c r="R1274" s="84"/>
      <c r="S1274" s="84"/>
      <c r="T1274" s="84"/>
      <c r="U1274" s="84"/>
      <c r="V1274" s="84"/>
      <c r="W1274" s="84"/>
      <c r="X1274" s="84"/>
      <c r="Y1274" s="84"/>
      <c r="Z1274" s="84"/>
      <c r="AA1274" s="84"/>
      <c r="AB1274" s="84"/>
    </row>
    <row r="1275">
      <c r="A1275" s="69">
        <v>86.0</v>
      </c>
      <c r="B1275" s="69">
        <v>129.0</v>
      </c>
      <c r="C1275" s="86" t="s">
        <v>306</v>
      </c>
      <c r="D1275" s="86" t="s">
        <v>307</v>
      </c>
      <c r="E1275" s="86" t="s">
        <v>308</v>
      </c>
      <c r="F1275" s="69">
        <v>9000.0</v>
      </c>
      <c r="G1275" s="69">
        <v>4.78</v>
      </c>
      <c r="H1275" s="68">
        <f t="shared" si="1"/>
        <v>60.07</v>
      </c>
      <c r="I1275" s="81">
        <f>IFERROR(__xludf.DUMMYFUNCTION("IF(G1275="""", """", ROUND(G1275 / MAX(FILTER($G$2:$G5067, $D$2:$D5067=$D1275)) * 100, 2))"),78.36)</f>
        <v>78.36</v>
      </c>
      <c r="J1275" s="81">
        <f>IFERROR(__xludf.DUMMYFUNCTION("IF(H1275="""", """", ROUND(H1275 / MAX(FILTER($H$2:$H5067, $D$2:$D5067=$D1275)) * 100, 2))"),94.02)</f>
        <v>94.02</v>
      </c>
      <c r="K1275" s="2"/>
      <c r="L1275" s="48"/>
      <c r="M1275" s="48"/>
      <c r="N1275" s="48"/>
      <c r="O1275" s="48" t="str">
        <f t="shared" si="2"/>
        <v/>
      </c>
      <c r="P1275" s="48" t="str">
        <f t="shared" si="3"/>
        <v/>
      </c>
      <c r="Q1275" s="84"/>
      <c r="R1275" s="84"/>
      <c r="S1275" s="84"/>
      <c r="T1275" s="84"/>
      <c r="U1275" s="84"/>
      <c r="V1275" s="84"/>
      <c r="W1275" s="84"/>
      <c r="X1275" s="84"/>
      <c r="Y1275" s="84"/>
      <c r="Z1275" s="84"/>
      <c r="AA1275" s="84"/>
      <c r="AB1275" s="84"/>
    </row>
    <row r="1276">
      <c r="A1276" s="63">
        <v>86.0</v>
      </c>
      <c r="B1276" s="63">
        <v>129.0</v>
      </c>
      <c r="C1276" s="64" t="s">
        <v>306</v>
      </c>
      <c r="D1276" s="64" t="s">
        <v>307</v>
      </c>
      <c r="E1276" s="64" t="s">
        <v>308</v>
      </c>
      <c r="F1276" s="63">
        <v>9500.0</v>
      </c>
      <c r="G1276" s="63">
        <v>4.07</v>
      </c>
      <c r="H1276" s="66">
        <f t="shared" si="1"/>
        <v>53.99</v>
      </c>
      <c r="I1276" s="81">
        <f>IFERROR(__xludf.DUMMYFUNCTION("IF(G1276="""", """", ROUND(G1276 / MAX(FILTER($G$2:$G5067, $D$2:$D5067=$D1276)) * 100, 2))"),66.72)</f>
        <v>66.72</v>
      </c>
      <c r="J1276" s="81">
        <f>IFERROR(__xludf.DUMMYFUNCTION("IF(H1276="""", """", ROUND(H1276 / MAX(FILTER($H$2:$H5067, $D$2:$D5067=$D1276)) * 100, 2))"),84.5)</f>
        <v>84.5</v>
      </c>
      <c r="K1276" s="2"/>
      <c r="L1276" s="49"/>
      <c r="M1276" s="49"/>
      <c r="N1276" s="49"/>
      <c r="O1276" s="49" t="str">
        <f t="shared" si="2"/>
        <v/>
      </c>
      <c r="P1276" s="49" t="str">
        <f t="shared" si="3"/>
        <v/>
      </c>
      <c r="Q1276" s="84"/>
      <c r="R1276" s="84"/>
      <c r="S1276" s="84"/>
      <c r="T1276" s="84"/>
      <c r="U1276" s="84"/>
      <c r="V1276" s="84"/>
      <c r="W1276" s="84"/>
      <c r="X1276" s="84"/>
      <c r="Y1276" s="84"/>
      <c r="Z1276" s="84"/>
      <c r="AA1276" s="84"/>
      <c r="AB1276" s="84"/>
    </row>
    <row r="1277">
      <c r="A1277" s="69">
        <v>86.0</v>
      </c>
      <c r="B1277" s="69">
        <v>129.0</v>
      </c>
      <c r="C1277" s="86" t="s">
        <v>306</v>
      </c>
      <c r="D1277" s="86" t="s">
        <v>307</v>
      </c>
      <c r="E1277" s="86" t="s">
        <v>308</v>
      </c>
      <c r="F1277" s="69">
        <v>10000.0</v>
      </c>
      <c r="G1277" s="69">
        <v>3.15</v>
      </c>
      <c r="H1277" s="68">
        <f t="shared" si="1"/>
        <v>43.98</v>
      </c>
      <c r="I1277" s="81">
        <f>IFERROR(__xludf.DUMMYFUNCTION("IF(G1277="""", """", ROUND(G1277 / MAX(FILTER($G$2:$G5067, $D$2:$D5067=$D1277)) * 100, 2))"),51.64)</f>
        <v>51.64</v>
      </c>
      <c r="J1277" s="81">
        <f>IFERROR(__xludf.DUMMYFUNCTION("IF(H1277="""", """", ROUND(H1277 / MAX(FILTER($H$2:$H5067, $D$2:$D5067=$D1277)) * 100, 2))"),68.84)</f>
        <v>68.84</v>
      </c>
      <c r="K1277" s="2"/>
      <c r="L1277" s="48"/>
      <c r="M1277" s="48"/>
      <c r="N1277" s="48"/>
      <c r="O1277" s="48" t="str">
        <f t="shared" si="2"/>
        <v/>
      </c>
      <c r="P1277" s="48" t="str">
        <f t="shared" si="3"/>
        <v/>
      </c>
      <c r="Q1277" s="84"/>
      <c r="R1277" s="84"/>
      <c r="S1277" s="84"/>
      <c r="T1277" s="84"/>
      <c r="U1277" s="84"/>
      <c r="V1277" s="84"/>
      <c r="W1277" s="84"/>
      <c r="X1277" s="84"/>
      <c r="Y1277" s="84"/>
      <c r="Z1277" s="84"/>
      <c r="AA1277" s="84"/>
      <c r="AB1277" s="84"/>
    </row>
    <row r="1278">
      <c r="A1278" s="63">
        <v>87.0</v>
      </c>
      <c r="B1278" s="63">
        <v>130.0</v>
      </c>
      <c r="C1278" s="64" t="s">
        <v>309</v>
      </c>
      <c r="D1278" s="64" t="s">
        <v>310</v>
      </c>
      <c r="E1278" s="64" t="s">
        <v>311</v>
      </c>
      <c r="F1278" s="63">
        <v>500.0</v>
      </c>
      <c r="G1278" s="63">
        <v>5.41</v>
      </c>
      <c r="H1278" s="66">
        <f t="shared" si="1"/>
        <v>3.78</v>
      </c>
      <c r="I1278" s="81">
        <f>IFERROR(__xludf.DUMMYFUNCTION("IF(G1278="""", """", ROUND(G1278 / MAX(FILTER($G$2:$G5067, $D$2:$D5067=$D1278)) * 100, 2))"),48.69)</f>
        <v>48.69</v>
      </c>
      <c r="J1278" s="81">
        <f>IFERROR(__xludf.DUMMYFUNCTION("IF(H1278="""", """", ROUND(H1278 / MAX(FILTER($H$2:$H5067, $D$2:$D5067=$D1278)) * 100, 2))"),5.9)</f>
        <v>5.9</v>
      </c>
      <c r="K1278" s="2"/>
      <c r="L1278" s="49"/>
      <c r="M1278" s="49"/>
      <c r="N1278" s="49"/>
      <c r="O1278" s="49" t="str">
        <f t="shared" si="2"/>
        <v/>
      </c>
      <c r="P1278" s="49" t="str">
        <f t="shared" si="3"/>
        <v/>
      </c>
      <c r="Q1278" s="84"/>
      <c r="R1278" s="84"/>
      <c r="S1278" s="84"/>
      <c r="T1278" s="84"/>
      <c r="U1278" s="84"/>
      <c r="V1278" s="84"/>
      <c r="W1278" s="84"/>
      <c r="X1278" s="84"/>
      <c r="Y1278" s="84"/>
      <c r="Z1278" s="84"/>
      <c r="AA1278" s="84"/>
      <c r="AB1278" s="84"/>
    </row>
    <row r="1279">
      <c r="A1279" s="69">
        <v>87.0</v>
      </c>
      <c r="B1279" s="69">
        <v>130.0</v>
      </c>
      <c r="C1279" s="86" t="s">
        <v>309</v>
      </c>
      <c r="D1279" s="86" t="s">
        <v>310</v>
      </c>
      <c r="E1279" s="86" t="s">
        <v>311</v>
      </c>
      <c r="F1279" s="69">
        <v>1000.0</v>
      </c>
      <c r="G1279" s="69">
        <v>7.09</v>
      </c>
      <c r="H1279" s="68">
        <f t="shared" si="1"/>
        <v>9.9</v>
      </c>
      <c r="I1279" s="81">
        <f>IFERROR(__xludf.DUMMYFUNCTION("IF(G1279="""", """", ROUND(G1279 / MAX(FILTER($G$2:$G5067, $D$2:$D5067=$D1279)) * 100, 2))"),63.82)</f>
        <v>63.82</v>
      </c>
      <c r="J1279" s="81">
        <f>IFERROR(__xludf.DUMMYFUNCTION("IF(H1279="""", """", ROUND(H1279 / MAX(FILTER($H$2:$H5067, $D$2:$D5067=$D1279)) * 100, 2))"),15.45)</f>
        <v>15.45</v>
      </c>
      <c r="K1279" s="2"/>
      <c r="L1279" s="48"/>
      <c r="M1279" s="48"/>
      <c r="N1279" s="48"/>
      <c r="O1279" s="48" t="str">
        <f t="shared" si="2"/>
        <v/>
      </c>
      <c r="P1279" s="48" t="str">
        <f t="shared" si="3"/>
        <v/>
      </c>
      <c r="Q1279" s="84"/>
      <c r="R1279" s="84"/>
      <c r="S1279" s="84"/>
      <c r="T1279" s="84"/>
      <c r="U1279" s="84"/>
      <c r="V1279" s="84"/>
      <c r="W1279" s="84"/>
      <c r="X1279" s="84"/>
      <c r="Y1279" s="84"/>
      <c r="Z1279" s="84"/>
      <c r="AA1279" s="84"/>
      <c r="AB1279" s="84"/>
    </row>
    <row r="1280">
      <c r="A1280" s="63">
        <v>87.0</v>
      </c>
      <c r="B1280" s="63">
        <v>130.0</v>
      </c>
      <c r="C1280" s="64" t="s">
        <v>309</v>
      </c>
      <c r="D1280" s="64" t="s">
        <v>310</v>
      </c>
      <c r="E1280" s="64" t="s">
        <v>311</v>
      </c>
      <c r="F1280" s="63">
        <v>1500.0</v>
      </c>
      <c r="G1280" s="63">
        <v>8.66</v>
      </c>
      <c r="H1280" s="66">
        <f t="shared" si="1"/>
        <v>18.14</v>
      </c>
      <c r="I1280" s="81">
        <f>IFERROR(__xludf.DUMMYFUNCTION("IF(G1280="""", """", ROUND(G1280 / MAX(FILTER($G$2:$G5067, $D$2:$D5067=$D1280)) * 100, 2))"),77.95)</f>
        <v>77.95</v>
      </c>
      <c r="J1280" s="81">
        <f>IFERROR(__xludf.DUMMYFUNCTION("IF(H1280="""", """", ROUND(H1280 / MAX(FILTER($H$2:$H5067, $D$2:$D5067=$D1280)) * 100, 2))"),28.3)</f>
        <v>28.3</v>
      </c>
      <c r="K1280" s="2"/>
      <c r="L1280" s="49"/>
      <c r="M1280" s="49"/>
      <c r="N1280" s="49"/>
      <c r="O1280" s="49" t="str">
        <f t="shared" si="2"/>
        <v/>
      </c>
      <c r="P1280" s="49" t="str">
        <f t="shared" si="3"/>
        <v/>
      </c>
      <c r="Q1280" s="84"/>
      <c r="R1280" s="84"/>
      <c r="S1280" s="84"/>
      <c r="T1280" s="84"/>
      <c r="U1280" s="84"/>
      <c r="V1280" s="84"/>
      <c r="W1280" s="84"/>
      <c r="X1280" s="84"/>
      <c r="Y1280" s="84"/>
      <c r="Z1280" s="84"/>
      <c r="AA1280" s="84"/>
      <c r="AB1280" s="84"/>
    </row>
    <row r="1281">
      <c r="A1281" s="69">
        <v>87.0</v>
      </c>
      <c r="B1281" s="69">
        <v>130.0</v>
      </c>
      <c r="C1281" s="86" t="s">
        <v>309</v>
      </c>
      <c r="D1281" s="86" t="s">
        <v>310</v>
      </c>
      <c r="E1281" s="86" t="s">
        <v>311</v>
      </c>
      <c r="F1281" s="69">
        <v>2000.0</v>
      </c>
      <c r="G1281" s="69">
        <v>9.92</v>
      </c>
      <c r="H1281" s="68">
        <f t="shared" si="1"/>
        <v>27.7</v>
      </c>
      <c r="I1281" s="81">
        <f>IFERROR(__xludf.DUMMYFUNCTION("IF(G1281="""", """", ROUND(G1281 / MAX(FILTER($G$2:$G5067, $D$2:$D5067=$D1281)) * 100, 2))"),89.29)</f>
        <v>89.29</v>
      </c>
      <c r="J1281" s="81">
        <f>IFERROR(__xludf.DUMMYFUNCTION("IF(H1281="""", """", ROUND(H1281 / MAX(FILTER($H$2:$H5067, $D$2:$D5067=$D1281)) * 100, 2))"),43.22)</f>
        <v>43.22</v>
      </c>
      <c r="K1281" s="2"/>
      <c r="L1281" s="48"/>
      <c r="M1281" s="48"/>
      <c r="N1281" s="48"/>
      <c r="O1281" s="48" t="str">
        <f t="shared" si="2"/>
        <v/>
      </c>
      <c r="P1281" s="48" t="str">
        <f t="shared" si="3"/>
        <v/>
      </c>
      <c r="Q1281" s="84"/>
      <c r="R1281" s="84"/>
      <c r="S1281" s="84"/>
      <c r="T1281" s="84"/>
      <c r="U1281" s="84"/>
      <c r="V1281" s="84"/>
      <c r="W1281" s="84"/>
      <c r="X1281" s="84"/>
      <c r="Y1281" s="84"/>
      <c r="Z1281" s="84"/>
      <c r="AA1281" s="84"/>
      <c r="AB1281" s="84"/>
    </row>
    <row r="1282">
      <c r="A1282" s="63">
        <v>87.0</v>
      </c>
      <c r="B1282" s="63">
        <v>130.0</v>
      </c>
      <c r="C1282" s="64" t="s">
        <v>309</v>
      </c>
      <c r="D1282" s="64" t="s">
        <v>310</v>
      </c>
      <c r="E1282" s="64" t="s">
        <v>311</v>
      </c>
      <c r="F1282" s="63">
        <v>2500.0</v>
      </c>
      <c r="G1282" s="63">
        <v>10.91</v>
      </c>
      <c r="H1282" s="66">
        <f t="shared" si="1"/>
        <v>38.08</v>
      </c>
      <c r="I1282" s="81">
        <f>IFERROR(__xludf.DUMMYFUNCTION("IF(G1282="""", """", ROUND(G1282 / MAX(FILTER($G$2:$G5067, $D$2:$D5067=$D1282)) * 100, 2))"),98.2)</f>
        <v>98.2</v>
      </c>
      <c r="J1282" s="81">
        <f>IFERROR(__xludf.DUMMYFUNCTION("IF(H1282="""", """", ROUND(H1282 / MAX(FILTER($H$2:$H5067, $D$2:$D5067=$D1282)) * 100, 2))"),59.42)</f>
        <v>59.42</v>
      </c>
      <c r="K1282" s="2"/>
      <c r="L1282" s="49"/>
      <c r="M1282" s="49"/>
      <c r="N1282" s="49"/>
      <c r="O1282" s="49" t="str">
        <f t="shared" si="2"/>
        <v/>
      </c>
      <c r="P1282" s="49" t="str">
        <f t="shared" si="3"/>
        <v/>
      </c>
      <c r="Q1282" s="84"/>
      <c r="R1282" s="84"/>
      <c r="S1282" s="84"/>
      <c r="T1282" s="84"/>
      <c r="U1282" s="84"/>
      <c r="V1282" s="84"/>
      <c r="W1282" s="84"/>
      <c r="X1282" s="84"/>
      <c r="Y1282" s="84"/>
      <c r="Z1282" s="84"/>
      <c r="AA1282" s="84"/>
      <c r="AB1282" s="84"/>
    </row>
    <row r="1283">
      <c r="A1283" s="69">
        <v>87.0</v>
      </c>
      <c r="B1283" s="69">
        <v>130.0</v>
      </c>
      <c r="C1283" s="86" t="s">
        <v>309</v>
      </c>
      <c r="D1283" s="86" t="s">
        <v>310</v>
      </c>
      <c r="E1283" s="86" t="s">
        <v>311</v>
      </c>
      <c r="F1283" s="69">
        <v>3000.0</v>
      </c>
      <c r="G1283" s="69">
        <v>11.11</v>
      </c>
      <c r="H1283" s="68">
        <f t="shared" si="1"/>
        <v>46.54</v>
      </c>
      <c r="I1283" s="81">
        <f>IFERROR(__xludf.DUMMYFUNCTION("IF(G1283="""", """", ROUND(G1283 / MAX(FILTER($G$2:$G5067, $D$2:$D5067=$D1283)) * 100, 2))"),100.0)</f>
        <v>100</v>
      </c>
      <c r="J1283" s="81">
        <f>IFERROR(__xludf.DUMMYFUNCTION("IF(H1283="""", """", ROUND(H1283 / MAX(FILTER($H$2:$H5067, $D$2:$D5067=$D1283)) * 100, 2))"),72.62)</f>
        <v>72.62</v>
      </c>
      <c r="K1283" s="2"/>
      <c r="L1283" s="48"/>
      <c r="M1283" s="48"/>
      <c r="N1283" s="48"/>
      <c r="O1283" s="48" t="str">
        <f t="shared" si="2"/>
        <v/>
      </c>
      <c r="P1283" s="48" t="str">
        <f t="shared" si="3"/>
        <v/>
      </c>
      <c r="Q1283" s="84"/>
      <c r="R1283" s="84"/>
      <c r="S1283" s="84"/>
      <c r="T1283" s="84"/>
      <c r="U1283" s="84"/>
      <c r="V1283" s="84"/>
      <c r="W1283" s="84"/>
      <c r="X1283" s="84"/>
      <c r="Y1283" s="84"/>
      <c r="Z1283" s="84"/>
      <c r="AA1283" s="84"/>
      <c r="AB1283" s="84"/>
    </row>
    <row r="1284">
      <c r="A1284" s="63">
        <v>87.0</v>
      </c>
      <c r="B1284" s="63">
        <v>130.0</v>
      </c>
      <c r="C1284" s="64" t="s">
        <v>309</v>
      </c>
      <c r="D1284" s="64" t="s">
        <v>310</v>
      </c>
      <c r="E1284" s="64" t="s">
        <v>311</v>
      </c>
      <c r="F1284" s="63">
        <v>3500.0</v>
      </c>
      <c r="G1284" s="63">
        <v>10.91</v>
      </c>
      <c r="H1284" s="66">
        <f t="shared" si="1"/>
        <v>53.32</v>
      </c>
      <c r="I1284" s="81">
        <f>IFERROR(__xludf.DUMMYFUNCTION("IF(G1284="""", """", ROUND(G1284 / MAX(FILTER($G$2:$G5067, $D$2:$D5067=$D1284)) * 100, 2))"),98.2)</f>
        <v>98.2</v>
      </c>
      <c r="J1284" s="81">
        <f>IFERROR(__xludf.DUMMYFUNCTION("IF(H1284="""", """", ROUND(H1284 / MAX(FILTER($H$2:$H5067, $D$2:$D5067=$D1284)) * 100, 2))"),83.2)</f>
        <v>83.2</v>
      </c>
      <c r="K1284" s="2"/>
      <c r="L1284" s="49"/>
      <c r="M1284" s="49"/>
      <c r="N1284" s="49"/>
      <c r="O1284" s="49" t="str">
        <f t="shared" si="2"/>
        <v/>
      </c>
      <c r="P1284" s="49" t="str">
        <f t="shared" si="3"/>
        <v/>
      </c>
      <c r="Q1284" s="84"/>
      <c r="R1284" s="84"/>
      <c r="S1284" s="84"/>
      <c r="T1284" s="84"/>
      <c r="U1284" s="84"/>
      <c r="V1284" s="84"/>
      <c r="W1284" s="84"/>
      <c r="X1284" s="84"/>
      <c r="Y1284" s="84"/>
      <c r="Z1284" s="84"/>
      <c r="AA1284" s="84"/>
      <c r="AB1284" s="84"/>
    </row>
    <row r="1285">
      <c r="A1285" s="69">
        <v>87.0</v>
      </c>
      <c r="B1285" s="69">
        <v>130.0</v>
      </c>
      <c r="C1285" s="86" t="s">
        <v>309</v>
      </c>
      <c r="D1285" s="86" t="s">
        <v>310</v>
      </c>
      <c r="E1285" s="86" t="s">
        <v>311</v>
      </c>
      <c r="F1285" s="69">
        <v>4000.0</v>
      </c>
      <c r="G1285" s="69">
        <v>10.3</v>
      </c>
      <c r="H1285" s="68">
        <f t="shared" si="1"/>
        <v>57.53</v>
      </c>
      <c r="I1285" s="81">
        <f>IFERROR(__xludf.DUMMYFUNCTION("IF(G1285="""", """", ROUND(G1285 / MAX(FILTER($G$2:$G5067, $D$2:$D5067=$D1285)) * 100, 2))"),92.71)</f>
        <v>92.71</v>
      </c>
      <c r="J1285" s="81">
        <f>IFERROR(__xludf.DUMMYFUNCTION("IF(H1285="""", """", ROUND(H1285 / MAX(FILTER($H$2:$H5067, $D$2:$D5067=$D1285)) * 100, 2))"),89.76)</f>
        <v>89.76</v>
      </c>
      <c r="K1285" s="2"/>
      <c r="L1285" s="48"/>
      <c r="M1285" s="48"/>
      <c r="N1285" s="48"/>
      <c r="O1285" s="48" t="str">
        <f t="shared" si="2"/>
        <v/>
      </c>
      <c r="P1285" s="48" t="str">
        <f t="shared" si="3"/>
        <v/>
      </c>
      <c r="Q1285" s="84"/>
      <c r="R1285" s="84"/>
      <c r="S1285" s="84"/>
      <c r="T1285" s="84"/>
      <c r="U1285" s="84"/>
      <c r="V1285" s="84"/>
      <c r="W1285" s="84"/>
      <c r="X1285" s="84"/>
      <c r="Y1285" s="84"/>
      <c r="Z1285" s="84"/>
      <c r="AA1285" s="84"/>
      <c r="AB1285" s="84"/>
    </row>
    <row r="1286">
      <c r="A1286" s="63">
        <v>87.0</v>
      </c>
      <c r="B1286" s="63">
        <v>130.0</v>
      </c>
      <c r="C1286" s="64" t="s">
        <v>309</v>
      </c>
      <c r="D1286" s="64" t="s">
        <v>310</v>
      </c>
      <c r="E1286" s="64" t="s">
        <v>311</v>
      </c>
      <c r="F1286" s="63">
        <v>4500.0</v>
      </c>
      <c r="G1286" s="63">
        <v>9.69</v>
      </c>
      <c r="H1286" s="66">
        <f t="shared" si="1"/>
        <v>60.88</v>
      </c>
      <c r="I1286" s="81">
        <f>IFERROR(__xludf.DUMMYFUNCTION("IF(G1286="""", """", ROUND(G1286 / MAX(FILTER($G$2:$G5067, $D$2:$D5067=$D1286)) * 100, 2))"),87.22)</f>
        <v>87.22</v>
      </c>
      <c r="J1286" s="81">
        <f>IFERROR(__xludf.DUMMYFUNCTION("IF(H1286="""", """", ROUND(H1286 / MAX(FILTER($H$2:$H5067, $D$2:$D5067=$D1286)) * 100, 2))"),94.99)</f>
        <v>94.99</v>
      </c>
      <c r="K1286" s="2"/>
      <c r="L1286" s="49"/>
      <c r="M1286" s="49"/>
      <c r="N1286" s="49"/>
      <c r="O1286" s="49" t="str">
        <f t="shared" si="2"/>
        <v/>
      </c>
      <c r="P1286" s="49" t="str">
        <f t="shared" si="3"/>
        <v/>
      </c>
      <c r="Q1286" s="84"/>
      <c r="R1286" s="84"/>
      <c r="S1286" s="84"/>
      <c r="T1286" s="84"/>
      <c r="U1286" s="84"/>
      <c r="V1286" s="84"/>
      <c r="W1286" s="84"/>
      <c r="X1286" s="84"/>
      <c r="Y1286" s="84"/>
      <c r="Z1286" s="84"/>
      <c r="AA1286" s="84"/>
      <c r="AB1286" s="84"/>
    </row>
    <row r="1287">
      <c r="A1287" s="69">
        <v>87.0</v>
      </c>
      <c r="B1287" s="69">
        <v>130.0</v>
      </c>
      <c r="C1287" s="86" t="s">
        <v>309</v>
      </c>
      <c r="D1287" s="86" t="s">
        <v>310</v>
      </c>
      <c r="E1287" s="86" t="s">
        <v>311</v>
      </c>
      <c r="F1287" s="69">
        <v>5000.0</v>
      </c>
      <c r="G1287" s="69">
        <v>8.97</v>
      </c>
      <c r="H1287" s="68">
        <f t="shared" si="1"/>
        <v>62.62</v>
      </c>
      <c r="I1287" s="81">
        <f>IFERROR(__xludf.DUMMYFUNCTION("IF(G1287="""", """", ROUND(G1287 / MAX(FILTER($G$2:$G5067, $D$2:$D5067=$D1287)) * 100, 2))"),80.74)</f>
        <v>80.74</v>
      </c>
      <c r="J1287" s="81">
        <f>IFERROR(__xludf.DUMMYFUNCTION("IF(H1287="""", """", ROUND(H1287 / MAX(FILTER($H$2:$H5067, $D$2:$D5067=$D1287)) * 100, 2))"),97.71)</f>
        <v>97.71</v>
      </c>
      <c r="K1287" s="2"/>
      <c r="L1287" s="48"/>
      <c r="M1287" s="48"/>
      <c r="N1287" s="48"/>
      <c r="O1287" s="48" t="str">
        <f t="shared" si="2"/>
        <v/>
      </c>
      <c r="P1287" s="48" t="str">
        <f t="shared" si="3"/>
        <v/>
      </c>
      <c r="Q1287" s="84"/>
      <c r="R1287" s="84"/>
      <c r="S1287" s="84"/>
      <c r="T1287" s="84"/>
      <c r="U1287" s="84"/>
      <c r="V1287" s="84"/>
      <c r="W1287" s="84"/>
      <c r="X1287" s="84"/>
      <c r="Y1287" s="84"/>
      <c r="Z1287" s="84"/>
      <c r="AA1287" s="84"/>
      <c r="AB1287" s="84"/>
    </row>
    <row r="1288">
      <c r="A1288" s="63">
        <v>87.0</v>
      </c>
      <c r="B1288" s="63">
        <v>130.0</v>
      </c>
      <c r="C1288" s="64" t="s">
        <v>309</v>
      </c>
      <c r="D1288" s="64" t="s">
        <v>310</v>
      </c>
      <c r="E1288" s="64" t="s">
        <v>311</v>
      </c>
      <c r="F1288" s="63">
        <v>5500.0</v>
      </c>
      <c r="G1288" s="63">
        <v>8.31</v>
      </c>
      <c r="H1288" s="66">
        <f t="shared" si="1"/>
        <v>63.82</v>
      </c>
      <c r="I1288" s="81">
        <f>IFERROR(__xludf.DUMMYFUNCTION("IF(G1288="""", """", ROUND(G1288 / MAX(FILTER($G$2:$G5067, $D$2:$D5067=$D1288)) * 100, 2))"),74.8)</f>
        <v>74.8</v>
      </c>
      <c r="J1288" s="81">
        <f>IFERROR(__xludf.DUMMYFUNCTION("IF(H1288="""", """", ROUND(H1288 / MAX(FILTER($H$2:$H5067, $D$2:$D5067=$D1288)) * 100, 2))"),99.58)</f>
        <v>99.58</v>
      </c>
      <c r="K1288" s="2"/>
      <c r="L1288" s="49"/>
      <c r="M1288" s="49"/>
      <c r="N1288" s="49"/>
      <c r="O1288" s="49" t="str">
        <f t="shared" si="2"/>
        <v/>
      </c>
      <c r="P1288" s="49" t="str">
        <f t="shared" si="3"/>
        <v/>
      </c>
      <c r="Q1288" s="84"/>
      <c r="R1288" s="84"/>
      <c r="S1288" s="84"/>
      <c r="T1288" s="84"/>
      <c r="U1288" s="84"/>
      <c r="V1288" s="84"/>
      <c r="W1288" s="84"/>
      <c r="X1288" s="84"/>
      <c r="Y1288" s="84"/>
      <c r="Z1288" s="84"/>
      <c r="AA1288" s="84"/>
      <c r="AB1288" s="84"/>
    </row>
    <row r="1289">
      <c r="A1289" s="69">
        <v>87.0</v>
      </c>
      <c r="B1289" s="69">
        <v>130.0</v>
      </c>
      <c r="C1289" s="86" t="s">
        <v>309</v>
      </c>
      <c r="D1289" s="86" t="s">
        <v>310</v>
      </c>
      <c r="E1289" s="86" t="s">
        <v>311</v>
      </c>
      <c r="F1289" s="69">
        <v>6000.0</v>
      </c>
      <c r="G1289" s="69">
        <v>7.65</v>
      </c>
      <c r="H1289" s="68">
        <f t="shared" si="1"/>
        <v>64.09</v>
      </c>
      <c r="I1289" s="81">
        <f>IFERROR(__xludf.DUMMYFUNCTION("IF(G1289="""", """", ROUND(G1289 / MAX(FILTER($G$2:$G5067, $D$2:$D5067=$D1289)) * 100, 2))"),68.86)</f>
        <v>68.86</v>
      </c>
      <c r="J1289" s="81">
        <f>IFERROR(__xludf.DUMMYFUNCTION("IF(H1289="""", """", ROUND(H1289 / MAX(FILTER($H$2:$H5067, $D$2:$D5067=$D1289)) * 100, 2))"),100.0)</f>
        <v>100</v>
      </c>
      <c r="K1289" s="2"/>
      <c r="L1289" s="48"/>
      <c r="M1289" s="48"/>
      <c r="N1289" s="48"/>
      <c r="O1289" s="48" t="str">
        <f t="shared" si="2"/>
        <v/>
      </c>
      <c r="P1289" s="48" t="str">
        <f t="shared" si="3"/>
        <v/>
      </c>
      <c r="Q1289" s="84"/>
      <c r="R1289" s="84"/>
      <c r="S1289" s="84"/>
      <c r="T1289" s="84"/>
      <c r="U1289" s="84"/>
      <c r="V1289" s="84"/>
      <c r="W1289" s="84"/>
      <c r="X1289" s="84"/>
      <c r="Y1289" s="84"/>
      <c r="Z1289" s="84"/>
      <c r="AA1289" s="84"/>
      <c r="AB1289" s="84"/>
    </row>
    <row r="1290">
      <c r="A1290" s="63">
        <v>87.0</v>
      </c>
      <c r="B1290" s="63">
        <v>130.0</v>
      </c>
      <c r="C1290" s="64" t="s">
        <v>309</v>
      </c>
      <c r="D1290" s="64" t="s">
        <v>310</v>
      </c>
      <c r="E1290" s="64" t="s">
        <v>311</v>
      </c>
      <c r="F1290" s="63">
        <v>6500.0</v>
      </c>
      <c r="G1290" s="63">
        <v>6.99</v>
      </c>
      <c r="H1290" s="66">
        <f t="shared" si="1"/>
        <v>63.44</v>
      </c>
      <c r="I1290" s="81">
        <f>IFERROR(__xludf.DUMMYFUNCTION("IF(G1290="""", """", ROUND(G1290 / MAX(FILTER($G$2:$G5067, $D$2:$D5067=$D1290)) * 100, 2))"),62.92)</f>
        <v>62.92</v>
      </c>
      <c r="J1290" s="81">
        <f>IFERROR(__xludf.DUMMYFUNCTION("IF(H1290="""", """", ROUND(H1290 / MAX(FILTER($H$2:$H5067, $D$2:$D5067=$D1290)) * 100, 2))"),98.99)</f>
        <v>98.99</v>
      </c>
      <c r="K1290" s="2"/>
      <c r="L1290" s="49"/>
      <c r="M1290" s="49"/>
      <c r="N1290" s="49"/>
      <c r="O1290" s="49" t="str">
        <f t="shared" si="2"/>
        <v/>
      </c>
      <c r="P1290" s="49" t="str">
        <f t="shared" si="3"/>
        <v/>
      </c>
      <c r="Q1290" s="84"/>
      <c r="R1290" s="84"/>
      <c r="S1290" s="84"/>
      <c r="T1290" s="84"/>
      <c r="U1290" s="84"/>
      <c r="V1290" s="84"/>
      <c r="W1290" s="84"/>
      <c r="X1290" s="84"/>
      <c r="Y1290" s="84"/>
      <c r="Z1290" s="84"/>
      <c r="AA1290" s="84"/>
      <c r="AB1290" s="84"/>
    </row>
    <row r="1291">
      <c r="A1291" s="69">
        <v>87.0</v>
      </c>
      <c r="B1291" s="69">
        <v>130.0</v>
      </c>
      <c r="C1291" s="86" t="s">
        <v>309</v>
      </c>
      <c r="D1291" s="86" t="s">
        <v>310</v>
      </c>
      <c r="E1291" s="86" t="s">
        <v>311</v>
      </c>
      <c r="F1291" s="69">
        <v>7000.0</v>
      </c>
      <c r="G1291" s="69">
        <v>6.32</v>
      </c>
      <c r="H1291" s="68">
        <f t="shared" si="1"/>
        <v>61.77</v>
      </c>
      <c r="I1291" s="81">
        <f>IFERROR(__xludf.DUMMYFUNCTION("IF(G1291="""", """", ROUND(G1291 / MAX(FILTER($G$2:$G5067, $D$2:$D5067=$D1291)) * 100, 2))"),56.89)</f>
        <v>56.89</v>
      </c>
      <c r="J1291" s="81">
        <f>IFERROR(__xludf.DUMMYFUNCTION("IF(H1291="""", """", ROUND(H1291 / MAX(FILTER($H$2:$H5067, $D$2:$D5067=$D1291)) * 100, 2))"),96.38)</f>
        <v>96.38</v>
      </c>
      <c r="K1291" s="2"/>
      <c r="L1291" s="48"/>
      <c r="M1291" s="48"/>
      <c r="N1291" s="48"/>
      <c r="O1291" s="48" t="str">
        <f t="shared" si="2"/>
        <v/>
      </c>
      <c r="P1291" s="48" t="str">
        <f t="shared" si="3"/>
        <v/>
      </c>
      <c r="Q1291" s="84"/>
      <c r="R1291" s="84"/>
      <c r="S1291" s="84"/>
      <c r="T1291" s="84"/>
      <c r="U1291" s="84"/>
      <c r="V1291" s="84"/>
      <c r="W1291" s="84"/>
      <c r="X1291" s="84"/>
      <c r="Y1291" s="84"/>
      <c r="Z1291" s="84"/>
      <c r="AA1291" s="84"/>
      <c r="AB1291" s="84"/>
    </row>
    <row r="1292">
      <c r="A1292" s="63">
        <v>87.0</v>
      </c>
      <c r="B1292" s="63">
        <v>130.0</v>
      </c>
      <c r="C1292" s="64" t="s">
        <v>309</v>
      </c>
      <c r="D1292" s="64" t="s">
        <v>310</v>
      </c>
      <c r="E1292" s="64" t="s">
        <v>311</v>
      </c>
      <c r="F1292" s="63">
        <v>7500.0</v>
      </c>
      <c r="G1292" s="63">
        <v>5.61</v>
      </c>
      <c r="H1292" s="66">
        <f t="shared" si="1"/>
        <v>58.75</v>
      </c>
      <c r="I1292" s="81">
        <f>IFERROR(__xludf.DUMMYFUNCTION("IF(G1292="""", """", ROUND(G1292 / MAX(FILTER($G$2:$G5067, $D$2:$D5067=$D1292)) * 100, 2))"),50.5)</f>
        <v>50.5</v>
      </c>
      <c r="J1292" s="81">
        <f>IFERROR(__xludf.DUMMYFUNCTION("IF(H1292="""", """", ROUND(H1292 / MAX(FILTER($H$2:$H5067, $D$2:$D5067=$D1292)) * 100, 2))"),91.67)</f>
        <v>91.67</v>
      </c>
      <c r="K1292" s="2"/>
      <c r="L1292" s="49"/>
      <c r="M1292" s="49"/>
      <c r="N1292" s="49"/>
      <c r="O1292" s="49" t="str">
        <f t="shared" si="2"/>
        <v/>
      </c>
      <c r="P1292" s="49" t="str">
        <f t="shared" si="3"/>
        <v/>
      </c>
      <c r="Q1292" s="84"/>
      <c r="R1292" s="84"/>
      <c r="S1292" s="84"/>
      <c r="T1292" s="84"/>
      <c r="U1292" s="84"/>
      <c r="V1292" s="84"/>
      <c r="W1292" s="84"/>
      <c r="X1292" s="84"/>
      <c r="Y1292" s="84"/>
      <c r="Z1292" s="84"/>
      <c r="AA1292" s="84"/>
      <c r="AB1292" s="84"/>
    </row>
    <row r="1293">
      <c r="A1293" s="69">
        <v>87.0</v>
      </c>
      <c r="B1293" s="69">
        <v>130.0</v>
      </c>
      <c r="C1293" s="86" t="s">
        <v>309</v>
      </c>
      <c r="D1293" s="86" t="s">
        <v>310</v>
      </c>
      <c r="E1293" s="86" t="s">
        <v>311</v>
      </c>
      <c r="F1293" s="69">
        <v>8000.0</v>
      </c>
      <c r="G1293" s="69">
        <v>4.8</v>
      </c>
      <c r="H1293" s="68">
        <f t="shared" si="1"/>
        <v>53.62</v>
      </c>
      <c r="I1293" s="81">
        <f>IFERROR(__xludf.DUMMYFUNCTION("IF(G1293="""", """", ROUND(G1293 / MAX(FILTER($G$2:$G5067, $D$2:$D5067=$D1293)) * 100, 2))"),43.2)</f>
        <v>43.2</v>
      </c>
      <c r="J1293" s="81">
        <f>IFERROR(__xludf.DUMMYFUNCTION("IF(H1293="""", """", ROUND(H1293 / MAX(FILTER($H$2:$H5067, $D$2:$D5067=$D1293)) * 100, 2))"),83.66)</f>
        <v>83.66</v>
      </c>
      <c r="K1293" s="2"/>
      <c r="L1293" s="48"/>
      <c r="M1293" s="48"/>
      <c r="N1293" s="48"/>
      <c r="O1293" s="48" t="str">
        <f t="shared" si="2"/>
        <v/>
      </c>
      <c r="P1293" s="48" t="str">
        <f t="shared" si="3"/>
        <v/>
      </c>
      <c r="Q1293" s="84"/>
      <c r="R1293" s="84"/>
      <c r="S1293" s="84"/>
      <c r="T1293" s="84"/>
      <c r="U1293" s="84"/>
      <c r="V1293" s="84"/>
      <c r="W1293" s="84"/>
      <c r="X1293" s="84"/>
      <c r="Y1293" s="84"/>
      <c r="Z1293" s="84"/>
      <c r="AA1293" s="84"/>
      <c r="AB1293" s="84"/>
    </row>
    <row r="1294">
      <c r="A1294" s="63">
        <v>87.0</v>
      </c>
      <c r="B1294" s="63">
        <v>130.0</v>
      </c>
      <c r="C1294" s="64" t="s">
        <v>309</v>
      </c>
      <c r="D1294" s="64" t="s">
        <v>310</v>
      </c>
      <c r="E1294" s="64" t="s">
        <v>311</v>
      </c>
      <c r="F1294" s="63">
        <v>8500.0</v>
      </c>
      <c r="G1294" s="63">
        <v>4.05</v>
      </c>
      <c r="H1294" s="66">
        <f t="shared" si="1"/>
        <v>48.07</v>
      </c>
      <c r="I1294" s="81">
        <f>IFERROR(__xludf.DUMMYFUNCTION("IF(G1294="""", """", ROUND(G1294 / MAX(FILTER($G$2:$G5067, $D$2:$D5067=$D1294)) * 100, 2))"),36.45)</f>
        <v>36.45</v>
      </c>
      <c r="J1294" s="81">
        <f>IFERROR(__xludf.DUMMYFUNCTION("IF(H1294="""", """", ROUND(H1294 / MAX(FILTER($H$2:$H5067, $D$2:$D5067=$D1294)) * 100, 2))"),75.0)</f>
        <v>75</v>
      </c>
      <c r="K1294" s="2"/>
      <c r="L1294" s="49"/>
      <c r="M1294" s="49"/>
      <c r="N1294" s="49"/>
      <c r="O1294" s="49" t="str">
        <f t="shared" si="2"/>
        <v/>
      </c>
      <c r="P1294" s="49" t="str">
        <f t="shared" si="3"/>
        <v/>
      </c>
      <c r="Q1294" s="84"/>
      <c r="R1294" s="84"/>
      <c r="S1294" s="84"/>
      <c r="T1294" s="84"/>
      <c r="U1294" s="84"/>
      <c r="V1294" s="84"/>
      <c r="W1294" s="84"/>
      <c r="X1294" s="84"/>
      <c r="Y1294" s="84"/>
      <c r="Z1294" s="84"/>
      <c r="AA1294" s="84"/>
      <c r="AB1294" s="84"/>
    </row>
    <row r="1295">
      <c r="A1295" s="69">
        <v>87.0</v>
      </c>
      <c r="B1295" s="69">
        <v>130.0</v>
      </c>
      <c r="C1295" s="86" t="s">
        <v>309</v>
      </c>
      <c r="D1295" s="86" t="s">
        <v>310</v>
      </c>
      <c r="E1295" s="86" t="s">
        <v>311</v>
      </c>
      <c r="F1295" s="69">
        <v>9000.0</v>
      </c>
      <c r="G1295" s="69">
        <v>3.35</v>
      </c>
      <c r="H1295" s="68">
        <f t="shared" si="1"/>
        <v>42.1</v>
      </c>
      <c r="I1295" s="81">
        <f>IFERROR(__xludf.DUMMYFUNCTION("IF(G1295="""", """", ROUND(G1295 / MAX(FILTER($G$2:$G5067, $D$2:$D5067=$D1295)) * 100, 2))"),30.15)</f>
        <v>30.15</v>
      </c>
      <c r="J1295" s="81">
        <f>IFERROR(__xludf.DUMMYFUNCTION("IF(H1295="""", """", ROUND(H1295 / MAX(FILTER($H$2:$H5067, $D$2:$D5067=$D1295)) * 100, 2))"),65.69)</f>
        <v>65.69</v>
      </c>
      <c r="K1295" s="2"/>
      <c r="L1295" s="48"/>
      <c r="M1295" s="48"/>
      <c r="N1295" s="48"/>
      <c r="O1295" s="48" t="str">
        <f t="shared" si="2"/>
        <v/>
      </c>
      <c r="P1295" s="48" t="str">
        <f t="shared" si="3"/>
        <v/>
      </c>
      <c r="Q1295" s="84"/>
      <c r="R1295" s="84"/>
      <c r="S1295" s="84"/>
      <c r="T1295" s="84"/>
      <c r="U1295" s="84"/>
      <c r="V1295" s="84"/>
      <c r="W1295" s="84"/>
      <c r="X1295" s="84"/>
      <c r="Y1295" s="84"/>
      <c r="Z1295" s="84"/>
      <c r="AA1295" s="84"/>
      <c r="AB1295" s="84"/>
    </row>
    <row r="1296">
      <c r="A1296" s="63">
        <v>88.0</v>
      </c>
      <c r="B1296" s="63">
        <v>132.0</v>
      </c>
      <c r="C1296" s="64" t="s">
        <v>312</v>
      </c>
      <c r="D1296" s="64" t="s">
        <v>313</v>
      </c>
      <c r="E1296" s="64" t="s">
        <v>314</v>
      </c>
      <c r="F1296" s="63">
        <v>500.0</v>
      </c>
      <c r="G1296" s="63">
        <v>13.73</v>
      </c>
      <c r="H1296" s="66">
        <f t="shared" si="1"/>
        <v>9.59</v>
      </c>
      <c r="I1296" s="81">
        <f>IFERROR(__xludf.DUMMYFUNCTION("IF(G1296="""", """", ROUND(G1296 / MAX(FILTER($G$2:$G5067, $D$2:$D5067=$D1296)) * 100, 2))"),67.3)</f>
        <v>67.3</v>
      </c>
      <c r="J1296" s="81">
        <f>IFERROR(__xludf.DUMMYFUNCTION("IF(H1296="""", """", ROUND(H1296 / MAX(FILTER($H$2:$H5067, $D$2:$D5067=$D1296)) * 100, 2))"),5.69)</f>
        <v>5.69</v>
      </c>
      <c r="K1296" s="2"/>
      <c r="L1296" s="49"/>
      <c r="M1296" s="49"/>
      <c r="N1296" s="49"/>
      <c r="O1296" s="49" t="str">
        <f t="shared" si="2"/>
        <v/>
      </c>
      <c r="P1296" s="49" t="str">
        <f t="shared" si="3"/>
        <v/>
      </c>
      <c r="Q1296" s="84"/>
      <c r="R1296" s="84"/>
      <c r="S1296" s="84"/>
      <c r="T1296" s="84"/>
      <c r="U1296" s="84"/>
      <c r="V1296" s="84"/>
      <c r="W1296" s="84"/>
      <c r="X1296" s="84"/>
      <c r="Y1296" s="84"/>
      <c r="Z1296" s="84"/>
      <c r="AA1296" s="84"/>
      <c r="AB1296" s="84"/>
    </row>
    <row r="1297">
      <c r="A1297" s="69">
        <v>88.0</v>
      </c>
      <c r="B1297" s="69">
        <v>132.0</v>
      </c>
      <c r="C1297" s="86" t="s">
        <v>312</v>
      </c>
      <c r="D1297" s="86" t="s">
        <v>313</v>
      </c>
      <c r="E1297" s="86" t="s">
        <v>314</v>
      </c>
      <c r="F1297" s="69">
        <v>1000.0</v>
      </c>
      <c r="G1297" s="69">
        <v>15.45</v>
      </c>
      <c r="H1297" s="68">
        <f t="shared" si="1"/>
        <v>21.57</v>
      </c>
      <c r="I1297" s="81">
        <f>IFERROR(__xludf.DUMMYFUNCTION("IF(G1297="""", """", ROUND(G1297 / MAX(FILTER($G$2:$G5067, $D$2:$D5067=$D1297)) * 100, 2))"),75.74)</f>
        <v>75.74</v>
      </c>
      <c r="J1297" s="81">
        <f>IFERROR(__xludf.DUMMYFUNCTION("IF(H1297="""", """", ROUND(H1297 / MAX(FILTER($H$2:$H5067, $D$2:$D5067=$D1297)) * 100, 2))"),12.81)</f>
        <v>12.81</v>
      </c>
      <c r="K1297" s="2"/>
      <c r="L1297" s="48"/>
      <c r="M1297" s="48"/>
      <c r="N1297" s="48"/>
      <c r="O1297" s="48" t="str">
        <f t="shared" si="2"/>
        <v/>
      </c>
      <c r="P1297" s="48" t="str">
        <f t="shared" si="3"/>
        <v/>
      </c>
      <c r="Q1297" s="84"/>
      <c r="R1297" s="84"/>
      <c r="S1297" s="84"/>
      <c r="T1297" s="84"/>
      <c r="U1297" s="84"/>
      <c r="V1297" s="84"/>
      <c r="W1297" s="84"/>
      <c r="X1297" s="84"/>
      <c r="Y1297" s="84"/>
      <c r="Z1297" s="84"/>
      <c r="AA1297" s="84"/>
      <c r="AB1297" s="84"/>
    </row>
    <row r="1298">
      <c r="A1298" s="63">
        <v>88.0</v>
      </c>
      <c r="B1298" s="63">
        <v>132.0</v>
      </c>
      <c r="C1298" s="64" t="s">
        <v>312</v>
      </c>
      <c r="D1298" s="64" t="s">
        <v>313</v>
      </c>
      <c r="E1298" s="64" t="s">
        <v>314</v>
      </c>
      <c r="F1298" s="63">
        <v>1500.0</v>
      </c>
      <c r="G1298" s="63">
        <v>16.73</v>
      </c>
      <c r="H1298" s="66">
        <f t="shared" si="1"/>
        <v>35.04</v>
      </c>
      <c r="I1298" s="81">
        <f>IFERROR(__xludf.DUMMYFUNCTION("IF(G1298="""", """", ROUND(G1298 / MAX(FILTER($G$2:$G5067, $D$2:$D5067=$D1298)) * 100, 2))"),82.01)</f>
        <v>82.01</v>
      </c>
      <c r="J1298" s="81">
        <f>IFERROR(__xludf.DUMMYFUNCTION("IF(H1298="""", """", ROUND(H1298 / MAX(FILTER($H$2:$H5067, $D$2:$D5067=$D1298)) * 100, 2))"),20.81)</f>
        <v>20.81</v>
      </c>
      <c r="K1298" s="2"/>
      <c r="L1298" s="49"/>
      <c r="M1298" s="49"/>
      <c r="N1298" s="49"/>
      <c r="O1298" s="49" t="str">
        <f t="shared" si="2"/>
        <v/>
      </c>
      <c r="P1298" s="49" t="str">
        <f t="shared" si="3"/>
        <v/>
      </c>
      <c r="Q1298" s="84"/>
      <c r="R1298" s="84"/>
      <c r="S1298" s="84"/>
      <c r="T1298" s="84"/>
      <c r="U1298" s="84"/>
      <c r="V1298" s="84"/>
      <c r="W1298" s="84"/>
      <c r="X1298" s="84"/>
      <c r="Y1298" s="84"/>
      <c r="Z1298" s="84"/>
      <c r="AA1298" s="84"/>
      <c r="AB1298" s="84"/>
    </row>
    <row r="1299">
      <c r="A1299" s="69">
        <v>88.0</v>
      </c>
      <c r="B1299" s="69">
        <v>132.0</v>
      </c>
      <c r="C1299" s="86" t="s">
        <v>312</v>
      </c>
      <c r="D1299" s="86" t="s">
        <v>313</v>
      </c>
      <c r="E1299" s="86" t="s">
        <v>314</v>
      </c>
      <c r="F1299" s="69">
        <v>2000.0</v>
      </c>
      <c r="G1299" s="69">
        <v>17.55</v>
      </c>
      <c r="H1299" s="68">
        <f t="shared" si="1"/>
        <v>49.01</v>
      </c>
      <c r="I1299" s="81">
        <f>IFERROR(__xludf.DUMMYFUNCTION("IF(G1299="""", """", ROUND(G1299 / MAX(FILTER($G$2:$G5067, $D$2:$D5067=$D1299)) * 100, 2))"),86.03)</f>
        <v>86.03</v>
      </c>
      <c r="J1299" s="81">
        <f>IFERROR(__xludf.DUMMYFUNCTION("IF(H1299="""", """", ROUND(H1299 / MAX(FILTER($H$2:$H5067, $D$2:$D5067=$D1299)) * 100, 2))"),29.1)</f>
        <v>29.1</v>
      </c>
      <c r="K1299" s="2"/>
      <c r="L1299" s="48"/>
      <c r="M1299" s="48"/>
      <c r="N1299" s="48"/>
      <c r="O1299" s="48" t="str">
        <f t="shared" si="2"/>
        <v/>
      </c>
      <c r="P1299" s="48" t="str">
        <f t="shared" si="3"/>
        <v/>
      </c>
      <c r="Q1299" s="84"/>
      <c r="R1299" s="84"/>
      <c r="S1299" s="84"/>
      <c r="T1299" s="84"/>
      <c r="U1299" s="84"/>
      <c r="V1299" s="84"/>
      <c r="W1299" s="84"/>
      <c r="X1299" s="84"/>
      <c r="Y1299" s="84"/>
      <c r="Z1299" s="84"/>
      <c r="AA1299" s="84"/>
      <c r="AB1299" s="84"/>
    </row>
    <row r="1300">
      <c r="A1300" s="63">
        <v>88.0</v>
      </c>
      <c r="B1300" s="63">
        <v>132.0</v>
      </c>
      <c r="C1300" s="64" t="s">
        <v>312</v>
      </c>
      <c r="D1300" s="64" t="s">
        <v>313</v>
      </c>
      <c r="E1300" s="64" t="s">
        <v>314</v>
      </c>
      <c r="F1300" s="63">
        <v>2500.0</v>
      </c>
      <c r="G1300" s="63">
        <v>17.7</v>
      </c>
      <c r="H1300" s="66">
        <f t="shared" si="1"/>
        <v>61.78</v>
      </c>
      <c r="I1300" s="81">
        <f>IFERROR(__xludf.DUMMYFUNCTION("IF(G1300="""", """", ROUND(G1300 / MAX(FILTER($G$2:$G5067, $D$2:$D5067=$D1300)) * 100, 2))"),86.76)</f>
        <v>86.76</v>
      </c>
      <c r="J1300" s="81">
        <f>IFERROR(__xludf.DUMMYFUNCTION("IF(H1300="""", """", ROUND(H1300 / MAX(FILTER($H$2:$H5067, $D$2:$D5067=$D1300)) * 100, 2))"),36.68)</f>
        <v>36.68</v>
      </c>
      <c r="K1300" s="2"/>
      <c r="L1300" s="49"/>
      <c r="M1300" s="49"/>
      <c r="N1300" s="49"/>
      <c r="O1300" s="49" t="str">
        <f t="shared" si="2"/>
        <v/>
      </c>
      <c r="P1300" s="49" t="str">
        <f t="shared" si="3"/>
        <v/>
      </c>
      <c r="Q1300" s="84"/>
      <c r="R1300" s="84"/>
      <c r="S1300" s="84"/>
      <c r="T1300" s="84"/>
      <c r="U1300" s="84"/>
      <c r="V1300" s="84"/>
      <c r="W1300" s="84"/>
      <c r="X1300" s="84"/>
      <c r="Y1300" s="84"/>
      <c r="Z1300" s="84"/>
      <c r="AA1300" s="84"/>
      <c r="AB1300" s="84"/>
    </row>
    <row r="1301">
      <c r="A1301" s="69">
        <v>88.0</v>
      </c>
      <c r="B1301" s="69">
        <v>132.0</v>
      </c>
      <c r="C1301" s="86" t="s">
        <v>312</v>
      </c>
      <c r="D1301" s="86" t="s">
        <v>313</v>
      </c>
      <c r="E1301" s="86" t="s">
        <v>314</v>
      </c>
      <c r="F1301" s="69">
        <v>3000.0</v>
      </c>
      <c r="G1301" s="69">
        <v>17.63</v>
      </c>
      <c r="H1301" s="68">
        <f t="shared" si="1"/>
        <v>73.85</v>
      </c>
      <c r="I1301" s="81">
        <f>IFERROR(__xludf.DUMMYFUNCTION("IF(G1301="""", """", ROUND(G1301 / MAX(FILTER($G$2:$G5067, $D$2:$D5067=$D1301)) * 100, 2))"),86.42)</f>
        <v>86.42</v>
      </c>
      <c r="J1301" s="81">
        <f>IFERROR(__xludf.DUMMYFUNCTION("IF(H1301="""", """", ROUND(H1301 / MAX(FILTER($H$2:$H5067, $D$2:$D5067=$D1301)) * 100, 2))"),43.85)</f>
        <v>43.85</v>
      </c>
      <c r="K1301" s="2"/>
      <c r="L1301" s="48"/>
      <c r="M1301" s="48"/>
      <c r="N1301" s="48"/>
      <c r="O1301" s="48" t="str">
        <f t="shared" si="2"/>
        <v/>
      </c>
      <c r="P1301" s="48" t="str">
        <f t="shared" si="3"/>
        <v/>
      </c>
      <c r="Q1301" s="84"/>
      <c r="R1301" s="84"/>
      <c r="S1301" s="84"/>
      <c r="T1301" s="84"/>
      <c r="U1301" s="84"/>
      <c r="V1301" s="84"/>
      <c r="W1301" s="84"/>
      <c r="X1301" s="84"/>
      <c r="Y1301" s="84"/>
      <c r="Z1301" s="84"/>
      <c r="AA1301" s="84"/>
      <c r="AB1301" s="84"/>
    </row>
    <row r="1302">
      <c r="A1302" s="63">
        <v>88.0</v>
      </c>
      <c r="B1302" s="63">
        <v>132.0</v>
      </c>
      <c r="C1302" s="64" t="s">
        <v>312</v>
      </c>
      <c r="D1302" s="64" t="s">
        <v>313</v>
      </c>
      <c r="E1302" s="64" t="s">
        <v>314</v>
      </c>
      <c r="F1302" s="63">
        <v>3500.0</v>
      </c>
      <c r="G1302" s="63">
        <v>17.92</v>
      </c>
      <c r="H1302" s="66">
        <f t="shared" si="1"/>
        <v>87.57</v>
      </c>
      <c r="I1302" s="81">
        <f>IFERROR(__xludf.DUMMYFUNCTION("IF(G1302="""", """", ROUND(G1302 / MAX(FILTER($G$2:$G5067, $D$2:$D5067=$D1302)) * 100, 2))"),87.84)</f>
        <v>87.84</v>
      </c>
      <c r="J1302" s="81">
        <f>IFERROR(__xludf.DUMMYFUNCTION("IF(H1302="""", """", ROUND(H1302 / MAX(FILTER($H$2:$H5067, $D$2:$D5067=$D1302)) * 100, 2))"),52.0)</f>
        <v>52</v>
      </c>
      <c r="K1302" s="2"/>
      <c r="L1302" s="49"/>
      <c r="M1302" s="49"/>
      <c r="N1302" s="49"/>
      <c r="O1302" s="49" t="str">
        <f t="shared" si="2"/>
        <v/>
      </c>
      <c r="P1302" s="49" t="str">
        <f t="shared" si="3"/>
        <v/>
      </c>
      <c r="Q1302" s="84"/>
      <c r="R1302" s="84"/>
      <c r="S1302" s="84"/>
      <c r="T1302" s="84"/>
      <c r="U1302" s="84"/>
      <c r="V1302" s="84"/>
      <c r="W1302" s="84"/>
      <c r="X1302" s="84"/>
      <c r="Y1302" s="84"/>
      <c r="Z1302" s="84"/>
      <c r="AA1302" s="84"/>
      <c r="AB1302" s="84"/>
    </row>
    <row r="1303">
      <c r="A1303" s="69">
        <v>88.0</v>
      </c>
      <c r="B1303" s="69">
        <v>132.0</v>
      </c>
      <c r="C1303" s="86" t="s">
        <v>312</v>
      </c>
      <c r="D1303" s="86" t="s">
        <v>313</v>
      </c>
      <c r="E1303" s="86" t="s">
        <v>314</v>
      </c>
      <c r="F1303" s="69">
        <v>4000.0</v>
      </c>
      <c r="G1303" s="69">
        <v>18.98</v>
      </c>
      <c r="H1303" s="68">
        <f t="shared" si="1"/>
        <v>106</v>
      </c>
      <c r="I1303" s="81">
        <f>IFERROR(__xludf.DUMMYFUNCTION("IF(G1303="""", """", ROUND(G1303 / MAX(FILTER($G$2:$G5067, $D$2:$D5067=$D1303)) * 100, 2))"),93.04)</f>
        <v>93.04</v>
      </c>
      <c r="J1303" s="81">
        <f>IFERROR(__xludf.DUMMYFUNCTION("IF(H1303="""", """", ROUND(H1303 / MAX(FILTER($H$2:$H5067, $D$2:$D5067=$D1303)) * 100, 2))"),62.94)</f>
        <v>62.94</v>
      </c>
      <c r="K1303" s="2"/>
      <c r="L1303" s="48"/>
      <c r="M1303" s="48"/>
      <c r="N1303" s="48"/>
      <c r="O1303" s="48" t="str">
        <f t="shared" si="2"/>
        <v/>
      </c>
      <c r="P1303" s="48" t="str">
        <f t="shared" si="3"/>
        <v/>
      </c>
      <c r="Q1303" s="84"/>
      <c r="R1303" s="84"/>
      <c r="S1303" s="84"/>
      <c r="T1303" s="84"/>
      <c r="U1303" s="84"/>
      <c r="V1303" s="84"/>
      <c r="W1303" s="84"/>
      <c r="X1303" s="84"/>
      <c r="Y1303" s="84"/>
      <c r="Z1303" s="84"/>
      <c r="AA1303" s="84"/>
      <c r="AB1303" s="84"/>
    </row>
    <row r="1304">
      <c r="A1304" s="63">
        <v>88.0</v>
      </c>
      <c r="B1304" s="63">
        <v>132.0</v>
      </c>
      <c r="C1304" s="64" t="s">
        <v>312</v>
      </c>
      <c r="D1304" s="64" t="s">
        <v>313</v>
      </c>
      <c r="E1304" s="64" t="s">
        <v>314</v>
      </c>
      <c r="F1304" s="63">
        <v>4500.0</v>
      </c>
      <c r="G1304" s="63">
        <v>19.95</v>
      </c>
      <c r="H1304" s="66">
        <f t="shared" si="1"/>
        <v>125.35</v>
      </c>
      <c r="I1304" s="81">
        <f>IFERROR(__xludf.DUMMYFUNCTION("IF(G1304="""", """", ROUND(G1304 / MAX(FILTER($G$2:$G5067, $D$2:$D5067=$D1304)) * 100, 2))"),97.79)</f>
        <v>97.79</v>
      </c>
      <c r="J1304" s="81">
        <f>IFERROR(__xludf.DUMMYFUNCTION("IF(H1304="""", """", ROUND(H1304 / MAX(FILTER($H$2:$H5067, $D$2:$D5067=$D1304)) * 100, 2))"),74.43)</f>
        <v>74.43</v>
      </c>
      <c r="K1304" s="2"/>
      <c r="L1304" s="49"/>
      <c r="M1304" s="49"/>
      <c r="N1304" s="49"/>
      <c r="O1304" s="49" t="str">
        <f t="shared" si="2"/>
        <v/>
      </c>
      <c r="P1304" s="49" t="str">
        <f t="shared" si="3"/>
        <v/>
      </c>
      <c r="Q1304" s="84"/>
      <c r="R1304" s="84"/>
      <c r="S1304" s="84"/>
      <c r="T1304" s="84"/>
      <c r="U1304" s="84"/>
      <c r="V1304" s="84"/>
      <c r="W1304" s="84"/>
      <c r="X1304" s="84"/>
      <c r="Y1304" s="84"/>
      <c r="Z1304" s="84"/>
      <c r="AA1304" s="84"/>
      <c r="AB1304" s="84"/>
    </row>
    <row r="1305">
      <c r="A1305" s="69">
        <v>88.0</v>
      </c>
      <c r="B1305" s="69">
        <v>132.0</v>
      </c>
      <c r="C1305" s="86" t="s">
        <v>312</v>
      </c>
      <c r="D1305" s="86" t="s">
        <v>313</v>
      </c>
      <c r="E1305" s="86" t="s">
        <v>314</v>
      </c>
      <c r="F1305" s="69">
        <v>5000.0</v>
      </c>
      <c r="G1305" s="69">
        <v>20.33</v>
      </c>
      <c r="H1305" s="68">
        <f t="shared" si="1"/>
        <v>141.93</v>
      </c>
      <c r="I1305" s="81">
        <f>IFERROR(__xludf.DUMMYFUNCTION("IF(G1305="""", """", ROUND(G1305 / MAX(FILTER($G$2:$G5067, $D$2:$D5067=$D1305)) * 100, 2))"),99.66)</f>
        <v>99.66</v>
      </c>
      <c r="J1305" s="81">
        <f>IFERROR(__xludf.DUMMYFUNCTION("IF(H1305="""", """", ROUND(H1305 / MAX(FILTER($H$2:$H5067, $D$2:$D5067=$D1305)) * 100, 2))"),84.27)</f>
        <v>84.27</v>
      </c>
      <c r="K1305" s="2"/>
      <c r="L1305" s="48"/>
      <c r="M1305" s="48"/>
      <c r="N1305" s="48"/>
      <c r="O1305" s="48" t="str">
        <f t="shared" si="2"/>
        <v/>
      </c>
      <c r="P1305" s="48" t="str">
        <f t="shared" si="3"/>
        <v/>
      </c>
      <c r="Q1305" s="84"/>
      <c r="R1305" s="84"/>
      <c r="S1305" s="84"/>
      <c r="T1305" s="84"/>
      <c r="U1305" s="84"/>
      <c r="V1305" s="84"/>
      <c r="W1305" s="84"/>
      <c r="X1305" s="84"/>
      <c r="Y1305" s="84"/>
      <c r="Z1305" s="84"/>
      <c r="AA1305" s="84"/>
      <c r="AB1305" s="84"/>
    </row>
    <row r="1306">
      <c r="A1306" s="63">
        <v>88.0</v>
      </c>
      <c r="B1306" s="63">
        <v>132.0</v>
      </c>
      <c r="C1306" s="64" t="s">
        <v>312</v>
      </c>
      <c r="D1306" s="64" t="s">
        <v>313</v>
      </c>
      <c r="E1306" s="64" t="s">
        <v>314</v>
      </c>
      <c r="F1306" s="63">
        <v>5400.0</v>
      </c>
      <c r="G1306" s="63">
        <v>20.4</v>
      </c>
      <c r="H1306" s="66">
        <f t="shared" si="1"/>
        <v>153.81</v>
      </c>
      <c r="I1306" s="81">
        <f>IFERROR(__xludf.DUMMYFUNCTION("IF(G1306="""", """", ROUND(G1306 / MAX(FILTER($G$2:$G5067, $D$2:$D5067=$D1306)) * 100, 2))"),100.0)</f>
        <v>100</v>
      </c>
      <c r="J1306" s="81">
        <f>IFERROR(__xludf.DUMMYFUNCTION("IF(H1306="""", """", ROUND(H1306 / MAX(FILTER($H$2:$H5067, $D$2:$D5067=$D1306)) * 100, 2))"),91.33)</f>
        <v>91.33</v>
      </c>
      <c r="K1306" s="2"/>
      <c r="L1306" s="49"/>
      <c r="M1306" s="49"/>
      <c r="N1306" s="49"/>
      <c r="O1306" s="49" t="str">
        <f t="shared" si="2"/>
        <v/>
      </c>
      <c r="P1306" s="49" t="str">
        <f t="shared" si="3"/>
        <v/>
      </c>
      <c r="Q1306" s="84"/>
      <c r="R1306" s="84"/>
      <c r="S1306" s="84"/>
      <c r="T1306" s="84"/>
      <c r="U1306" s="84"/>
      <c r="V1306" s="84"/>
      <c r="W1306" s="84"/>
      <c r="X1306" s="84"/>
      <c r="Y1306" s="84"/>
      <c r="Z1306" s="84"/>
      <c r="AA1306" s="84"/>
      <c r="AB1306" s="84"/>
    </row>
    <row r="1307">
      <c r="A1307" s="69">
        <v>88.0</v>
      </c>
      <c r="B1307" s="69">
        <v>132.0</v>
      </c>
      <c r="C1307" s="86" t="s">
        <v>312</v>
      </c>
      <c r="D1307" s="86" t="s">
        <v>313</v>
      </c>
      <c r="E1307" s="86" t="s">
        <v>314</v>
      </c>
      <c r="F1307" s="69">
        <v>6000.0</v>
      </c>
      <c r="G1307" s="69">
        <v>19.8</v>
      </c>
      <c r="H1307" s="68">
        <f t="shared" si="1"/>
        <v>165.88</v>
      </c>
      <c r="I1307" s="81">
        <f>IFERROR(__xludf.DUMMYFUNCTION("IF(G1307="""", """", ROUND(G1307 / MAX(FILTER($G$2:$G5067, $D$2:$D5067=$D1307)) * 100, 2))"),97.06)</f>
        <v>97.06</v>
      </c>
      <c r="J1307" s="81">
        <f>IFERROR(__xludf.DUMMYFUNCTION("IF(H1307="""", """", ROUND(H1307 / MAX(FILTER($H$2:$H5067, $D$2:$D5067=$D1307)) * 100, 2))"),98.49)</f>
        <v>98.49</v>
      </c>
      <c r="K1307" s="2"/>
      <c r="L1307" s="48"/>
      <c r="M1307" s="48"/>
      <c r="N1307" s="48"/>
      <c r="O1307" s="48" t="str">
        <f t="shared" si="2"/>
        <v/>
      </c>
      <c r="P1307" s="48" t="str">
        <f t="shared" si="3"/>
        <v/>
      </c>
      <c r="Q1307" s="84"/>
      <c r="R1307" s="84"/>
      <c r="S1307" s="84"/>
      <c r="T1307" s="84"/>
      <c r="U1307" s="84"/>
      <c r="V1307" s="84"/>
      <c r="W1307" s="84"/>
      <c r="X1307" s="84"/>
      <c r="Y1307" s="84"/>
      <c r="Z1307" s="84"/>
      <c r="AA1307" s="84"/>
      <c r="AB1307" s="84"/>
    </row>
    <row r="1308">
      <c r="A1308" s="63">
        <v>88.0</v>
      </c>
      <c r="B1308" s="63">
        <v>132.0</v>
      </c>
      <c r="C1308" s="64" t="s">
        <v>312</v>
      </c>
      <c r="D1308" s="64" t="s">
        <v>313</v>
      </c>
      <c r="E1308" s="64" t="s">
        <v>314</v>
      </c>
      <c r="F1308" s="63">
        <v>6250.0</v>
      </c>
      <c r="G1308" s="63">
        <v>19.3</v>
      </c>
      <c r="H1308" s="66">
        <f t="shared" si="1"/>
        <v>168.42</v>
      </c>
      <c r="I1308" s="81">
        <f>IFERROR(__xludf.DUMMYFUNCTION("IF(G1308="""", """", ROUND(G1308 / MAX(FILTER($G$2:$G5067, $D$2:$D5067=$D1308)) * 100, 2))"),94.61)</f>
        <v>94.61</v>
      </c>
      <c r="J1308" s="81">
        <f>IFERROR(__xludf.DUMMYFUNCTION("IF(H1308="""", """", ROUND(H1308 / MAX(FILTER($H$2:$H5067, $D$2:$D5067=$D1308)) * 100, 2))"),100.0)</f>
        <v>100</v>
      </c>
      <c r="K1308" s="2"/>
      <c r="L1308" s="49"/>
      <c r="M1308" s="49"/>
      <c r="N1308" s="49"/>
      <c r="O1308" s="49" t="str">
        <f t="shared" si="2"/>
        <v/>
      </c>
      <c r="P1308" s="49" t="str">
        <f t="shared" si="3"/>
        <v/>
      </c>
      <c r="Q1308" s="84"/>
      <c r="R1308" s="84"/>
      <c r="S1308" s="84"/>
      <c r="T1308" s="84"/>
      <c r="U1308" s="84"/>
      <c r="V1308" s="84"/>
      <c r="W1308" s="84"/>
      <c r="X1308" s="84"/>
      <c r="Y1308" s="84"/>
      <c r="Z1308" s="84"/>
      <c r="AA1308" s="84"/>
      <c r="AB1308" s="84"/>
    </row>
    <row r="1309">
      <c r="A1309" s="69">
        <v>88.0</v>
      </c>
      <c r="B1309" s="69">
        <v>132.0</v>
      </c>
      <c r="C1309" s="86" t="s">
        <v>312</v>
      </c>
      <c r="D1309" s="86" t="s">
        <v>313</v>
      </c>
      <c r="E1309" s="86" t="s">
        <v>314</v>
      </c>
      <c r="F1309" s="69">
        <v>7000.0</v>
      </c>
      <c r="G1309" s="69">
        <v>17.02</v>
      </c>
      <c r="H1309" s="68">
        <f t="shared" si="1"/>
        <v>166.35</v>
      </c>
      <c r="I1309" s="81">
        <f>IFERROR(__xludf.DUMMYFUNCTION("IF(G1309="""", """", ROUND(G1309 / MAX(FILTER($G$2:$G5067, $D$2:$D5067=$D1309)) * 100, 2))"),83.43)</f>
        <v>83.43</v>
      </c>
      <c r="J1309" s="81">
        <f>IFERROR(__xludf.DUMMYFUNCTION("IF(H1309="""", """", ROUND(H1309 / MAX(FILTER($H$2:$H5067, $D$2:$D5067=$D1309)) * 100, 2))"),98.77)</f>
        <v>98.77</v>
      </c>
      <c r="K1309" s="2"/>
      <c r="L1309" s="48"/>
      <c r="M1309" s="48"/>
      <c r="N1309" s="48"/>
      <c r="O1309" s="48" t="str">
        <f t="shared" si="2"/>
        <v/>
      </c>
      <c r="P1309" s="48" t="str">
        <f t="shared" si="3"/>
        <v/>
      </c>
      <c r="Q1309" s="84"/>
      <c r="R1309" s="84"/>
      <c r="S1309" s="84"/>
      <c r="T1309" s="84"/>
      <c r="U1309" s="84"/>
      <c r="V1309" s="84"/>
      <c r="W1309" s="84"/>
      <c r="X1309" s="84"/>
      <c r="Y1309" s="84"/>
      <c r="Z1309" s="84"/>
      <c r="AA1309" s="84"/>
      <c r="AB1309" s="84"/>
    </row>
    <row r="1310">
      <c r="A1310" s="63">
        <v>88.0</v>
      </c>
      <c r="B1310" s="63">
        <v>132.0</v>
      </c>
      <c r="C1310" s="64" t="s">
        <v>312</v>
      </c>
      <c r="D1310" s="64" t="s">
        <v>313</v>
      </c>
      <c r="E1310" s="64" t="s">
        <v>314</v>
      </c>
      <c r="F1310" s="63">
        <v>7500.0</v>
      </c>
      <c r="G1310" s="63">
        <v>15.15</v>
      </c>
      <c r="H1310" s="66">
        <f t="shared" si="1"/>
        <v>158.65</v>
      </c>
      <c r="I1310" s="81">
        <f>IFERROR(__xludf.DUMMYFUNCTION("IF(G1310="""", """", ROUND(G1310 / MAX(FILTER($G$2:$G5067, $D$2:$D5067=$D1310)) * 100, 2))"),74.26)</f>
        <v>74.26</v>
      </c>
      <c r="J1310" s="81">
        <f>IFERROR(__xludf.DUMMYFUNCTION("IF(H1310="""", """", ROUND(H1310 / MAX(FILTER($H$2:$H5067, $D$2:$D5067=$D1310)) * 100, 2))"),94.2)</f>
        <v>94.2</v>
      </c>
      <c r="K1310" s="2"/>
      <c r="L1310" s="49"/>
      <c r="M1310" s="49"/>
      <c r="N1310" s="49"/>
      <c r="O1310" s="49" t="str">
        <f t="shared" si="2"/>
        <v/>
      </c>
      <c r="P1310" s="49" t="str">
        <f t="shared" si="3"/>
        <v/>
      </c>
      <c r="Q1310" s="84"/>
      <c r="R1310" s="84"/>
      <c r="S1310" s="84"/>
      <c r="T1310" s="84"/>
      <c r="U1310" s="84"/>
      <c r="V1310" s="84"/>
      <c r="W1310" s="84"/>
      <c r="X1310" s="84"/>
      <c r="Y1310" s="84"/>
      <c r="Z1310" s="84"/>
      <c r="AA1310" s="84"/>
      <c r="AB1310" s="84"/>
    </row>
    <row r="1311">
      <c r="A1311" s="69">
        <v>89.0</v>
      </c>
      <c r="B1311" s="69">
        <v>133.0</v>
      </c>
      <c r="C1311" s="86" t="s">
        <v>315</v>
      </c>
      <c r="D1311" s="86" t="s">
        <v>316</v>
      </c>
      <c r="E1311" s="86" t="s">
        <v>317</v>
      </c>
      <c r="F1311" s="69">
        <v>500.0</v>
      </c>
      <c r="G1311" s="69">
        <v>32.55</v>
      </c>
      <c r="H1311" s="68">
        <f t="shared" si="1"/>
        <v>22.72</v>
      </c>
      <c r="I1311" s="81">
        <f>IFERROR(__xludf.DUMMYFUNCTION("IF(G1311="""", """", ROUND(G1311 / MAX(FILTER($G$2:$G5067, $D$2:$D5067=$D1311)) * 100, 2))"),62.84)</f>
        <v>62.84</v>
      </c>
      <c r="J1311" s="81">
        <f>IFERROR(__xludf.DUMMYFUNCTION("IF(H1311="""", """", ROUND(H1311 / MAX(FILTER($H$2:$H5067, $D$2:$D5067=$D1311)) * 100, 2))"),6.41)</f>
        <v>6.41</v>
      </c>
      <c r="K1311" s="2"/>
      <c r="L1311" s="48"/>
      <c r="M1311" s="48"/>
      <c r="N1311" s="48"/>
      <c r="O1311" s="48" t="str">
        <f t="shared" si="2"/>
        <v/>
      </c>
      <c r="P1311" s="48" t="str">
        <f t="shared" si="3"/>
        <v/>
      </c>
      <c r="Q1311" s="84"/>
      <c r="R1311" s="84"/>
      <c r="S1311" s="84"/>
      <c r="T1311" s="84"/>
      <c r="U1311" s="84"/>
      <c r="V1311" s="84"/>
      <c r="W1311" s="84"/>
      <c r="X1311" s="84"/>
      <c r="Y1311" s="84"/>
      <c r="Z1311" s="84"/>
      <c r="AA1311" s="84"/>
      <c r="AB1311" s="84"/>
    </row>
    <row r="1312">
      <c r="A1312" s="63">
        <v>89.0</v>
      </c>
      <c r="B1312" s="63">
        <v>133.0</v>
      </c>
      <c r="C1312" s="64" t="s">
        <v>315</v>
      </c>
      <c r="D1312" s="64" t="s">
        <v>316</v>
      </c>
      <c r="E1312" s="64" t="s">
        <v>317</v>
      </c>
      <c r="F1312" s="63">
        <v>1000.0</v>
      </c>
      <c r="G1312" s="63">
        <v>39.15</v>
      </c>
      <c r="H1312" s="66">
        <f t="shared" si="1"/>
        <v>54.66</v>
      </c>
      <c r="I1312" s="81">
        <f>IFERROR(__xludf.DUMMYFUNCTION("IF(G1312="""", """", ROUND(G1312 / MAX(FILTER($G$2:$G5067, $D$2:$D5067=$D1312)) * 100, 2))"),75.58)</f>
        <v>75.58</v>
      </c>
      <c r="J1312" s="81">
        <f>IFERROR(__xludf.DUMMYFUNCTION("IF(H1312="""", """", ROUND(H1312 / MAX(FILTER($H$2:$H5067, $D$2:$D5067=$D1312)) * 100, 2))"),15.43)</f>
        <v>15.43</v>
      </c>
      <c r="K1312" s="2"/>
      <c r="L1312" s="49"/>
      <c r="M1312" s="49"/>
      <c r="N1312" s="49"/>
      <c r="O1312" s="49" t="str">
        <f t="shared" si="2"/>
        <v/>
      </c>
      <c r="P1312" s="49" t="str">
        <f t="shared" si="3"/>
        <v/>
      </c>
      <c r="Q1312" s="84"/>
      <c r="R1312" s="84"/>
      <c r="S1312" s="84"/>
      <c r="T1312" s="84"/>
      <c r="U1312" s="84"/>
      <c r="V1312" s="84"/>
      <c r="W1312" s="84"/>
      <c r="X1312" s="84"/>
      <c r="Y1312" s="84"/>
      <c r="Z1312" s="84"/>
      <c r="AA1312" s="84"/>
      <c r="AB1312" s="84"/>
    </row>
    <row r="1313">
      <c r="A1313" s="69">
        <v>89.0</v>
      </c>
      <c r="B1313" s="69">
        <v>133.0</v>
      </c>
      <c r="C1313" s="86" t="s">
        <v>315</v>
      </c>
      <c r="D1313" s="86" t="s">
        <v>316</v>
      </c>
      <c r="E1313" s="86" t="s">
        <v>317</v>
      </c>
      <c r="F1313" s="69">
        <v>1500.0</v>
      </c>
      <c r="G1313" s="69">
        <v>43.95</v>
      </c>
      <c r="H1313" s="68">
        <f t="shared" si="1"/>
        <v>92.05</v>
      </c>
      <c r="I1313" s="81">
        <f>IFERROR(__xludf.DUMMYFUNCTION("IF(G1313="""", """", ROUND(G1313 / MAX(FILTER($G$2:$G5067, $D$2:$D5067=$D1313)) * 100, 2))"),84.85)</f>
        <v>84.85</v>
      </c>
      <c r="J1313" s="81">
        <f>IFERROR(__xludf.DUMMYFUNCTION("IF(H1313="""", """", ROUND(H1313 / MAX(FILTER($H$2:$H5067, $D$2:$D5067=$D1313)) * 100, 2))"),25.98)</f>
        <v>25.98</v>
      </c>
      <c r="K1313" s="2"/>
      <c r="L1313" s="48"/>
      <c r="M1313" s="48"/>
      <c r="N1313" s="48"/>
      <c r="O1313" s="48" t="str">
        <f t="shared" si="2"/>
        <v/>
      </c>
      <c r="P1313" s="48" t="str">
        <f t="shared" si="3"/>
        <v/>
      </c>
      <c r="Q1313" s="84"/>
      <c r="R1313" s="84"/>
      <c r="S1313" s="84"/>
      <c r="T1313" s="84"/>
      <c r="U1313" s="84"/>
      <c r="V1313" s="84"/>
      <c r="W1313" s="84"/>
      <c r="X1313" s="84"/>
      <c r="Y1313" s="84"/>
      <c r="Z1313" s="84"/>
      <c r="AA1313" s="84"/>
      <c r="AB1313" s="84"/>
    </row>
    <row r="1314">
      <c r="A1314" s="63">
        <v>89.0</v>
      </c>
      <c r="B1314" s="63">
        <v>133.0</v>
      </c>
      <c r="C1314" s="64" t="s">
        <v>315</v>
      </c>
      <c r="D1314" s="64" t="s">
        <v>316</v>
      </c>
      <c r="E1314" s="64" t="s">
        <v>317</v>
      </c>
      <c r="F1314" s="63">
        <v>2000.0</v>
      </c>
      <c r="G1314" s="63">
        <v>47.25</v>
      </c>
      <c r="H1314" s="66">
        <f t="shared" si="1"/>
        <v>131.95</v>
      </c>
      <c r="I1314" s="81">
        <f>IFERROR(__xludf.DUMMYFUNCTION("IF(G1314="""", """", ROUND(G1314 / MAX(FILTER($G$2:$G5067, $D$2:$D5067=$D1314)) * 100, 2))"),91.22)</f>
        <v>91.22</v>
      </c>
      <c r="J1314" s="81">
        <f>IFERROR(__xludf.DUMMYFUNCTION("IF(H1314="""", """", ROUND(H1314 / MAX(FILTER($H$2:$H5067, $D$2:$D5067=$D1314)) * 100, 2))"),37.24)</f>
        <v>37.24</v>
      </c>
      <c r="K1314" s="2"/>
      <c r="L1314" s="49"/>
      <c r="M1314" s="49"/>
      <c r="N1314" s="49"/>
      <c r="O1314" s="49" t="str">
        <f t="shared" si="2"/>
        <v/>
      </c>
      <c r="P1314" s="49" t="str">
        <f t="shared" si="3"/>
        <v/>
      </c>
      <c r="Q1314" s="84"/>
      <c r="R1314" s="84"/>
      <c r="S1314" s="84"/>
      <c r="T1314" s="84"/>
      <c r="U1314" s="84"/>
      <c r="V1314" s="84"/>
      <c r="W1314" s="84"/>
      <c r="X1314" s="84"/>
      <c r="Y1314" s="84"/>
      <c r="Z1314" s="84"/>
      <c r="AA1314" s="84"/>
      <c r="AB1314" s="84"/>
    </row>
    <row r="1315">
      <c r="A1315" s="69">
        <v>89.0</v>
      </c>
      <c r="B1315" s="69">
        <v>133.0</v>
      </c>
      <c r="C1315" s="86" t="s">
        <v>315</v>
      </c>
      <c r="D1315" s="86" t="s">
        <v>316</v>
      </c>
      <c r="E1315" s="86" t="s">
        <v>317</v>
      </c>
      <c r="F1315" s="69">
        <v>2500.0</v>
      </c>
      <c r="G1315" s="69">
        <v>49.2</v>
      </c>
      <c r="H1315" s="68">
        <f t="shared" si="1"/>
        <v>171.74</v>
      </c>
      <c r="I1315" s="81">
        <f>IFERROR(__xludf.DUMMYFUNCTION("IF(G1315="""", """", ROUND(G1315 / MAX(FILTER($G$2:$G5067, $D$2:$D5067=$D1315)) * 100, 2))"),94.98)</f>
        <v>94.98</v>
      </c>
      <c r="J1315" s="81">
        <f>IFERROR(__xludf.DUMMYFUNCTION("IF(H1315="""", """", ROUND(H1315 / MAX(FILTER($H$2:$H5067, $D$2:$D5067=$D1315)) * 100, 2))"),48.47)</f>
        <v>48.47</v>
      </c>
      <c r="K1315" s="2"/>
      <c r="L1315" s="48"/>
      <c r="M1315" s="48"/>
      <c r="N1315" s="48"/>
      <c r="O1315" s="48" t="str">
        <f t="shared" si="2"/>
        <v/>
      </c>
      <c r="P1315" s="48" t="str">
        <f t="shared" si="3"/>
        <v/>
      </c>
      <c r="Q1315" s="84"/>
      <c r="R1315" s="84"/>
      <c r="S1315" s="84"/>
      <c r="T1315" s="84"/>
      <c r="U1315" s="84"/>
      <c r="V1315" s="84"/>
      <c r="W1315" s="84"/>
      <c r="X1315" s="84"/>
      <c r="Y1315" s="84"/>
      <c r="Z1315" s="84"/>
      <c r="AA1315" s="84"/>
      <c r="AB1315" s="84"/>
    </row>
    <row r="1316">
      <c r="A1316" s="63">
        <v>89.0</v>
      </c>
      <c r="B1316" s="63">
        <v>133.0</v>
      </c>
      <c r="C1316" s="64" t="s">
        <v>315</v>
      </c>
      <c r="D1316" s="64" t="s">
        <v>316</v>
      </c>
      <c r="E1316" s="64" t="s">
        <v>317</v>
      </c>
      <c r="F1316" s="63">
        <v>3000.0</v>
      </c>
      <c r="G1316" s="63">
        <v>50.7</v>
      </c>
      <c r="H1316" s="66">
        <f t="shared" si="1"/>
        <v>212.37</v>
      </c>
      <c r="I1316" s="81">
        <f>IFERROR(__xludf.DUMMYFUNCTION("IF(G1316="""", """", ROUND(G1316 / MAX(FILTER($G$2:$G5067, $D$2:$D5067=$D1316)) * 100, 2))"),97.88)</f>
        <v>97.88</v>
      </c>
      <c r="J1316" s="81">
        <f>IFERROR(__xludf.DUMMYFUNCTION("IF(H1316="""", """", ROUND(H1316 / MAX(FILTER($H$2:$H5067, $D$2:$D5067=$D1316)) * 100, 2))"),59.94)</f>
        <v>59.94</v>
      </c>
      <c r="K1316" s="2"/>
      <c r="L1316" s="49"/>
      <c r="M1316" s="49"/>
      <c r="N1316" s="49"/>
      <c r="O1316" s="49" t="str">
        <f t="shared" si="2"/>
        <v/>
      </c>
      <c r="P1316" s="49" t="str">
        <f t="shared" si="3"/>
        <v/>
      </c>
      <c r="Q1316" s="84"/>
      <c r="R1316" s="84"/>
      <c r="S1316" s="84"/>
      <c r="T1316" s="84"/>
      <c r="U1316" s="84"/>
      <c r="V1316" s="84"/>
      <c r="W1316" s="84"/>
      <c r="X1316" s="84"/>
      <c r="Y1316" s="84"/>
      <c r="Z1316" s="84"/>
      <c r="AA1316" s="84"/>
      <c r="AB1316" s="84"/>
    </row>
    <row r="1317">
      <c r="A1317" s="69">
        <v>89.0</v>
      </c>
      <c r="B1317" s="69">
        <v>133.0</v>
      </c>
      <c r="C1317" s="86" t="s">
        <v>315</v>
      </c>
      <c r="D1317" s="86" t="s">
        <v>316</v>
      </c>
      <c r="E1317" s="86" t="s">
        <v>317</v>
      </c>
      <c r="F1317" s="69">
        <v>3500.0</v>
      </c>
      <c r="G1317" s="69">
        <v>51.3</v>
      </c>
      <c r="H1317" s="68">
        <f t="shared" si="1"/>
        <v>250.7</v>
      </c>
      <c r="I1317" s="81">
        <f>IFERROR(__xludf.DUMMYFUNCTION("IF(G1317="""", """", ROUND(G1317 / MAX(FILTER($G$2:$G5067, $D$2:$D5067=$D1317)) * 100, 2))"),99.03)</f>
        <v>99.03</v>
      </c>
      <c r="J1317" s="81">
        <f>IFERROR(__xludf.DUMMYFUNCTION("IF(H1317="""", """", ROUND(H1317 / MAX(FILTER($H$2:$H5067, $D$2:$D5067=$D1317)) * 100, 2))"),70.76)</f>
        <v>70.76</v>
      </c>
      <c r="K1317" s="2"/>
      <c r="L1317" s="48"/>
      <c r="M1317" s="48"/>
      <c r="N1317" s="48"/>
      <c r="O1317" s="48" t="str">
        <f t="shared" si="2"/>
        <v/>
      </c>
      <c r="P1317" s="48" t="str">
        <f t="shared" si="3"/>
        <v/>
      </c>
      <c r="Q1317" s="84"/>
      <c r="R1317" s="84"/>
      <c r="S1317" s="84"/>
      <c r="T1317" s="84"/>
      <c r="U1317" s="84"/>
      <c r="V1317" s="84"/>
      <c r="W1317" s="84"/>
      <c r="X1317" s="84"/>
      <c r="Y1317" s="84"/>
      <c r="Z1317" s="84"/>
      <c r="AA1317" s="84"/>
      <c r="AB1317" s="84"/>
    </row>
    <row r="1318">
      <c r="A1318" s="63">
        <v>89.0</v>
      </c>
      <c r="B1318" s="63">
        <v>133.0</v>
      </c>
      <c r="C1318" s="64" t="s">
        <v>315</v>
      </c>
      <c r="D1318" s="64" t="s">
        <v>316</v>
      </c>
      <c r="E1318" s="64" t="s">
        <v>317</v>
      </c>
      <c r="F1318" s="63">
        <v>4000.0</v>
      </c>
      <c r="G1318" s="63">
        <v>51.8</v>
      </c>
      <c r="H1318" s="66">
        <f t="shared" si="1"/>
        <v>289.3</v>
      </c>
      <c r="I1318" s="81">
        <f>IFERROR(__xludf.DUMMYFUNCTION("IF(G1318="""", """", ROUND(G1318 / MAX(FILTER($G$2:$G5067, $D$2:$D5067=$D1318)) * 100, 2))"),100.0)</f>
        <v>100</v>
      </c>
      <c r="J1318" s="81">
        <f>IFERROR(__xludf.DUMMYFUNCTION("IF(H1318="""", """", ROUND(H1318 / MAX(FILTER($H$2:$H5067, $D$2:$D5067=$D1318)) * 100, 2))"),81.65)</f>
        <v>81.65</v>
      </c>
      <c r="K1318" s="2"/>
      <c r="L1318" s="49"/>
      <c r="M1318" s="49"/>
      <c r="N1318" s="49"/>
      <c r="O1318" s="49" t="str">
        <f t="shared" si="2"/>
        <v/>
      </c>
      <c r="P1318" s="49" t="str">
        <f t="shared" si="3"/>
        <v/>
      </c>
      <c r="Q1318" s="84"/>
      <c r="R1318" s="84"/>
      <c r="S1318" s="84"/>
      <c r="T1318" s="84"/>
      <c r="U1318" s="84"/>
      <c r="V1318" s="84"/>
      <c r="W1318" s="84"/>
      <c r="X1318" s="84"/>
      <c r="Y1318" s="84"/>
      <c r="Z1318" s="84"/>
      <c r="AA1318" s="84"/>
      <c r="AB1318" s="84"/>
    </row>
    <row r="1319">
      <c r="A1319" s="69">
        <v>89.0</v>
      </c>
      <c r="B1319" s="69">
        <v>133.0</v>
      </c>
      <c r="C1319" s="86" t="s">
        <v>315</v>
      </c>
      <c r="D1319" s="86" t="s">
        <v>316</v>
      </c>
      <c r="E1319" s="86" t="s">
        <v>317</v>
      </c>
      <c r="F1319" s="69">
        <v>4500.0</v>
      </c>
      <c r="G1319" s="69">
        <v>51.75</v>
      </c>
      <c r="H1319" s="68">
        <f t="shared" si="1"/>
        <v>325.15</v>
      </c>
      <c r="I1319" s="81">
        <f>IFERROR(__xludf.DUMMYFUNCTION("IF(G1319="""", """", ROUND(G1319 / MAX(FILTER($G$2:$G5067, $D$2:$D5067=$D1319)) * 100, 2))"),99.9)</f>
        <v>99.9</v>
      </c>
      <c r="J1319" s="81">
        <f>IFERROR(__xludf.DUMMYFUNCTION("IF(H1319="""", """", ROUND(H1319 / MAX(FILTER($H$2:$H5067, $D$2:$D5067=$D1319)) * 100, 2))"),91.77)</f>
        <v>91.77</v>
      </c>
      <c r="K1319" s="2"/>
      <c r="L1319" s="48"/>
      <c r="M1319" s="48"/>
      <c r="N1319" s="48"/>
      <c r="O1319" s="48" t="str">
        <f t="shared" si="2"/>
        <v/>
      </c>
      <c r="P1319" s="48" t="str">
        <f t="shared" si="3"/>
        <v/>
      </c>
      <c r="Q1319" s="84"/>
      <c r="R1319" s="84"/>
      <c r="S1319" s="84"/>
      <c r="T1319" s="84"/>
      <c r="U1319" s="84"/>
      <c r="V1319" s="84"/>
      <c r="W1319" s="84"/>
      <c r="X1319" s="84"/>
      <c r="Y1319" s="84"/>
      <c r="Z1319" s="84"/>
      <c r="AA1319" s="84"/>
      <c r="AB1319" s="84"/>
    </row>
    <row r="1320">
      <c r="A1320" s="63">
        <v>89.0</v>
      </c>
      <c r="B1320" s="63">
        <v>133.0</v>
      </c>
      <c r="C1320" s="64" t="s">
        <v>315</v>
      </c>
      <c r="D1320" s="64" t="s">
        <v>316</v>
      </c>
      <c r="E1320" s="64" t="s">
        <v>317</v>
      </c>
      <c r="F1320" s="63">
        <v>4800.0</v>
      </c>
      <c r="G1320" s="63">
        <v>51.3</v>
      </c>
      <c r="H1320" s="66">
        <f t="shared" si="1"/>
        <v>343.81</v>
      </c>
      <c r="I1320" s="81">
        <f>IFERROR(__xludf.DUMMYFUNCTION("IF(G1320="""", """", ROUND(G1320 / MAX(FILTER($G$2:$G5067, $D$2:$D5067=$D1320)) * 100, 2))"),99.03)</f>
        <v>99.03</v>
      </c>
      <c r="J1320" s="81">
        <f>IFERROR(__xludf.DUMMYFUNCTION("IF(H1320="""", """", ROUND(H1320 / MAX(FILTER($H$2:$H5067, $D$2:$D5067=$D1320)) * 100, 2))"),97.04)</f>
        <v>97.04</v>
      </c>
      <c r="K1320" s="2"/>
      <c r="L1320" s="49"/>
      <c r="M1320" s="49"/>
      <c r="N1320" s="49"/>
      <c r="O1320" s="49" t="str">
        <f t="shared" si="2"/>
        <v/>
      </c>
      <c r="P1320" s="49" t="str">
        <f t="shared" si="3"/>
        <v/>
      </c>
      <c r="Q1320" s="84"/>
      <c r="R1320" s="84"/>
      <c r="S1320" s="84"/>
      <c r="T1320" s="84"/>
      <c r="U1320" s="84"/>
      <c r="V1320" s="84"/>
      <c r="W1320" s="84"/>
      <c r="X1320" s="84"/>
      <c r="Y1320" s="84"/>
      <c r="Z1320" s="84"/>
      <c r="AA1320" s="84"/>
      <c r="AB1320" s="84"/>
    </row>
    <row r="1321">
      <c r="A1321" s="69">
        <v>89.0</v>
      </c>
      <c r="B1321" s="69">
        <v>133.0</v>
      </c>
      <c r="C1321" s="86" t="s">
        <v>315</v>
      </c>
      <c r="D1321" s="86" t="s">
        <v>316</v>
      </c>
      <c r="E1321" s="86" t="s">
        <v>317</v>
      </c>
      <c r="F1321" s="69">
        <v>5200.0</v>
      </c>
      <c r="G1321" s="69">
        <v>48.8</v>
      </c>
      <c r="H1321" s="68">
        <f t="shared" si="1"/>
        <v>354.31</v>
      </c>
      <c r="I1321" s="81">
        <f>IFERROR(__xludf.DUMMYFUNCTION("IF(G1321="""", """", ROUND(G1321 / MAX(FILTER($G$2:$G5067, $D$2:$D5067=$D1321)) * 100, 2))"),94.21)</f>
        <v>94.21</v>
      </c>
      <c r="J1321" s="81">
        <f>IFERROR(__xludf.DUMMYFUNCTION("IF(H1321="""", """", ROUND(H1321 / MAX(FILTER($H$2:$H5067, $D$2:$D5067=$D1321)) * 100, 2))"),100.0)</f>
        <v>100</v>
      </c>
      <c r="K1321" s="2"/>
      <c r="L1321" s="48"/>
      <c r="M1321" s="48"/>
      <c r="N1321" s="48"/>
      <c r="O1321" s="48" t="str">
        <f t="shared" si="2"/>
        <v/>
      </c>
      <c r="P1321" s="48" t="str">
        <f t="shared" si="3"/>
        <v/>
      </c>
      <c r="Q1321" s="84"/>
      <c r="R1321" s="84"/>
      <c r="S1321" s="84"/>
      <c r="T1321" s="84"/>
      <c r="U1321" s="84"/>
      <c r="V1321" s="84"/>
      <c r="W1321" s="84"/>
      <c r="X1321" s="84"/>
      <c r="Y1321" s="84"/>
      <c r="Z1321" s="84"/>
      <c r="AA1321" s="84"/>
      <c r="AB1321" s="84"/>
    </row>
    <row r="1322">
      <c r="A1322" s="63">
        <v>89.0</v>
      </c>
      <c r="B1322" s="63">
        <v>133.0</v>
      </c>
      <c r="C1322" s="64" t="s">
        <v>315</v>
      </c>
      <c r="D1322" s="64" t="s">
        <v>316</v>
      </c>
      <c r="E1322" s="64" t="s">
        <v>317</v>
      </c>
      <c r="F1322" s="63">
        <v>6000.0</v>
      </c>
      <c r="G1322" s="63">
        <v>41.7</v>
      </c>
      <c r="H1322" s="66">
        <f t="shared" si="1"/>
        <v>349.34</v>
      </c>
      <c r="I1322" s="81">
        <f>IFERROR(__xludf.DUMMYFUNCTION("IF(G1322="""", """", ROUND(G1322 / MAX(FILTER($G$2:$G5067, $D$2:$D5067=$D1322)) * 100, 2))"),80.5)</f>
        <v>80.5</v>
      </c>
      <c r="J1322" s="81">
        <f>IFERROR(__xludf.DUMMYFUNCTION("IF(H1322="""", """", ROUND(H1322 / MAX(FILTER($H$2:$H5067, $D$2:$D5067=$D1322)) * 100, 2))"),98.6)</f>
        <v>98.6</v>
      </c>
      <c r="K1322" s="2"/>
      <c r="L1322" s="49"/>
      <c r="M1322" s="49"/>
      <c r="N1322" s="49"/>
      <c r="O1322" s="49" t="str">
        <f t="shared" si="2"/>
        <v/>
      </c>
      <c r="P1322" s="49" t="str">
        <f t="shared" si="3"/>
        <v/>
      </c>
      <c r="Q1322" s="84"/>
      <c r="R1322" s="84"/>
      <c r="S1322" s="84"/>
      <c r="T1322" s="84"/>
      <c r="U1322" s="84"/>
      <c r="V1322" s="84"/>
      <c r="W1322" s="84"/>
      <c r="X1322" s="84"/>
      <c r="Y1322" s="84"/>
      <c r="Z1322" s="84"/>
      <c r="AA1322" s="84"/>
      <c r="AB1322" s="84"/>
    </row>
    <row r="1323">
      <c r="A1323" s="69">
        <v>90.0</v>
      </c>
      <c r="B1323" s="69">
        <v>137.0</v>
      </c>
      <c r="C1323" s="86" t="s">
        <v>318</v>
      </c>
      <c r="D1323" s="86" t="s">
        <v>319</v>
      </c>
      <c r="E1323" s="86" t="s">
        <v>320</v>
      </c>
      <c r="F1323" s="69">
        <v>500.0</v>
      </c>
      <c r="G1323" s="69">
        <v>20.84</v>
      </c>
      <c r="H1323" s="68">
        <f t="shared" si="1"/>
        <v>14.55</v>
      </c>
      <c r="I1323" s="81">
        <f>IFERROR(__xludf.DUMMYFUNCTION("IF(G1323="""", """", ROUND(G1323 / MAX(FILTER($G$2:$G5067, $D$2:$D5067=$D1323)) * 100, 2))"),70.72)</f>
        <v>70.72</v>
      </c>
      <c r="J1323" s="81">
        <f>IFERROR(__xludf.DUMMYFUNCTION("IF(H1323="""", """", ROUND(H1323 / MAX(FILTER($H$2:$H5067, $D$2:$D5067=$D1323)) * 100, 2))"),6.61)</f>
        <v>6.61</v>
      </c>
      <c r="K1323" s="2"/>
      <c r="L1323" s="48"/>
      <c r="M1323" s="48"/>
      <c r="N1323" s="48"/>
      <c r="O1323" s="48" t="str">
        <f t="shared" si="2"/>
        <v/>
      </c>
      <c r="P1323" s="48" t="str">
        <f t="shared" si="3"/>
        <v/>
      </c>
      <c r="Q1323" s="84"/>
      <c r="R1323" s="84"/>
      <c r="S1323" s="84"/>
      <c r="T1323" s="84"/>
      <c r="U1323" s="84"/>
      <c r="V1323" s="84"/>
      <c r="W1323" s="84"/>
      <c r="X1323" s="84"/>
      <c r="Y1323" s="84"/>
      <c r="Z1323" s="84"/>
      <c r="AA1323" s="84"/>
      <c r="AB1323" s="84"/>
    </row>
    <row r="1324">
      <c r="A1324" s="63">
        <v>90.0</v>
      </c>
      <c r="B1324" s="63">
        <v>137.0</v>
      </c>
      <c r="C1324" s="64" t="s">
        <v>318</v>
      </c>
      <c r="D1324" s="64" t="s">
        <v>319</v>
      </c>
      <c r="E1324" s="64" t="s">
        <v>320</v>
      </c>
      <c r="F1324" s="63">
        <v>1000.0</v>
      </c>
      <c r="G1324" s="63">
        <v>22.33</v>
      </c>
      <c r="H1324" s="66">
        <f t="shared" si="1"/>
        <v>31.18</v>
      </c>
      <c r="I1324" s="81">
        <f>IFERROR(__xludf.DUMMYFUNCTION("IF(G1324="""", """", ROUND(G1324 / MAX(FILTER($G$2:$G5067, $D$2:$D5067=$D1324)) * 100, 2))"),75.77)</f>
        <v>75.77</v>
      </c>
      <c r="J1324" s="81">
        <f>IFERROR(__xludf.DUMMYFUNCTION("IF(H1324="""", """", ROUND(H1324 / MAX(FILTER($H$2:$H5067, $D$2:$D5067=$D1324)) * 100, 2))"),14.17)</f>
        <v>14.17</v>
      </c>
      <c r="K1324" s="2"/>
      <c r="L1324" s="49"/>
      <c r="M1324" s="49"/>
      <c r="N1324" s="49"/>
      <c r="O1324" s="49" t="str">
        <f t="shared" si="2"/>
        <v/>
      </c>
      <c r="P1324" s="49" t="str">
        <f t="shared" si="3"/>
        <v/>
      </c>
      <c r="Q1324" s="84"/>
      <c r="R1324" s="84"/>
      <c r="S1324" s="84"/>
      <c r="T1324" s="84"/>
      <c r="U1324" s="84"/>
      <c r="V1324" s="84"/>
      <c r="W1324" s="84"/>
      <c r="X1324" s="84"/>
      <c r="Y1324" s="84"/>
      <c r="Z1324" s="84"/>
      <c r="AA1324" s="84"/>
      <c r="AB1324" s="84"/>
    </row>
    <row r="1325">
      <c r="A1325" s="69">
        <v>90.0</v>
      </c>
      <c r="B1325" s="69">
        <v>137.0</v>
      </c>
      <c r="C1325" s="86" t="s">
        <v>318</v>
      </c>
      <c r="D1325" s="86" t="s">
        <v>319</v>
      </c>
      <c r="E1325" s="86" t="s">
        <v>320</v>
      </c>
      <c r="F1325" s="69">
        <v>1500.0</v>
      </c>
      <c r="G1325" s="69">
        <v>23.4</v>
      </c>
      <c r="H1325" s="68">
        <f t="shared" si="1"/>
        <v>49.01</v>
      </c>
      <c r="I1325" s="81">
        <f>IFERROR(__xludf.DUMMYFUNCTION("IF(G1325="""", """", ROUND(G1325 / MAX(FILTER($G$2:$G5067, $D$2:$D5067=$D1325)) * 100, 2))"),79.4)</f>
        <v>79.4</v>
      </c>
      <c r="J1325" s="81">
        <f>IFERROR(__xludf.DUMMYFUNCTION("IF(H1325="""", """", ROUND(H1325 / MAX(FILTER($H$2:$H5067, $D$2:$D5067=$D1325)) * 100, 2))"),22.28)</f>
        <v>22.28</v>
      </c>
      <c r="K1325" s="2"/>
      <c r="L1325" s="48"/>
      <c r="M1325" s="48"/>
      <c r="N1325" s="48"/>
      <c r="O1325" s="48" t="str">
        <f t="shared" si="2"/>
        <v/>
      </c>
      <c r="P1325" s="48" t="str">
        <f t="shared" si="3"/>
        <v/>
      </c>
      <c r="Q1325" s="84"/>
      <c r="R1325" s="84"/>
      <c r="S1325" s="84"/>
      <c r="T1325" s="84"/>
      <c r="U1325" s="84"/>
      <c r="V1325" s="84"/>
      <c r="W1325" s="84"/>
      <c r="X1325" s="84"/>
      <c r="Y1325" s="84"/>
      <c r="Z1325" s="84"/>
      <c r="AA1325" s="84"/>
      <c r="AB1325" s="84"/>
    </row>
    <row r="1326">
      <c r="A1326" s="63">
        <v>90.0</v>
      </c>
      <c r="B1326" s="63">
        <v>137.0</v>
      </c>
      <c r="C1326" s="64" t="s">
        <v>318</v>
      </c>
      <c r="D1326" s="64" t="s">
        <v>319</v>
      </c>
      <c r="E1326" s="64" t="s">
        <v>320</v>
      </c>
      <c r="F1326" s="63">
        <v>2000.0</v>
      </c>
      <c r="G1326" s="63">
        <v>24.47</v>
      </c>
      <c r="H1326" s="66">
        <f t="shared" si="1"/>
        <v>68.33</v>
      </c>
      <c r="I1326" s="81">
        <f>IFERROR(__xludf.DUMMYFUNCTION("IF(G1326="""", """", ROUND(G1326 / MAX(FILTER($G$2:$G5067, $D$2:$D5067=$D1326)) * 100, 2))"),83.03)</f>
        <v>83.03</v>
      </c>
      <c r="J1326" s="81">
        <f>IFERROR(__xludf.DUMMYFUNCTION("IF(H1326="""", """", ROUND(H1326 / MAX(FILTER($H$2:$H5067, $D$2:$D5067=$D1326)) * 100, 2))"),31.06)</f>
        <v>31.06</v>
      </c>
      <c r="K1326" s="2"/>
      <c r="L1326" s="49"/>
      <c r="M1326" s="49"/>
      <c r="N1326" s="49"/>
      <c r="O1326" s="49" t="str">
        <f t="shared" si="2"/>
        <v/>
      </c>
      <c r="P1326" s="49" t="str">
        <f t="shared" si="3"/>
        <v/>
      </c>
      <c r="Q1326" s="84"/>
      <c r="R1326" s="84"/>
      <c r="S1326" s="84"/>
      <c r="T1326" s="84"/>
      <c r="U1326" s="84"/>
      <c r="V1326" s="84"/>
      <c r="W1326" s="84"/>
      <c r="X1326" s="84"/>
      <c r="Y1326" s="84"/>
      <c r="Z1326" s="84"/>
      <c r="AA1326" s="84"/>
      <c r="AB1326" s="84"/>
    </row>
    <row r="1327">
      <c r="A1327" s="69">
        <v>90.0</v>
      </c>
      <c r="B1327" s="69">
        <v>137.0</v>
      </c>
      <c r="C1327" s="86" t="s">
        <v>318</v>
      </c>
      <c r="D1327" s="86" t="s">
        <v>319</v>
      </c>
      <c r="E1327" s="86" t="s">
        <v>320</v>
      </c>
      <c r="F1327" s="69">
        <v>2500.0</v>
      </c>
      <c r="G1327" s="69">
        <v>25.54</v>
      </c>
      <c r="H1327" s="68">
        <f t="shared" si="1"/>
        <v>89.15</v>
      </c>
      <c r="I1327" s="81">
        <f>IFERROR(__xludf.DUMMYFUNCTION("IF(G1327="""", """", ROUND(G1327 / MAX(FILTER($G$2:$G5067, $D$2:$D5067=$D1327)) * 100, 2))"),86.66)</f>
        <v>86.66</v>
      </c>
      <c r="J1327" s="81">
        <f>IFERROR(__xludf.DUMMYFUNCTION("IF(H1327="""", """", ROUND(H1327 / MAX(FILTER($H$2:$H5067, $D$2:$D5067=$D1327)) * 100, 2))"),40.52)</f>
        <v>40.52</v>
      </c>
      <c r="K1327" s="2"/>
      <c r="L1327" s="48"/>
      <c r="M1327" s="48"/>
      <c r="N1327" s="48"/>
      <c r="O1327" s="48" t="str">
        <f t="shared" si="2"/>
        <v/>
      </c>
      <c r="P1327" s="48" t="str">
        <f t="shared" si="3"/>
        <v/>
      </c>
      <c r="Q1327" s="84"/>
      <c r="R1327" s="84"/>
      <c r="S1327" s="84"/>
      <c r="T1327" s="84"/>
      <c r="U1327" s="84"/>
      <c r="V1327" s="84"/>
      <c r="W1327" s="84"/>
      <c r="X1327" s="84"/>
      <c r="Y1327" s="84"/>
      <c r="Z1327" s="84"/>
      <c r="AA1327" s="84"/>
      <c r="AB1327" s="84"/>
    </row>
    <row r="1328">
      <c r="A1328" s="63">
        <v>90.0</v>
      </c>
      <c r="B1328" s="63">
        <v>137.0</v>
      </c>
      <c r="C1328" s="64" t="s">
        <v>318</v>
      </c>
      <c r="D1328" s="64" t="s">
        <v>319</v>
      </c>
      <c r="E1328" s="64" t="s">
        <v>320</v>
      </c>
      <c r="F1328" s="63">
        <v>3000.0</v>
      </c>
      <c r="G1328" s="63">
        <v>26.61</v>
      </c>
      <c r="H1328" s="66">
        <f t="shared" si="1"/>
        <v>111.46</v>
      </c>
      <c r="I1328" s="81">
        <f>IFERROR(__xludf.DUMMYFUNCTION("IF(G1328="""", """", ROUND(G1328 / MAX(FILTER($G$2:$G5067, $D$2:$D5067=$D1328)) * 100, 2))"),90.3)</f>
        <v>90.3</v>
      </c>
      <c r="J1328" s="81">
        <f>IFERROR(__xludf.DUMMYFUNCTION("IF(H1328="""", """", ROUND(H1328 / MAX(FILTER($H$2:$H5067, $D$2:$D5067=$D1328)) * 100, 2))"),50.67)</f>
        <v>50.67</v>
      </c>
      <c r="K1328" s="2"/>
      <c r="L1328" s="49"/>
      <c r="M1328" s="49"/>
      <c r="N1328" s="49"/>
      <c r="O1328" s="49" t="str">
        <f t="shared" si="2"/>
        <v/>
      </c>
      <c r="P1328" s="49" t="str">
        <f t="shared" si="3"/>
        <v/>
      </c>
      <c r="Q1328" s="84"/>
      <c r="R1328" s="84"/>
      <c r="S1328" s="84"/>
      <c r="T1328" s="84"/>
      <c r="U1328" s="84"/>
      <c r="V1328" s="84"/>
      <c r="W1328" s="84"/>
      <c r="X1328" s="84"/>
      <c r="Y1328" s="84"/>
      <c r="Z1328" s="84"/>
      <c r="AA1328" s="84"/>
      <c r="AB1328" s="84"/>
    </row>
    <row r="1329">
      <c r="A1329" s="69">
        <v>90.0</v>
      </c>
      <c r="B1329" s="69">
        <v>137.0</v>
      </c>
      <c r="C1329" s="86" t="s">
        <v>318</v>
      </c>
      <c r="D1329" s="86" t="s">
        <v>319</v>
      </c>
      <c r="E1329" s="86" t="s">
        <v>320</v>
      </c>
      <c r="F1329" s="69">
        <v>3500.0</v>
      </c>
      <c r="G1329" s="69">
        <v>27.53</v>
      </c>
      <c r="H1329" s="68">
        <f t="shared" si="1"/>
        <v>134.54</v>
      </c>
      <c r="I1329" s="81">
        <f>IFERROR(__xludf.DUMMYFUNCTION("IF(G1329="""", """", ROUND(G1329 / MAX(FILTER($G$2:$G5067, $D$2:$D5067=$D1329)) * 100, 2))"),93.42)</f>
        <v>93.42</v>
      </c>
      <c r="J1329" s="81">
        <f>IFERROR(__xludf.DUMMYFUNCTION("IF(H1329="""", """", ROUND(H1329 / MAX(FILTER($H$2:$H5067, $D$2:$D5067=$D1329)) * 100, 2))"),61.16)</f>
        <v>61.16</v>
      </c>
      <c r="K1329" s="2"/>
      <c r="L1329" s="48"/>
      <c r="M1329" s="48"/>
      <c r="N1329" s="48"/>
      <c r="O1329" s="48" t="str">
        <f t="shared" si="2"/>
        <v/>
      </c>
      <c r="P1329" s="48" t="str">
        <f t="shared" si="3"/>
        <v/>
      </c>
      <c r="Q1329" s="84"/>
      <c r="R1329" s="84"/>
      <c r="S1329" s="84"/>
      <c r="T1329" s="84"/>
      <c r="U1329" s="84"/>
      <c r="V1329" s="84"/>
      <c r="W1329" s="84"/>
      <c r="X1329" s="84"/>
      <c r="Y1329" s="84"/>
      <c r="Z1329" s="84"/>
      <c r="AA1329" s="84"/>
      <c r="AB1329" s="84"/>
    </row>
    <row r="1330">
      <c r="A1330" s="63">
        <v>90.0</v>
      </c>
      <c r="B1330" s="63">
        <v>137.0</v>
      </c>
      <c r="C1330" s="64" t="s">
        <v>318</v>
      </c>
      <c r="D1330" s="64" t="s">
        <v>319</v>
      </c>
      <c r="E1330" s="64" t="s">
        <v>320</v>
      </c>
      <c r="F1330" s="63">
        <v>4000.0</v>
      </c>
      <c r="G1330" s="63">
        <v>28.45</v>
      </c>
      <c r="H1330" s="66">
        <f t="shared" si="1"/>
        <v>158.89</v>
      </c>
      <c r="I1330" s="81">
        <f>IFERROR(__xludf.DUMMYFUNCTION("IF(G1330="""", """", ROUND(G1330 / MAX(FILTER($G$2:$G5067, $D$2:$D5067=$D1330)) * 100, 2))"),96.54)</f>
        <v>96.54</v>
      </c>
      <c r="J1330" s="81">
        <f>IFERROR(__xludf.DUMMYFUNCTION("IF(H1330="""", """", ROUND(H1330 / MAX(FILTER($H$2:$H5067, $D$2:$D5067=$D1330)) * 100, 2))"),72.23)</f>
        <v>72.23</v>
      </c>
      <c r="K1330" s="2"/>
      <c r="L1330" s="49"/>
      <c r="M1330" s="49"/>
      <c r="N1330" s="49"/>
      <c r="O1330" s="49" t="str">
        <f t="shared" si="2"/>
        <v/>
      </c>
      <c r="P1330" s="49" t="str">
        <f t="shared" si="3"/>
        <v/>
      </c>
      <c r="Q1330" s="84"/>
      <c r="R1330" s="84"/>
      <c r="S1330" s="84"/>
      <c r="T1330" s="84"/>
      <c r="U1330" s="84"/>
      <c r="V1330" s="84"/>
      <c r="W1330" s="84"/>
      <c r="X1330" s="84"/>
      <c r="Y1330" s="84"/>
      <c r="Z1330" s="84"/>
      <c r="AA1330" s="84"/>
      <c r="AB1330" s="84"/>
    </row>
    <row r="1331">
      <c r="A1331" s="69">
        <v>90.0</v>
      </c>
      <c r="B1331" s="69">
        <v>137.0</v>
      </c>
      <c r="C1331" s="86" t="s">
        <v>318</v>
      </c>
      <c r="D1331" s="86" t="s">
        <v>319</v>
      </c>
      <c r="E1331" s="86" t="s">
        <v>320</v>
      </c>
      <c r="F1331" s="69">
        <v>4500.0</v>
      </c>
      <c r="G1331" s="69">
        <v>29.47</v>
      </c>
      <c r="H1331" s="68">
        <f t="shared" si="1"/>
        <v>185.16</v>
      </c>
      <c r="I1331" s="81">
        <f>IFERROR(__xludf.DUMMYFUNCTION("IF(G1331="""", """", ROUND(G1331 / MAX(FILTER($G$2:$G5067, $D$2:$D5067=$D1331)) * 100, 2))"),100.0)</f>
        <v>100</v>
      </c>
      <c r="J1331" s="81">
        <f>IFERROR(__xludf.DUMMYFUNCTION("IF(H1331="""", """", ROUND(H1331 / MAX(FILTER($H$2:$H5067, $D$2:$D5067=$D1331)) * 100, 2))"),84.17)</f>
        <v>84.17</v>
      </c>
      <c r="K1331" s="2"/>
      <c r="L1331" s="48"/>
      <c r="M1331" s="48"/>
      <c r="N1331" s="48"/>
      <c r="O1331" s="48" t="str">
        <f t="shared" si="2"/>
        <v/>
      </c>
      <c r="P1331" s="48" t="str">
        <f t="shared" si="3"/>
        <v/>
      </c>
      <c r="Q1331" s="84"/>
      <c r="R1331" s="84"/>
      <c r="S1331" s="84"/>
      <c r="T1331" s="84"/>
      <c r="U1331" s="84"/>
      <c r="V1331" s="84"/>
      <c r="W1331" s="84"/>
      <c r="X1331" s="84"/>
      <c r="Y1331" s="84"/>
      <c r="Z1331" s="84"/>
      <c r="AA1331" s="84"/>
      <c r="AB1331" s="84"/>
    </row>
    <row r="1332">
      <c r="A1332" s="63">
        <v>90.0</v>
      </c>
      <c r="B1332" s="63">
        <v>137.0</v>
      </c>
      <c r="C1332" s="64" t="s">
        <v>318</v>
      </c>
      <c r="D1332" s="64" t="s">
        <v>319</v>
      </c>
      <c r="E1332" s="64" t="s">
        <v>320</v>
      </c>
      <c r="F1332" s="63">
        <v>5000.0</v>
      </c>
      <c r="G1332" s="63">
        <v>28.45</v>
      </c>
      <c r="H1332" s="66">
        <f t="shared" si="1"/>
        <v>198.62</v>
      </c>
      <c r="I1332" s="81">
        <f>IFERROR(__xludf.DUMMYFUNCTION("IF(G1332="""", """", ROUND(G1332 / MAX(FILTER($G$2:$G5067, $D$2:$D5067=$D1332)) * 100, 2))"),96.54)</f>
        <v>96.54</v>
      </c>
      <c r="J1332" s="81">
        <f>IFERROR(__xludf.DUMMYFUNCTION("IF(H1332="""", """", ROUND(H1332 / MAX(FILTER($H$2:$H5067, $D$2:$D5067=$D1332)) * 100, 2))"),90.29)</f>
        <v>90.29</v>
      </c>
      <c r="K1332" s="2"/>
      <c r="L1332" s="49"/>
      <c r="M1332" s="49"/>
      <c r="N1332" s="49"/>
      <c r="O1332" s="49" t="str">
        <f t="shared" si="2"/>
        <v/>
      </c>
      <c r="P1332" s="49" t="str">
        <f t="shared" si="3"/>
        <v/>
      </c>
      <c r="Q1332" s="84"/>
      <c r="R1332" s="84"/>
      <c r="S1332" s="84"/>
      <c r="T1332" s="84"/>
      <c r="U1332" s="84"/>
      <c r="V1332" s="84"/>
      <c r="W1332" s="84"/>
      <c r="X1332" s="84"/>
      <c r="Y1332" s="84"/>
      <c r="Z1332" s="84"/>
      <c r="AA1332" s="84"/>
      <c r="AB1332" s="84"/>
    </row>
    <row r="1333">
      <c r="A1333" s="69">
        <v>90.0</v>
      </c>
      <c r="B1333" s="69">
        <v>137.0</v>
      </c>
      <c r="C1333" s="86" t="s">
        <v>318</v>
      </c>
      <c r="D1333" s="86" t="s">
        <v>319</v>
      </c>
      <c r="E1333" s="86" t="s">
        <v>320</v>
      </c>
      <c r="F1333" s="69">
        <v>5500.0</v>
      </c>
      <c r="G1333" s="69">
        <v>27.48</v>
      </c>
      <c r="H1333" s="68">
        <f t="shared" si="1"/>
        <v>211.03</v>
      </c>
      <c r="I1333" s="81">
        <f>IFERROR(__xludf.DUMMYFUNCTION("IF(G1333="""", """", ROUND(G1333 / MAX(FILTER($G$2:$G5067, $D$2:$D5067=$D1333)) * 100, 2))"),93.25)</f>
        <v>93.25</v>
      </c>
      <c r="J1333" s="81">
        <f>IFERROR(__xludf.DUMMYFUNCTION("IF(H1333="""", """", ROUND(H1333 / MAX(FILTER($H$2:$H5067, $D$2:$D5067=$D1333)) * 100, 2))"),95.93)</f>
        <v>95.93</v>
      </c>
      <c r="K1333" s="2"/>
      <c r="L1333" s="48"/>
      <c r="M1333" s="48"/>
      <c r="N1333" s="48"/>
      <c r="O1333" s="48" t="str">
        <f t="shared" si="2"/>
        <v/>
      </c>
      <c r="P1333" s="48" t="str">
        <f t="shared" si="3"/>
        <v/>
      </c>
      <c r="Q1333" s="84"/>
      <c r="R1333" s="84"/>
      <c r="S1333" s="84"/>
      <c r="T1333" s="84"/>
      <c r="U1333" s="84"/>
      <c r="V1333" s="84"/>
      <c r="W1333" s="84"/>
      <c r="X1333" s="84"/>
      <c r="Y1333" s="84"/>
      <c r="Z1333" s="84"/>
      <c r="AA1333" s="84"/>
      <c r="AB1333" s="84"/>
    </row>
    <row r="1334">
      <c r="A1334" s="63">
        <v>90.0</v>
      </c>
      <c r="B1334" s="63">
        <v>137.0</v>
      </c>
      <c r="C1334" s="64" t="s">
        <v>318</v>
      </c>
      <c r="D1334" s="64" t="s">
        <v>319</v>
      </c>
      <c r="E1334" s="64" t="s">
        <v>320</v>
      </c>
      <c r="F1334" s="63">
        <v>6000.0</v>
      </c>
      <c r="G1334" s="63">
        <v>26.26</v>
      </c>
      <c r="H1334" s="66">
        <f t="shared" si="1"/>
        <v>219.99</v>
      </c>
      <c r="I1334" s="81">
        <f>IFERROR(__xludf.DUMMYFUNCTION("IF(G1334="""", """", ROUND(G1334 / MAX(FILTER($G$2:$G5067, $D$2:$D5067=$D1334)) * 100, 2))"),89.11)</f>
        <v>89.11</v>
      </c>
      <c r="J1334" s="81">
        <f>IFERROR(__xludf.DUMMYFUNCTION("IF(H1334="""", """", ROUND(H1334 / MAX(FILTER($H$2:$H5067, $D$2:$D5067=$D1334)) * 100, 2))"),100.0)</f>
        <v>100</v>
      </c>
      <c r="K1334" s="2"/>
      <c r="L1334" s="49"/>
      <c r="M1334" s="49"/>
      <c r="N1334" s="49"/>
      <c r="O1334" s="49" t="str">
        <f t="shared" si="2"/>
        <v/>
      </c>
      <c r="P1334" s="49" t="str">
        <f t="shared" si="3"/>
        <v/>
      </c>
      <c r="Q1334" s="84"/>
      <c r="R1334" s="84"/>
      <c r="S1334" s="84"/>
      <c r="T1334" s="84"/>
      <c r="U1334" s="84"/>
      <c r="V1334" s="84"/>
      <c r="W1334" s="84"/>
      <c r="X1334" s="84"/>
      <c r="Y1334" s="84"/>
      <c r="Z1334" s="84"/>
      <c r="AA1334" s="84"/>
      <c r="AB1334" s="84"/>
    </row>
    <row r="1335">
      <c r="A1335" s="69">
        <v>90.0</v>
      </c>
      <c r="B1335" s="69">
        <v>137.0</v>
      </c>
      <c r="C1335" s="86" t="s">
        <v>318</v>
      </c>
      <c r="D1335" s="86" t="s">
        <v>319</v>
      </c>
      <c r="E1335" s="86" t="s">
        <v>320</v>
      </c>
      <c r="F1335" s="69">
        <v>6500.0</v>
      </c>
      <c r="G1335" s="69">
        <v>24.07</v>
      </c>
      <c r="H1335" s="68">
        <f t="shared" si="1"/>
        <v>218.45</v>
      </c>
      <c r="I1335" s="81">
        <f>IFERROR(__xludf.DUMMYFUNCTION("IF(G1335="""", """", ROUND(G1335 / MAX(FILTER($G$2:$G5067, $D$2:$D5067=$D1335)) * 100, 2))"),81.68)</f>
        <v>81.68</v>
      </c>
      <c r="J1335" s="81">
        <f>IFERROR(__xludf.DUMMYFUNCTION("IF(H1335="""", """", ROUND(H1335 / MAX(FILTER($H$2:$H5067, $D$2:$D5067=$D1335)) * 100, 2))"),99.3)</f>
        <v>99.3</v>
      </c>
      <c r="K1335" s="2"/>
      <c r="L1335" s="48"/>
      <c r="M1335" s="48"/>
      <c r="N1335" s="48"/>
      <c r="O1335" s="48" t="str">
        <f t="shared" si="2"/>
        <v/>
      </c>
      <c r="P1335" s="48" t="str">
        <f t="shared" si="3"/>
        <v/>
      </c>
      <c r="Q1335" s="84"/>
      <c r="R1335" s="84"/>
      <c r="S1335" s="84"/>
      <c r="T1335" s="84"/>
      <c r="U1335" s="84"/>
      <c r="V1335" s="84"/>
      <c r="W1335" s="84"/>
      <c r="X1335" s="84"/>
      <c r="Y1335" s="84"/>
      <c r="Z1335" s="84"/>
      <c r="AA1335" s="84"/>
      <c r="AB1335" s="84"/>
    </row>
    <row r="1336">
      <c r="A1336" s="63">
        <v>90.0</v>
      </c>
      <c r="B1336" s="63">
        <v>137.0</v>
      </c>
      <c r="C1336" s="64" t="s">
        <v>318</v>
      </c>
      <c r="D1336" s="64" t="s">
        <v>319</v>
      </c>
      <c r="E1336" s="64" t="s">
        <v>320</v>
      </c>
      <c r="F1336" s="63">
        <v>7000.0</v>
      </c>
      <c r="G1336" s="63">
        <v>21.15</v>
      </c>
      <c r="H1336" s="66">
        <f t="shared" si="1"/>
        <v>206.72</v>
      </c>
      <c r="I1336" s="81">
        <f>IFERROR(__xludf.DUMMYFUNCTION("IF(G1336="""", """", ROUND(G1336 / MAX(FILTER($G$2:$G5067, $D$2:$D5067=$D1336)) * 100, 2))"),71.77)</f>
        <v>71.77</v>
      </c>
      <c r="J1336" s="81">
        <f>IFERROR(__xludf.DUMMYFUNCTION("IF(H1336="""", """", ROUND(H1336 / MAX(FILTER($H$2:$H5067, $D$2:$D5067=$D1336)) * 100, 2))"),93.97)</f>
        <v>93.97</v>
      </c>
      <c r="K1336" s="2"/>
      <c r="L1336" s="49"/>
      <c r="M1336" s="49"/>
      <c r="N1336" s="49"/>
      <c r="O1336" s="49" t="str">
        <f t="shared" si="2"/>
        <v/>
      </c>
      <c r="P1336" s="49" t="str">
        <f t="shared" si="3"/>
        <v/>
      </c>
      <c r="Q1336" s="84"/>
      <c r="R1336" s="84"/>
      <c r="S1336" s="84"/>
      <c r="T1336" s="84"/>
      <c r="U1336" s="84"/>
      <c r="V1336" s="84"/>
      <c r="W1336" s="84"/>
      <c r="X1336" s="84"/>
      <c r="Y1336" s="84"/>
      <c r="Z1336" s="84"/>
      <c r="AA1336" s="84"/>
      <c r="AB1336" s="84"/>
    </row>
    <row r="1337">
      <c r="A1337" s="69">
        <v>91.0</v>
      </c>
      <c r="B1337" s="69">
        <v>144.0</v>
      </c>
      <c r="C1337" s="86" t="s">
        <v>321</v>
      </c>
      <c r="D1337" s="86" t="s">
        <v>322</v>
      </c>
      <c r="E1337" s="86" t="s">
        <v>323</v>
      </c>
      <c r="F1337" s="69">
        <v>500.0</v>
      </c>
      <c r="G1337" s="69">
        <v>19.5</v>
      </c>
      <c r="H1337" s="68">
        <f t="shared" si="1"/>
        <v>13.61</v>
      </c>
      <c r="I1337" s="81">
        <f>IFERROR(__xludf.DUMMYFUNCTION("IF(G1337="""", """", ROUND(G1337 / MAX(FILTER($G$2:$G5067, $D$2:$D5067=$D1337)) * 100, 2))"),67.1)</f>
        <v>67.1</v>
      </c>
      <c r="J1337" s="81">
        <f>IFERROR(__xludf.DUMMYFUNCTION("IF(H1337="""", """", ROUND(H1337 / MAX(FILTER($H$2:$H5067, $D$2:$D5067=$D1337)) * 100, 2))"),6.6)</f>
        <v>6.6</v>
      </c>
      <c r="K1337" s="2"/>
      <c r="L1337" s="48"/>
      <c r="M1337" s="48"/>
      <c r="N1337" s="48"/>
      <c r="O1337" s="48" t="str">
        <f t="shared" si="2"/>
        <v/>
      </c>
      <c r="P1337" s="48" t="str">
        <f t="shared" si="3"/>
        <v/>
      </c>
      <c r="Q1337" s="84"/>
      <c r="R1337" s="84"/>
      <c r="S1337" s="84"/>
      <c r="T1337" s="84"/>
      <c r="U1337" s="84"/>
      <c r="V1337" s="84"/>
      <c r="W1337" s="84"/>
      <c r="X1337" s="84"/>
      <c r="Y1337" s="84"/>
      <c r="Z1337" s="84"/>
      <c r="AA1337" s="84"/>
      <c r="AB1337" s="84"/>
    </row>
    <row r="1338">
      <c r="A1338" s="63">
        <v>91.0</v>
      </c>
      <c r="B1338" s="63">
        <v>144.0</v>
      </c>
      <c r="C1338" s="64" t="s">
        <v>321</v>
      </c>
      <c r="D1338" s="64" t="s">
        <v>322</v>
      </c>
      <c r="E1338" s="64" t="s">
        <v>323</v>
      </c>
      <c r="F1338" s="63">
        <v>1000.0</v>
      </c>
      <c r="G1338" s="63">
        <v>22.54</v>
      </c>
      <c r="H1338" s="66">
        <f t="shared" si="1"/>
        <v>31.47</v>
      </c>
      <c r="I1338" s="81">
        <f>IFERROR(__xludf.DUMMYFUNCTION("IF(G1338="""", """", ROUND(G1338 / MAX(FILTER($G$2:$G5067, $D$2:$D5067=$D1338)) * 100, 2))"),77.56)</f>
        <v>77.56</v>
      </c>
      <c r="J1338" s="81">
        <f>IFERROR(__xludf.DUMMYFUNCTION("IF(H1338="""", """", ROUND(H1338 / MAX(FILTER($H$2:$H5067, $D$2:$D5067=$D1338)) * 100, 2))"),15.26)</f>
        <v>15.26</v>
      </c>
      <c r="K1338" s="2"/>
      <c r="L1338" s="49"/>
      <c r="M1338" s="49"/>
      <c r="N1338" s="49"/>
      <c r="O1338" s="49" t="str">
        <f t="shared" si="2"/>
        <v/>
      </c>
      <c r="P1338" s="49" t="str">
        <f t="shared" si="3"/>
        <v/>
      </c>
      <c r="Q1338" s="84"/>
      <c r="R1338" s="84"/>
      <c r="S1338" s="84"/>
      <c r="T1338" s="84"/>
      <c r="U1338" s="84"/>
      <c r="V1338" s="84"/>
      <c r="W1338" s="84"/>
      <c r="X1338" s="84"/>
      <c r="Y1338" s="84"/>
      <c r="Z1338" s="84"/>
      <c r="AA1338" s="84"/>
      <c r="AB1338" s="84"/>
    </row>
    <row r="1339">
      <c r="A1339" s="69">
        <v>91.0</v>
      </c>
      <c r="B1339" s="69">
        <v>144.0</v>
      </c>
      <c r="C1339" s="86" t="s">
        <v>321</v>
      </c>
      <c r="D1339" s="86" t="s">
        <v>322</v>
      </c>
      <c r="E1339" s="86" t="s">
        <v>323</v>
      </c>
      <c r="F1339" s="69">
        <v>1500.0</v>
      </c>
      <c r="G1339" s="69">
        <v>25.39</v>
      </c>
      <c r="H1339" s="68">
        <f t="shared" si="1"/>
        <v>53.18</v>
      </c>
      <c r="I1339" s="81">
        <f>IFERROR(__xludf.DUMMYFUNCTION("IF(G1339="""", """", ROUND(G1339 / MAX(FILTER($G$2:$G5067, $D$2:$D5067=$D1339)) * 100, 2))"),87.37)</f>
        <v>87.37</v>
      </c>
      <c r="J1339" s="81">
        <f>IFERROR(__xludf.DUMMYFUNCTION("IF(H1339="""", """", ROUND(H1339 / MAX(FILTER($H$2:$H5067, $D$2:$D5067=$D1339)) * 100, 2))"),25.78)</f>
        <v>25.78</v>
      </c>
      <c r="K1339" s="2"/>
      <c r="L1339" s="48"/>
      <c r="M1339" s="48"/>
      <c r="N1339" s="48"/>
      <c r="O1339" s="48" t="str">
        <f t="shared" si="2"/>
        <v/>
      </c>
      <c r="P1339" s="48" t="str">
        <f t="shared" si="3"/>
        <v/>
      </c>
      <c r="Q1339" s="84"/>
      <c r="R1339" s="84"/>
      <c r="S1339" s="84"/>
      <c r="T1339" s="84"/>
      <c r="U1339" s="84"/>
      <c r="V1339" s="84"/>
      <c r="W1339" s="84"/>
      <c r="X1339" s="84"/>
      <c r="Y1339" s="84"/>
      <c r="Z1339" s="84"/>
      <c r="AA1339" s="84"/>
      <c r="AB1339" s="84"/>
    </row>
    <row r="1340">
      <c r="A1340" s="63">
        <v>91.0</v>
      </c>
      <c r="B1340" s="63">
        <v>144.0</v>
      </c>
      <c r="C1340" s="64" t="s">
        <v>321</v>
      </c>
      <c r="D1340" s="64" t="s">
        <v>322</v>
      </c>
      <c r="E1340" s="64" t="s">
        <v>323</v>
      </c>
      <c r="F1340" s="63">
        <v>2000.0</v>
      </c>
      <c r="G1340" s="63">
        <v>26.72</v>
      </c>
      <c r="H1340" s="66">
        <f t="shared" si="1"/>
        <v>74.62</v>
      </c>
      <c r="I1340" s="81">
        <f>IFERROR(__xludf.DUMMYFUNCTION("IF(G1340="""", """", ROUND(G1340 / MAX(FILTER($G$2:$G5067, $D$2:$D5067=$D1340)) * 100, 2))"),91.95)</f>
        <v>91.95</v>
      </c>
      <c r="J1340" s="81">
        <f>IFERROR(__xludf.DUMMYFUNCTION("IF(H1340="""", """", ROUND(H1340 / MAX(FILTER($H$2:$H5067, $D$2:$D5067=$D1340)) * 100, 2))"),36.18)</f>
        <v>36.18</v>
      </c>
      <c r="K1340" s="2"/>
      <c r="L1340" s="49"/>
      <c r="M1340" s="49"/>
      <c r="N1340" s="49"/>
      <c r="O1340" s="49" t="str">
        <f t="shared" si="2"/>
        <v/>
      </c>
      <c r="P1340" s="49" t="str">
        <f t="shared" si="3"/>
        <v/>
      </c>
      <c r="Q1340" s="84"/>
      <c r="R1340" s="84"/>
      <c r="S1340" s="84"/>
      <c r="T1340" s="84"/>
      <c r="U1340" s="84"/>
      <c r="V1340" s="84"/>
      <c r="W1340" s="84"/>
      <c r="X1340" s="84"/>
      <c r="Y1340" s="84"/>
      <c r="Z1340" s="84"/>
      <c r="AA1340" s="84"/>
      <c r="AB1340" s="84"/>
    </row>
    <row r="1341">
      <c r="A1341" s="69">
        <v>91.0</v>
      </c>
      <c r="B1341" s="69">
        <v>144.0</v>
      </c>
      <c r="C1341" s="86" t="s">
        <v>321</v>
      </c>
      <c r="D1341" s="86" t="s">
        <v>322</v>
      </c>
      <c r="E1341" s="86" t="s">
        <v>323</v>
      </c>
      <c r="F1341" s="69">
        <v>2500.0</v>
      </c>
      <c r="G1341" s="69">
        <v>27.63</v>
      </c>
      <c r="H1341" s="68">
        <f t="shared" si="1"/>
        <v>96.45</v>
      </c>
      <c r="I1341" s="81">
        <f>IFERROR(__xludf.DUMMYFUNCTION("IF(G1341="""", """", ROUND(G1341 / MAX(FILTER($G$2:$G5067, $D$2:$D5067=$D1341)) * 100, 2))"),95.08)</f>
        <v>95.08</v>
      </c>
      <c r="J1341" s="81">
        <f>IFERROR(__xludf.DUMMYFUNCTION("IF(H1341="""", """", ROUND(H1341 / MAX(FILTER($H$2:$H5067, $D$2:$D5067=$D1341)) * 100, 2))"),46.76)</f>
        <v>46.76</v>
      </c>
      <c r="K1341" s="2"/>
      <c r="L1341" s="48"/>
      <c r="M1341" s="48"/>
      <c r="N1341" s="48"/>
      <c r="O1341" s="48" t="str">
        <f t="shared" si="2"/>
        <v/>
      </c>
      <c r="P1341" s="48" t="str">
        <f t="shared" si="3"/>
        <v/>
      </c>
      <c r="Q1341" s="84"/>
      <c r="R1341" s="84"/>
      <c r="S1341" s="84"/>
      <c r="T1341" s="84"/>
      <c r="U1341" s="84"/>
      <c r="V1341" s="84"/>
      <c r="W1341" s="84"/>
      <c r="X1341" s="84"/>
      <c r="Y1341" s="84"/>
      <c r="Z1341" s="84"/>
      <c r="AA1341" s="84"/>
      <c r="AB1341" s="84"/>
    </row>
    <row r="1342">
      <c r="A1342" s="63">
        <v>91.0</v>
      </c>
      <c r="B1342" s="63">
        <v>144.0</v>
      </c>
      <c r="C1342" s="64" t="s">
        <v>321</v>
      </c>
      <c r="D1342" s="64" t="s">
        <v>322</v>
      </c>
      <c r="E1342" s="64" t="s">
        <v>323</v>
      </c>
      <c r="F1342" s="63">
        <v>3000.0</v>
      </c>
      <c r="G1342" s="63">
        <v>28.55</v>
      </c>
      <c r="H1342" s="66">
        <f t="shared" si="1"/>
        <v>119.59</v>
      </c>
      <c r="I1342" s="81">
        <f>IFERROR(__xludf.DUMMYFUNCTION("IF(G1342="""", """", ROUND(G1342 / MAX(FILTER($G$2:$G5067, $D$2:$D5067=$D1342)) * 100, 2))"),98.25)</f>
        <v>98.25</v>
      </c>
      <c r="J1342" s="81">
        <f>IFERROR(__xludf.DUMMYFUNCTION("IF(H1342="""", """", ROUND(H1342 / MAX(FILTER($H$2:$H5067, $D$2:$D5067=$D1342)) * 100, 2))"),57.98)</f>
        <v>57.98</v>
      </c>
      <c r="K1342" s="2"/>
      <c r="L1342" s="49"/>
      <c r="M1342" s="49"/>
      <c r="N1342" s="49"/>
      <c r="O1342" s="49" t="str">
        <f t="shared" si="2"/>
        <v/>
      </c>
      <c r="P1342" s="49" t="str">
        <f t="shared" si="3"/>
        <v/>
      </c>
      <c r="Q1342" s="84"/>
      <c r="R1342" s="84"/>
      <c r="S1342" s="84"/>
      <c r="T1342" s="84"/>
      <c r="U1342" s="84"/>
      <c r="V1342" s="84"/>
      <c r="W1342" s="84"/>
      <c r="X1342" s="84"/>
      <c r="Y1342" s="84"/>
      <c r="Z1342" s="84"/>
      <c r="AA1342" s="84"/>
      <c r="AB1342" s="84"/>
    </row>
    <row r="1343">
      <c r="A1343" s="69">
        <v>91.0</v>
      </c>
      <c r="B1343" s="69">
        <v>144.0</v>
      </c>
      <c r="C1343" s="86" t="s">
        <v>321</v>
      </c>
      <c r="D1343" s="86" t="s">
        <v>322</v>
      </c>
      <c r="E1343" s="86" t="s">
        <v>323</v>
      </c>
      <c r="F1343" s="69">
        <v>3500.0</v>
      </c>
      <c r="G1343" s="69">
        <v>28.86</v>
      </c>
      <c r="H1343" s="68">
        <f t="shared" si="1"/>
        <v>141.04</v>
      </c>
      <c r="I1343" s="81">
        <f>IFERROR(__xludf.DUMMYFUNCTION("IF(G1343="""", """", ROUND(G1343 / MAX(FILTER($G$2:$G5067, $D$2:$D5067=$D1343)) * 100, 2))"),99.31)</f>
        <v>99.31</v>
      </c>
      <c r="J1343" s="81">
        <f>IFERROR(__xludf.DUMMYFUNCTION("IF(H1343="""", """", ROUND(H1343 / MAX(FILTER($H$2:$H5067, $D$2:$D5067=$D1343)) * 100, 2))"),68.38)</f>
        <v>68.38</v>
      </c>
      <c r="K1343" s="2"/>
      <c r="L1343" s="48"/>
      <c r="M1343" s="48"/>
      <c r="N1343" s="48"/>
      <c r="O1343" s="48" t="str">
        <f t="shared" si="2"/>
        <v/>
      </c>
      <c r="P1343" s="48" t="str">
        <f t="shared" si="3"/>
        <v/>
      </c>
      <c r="Q1343" s="84"/>
      <c r="R1343" s="84"/>
      <c r="S1343" s="84"/>
      <c r="T1343" s="84"/>
      <c r="U1343" s="84"/>
      <c r="V1343" s="84"/>
      <c r="W1343" s="84"/>
      <c r="X1343" s="84"/>
      <c r="Y1343" s="84"/>
      <c r="Z1343" s="84"/>
      <c r="AA1343" s="84"/>
      <c r="AB1343" s="84"/>
    </row>
    <row r="1344">
      <c r="A1344" s="63">
        <v>91.0</v>
      </c>
      <c r="B1344" s="63">
        <v>144.0</v>
      </c>
      <c r="C1344" s="64" t="s">
        <v>321</v>
      </c>
      <c r="D1344" s="64" t="s">
        <v>322</v>
      </c>
      <c r="E1344" s="64" t="s">
        <v>323</v>
      </c>
      <c r="F1344" s="63">
        <v>4000.0</v>
      </c>
      <c r="G1344" s="63">
        <v>29.06</v>
      </c>
      <c r="H1344" s="66">
        <f t="shared" si="1"/>
        <v>162.3</v>
      </c>
      <c r="I1344" s="81">
        <f>IFERROR(__xludf.DUMMYFUNCTION("IF(G1344="""", """", ROUND(G1344 / MAX(FILTER($G$2:$G5067, $D$2:$D5067=$D1344)) * 100, 2))"),100.0)</f>
        <v>100</v>
      </c>
      <c r="J1344" s="81">
        <f>IFERROR(__xludf.DUMMYFUNCTION("IF(H1344="""", """", ROUND(H1344 / MAX(FILTER($H$2:$H5067, $D$2:$D5067=$D1344)) * 100, 2))"),78.69)</f>
        <v>78.69</v>
      </c>
      <c r="K1344" s="2"/>
      <c r="L1344" s="49"/>
      <c r="M1344" s="49"/>
      <c r="N1344" s="49"/>
      <c r="O1344" s="49" t="str">
        <f t="shared" si="2"/>
        <v/>
      </c>
      <c r="P1344" s="49" t="str">
        <f t="shared" si="3"/>
        <v/>
      </c>
      <c r="Q1344" s="84"/>
      <c r="R1344" s="84"/>
      <c r="S1344" s="84"/>
      <c r="T1344" s="84"/>
      <c r="U1344" s="84"/>
      <c r="V1344" s="84"/>
      <c r="W1344" s="84"/>
      <c r="X1344" s="84"/>
      <c r="Y1344" s="84"/>
      <c r="Z1344" s="84"/>
      <c r="AA1344" s="84"/>
      <c r="AB1344" s="84"/>
    </row>
    <row r="1345">
      <c r="A1345" s="69">
        <v>91.0</v>
      </c>
      <c r="B1345" s="69">
        <v>144.0</v>
      </c>
      <c r="C1345" s="86" t="s">
        <v>321</v>
      </c>
      <c r="D1345" s="86" t="s">
        <v>322</v>
      </c>
      <c r="E1345" s="86" t="s">
        <v>323</v>
      </c>
      <c r="F1345" s="69">
        <v>4500.0</v>
      </c>
      <c r="G1345" s="69">
        <v>28.6</v>
      </c>
      <c r="H1345" s="68">
        <f t="shared" si="1"/>
        <v>179.7</v>
      </c>
      <c r="I1345" s="81">
        <f>IFERROR(__xludf.DUMMYFUNCTION("IF(G1345="""", """", ROUND(G1345 / MAX(FILTER($G$2:$G5067, $D$2:$D5067=$D1345)) * 100, 2))"),98.42)</f>
        <v>98.42</v>
      </c>
      <c r="J1345" s="81">
        <f>IFERROR(__xludf.DUMMYFUNCTION("IF(H1345="""", """", ROUND(H1345 / MAX(FILTER($H$2:$H5067, $D$2:$D5067=$D1345)) * 100, 2))"),87.12)</f>
        <v>87.12</v>
      </c>
      <c r="K1345" s="2"/>
      <c r="L1345" s="48"/>
      <c r="M1345" s="48"/>
      <c r="N1345" s="48"/>
      <c r="O1345" s="48" t="str">
        <f t="shared" si="2"/>
        <v/>
      </c>
      <c r="P1345" s="48" t="str">
        <f t="shared" si="3"/>
        <v/>
      </c>
      <c r="Q1345" s="84"/>
      <c r="R1345" s="84"/>
      <c r="S1345" s="84"/>
      <c r="T1345" s="84"/>
      <c r="U1345" s="84"/>
      <c r="V1345" s="84"/>
      <c r="W1345" s="84"/>
      <c r="X1345" s="84"/>
      <c r="Y1345" s="84"/>
      <c r="Z1345" s="84"/>
      <c r="AA1345" s="84"/>
      <c r="AB1345" s="84"/>
    </row>
    <row r="1346">
      <c r="A1346" s="63">
        <v>91.0</v>
      </c>
      <c r="B1346" s="63">
        <v>144.0</v>
      </c>
      <c r="C1346" s="64" t="s">
        <v>321</v>
      </c>
      <c r="D1346" s="64" t="s">
        <v>322</v>
      </c>
      <c r="E1346" s="64" t="s">
        <v>323</v>
      </c>
      <c r="F1346" s="63">
        <v>5000.0</v>
      </c>
      <c r="G1346" s="63">
        <v>27.84</v>
      </c>
      <c r="H1346" s="66">
        <f t="shared" si="1"/>
        <v>194.36</v>
      </c>
      <c r="I1346" s="81">
        <f>IFERROR(__xludf.DUMMYFUNCTION("IF(G1346="""", """", ROUND(G1346 / MAX(FILTER($G$2:$G5067, $D$2:$D5067=$D1346)) * 100, 2))"),95.8)</f>
        <v>95.8</v>
      </c>
      <c r="J1346" s="81">
        <f>IFERROR(__xludf.DUMMYFUNCTION("IF(H1346="""", """", ROUND(H1346 / MAX(FILTER($H$2:$H5067, $D$2:$D5067=$D1346)) * 100, 2))"),94.23)</f>
        <v>94.23</v>
      </c>
      <c r="K1346" s="2"/>
      <c r="L1346" s="49"/>
      <c r="M1346" s="49"/>
      <c r="N1346" s="49"/>
      <c r="O1346" s="49" t="str">
        <f t="shared" si="2"/>
        <v/>
      </c>
      <c r="P1346" s="49" t="str">
        <f t="shared" si="3"/>
        <v/>
      </c>
      <c r="Q1346" s="84"/>
      <c r="R1346" s="84"/>
      <c r="S1346" s="84"/>
      <c r="T1346" s="84"/>
      <c r="U1346" s="84"/>
      <c r="V1346" s="84"/>
      <c r="W1346" s="84"/>
      <c r="X1346" s="84"/>
      <c r="Y1346" s="84"/>
      <c r="Z1346" s="84"/>
      <c r="AA1346" s="84"/>
      <c r="AB1346" s="84"/>
    </row>
    <row r="1347">
      <c r="A1347" s="69">
        <v>91.0</v>
      </c>
      <c r="B1347" s="69">
        <v>144.0</v>
      </c>
      <c r="C1347" s="86" t="s">
        <v>321</v>
      </c>
      <c r="D1347" s="86" t="s">
        <v>322</v>
      </c>
      <c r="E1347" s="86" t="s">
        <v>323</v>
      </c>
      <c r="F1347" s="69">
        <v>5500.0</v>
      </c>
      <c r="G1347" s="69">
        <v>26.43</v>
      </c>
      <c r="H1347" s="68">
        <f t="shared" si="1"/>
        <v>202.97</v>
      </c>
      <c r="I1347" s="81">
        <f>IFERROR(__xludf.DUMMYFUNCTION("IF(G1347="""", """", ROUND(G1347 / MAX(FILTER($G$2:$G5067, $D$2:$D5067=$D1347)) * 100, 2))"),90.95)</f>
        <v>90.95</v>
      </c>
      <c r="J1347" s="81">
        <f>IFERROR(__xludf.DUMMYFUNCTION("IF(H1347="""", """", ROUND(H1347 / MAX(FILTER($H$2:$H5067, $D$2:$D5067=$D1347)) * 100, 2))"),98.4)</f>
        <v>98.4</v>
      </c>
      <c r="K1347" s="2"/>
      <c r="L1347" s="48"/>
      <c r="M1347" s="48"/>
      <c r="N1347" s="48"/>
      <c r="O1347" s="48" t="str">
        <f t="shared" si="2"/>
        <v/>
      </c>
      <c r="P1347" s="48" t="str">
        <f t="shared" si="3"/>
        <v/>
      </c>
      <c r="Q1347" s="84"/>
      <c r="R1347" s="84"/>
      <c r="S1347" s="84"/>
      <c r="T1347" s="84"/>
      <c r="U1347" s="84"/>
      <c r="V1347" s="84"/>
      <c r="W1347" s="84"/>
      <c r="X1347" s="84"/>
      <c r="Y1347" s="84"/>
      <c r="Z1347" s="84"/>
      <c r="AA1347" s="84"/>
      <c r="AB1347" s="84"/>
    </row>
    <row r="1348">
      <c r="A1348" s="63">
        <v>91.0</v>
      </c>
      <c r="B1348" s="63">
        <v>144.0</v>
      </c>
      <c r="C1348" s="64" t="s">
        <v>321</v>
      </c>
      <c r="D1348" s="64" t="s">
        <v>322</v>
      </c>
      <c r="E1348" s="64" t="s">
        <v>323</v>
      </c>
      <c r="F1348" s="63">
        <v>6000.0</v>
      </c>
      <c r="G1348" s="63">
        <v>24.62</v>
      </c>
      <c r="H1348" s="66">
        <f t="shared" si="1"/>
        <v>206.26</v>
      </c>
      <c r="I1348" s="81">
        <f>IFERROR(__xludf.DUMMYFUNCTION("IF(G1348="""", """", ROUND(G1348 / MAX(FILTER($G$2:$G5067, $D$2:$D5067=$D1348)) * 100, 2))"),84.72)</f>
        <v>84.72</v>
      </c>
      <c r="J1348" s="81">
        <f>IFERROR(__xludf.DUMMYFUNCTION("IF(H1348="""", """", ROUND(H1348 / MAX(FILTER($H$2:$H5067, $D$2:$D5067=$D1348)) * 100, 2))"),100.0)</f>
        <v>100</v>
      </c>
      <c r="K1348" s="2"/>
      <c r="L1348" s="49"/>
      <c r="M1348" s="49"/>
      <c r="N1348" s="49"/>
      <c r="O1348" s="49" t="str">
        <f t="shared" si="2"/>
        <v/>
      </c>
      <c r="P1348" s="49" t="str">
        <f t="shared" si="3"/>
        <v/>
      </c>
      <c r="Q1348" s="84"/>
      <c r="R1348" s="84"/>
      <c r="S1348" s="84"/>
      <c r="T1348" s="84"/>
      <c r="U1348" s="84"/>
      <c r="V1348" s="84"/>
      <c r="W1348" s="84"/>
      <c r="X1348" s="84"/>
      <c r="Y1348" s="84"/>
      <c r="Z1348" s="84"/>
      <c r="AA1348" s="84"/>
      <c r="AB1348" s="84"/>
    </row>
    <row r="1349">
      <c r="A1349" s="69">
        <v>91.0</v>
      </c>
      <c r="B1349" s="69">
        <v>144.0</v>
      </c>
      <c r="C1349" s="86" t="s">
        <v>321</v>
      </c>
      <c r="D1349" s="86" t="s">
        <v>322</v>
      </c>
      <c r="E1349" s="86" t="s">
        <v>323</v>
      </c>
      <c r="F1349" s="69">
        <v>6500.0</v>
      </c>
      <c r="G1349" s="69">
        <v>22.33</v>
      </c>
      <c r="H1349" s="68">
        <f t="shared" si="1"/>
        <v>202.66</v>
      </c>
      <c r="I1349" s="81">
        <f>IFERROR(__xludf.DUMMYFUNCTION("IF(G1349="""", """", ROUND(G1349 / MAX(FILTER($G$2:$G5067, $D$2:$D5067=$D1349)) * 100, 2))"),76.84)</f>
        <v>76.84</v>
      </c>
      <c r="J1349" s="81">
        <f>IFERROR(__xludf.DUMMYFUNCTION("IF(H1349="""", """", ROUND(H1349 / MAX(FILTER($H$2:$H5067, $D$2:$D5067=$D1349)) * 100, 2))"),98.25)</f>
        <v>98.25</v>
      </c>
      <c r="K1349" s="2"/>
      <c r="L1349" s="48"/>
      <c r="M1349" s="48"/>
      <c r="N1349" s="48"/>
      <c r="O1349" s="48" t="str">
        <f t="shared" si="2"/>
        <v/>
      </c>
      <c r="P1349" s="48" t="str">
        <f t="shared" si="3"/>
        <v/>
      </c>
      <c r="Q1349" s="84"/>
      <c r="R1349" s="84"/>
      <c r="S1349" s="84"/>
      <c r="T1349" s="84"/>
      <c r="U1349" s="84"/>
      <c r="V1349" s="84"/>
      <c r="W1349" s="84"/>
      <c r="X1349" s="84"/>
      <c r="Y1349" s="84"/>
      <c r="Z1349" s="84"/>
      <c r="AA1349" s="84"/>
      <c r="AB1349" s="84"/>
    </row>
    <row r="1350">
      <c r="A1350" s="63">
        <v>91.0</v>
      </c>
      <c r="B1350" s="63">
        <v>144.0</v>
      </c>
      <c r="C1350" s="64" t="s">
        <v>321</v>
      </c>
      <c r="D1350" s="64" t="s">
        <v>322</v>
      </c>
      <c r="E1350" s="64" t="s">
        <v>323</v>
      </c>
      <c r="F1350" s="63">
        <v>7000.0</v>
      </c>
      <c r="G1350" s="63">
        <v>18.68</v>
      </c>
      <c r="H1350" s="66">
        <f t="shared" si="1"/>
        <v>182.57</v>
      </c>
      <c r="I1350" s="81">
        <f>IFERROR(__xludf.DUMMYFUNCTION("IF(G1350="""", """", ROUND(G1350 / MAX(FILTER($G$2:$G5067, $D$2:$D5067=$D1350)) * 100, 2))"),64.28)</f>
        <v>64.28</v>
      </c>
      <c r="J1350" s="81">
        <f>IFERROR(__xludf.DUMMYFUNCTION("IF(H1350="""", """", ROUND(H1350 / MAX(FILTER($H$2:$H5067, $D$2:$D5067=$D1350)) * 100, 2))"),88.51)</f>
        <v>88.51</v>
      </c>
      <c r="K1350" s="2"/>
      <c r="L1350" s="49"/>
      <c r="M1350" s="49"/>
      <c r="N1350" s="49"/>
      <c r="O1350" s="49" t="str">
        <f t="shared" si="2"/>
        <v/>
      </c>
      <c r="P1350" s="49" t="str">
        <f t="shared" si="3"/>
        <v/>
      </c>
      <c r="Q1350" s="84"/>
      <c r="R1350" s="84"/>
      <c r="S1350" s="84"/>
      <c r="T1350" s="84"/>
      <c r="U1350" s="84"/>
      <c r="V1350" s="84"/>
      <c r="W1350" s="84"/>
      <c r="X1350" s="84"/>
      <c r="Y1350" s="84"/>
      <c r="Z1350" s="84"/>
      <c r="AA1350" s="84"/>
      <c r="AB1350" s="84"/>
    </row>
    <row r="1351">
      <c r="A1351" s="69">
        <v>92.0</v>
      </c>
      <c r="B1351" s="69">
        <v>146.0</v>
      </c>
      <c r="C1351" s="86" t="s">
        <v>324</v>
      </c>
      <c r="D1351" s="86" t="s">
        <v>325</v>
      </c>
      <c r="E1351" s="86" t="s">
        <v>326</v>
      </c>
      <c r="F1351" s="69">
        <v>500.0</v>
      </c>
      <c r="G1351" s="69">
        <v>18.59</v>
      </c>
      <c r="H1351" s="68">
        <f t="shared" si="1"/>
        <v>12.98</v>
      </c>
      <c r="I1351" s="81">
        <f>IFERROR(__xludf.DUMMYFUNCTION("IF(G1351="""", """", ROUND(G1351 / MAX(FILTER($G$2:$G5067, $D$2:$D5067=$D1351)) * 100, 2))"),57.93)</f>
        <v>57.93</v>
      </c>
      <c r="J1351" s="81">
        <f>IFERROR(__xludf.DUMMYFUNCTION("IF(H1351="""", """", ROUND(H1351 / MAX(FILTER($H$2:$H5067, $D$2:$D5067=$D1351)) * 100, 2))"),4.67)</f>
        <v>4.67</v>
      </c>
      <c r="K1351" s="2"/>
      <c r="L1351" s="48"/>
      <c r="M1351" s="48"/>
      <c r="N1351" s="48"/>
      <c r="O1351" s="48" t="str">
        <f t="shared" si="2"/>
        <v/>
      </c>
      <c r="P1351" s="48" t="str">
        <f t="shared" si="3"/>
        <v/>
      </c>
      <c r="Q1351" s="84"/>
      <c r="R1351" s="84"/>
      <c r="S1351" s="84"/>
      <c r="T1351" s="84"/>
      <c r="U1351" s="84"/>
      <c r="V1351" s="84"/>
      <c r="W1351" s="84"/>
      <c r="X1351" s="84"/>
      <c r="Y1351" s="84"/>
      <c r="Z1351" s="84"/>
      <c r="AA1351" s="84"/>
      <c r="AB1351" s="84"/>
    </row>
    <row r="1352">
      <c r="A1352" s="63">
        <v>92.0</v>
      </c>
      <c r="B1352" s="63">
        <v>146.0</v>
      </c>
      <c r="C1352" s="64" t="s">
        <v>324</v>
      </c>
      <c r="D1352" s="64" t="s">
        <v>325</v>
      </c>
      <c r="E1352" s="64" t="s">
        <v>326</v>
      </c>
      <c r="F1352" s="63">
        <v>1000.0</v>
      </c>
      <c r="G1352" s="63">
        <v>26.27</v>
      </c>
      <c r="H1352" s="66">
        <f t="shared" si="1"/>
        <v>36.68</v>
      </c>
      <c r="I1352" s="81">
        <f>IFERROR(__xludf.DUMMYFUNCTION("IF(G1352="""", """", ROUND(G1352 / MAX(FILTER($G$2:$G5067, $D$2:$D5067=$D1352)) * 100, 2))"),81.86)</f>
        <v>81.86</v>
      </c>
      <c r="J1352" s="81">
        <f>IFERROR(__xludf.DUMMYFUNCTION("IF(H1352="""", """", ROUND(H1352 / MAX(FILTER($H$2:$H5067, $D$2:$D5067=$D1352)) * 100, 2))"),13.19)</f>
        <v>13.19</v>
      </c>
      <c r="K1352" s="2"/>
      <c r="L1352" s="49"/>
      <c r="M1352" s="49"/>
      <c r="N1352" s="49"/>
      <c r="O1352" s="49" t="str">
        <f t="shared" si="2"/>
        <v/>
      </c>
      <c r="P1352" s="49" t="str">
        <f t="shared" si="3"/>
        <v/>
      </c>
      <c r="Q1352" s="84"/>
      <c r="R1352" s="84"/>
      <c r="S1352" s="84"/>
      <c r="T1352" s="84"/>
      <c r="U1352" s="84"/>
      <c r="V1352" s="84"/>
      <c r="W1352" s="84"/>
      <c r="X1352" s="84"/>
      <c r="Y1352" s="84"/>
      <c r="Z1352" s="84"/>
      <c r="AA1352" s="84"/>
      <c r="AB1352" s="84"/>
    </row>
    <row r="1353">
      <c r="A1353" s="69">
        <v>92.0</v>
      </c>
      <c r="B1353" s="69">
        <v>146.0</v>
      </c>
      <c r="C1353" s="86" t="s">
        <v>324</v>
      </c>
      <c r="D1353" s="86" t="s">
        <v>325</v>
      </c>
      <c r="E1353" s="86" t="s">
        <v>326</v>
      </c>
      <c r="F1353" s="69">
        <v>1500.0</v>
      </c>
      <c r="G1353" s="69">
        <v>29.76</v>
      </c>
      <c r="H1353" s="68">
        <f t="shared" si="1"/>
        <v>62.33</v>
      </c>
      <c r="I1353" s="81">
        <f>IFERROR(__xludf.DUMMYFUNCTION("IF(G1353="""", """", ROUND(G1353 / MAX(FILTER($G$2:$G5067, $D$2:$D5067=$D1353)) * 100, 2))"),92.74)</f>
        <v>92.74</v>
      </c>
      <c r="J1353" s="81">
        <f>IFERROR(__xludf.DUMMYFUNCTION("IF(H1353="""", """", ROUND(H1353 / MAX(FILTER($H$2:$H5067, $D$2:$D5067=$D1353)) * 100, 2))"),22.42)</f>
        <v>22.42</v>
      </c>
      <c r="K1353" s="2"/>
      <c r="L1353" s="48"/>
      <c r="M1353" s="48"/>
      <c r="N1353" s="48"/>
      <c r="O1353" s="48" t="str">
        <f t="shared" si="2"/>
        <v/>
      </c>
      <c r="P1353" s="48" t="str">
        <f t="shared" si="3"/>
        <v/>
      </c>
      <c r="Q1353" s="84"/>
      <c r="R1353" s="84"/>
      <c r="S1353" s="84"/>
      <c r="T1353" s="84"/>
      <c r="U1353" s="84"/>
      <c r="V1353" s="84"/>
      <c r="W1353" s="84"/>
      <c r="X1353" s="84"/>
      <c r="Y1353" s="84"/>
      <c r="Z1353" s="84"/>
      <c r="AA1353" s="84"/>
      <c r="AB1353" s="84"/>
    </row>
    <row r="1354">
      <c r="A1354" s="63">
        <v>92.0</v>
      </c>
      <c r="B1354" s="63">
        <v>146.0</v>
      </c>
      <c r="C1354" s="64" t="s">
        <v>324</v>
      </c>
      <c r="D1354" s="64" t="s">
        <v>325</v>
      </c>
      <c r="E1354" s="64" t="s">
        <v>326</v>
      </c>
      <c r="F1354" s="63">
        <v>2000.0</v>
      </c>
      <c r="G1354" s="63">
        <v>32.09</v>
      </c>
      <c r="H1354" s="66">
        <f t="shared" si="1"/>
        <v>89.61</v>
      </c>
      <c r="I1354" s="81">
        <f>IFERROR(__xludf.DUMMYFUNCTION("IF(G1354="""", """", ROUND(G1354 / MAX(FILTER($G$2:$G5067, $D$2:$D5067=$D1354)) * 100, 2))"),100.0)</f>
        <v>100</v>
      </c>
      <c r="J1354" s="81">
        <f>IFERROR(__xludf.DUMMYFUNCTION("IF(H1354="""", """", ROUND(H1354 / MAX(FILTER($H$2:$H5067, $D$2:$D5067=$D1354)) * 100, 2))"),32.23)</f>
        <v>32.23</v>
      </c>
      <c r="K1354" s="2"/>
      <c r="L1354" s="49"/>
      <c r="M1354" s="49"/>
      <c r="N1354" s="49"/>
      <c r="O1354" s="49" t="str">
        <f t="shared" si="2"/>
        <v/>
      </c>
      <c r="P1354" s="49" t="str">
        <f t="shared" si="3"/>
        <v/>
      </c>
      <c r="Q1354" s="84"/>
      <c r="R1354" s="84"/>
      <c r="S1354" s="84"/>
      <c r="T1354" s="84"/>
      <c r="U1354" s="84"/>
      <c r="V1354" s="84"/>
      <c r="W1354" s="84"/>
      <c r="X1354" s="84"/>
      <c r="Y1354" s="84"/>
      <c r="Z1354" s="84"/>
      <c r="AA1354" s="84"/>
      <c r="AB1354" s="84"/>
    </row>
    <row r="1355">
      <c r="A1355" s="69">
        <v>92.0</v>
      </c>
      <c r="B1355" s="69">
        <v>146.0</v>
      </c>
      <c r="C1355" s="86" t="s">
        <v>324</v>
      </c>
      <c r="D1355" s="86" t="s">
        <v>325</v>
      </c>
      <c r="E1355" s="86" t="s">
        <v>326</v>
      </c>
      <c r="F1355" s="69">
        <v>2500.0</v>
      </c>
      <c r="G1355" s="69">
        <v>32.09</v>
      </c>
      <c r="H1355" s="68">
        <f t="shared" si="1"/>
        <v>112.01</v>
      </c>
      <c r="I1355" s="81">
        <f>IFERROR(__xludf.DUMMYFUNCTION("IF(G1355="""", """", ROUND(G1355 / MAX(FILTER($G$2:$G5067, $D$2:$D5067=$D1355)) * 100, 2))"),100.0)</f>
        <v>100</v>
      </c>
      <c r="J1355" s="81">
        <f>IFERROR(__xludf.DUMMYFUNCTION("IF(H1355="""", """", ROUND(H1355 / MAX(FILTER($H$2:$H5067, $D$2:$D5067=$D1355)) * 100, 2))"),40.29)</f>
        <v>40.29</v>
      </c>
      <c r="K1355" s="2"/>
      <c r="L1355" s="48"/>
      <c r="M1355" s="48"/>
      <c r="N1355" s="48"/>
      <c r="O1355" s="48" t="str">
        <f t="shared" si="2"/>
        <v/>
      </c>
      <c r="P1355" s="48" t="str">
        <f t="shared" si="3"/>
        <v/>
      </c>
      <c r="Q1355" s="84"/>
      <c r="R1355" s="84"/>
      <c r="S1355" s="84"/>
      <c r="T1355" s="84"/>
      <c r="U1355" s="84"/>
      <c r="V1355" s="84"/>
      <c r="W1355" s="84"/>
      <c r="X1355" s="84"/>
      <c r="Y1355" s="84"/>
      <c r="Z1355" s="84"/>
      <c r="AA1355" s="84"/>
      <c r="AB1355" s="84"/>
    </row>
    <row r="1356">
      <c r="A1356" s="63">
        <v>92.0</v>
      </c>
      <c r="B1356" s="63">
        <v>146.0</v>
      </c>
      <c r="C1356" s="64" t="s">
        <v>324</v>
      </c>
      <c r="D1356" s="64" t="s">
        <v>325</v>
      </c>
      <c r="E1356" s="64" t="s">
        <v>326</v>
      </c>
      <c r="F1356" s="63">
        <v>3000.0</v>
      </c>
      <c r="G1356" s="63">
        <v>32.09</v>
      </c>
      <c r="H1356" s="66">
        <f t="shared" si="1"/>
        <v>134.42</v>
      </c>
      <c r="I1356" s="81">
        <f>IFERROR(__xludf.DUMMYFUNCTION("IF(G1356="""", """", ROUND(G1356 / MAX(FILTER($G$2:$G5067, $D$2:$D5067=$D1356)) * 100, 2))"),100.0)</f>
        <v>100</v>
      </c>
      <c r="J1356" s="81">
        <f>IFERROR(__xludf.DUMMYFUNCTION("IF(H1356="""", """", ROUND(H1356 / MAX(FILTER($H$2:$H5067, $D$2:$D5067=$D1356)) * 100, 2))"),48.35)</f>
        <v>48.35</v>
      </c>
      <c r="K1356" s="2"/>
      <c r="L1356" s="49"/>
      <c r="M1356" s="49"/>
      <c r="N1356" s="49"/>
      <c r="O1356" s="49" t="str">
        <f t="shared" si="2"/>
        <v/>
      </c>
      <c r="P1356" s="49" t="str">
        <f t="shared" si="3"/>
        <v/>
      </c>
      <c r="Q1356" s="84"/>
      <c r="R1356" s="84"/>
      <c r="S1356" s="84"/>
      <c r="T1356" s="84"/>
      <c r="U1356" s="84"/>
      <c r="V1356" s="84"/>
      <c r="W1356" s="84"/>
      <c r="X1356" s="84"/>
      <c r="Y1356" s="84"/>
      <c r="Z1356" s="84"/>
      <c r="AA1356" s="84"/>
      <c r="AB1356" s="84"/>
    </row>
    <row r="1357">
      <c r="A1357" s="69">
        <v>92.0</v>
      </c>
      <c r="B1357" s="69">
        <v>146.0</v>
      </c>
      <c r="C1357" s="86" t="s">
        <v>324</v>
      </c>
      <c r="D1357" s="86" t="s">
        <v>325</v>
      </c>
      <c r="E1357" s="86" t="s">
        <v>326</v>
      </c>
      <c r="F1357" s="69">
        <v>3500.0</v>
      </c>
      <c r="G1357" s="69">
        <v>32.09</v>
      </c>
      <c r="H1357" s="68">
        <f t="shared" si="1"/>
        <v>156.82</v>
      </c>
      <c r="I1357" s="81">
        <f>IFERROR(__xludf.DUMMYFUNCTION("IF(G1357="""", """", ROUND(G1357 / MAX(FILTER($G$2:$G5067, $D$2:$D5067=$D1357)) * 100, 2))"),100.0)</f>
        <v>100</v>
      </c>
      <c r="J1357" s="81">
        <f>IFERROR(__xludf.DUMMYFUNCTION("IF(H1357="""", """", ROUND(H1357 / MAX(FILTER($H$2:$H5067, $D$2:$D5067=$D1357)) * 100, 2))"),56.41)</f>
        <v>56.41</v>
      </c>
      <c r="K1357" s="2"/>
      <c r="L1357" s="48"/>
      <c r="M1357" s="48"/>
      <c r="N1357" s="48"/>
      <c r="O1357" s="48" t="str">
        <f t="shared" si="2"/>
        <v/>
      </c>
      <c r="P1357" s="48" t="str">
        <f t="shared" si="3"/>
        <v/>
      </c>
      <c r="Q1357" s="84"/>
      <c r="R1357" s="84"/>
      <c r="S1357" s="84"/>
      <c r="T1357" s="84"/>
      <c r="U1357" s="84"/>
      <c r="V1357" s="84"/>
      <c r="W1357" s="84"/>
      <c r="X1357" s="84"/>
      <c r="Y1357" s="84"/>
      <c r="Z1357" s="84"/>
      <c r="AA1357" s="84"/>
      <c r="AB1357" s="84"/>
    </row>
    <row r="1358">
      <c r="A1358" s="63">
        <v>92.0</v>
      </c>
      <c r="B1358" s="63">
        <v>146.0</v>
      </c>
      <c r="C1358" s="64" t="s">
        <v>324</v>
      </c>
      <c r="D1358" s="64" t="s">
        <v>325</v>
      </c>
      <c r="E1358" s="64" t="s">
        <v>326</v>
      </c>
      <c r="F1358" s="63">
        <v>4000.0</v>
      </c>
      <c r="G1358" s="63">
        <v>32.09</v>
      </c>
      <c r="H1358" s="66">
        <f t="shared" si="1"/>
        <v>179.22</v>
      </c>
      <c r="I1358" s="81">
        <f>IFERROR(__xludf.DUMMYFUNCTION("IF(G1358="""", """", ROUND(G1358 / MAX(FILTER($G$2:$G5067, $D$2:$D5067=$D1358)) * 100, 2))"),100.0)</f>
        <v>100</v>
      </c>
      <c r="J1358" s="81">
        <f>IFERROR(__xludf.DUMMYFUNCTION("IF(H1358="""", """", ROUND(H1358 / MAX(FILTER($H$2:$H5067, $D$2:$D5067=$D1358)) * 100, 2))"),64.47)</f>
        <v>64.47</v>
      </c>
      <c r="K1358" s="2"/>
      <c r="L1358" s="49"/>
      <c r="M1358" s="49"/>
      <c r="N1358" s="49"/>
      <c r="O1358" s="49" t="str">
        <f t="shared" si="2"/>
        <v/>
      </c>
      <c r="P1358" s="49" t="str">
        <f t="shared" si="3"/>
        <v/>
      </c>
      <c r="Q1358" s="84"/>
      <c r="R1358" s="84"/>
      <c r="S1358" s="84"/>
      <c r="T1358" s="84"/>
      <c r="U1358" s="84"/>
      <c r="V1358" s="84"/>
      <c r="W1358" s="84"/>
      <c r="X1358" s="84"/>
      <c r="Y1358" s="84"/>
      <c r="Z1358" s="84"/>
      <c r="AA1358" s="84"/>
      <c r="AB1358" s="84"/>
    </row>
    <row r="1359">
      <c r="A1359" s="69">
        <v>92.0</v>
      </c>
      <c r="B1359" s="69">
        <v>146.0</v>
      </c>
      <c r="C1359" s="86" t="s">
        <v>324</v>
      </c>
      <c r="D1359" s="86" t="s">
        <v>325</v>
      </c>
      <c r="E1359" s="86" t="s">
        <v>326</v>
      </c>
      <c r="F1359" s="69">
        <v>4500.0</v>
      </c>
      <c r="G1359" s="69">
        <v>32.09</v>
      </c>
      <c r="H1359" s="68">
        <f t="shared" si="1"/>
        <v>201.63</v>
      </c>
      <c r="I1359" s="81">
        <f>IFERROR(__xludf.DUMMYFUNCTION("IF(G1359="""", """", ROUND(G1359 / MAX(FILTER($G$2:$G5067, $D$2:$D5067=$D1359)) * 100, 2))"),100.0)</f>
        <v>100</v>
      </c>
      <c r="J1359" s="81">
        <f>IFERROR(__xludf.DUMMYFUNCTION("IF(H1359="""", """", ROUND(H1359 / MAX(FILTER($H$2:$H5067, $D$2:$D5067=$D1359)) * 100, 2))"),72.53)</f>
        <v>72.53</v>
      </c>
      <c r="K1359" s="2"/>
      <c r="L1359" s="48"/>
      <c r="M1359" s="48"/>
      <c r="N1359" s="48"/>
      <c r="O1359" s="48" t="str">
        <f t="shared" si="2"/>
        <v/>
      </c>
      <c r="P1359" s="48" t="str">
        <f t="shared" si="3"/>
        <v/>
      </c>
      <c r="Q1359" s="84"/>
      <c r="R1359" s="84"/>
      <c r="S1359" s="84"/>
      <c r="T1359" s="84"/>
      <c r="U1359" s="84"/>
      <c r="V1359" s="84"/>
      <c r="W1359" s="84"/>
      <c r="X1359" s="84"/>
      <c r="Y1359" s="84"/>
      <c r="Z1359" s="84"/>
      <c r="AA1359" s="84"/>
      <c r="AB1359" s="84"/>
    </row>
    <row r="1360">
      <c r="A1360" s="63">
        <v>92.0</v>
      </c>
      <c r="B1360" s="63">
        <v>146.0</v>
      </c>
      <c r="C1360" s="64" t="s">
        <v>324</v>
      </c>
      <c r="D1360" s="64" t="s">
        <v>325</v>
      </c>
      <c r="E1360" s="64" t="s">
        <v>326</v>
      </c>
      <c r="F1360" s="63">
        <v>5000.0</v>
      </c>
      <c r="G1360" s="63">
        <v>32.09</v>
      </c>
      <c r="H1360" s="66">
        <f t="shared" si="1"/>
        <v>224.03</v>
      </c>
      <c r="I1360" s="81">
        <f>IFERROR(__xludf.DUMMYFUNCTION("IF(G1360="""", """", ROUND(G1360 / MAX(FILTER($G$2:$G5067, $D$2:$D5067=$D1360)) * 100, 2))"),100.0)</f>
        <v>100</v>
      </c>
      <c r="J1360" s="81">
        <f>IFERROR(__xludf.DUMMYFUNCTION("IF(H1360="""", """", ROUND(H1360 / MAX(FILTER($H$2:$H5067, $D$2:$D5067=$D1360)) * 100, 2))"),80.59)</f>
        <v>80.59</v>
      </c>
      <c r="K1360" s="2"/>
      <c r="L1360" s="49"/>
      <c r="M1360" s="49"/>
      <c r="N1360" s="49"/>
      <c r="O1360" s="49" t="str">
        <f t="shared" si="2"/>
        <v/>
      </c>
      <c r="P1360" s="49" t="str">
        <f t="shared" si="3"/>
        <v/>
      </c>
      <c r="Q1360" s="84"/>
      <c r="R1360" s="84"/>
      <c r="S1360" s="84"/>
      <c r="T1360" s="84"/>
      <c r="U1360" s="84"/>
      <c r="V1360" s="84"/>
      <c r="W1360" s="84"/>
      <c r="X1360" s="84"/>
      <c r="Y1360" s="84"/>
      <c r="Z1360" s="84"/>
      <c r="AA1360" s="84"/>
      <c r="AB1360" s="84"/>
    </row>
    <row r="1361">
      <c r="A1361" s="69">
        <v>92.0</v>
      </c>
      <c r="B1361" s="69">
        <v>146.0</v>
      </c>
      <c r="C1361" s="86" t="s">
        <v>324</v>
      </c>
      <c r="D1361" s="86" t="s">
        <v>325</v>
      </c>
      <c r="E1361" s="86" t="s">
        <v>326</v>
      </c>
      <c r="F1361" s="69">
        <v>5500.0</v>
      </c>
      <c r="G1361" s="69">
        <v>32.09</v>
      </c>
      <c r="H1361" s="68">
        <f t="shared" si="1"/>
        <v>246.43</v>
      </c>
      <c r="I1361" s="81">
        <f>IFERROR(__xludf.DUMMYFUNCTION("IF(G1361="""", """", ROUND(G1361 / MAX(FILTER($G$2:$G5067, $D$2:$D5067=$D1361)) * 100, 2))"),100.0)</f>
        <v>100</v>
      </c>
      <c r="J1361" s="81">
        <f>IFERROR(__xludf.DUMMYFUNCTION("IF(H1361="""", """", ROUND(H1361 / MAX(FILTER($H$2:$H5067, $D$2:$D5067=$D1361)) * 100, 2))"),88.65)</f>
        <v>88.65</v>
      </c>
      <c r="K1361" s="2"/>
      <c r="L1361" s="48"/>
      <c r="M1361" s="48"/>
      <c r="N1361" s="48"/>
      <c r="O1361" s="48" t="str">
        <f t="shared" si="2"/>
        <v/>
      </c>
      <c r="P1361" s="48" t="str">
        <f t="shared" si="3"/>
        <v/>
      </c>
      <c r="Q1361" s="84"/>
      <c r="R1361" s="84"/>
      <c r="S1361" s="84"/>
      <c r="T1361" s="84"/>
      <c r="U1361" s="84"/>
      <c r="V1361" s="84"/>
      <c r="W1361" s="84"/>
      <c r="X1361" s="84"/>
      <c r="Y1361" s="84"/>
      <c r="Z1361" s="84"/>
      <c r="AA1361" s="84"/>
      <c r="AB1361" s="84"/>
    </row>
    <row r="1362">
      <c r="A1362" s="63">
        <v>92.0</v>
      </c>
      <c r="B1362" s="63">
        <v>146.0</v>
      </c>
      <c r="C1362" s="64" t="s">
        <v>324</v>
      </c>
      <c r="D1362" s="64" t="s">
        <v>325</v>
      </c>
      <c r="E1362" s="64" t="s">
        <v>326</v>
      </c>
      <c r="F1362" s="63">
        <v>6000.0</v>
      </c>
      <c r="G1362" s="63">
        <v>32.09</v>
      </c>
      <c r="H1362" s="66">
        <f t="shared" si="1"/>
        <v>268.84</v>
      </c>
      <c r="I1362" s="81">
        <f>IFERROR(__xludf.DUMMYFUNCTION("IF(G1362="""", """", ROUND(G1362 / MAX(FILTER($G$2:$G5067, $D$2:$D5067=$D1362)) * 100, 2))"),100.0)</f>
        <v>100</v>
      </c>
      <c r="J1362" s="81">
        <f>IFERROR(__xludf.DUMMYFUNCTION("IF(H1362="""", """", ROUND(H1362 / MAX(FILTER($H$2:$H5067, $D$2:$D5067=$D1362)) * 100, 2))"),96.71)</f>
        <v>96.71</v>
      </c>
      <c r="K1362" s="2"/>
      <c r="L1362" s="49"/>
      <c r="M1362" s="49"/>
      <c r="N1362" s="49"/>
      <c r="O1362" s="49" t="str">
        <f t="shared" si="2"/>
        <v/>
      </c>
      <c r="P1362" s="49" t="str">
        <f t="shared" si="3"/>
        <v/>
      </c>
      <c r="Q1362" s="84"/>
      <c r="R1362" s="84"/>
      <c r="S1362" s="84"/>
      <c r="T1362" s="84"/>
      <c r="U1362" s="84"/>
      <c r="V1362" s="84"/>
      <c r="W1362" s="84"/>
      <c r="X1362" s="84"/>
      <c r="Y1362" s="84"/>
      <c r="Z1362" s="84"/>
      <c r="AA1362" s="84"/>
      <c r="AB1362" s="84"/>
    </row>
    <row r="1363">
      <c r="A1363" s="69">
        <v>92.0</v>
      </c>
      <c r="B1363" s="69">
        <v>146.0</v>
      </c>
      <c r="C1363" s="86" t="s">
        <v>324</v>
      </c>
      <c r="D1363" s="86" t="s">
        <v>325</v>
      </c>
      <c r="E1363" s="86" t="s">
        <v>326</v>
      </c>
      <c r="F1363" s="69">
        <v>6500.0</v>
      </c>
      <c r="G1363" s="69">
        <v>30.63</v>
      </c>
      <c r="H1363" s="68">
        <f t="shared" si="1"/>
        <v>277.99</v>
      </c>
      <c r="I1363" s="81">
        <f>IFERROR(__xludf.DUMMYFUNCTION("IF(G1363="""", """", ROUND(G1363 / MAX(FILTER($G$2:$G5067, $D$2:$D5067=$D1363)) * 100, 2))"),95.45)</f>
        <v>95.45</v>
      </c>
      <c r="J1363" s="81">
        <f>IFERROR(__xludf.DUMMYFUNCTION("IF(H1363="""", """", ROUND(H1363 / MAX(FILTER($H$2:$H5067, $D$2:$D5067=$D1363)) * 100, 2))"),100.0)</f>
        <v>100</v>
      </c>
      <c r="K1363" s="2"/>
      <c r="L1363" s="48"/>
      <c r="M1363" s="48"/>
      <c r="N1363" s="48"/>
      <c r="O1363" s="48" t="str">
        <f t="shared" si="2"/>
        <v/>
      </c>
      <c r="P1363" s="48" t="str">
        <f t="shared" si="3"/>
        <v/>
      </c>
      <c r="Q1363" s="84"/>
      <c r="R1363" s="84"/>
      <c r="S1363" s="84"/>
      <c r="T1363" s="84"/>
      <c r="U1363" s="84"/>
      <c r="V1363" s="84"/>
      <c r="W1363" s="84"/>
      <c r="X1363" s="84"/>
      <c r="Y1363" s="84"/>
      <c r="Z1363" s="84"/>
      <c r="AA1363" s="84"/>
      <c r="AB1363" s="84"/>
    </row>
    <row r="1364">
      <c r="A1364" s="63">
        <v>92.0</v>
      </c>
      <c r="B1364" s="63">
        <v>146.0</v>
      </c>
      <c r="C1364" s="64" t="s">
        <v>324</v>
      </c>
      <c r="D1364" s="64" t="s">
        <v>325</v>
      </c>
      <c r="E1364" s="64" t="s">
        <v>326</v>
      </c>
      <c r="F1364" s="63">
        <v>7000.0</v>
      </c>
      <c r="G1364" s="63">
        <v>28.0</v>
      </c>
      <c r="H1364" s="66">
        <f t="shared" si="1"/>
        <v>273.67</v>
      </c>
      <c r="I1364" s="81">
        <f>IFERROR(__xludf.DUMMYFUNCTION("IF(G1364="""", """", ROUND(G1364 / MAX(FILTER($G$2:$G5067, $D$2:$D5067=$D1364)) * 100, 2))"),87.25)</f>
        <v>87.25</v>
      </c>
      <c r="J1364" s="81">
        <f>IFERROR(__xludf.DUMMYFUNCTION("IF(H1364="""", """", ROUND(H1364 / MAX(FILTER($H$2:$H5067, $D$2:$D5067=$D1364)) * 100, 2))"),98.45)</f>
        <v>98.45</v>
      </c>
      <c r="K1364" s="2"/>
      <c r="L1364" s="49"/>
      <c r="M1364" s="49"/>
      <c r="N1364" s="49"/>
      <c r="O1364" s="49" t="str">
        <f t="shared" si="2"/>
        <v/>
      </c>
      <c r="P1364" s="49" t="str">
        <f t="shared" si="3"/>
        <v/>
      </c>
      <c r="Q1364" s="84"/>
      <c r="R1364" s="84"/>
      <c r="S1364" s="84"/>
      <c r="T1364" s="84"/>
      <c r="U1364" s="84"/>
      <c r="V1364" s="84"/>
      <c r="W1364" s="84"/>
      <c r="X1364" s="84"/>
      <c r="Y1364" s="84"/>
      <c r="Z1364" s="84"/>
      <c r="AA1364" s="84"/>
      <c r="AB1364" s="84"/>
    </row>
    <row r="1365">
      <c r="A1365" s="69">
        <v>92.0</v>
      </c>
      <c r="B1365" s="69">
        <v>146.0</v>
      </c>
      <c r="C1365" s="86" t="s">
        <v>324</v>
      </c>
      <c r="D1365" s="86" t="s">
        <v>325</v>
      </c>
      <c r="E1365" s="86" t="s">
        <v>326</v>
      </c>
      <c r="F1365" s="69">
        <v>7500.0</v>
      </c>
      <c r="G1365" s="69">
        <v>24.4</v>
      </c>
      <c r="H1365" s="68">
        <f t="shared" si="1"/>
        <v>255.52</v>
      </c>
      <c r="I1365" s="81">
        <f>IFERROR(__xludf.DUMMYFUNCTION("IF(G1365="""", """", ROUND(G1365 / MAX(FILTER($G$2:$G5067, $D$2:$D5067=$D1365)) * 100, 2))"),76.04)</f>
        <v>76.04</v>
      </c>
      <c r="J1365" s="81">
        <f>IFERROR(__xludf.DUMMYFUNCTION("IF(H1365="""", """", ROUND(H1365 / MAX(FILTER($H$2:$H5067, $D$2:$D5067=$D1365)) * 100, 2))"),91.92)</f>
        <v>91.92</v>
      </c>
      <c r="K1365" s="2"/>
      <c r="L1365" s="48"/>
      <c r="M1365" s="48"/>
      <c r="N1365" s="48"/>
      <c r="O1365" s="48" t="str">
        <f t="shared" si="2"/>
        <v/>
      </c>
      <c r="P1365" s="48" t="str">
        <f t="shared" si="3"/>
        <v/>
      </c>
      <c r="Q1365" s="84"/>
      <c r="R1365" s="84"/>
      <c r="S1365" s="84"/>
      <c r="T1365" s="84"/>
      <c r="U1365" s="84"/>
      <c r="V1365" s="84"/>
      <c r="W1365" s="84"/>
      <c r="X1365" s="84"/>
      <c r="Y1365" s="84"/>
      <c r="Z1365" s="84"/>
      <c r="AA1365" s="84"/>
      <c r="AB1365" s="84"/>
    </row>
    <row r="1366">
      <c r="A1366" s="63">
        <v>93.0</v>
      </c>
      <c r="B1366" s="63">
        <v>148.0</v>
      </c>
      <c r="C1366" s="64" t="s">
        <v>327</v>
      </c>
      <c r="D1366" s="64" t="s">
        <v>328</v>
      </c>
      <c r="E1366" s="64" t="s">
        <v>329</v>
      </c>
      <c r="F1366" s="63">
        <v>500.0</v>
      </c>
      <c r="G1366" s="63">
        <v>17.28</v>
      </c>
      <c r="H1366" s="66">
        <f t="shared" si="1"/>
        <v>12.06</v>
      </c>
      <c r="I1366" s="81">
        <f>IFERROR(__xludf.DUMMYFUNCTION("IF(G1366="""", """", ROUND(G1366 / MAX(FILTER($G$2:$G5067, $D$2:$D5067=$D1366)) * 100, 2))"),76.19)</f>
        <v>76.19</v>
      </c>
      <c r="J1366" s="81">
        <f>IFERROR(__xludf.DUMMYFUNCTION("IF(H1366="""", """", ROUND(H1366 / MAX(FILTER($H$2:$H5067, $D$2:$D5067=$D1366)) * 100, 2))"),7.29)</f>
        <v>7.29</v>
      </c>
      <c r="K1366" s="2"/>
      <c r="L1366" s="49"/>
      <c r="M1366" s="49"/>
      <c r="N1366" s="49"/>
      <c r="O1366" s="49" t="str">
        <f t="shared" si="2"/>
        <v/>
      </c>
      <c r="P1366" s="49" t="str">
        <f t="shared" si="3"/>
        <v/>
      </c>
      <c r="Q1366" s="84"/>
      <c r="R1366" s="84"/>
      <c r="S1366" s="84"/>
      <c r="T1366" s="84"/>
      <c r="U1366" s="84"/>
      <c r="V1366" s="84"/>
      <c r="W1366" s="84"/>
      <c r="X1366" s="84"/>
      <c r="Y1366" s="84"/>
      <c r="Z1366" s="84"/>
      <c r="AA1366" s="84"/>
      <c r="AB1366" s="84"/>
    </row>
    <row r="1367">
      <c r="A1367" s="69">
        <v>93.0</v>
      </c>
      <c r="B1367" s="69">
        <v>148.0</v>
      </c>
      <c r="C1367" s="86" t="s">
        <v>327</v>
      </c>
      <c r="D1367" s="86" t="s">
        <v>328</v>
      </c>
      <c r="E1367" s="86" t="s">
        <v>329</v>
      </c>
      <c r="F1367" s="69">
        <v>1000.0</v>
      </c>
      <c r="G1367" s="69">
        <v>19.38</v>
      </c>
      <c r="H1367" s="68">
        <f t="shared" si="1"/>
        <v>27.06</v>
      </c>
      <c r="I1367" s="81">
        <f>IFERROR(__xludf.DUMMYFUNCTION("IF(G1367="""", """", ROUND(G1367 / MAX(FILTER($G$2:$G5067, $D$2:$D5067=$D1367)) * 100, 2))"),85.45)</f>
        <v>85.45</v>
      </c>
      <c r="J1367" s="81">
        <f>IFERROR(__xludf.DUMMYFUNCTION("IF(H1367="""", """", ROUND(H1367 / MAX(FILTER($H$2:$H5067, $D$2:$D5067=$D1367)) * 100, 2))"),16.35)</f>
        <v>16.35</v>
      </c>
      <c r="K1367" s="2"/>
      <c r="L1367" s="48"/>
      <c r="M1367" s="48"/>
      <c r="N1367" s="48"/>
      <c r="O1367" s="48" t="str">
        <f t="shared" si="2"/>
        <v/>
      </c>
      <c r="P1367" s="48" t="str">
        <f t="shared" si="3"/>
        <v/>
      </c>
      <c r="Q1367" s="84"/>
      <c r="R1367" s="84"/>
      <c r="S1367" s="84"/>
      <c r="T1367" s="84"/>
      <c r="U1367" s="84"/>
      <c r="V1367" s="84"/>
      <c r="W1367" s="84"/>
      <c r="X1367" s="84"/>
      <c r="Y1367" s="84"/>
      <c r="Z1367" s="84"/>
      <c r="AA1367" s="84"/>
      <c r="AB1367" s="84"/>
    </row>
    <row r="1368">
      <c r="A1368" s="63">
        <v>93.0</v>
      </c>
      <c r="B1368" s="63">
        <v>148.0</v>
      </c>
      <c r="C1368" s="64" t="s">
        <v>327</v>
      </c>
      <c r="D1368" s="64" t="s">
        <v>328</v>
      </c>
      <c r="E1368" s="64" t="s">
        <v>329</v>
      </c>
      <c r="F1368" s="63">
        <v>1500.0</v>
      </c>
      <c r="G1368" s="63">
        <v>21.0</v>
      </c>
      <c r="H1368" s="66">
        <f t="shared" si="1"/>
        <v>43.98</v>
      </c>
      <c r="I1368" s="81">
        <f>IFERROR(__xludf.DUMMYFUNCTION("IF(G1368="""", """", ROUND(G1368 / MAX(FILTER($G$2:$G5067, $D$2:$D5067=$D1368)) * 100, 2))"),92.59)</f>
        <v>92.59</v>
      </c>
      <c r="J1368" s="81">
        <f>IFERROR(__xludf.DUMMYFUNCTION("IF(H1368="""", """", ROUND(H1368 / MAX(FILTER($H$2:$H5067, $D$2:$D5067=$D1368)) * 100, 2))"),26.58)</f>
        <v>26.58</v>
      </c>
      <c r="K1368" s="2"/>
      <c r="L1368" s="49"/>
      <c r="M1368" s="49"/>
      <c r="N1368" s="49"/>
      <c r="O1368" s="49" t="str">
        <f t="shared" si="2"/>
        <v/>
      </c>
      <c r="P1368" s="49" t="str">
        <f t="shared" si="3"/>
        <v/>
      </c>
      <c r="Q1368" s="84"/>
      <c r="R1368" s="84"/>
      <c r="S1368" s="84"/>
      <c r="T1368" s="84"/>
      <c r="U1368" s="84"/>
      <c r="V1368" s="84"/>
      <c r="W1368" s="84"/>
      <c r="X1368" s="84"/>
      <c r="Y1368" s="84"/>
      <c r="Z1368" s="84"/>
      <c r="AA1368" s="84"/>
      <c r="AB1368" s="84"/>
    </row>
    <row r="1369">
      <c r="A1369" s="69">
        <v>93.0</v>
      </c>
      <c r="B1369" s="69">
        <v>148.0</v>
      </c>
      <c r="C1369" s="86" t="s">
        <v>327</v>
      </c>
      <c r="D1369" s="86" t="s">
        <v>328</v>
      </c>
      <c r="E1369" s="86" t="s">
        <v>329</v>
      </c>
      <c r="F1369" s="69">
        <v>2000.0</v>
      </c>
      <c r="G1369" s="69">
        <v>21.8</v>
      </c>
      <c r="H1369" s="68">
        <f t="shared" si="1"/>
        <v>60.88</v>
      </c>
      <c r="I1369" s="81">
        <f>IFERROR(__xludf.DUMMYFUNCTION("IF(G1369="""", """", ROUND(G1369 / MAX(FILTER($G$2:$G5067, $D$2:$D5067=$D1369)) * 100, 2))"),96.12)</f>
        <v>96.12</v>
      </c>
      <c r="J1369" s="81">
        <f>IFERROR(__xludf.DUMMYFUNCTION("IF(H1369="""", """", ROUND(H1369 / MAX(FILTER($H$2:$H5067, $D$2:$D5067=$D1369)) * 100, 2))"),36.79)</f>
        <v>36.79</v>
      </c>
      <c r="K1369" s="2"/>
      <c r="L1369" s="48"/>
      <c r="M1369" s="48"/>
      <c r="N1369" s="48"/>
      <c r="O1369" s="48" t="str">
        <f t="shared" si="2"/>
        <v/>
      </c>
      <c r="P1369" s="48" t="str">
        <f t="shared" si="3"/>
        <v/>
      </c>
      <c r="Q1369" s="84"/>
      <c r="R1369" s="84"/>
      <c r="S1369" s="84"/>
      <c r="T1369" s="84"/>
      <c r="U1369" s="84"/>
      <c r="V1369" s="84"/>
      <c r="W1369" s="84"/>
      <c r="X1369" s="84"/>
      <c r="Y1369" s="84"/>
      <c r="Z1369" s="84"/>
      <c r="AA1369" s="84"/>
      <c r="AB1369" s="84"/>
    </row>
    <row r="1370">
      <c r="A1370" s="63">
        <v>93.0</v>
      </c>
      <c r="B1370" s="63">
        <v>148.0</v>
      </c>
      <c r="C1370" s="64" t="s">
        <v>327</v>
      </c>
      <c r="D1370" s="64" t="s">
        <v>328</v>
      </c>
      <c r="E1370" s="64" t="s">
        <v>329</v>
      </c>
      <c r="F1370" s="63">
        <v>2500.0</v>
      </c>
      <c r="G1370" s="63">
        <v>22.5</v>
      </c>
      <c r="H1370" s="66">
        <f t="shared" si="1"/>
        <v>78.54</v>
      </c>
      <c r="I1370" s="81">
        <f>IFERROR(__xludf.DUMMYFUNCTION("IF(G1370="""", """", ROUND(G1370 / MAX(FILTER($G$2:$G5067, $D$2:$D5067=$D1370)) * 100, 2))"),99.21)</f>
        <v>99.21</v>
      </c>
      <c r="J1370" s="81">
        <f>IFERROR(__xludf.DUMMYFUNCTION("IF(H1370="""", """", ROUND(H1370 / MAX(FILTER($H$2:$H5067, $D$2:$D5067=$D1370)) * 100, 2))"),47.47)</f>
        <v>47.47</v>
      </c>
      <c r="K1370" s="2"/>
      <c r="L1370" s="49"/>
      <c r="M1370" s="49"/>
      <c r="N1370" s="49"/>
      <c r="O1370" s="49" t="str">
        <f t="shared" si="2"/>
        <v/>
      </c>
      <c r="P1370" s="49" t="str">
        <f t="shared" si="3"/>
        <v/>
      </c>
      <c r="Q1370" s="84"/>
      <c r="R1370" s="84"/>
      <c r="S1370" s="84"/>
      <c r="T1370" s="84"/>
      <c r="U1370" s="84"/>
      <c r="V1370" s="84"/>
      <c r="W1370" s="84"/>
      <c r="X1370" s="84"/>
      <c r="Y1370" s="84"/>
      <c r="Z1370" s="84"/>
      <c r="AA1370" s="84"/>
      <c r="AB1370" s="84"/>
    </row>
    <row r="1371">
      <c r="A1371" s="69">
        <v>93.0</v>
      </c>
      <c r="B1371" s="69">
        <v>148.0</v>
      </c>
      <c r="C1371" s="86" t="s">
        <v>327</v>
      </c>
      <c r="D1371" s="86" t="s">
        <v>328</v>
      </c>
      <c r="E1371" s="86" t="s">
        <v>329</v>
      </c>
      <c r="F1371" s="69">
        <v>3000.0</v>
      </c>
      <c r="G1371" s="69">
        <v>22.15</v>
      </c>
      <c r="H1371" s="68">
        <f t="shared" si="1"/>
        <v>92.78</v>
      </c>
      <c r="I1371" s="81">
        <f>IFERROR(__xludf.DUMMYFUNCTION("IF(G1371="""", """", ROUND(G1371 / MAX(FILTER($G$2:$G5067, $D$2:$D5067=$D1371)) * 100, 2))"),97.66)</f>
        <v>97.66</v>
      </c>
      <c r="J1371" s="81">
        <f>IFERROR(__xludf.DUMMYFUNCTION("IF(H1371="""", """", ROUND(H1371 / MAX(FILTER($H$2:$H5067, $D$2:$D5067=$D1371)) * 100, 2))"),56.07)</f>
        <v>56.07</v>
      </c>
      <c r="K1371" s="2"/>
      <c r="L1371" s="48"/>
      <c r="M1371" s="48"/>
      <c r="N1371" s="48"/>
      <c r="O1371" s="48" t="str">
        <f t="shared" si="2"/>
        <v/>
      </c>
      <c r="P1371" s="48" t="str">
        <f t="shared" si="3"/>
        <v/>
      </c>
      <c r="Q1371" s="84"/>
      <c r="R1371" s="84"/>
      <c r="S1371" s="84"/>
      <c r="T1371" s="84"/>
      <c r="U1371" s="84"/>
      <c r="V1371" s="84"/>
      <c r="W1371" s="84"/>
      <c r="X1371" s="84"/>
      <c r="Y1371" s="84"/>
      <c r="Z1371" s="84"/>
      <c r="AA1371" s="84"/>
      <c r="AB1371" s="84"/>
    </row>
    <row r="1372">
      <c r="A1372" s="63">
        <v>93.0</v>
      </c>
      <c r="B1372" s="63">
        <v>148.0</v>
      </c>
      <c r="C1372" s="64" t="s">
        <v>327</v>
      </c>
      <c r="D1372" s="64" t="s">
        <v>328</v>
      </c>
      <c r="E1372" s="64" t="s">
        <v>329</v>
      </c>
      <c r="F1372" s="63">
        <v>3500.0</v>
      </c>
      <c r="G1372" s="63">
        <v>22.68</v>
      </c>
      <c r="H1372" s="66">
        <f t="shared" si="1"/>
        <v>110.83</v>
      </c>
      <c r="I1372" s="81">
        <f>IFERROR(__xludf.DUMMYFUNCTION("IF(G1372="""", """", ROUND(G1372 / MAX(FILTER($G$2:$G5067, $D$2:$D5067=$D1372)) * 100, 2))"),100.0)</f>
        <v>100</v>
      </c>
      <c r="J1372" s="81">
        <f>IFERROR(__xludf.DUMMYFUNCTION("IF(H1372="""", """", ROUND(H1372 / MAX(FILTER($H$2:$H5067, $D$2:$D5067=$D1372)) * 100, 2))"),66.98)</f>
        <v>66.98</v>
      </c>
      <c r="K1372" s="2"/>
      <c r="L1372" s="49"/>
      <c r="M1372" s="49"/>
      <c r="N1372" s="49"/>
      <c r="O1372" s="49" t="str">
        <f t="shared" si="2"/>
        <v/>
      </c>
      <c r="P1372" s="49" t="str">
        <f t="shared" si="3"/>
        <v/>
      </c>
      <c r="Q1372" s="84"/>
      <c r="R1372" s="84"/>
      <c r="S1372" s="84"/>
      <c r="T1372" s="84"/>
      <c r="U1372" s="84"/>
      <c r="V1372" s="84"/>
      <c r="W1372" s="84"/>
      <c r="X1372" s="84"/>
      <c r="Y1372" s="84"/>
      <c r="Z1372" s="84"/>
      <c r="AA1372" s="84"/>
      <c r="AB1372" s="84"/>
    </row>
    <row r="1373">
      <c r="A1373" s="69">
        <v>93.0</v>
      </c>
      <c r="B1373" s="69">
        <v>148.0</v>
      </c>
      <c r="C1373" s="86" t="s">
        <v>327</v>
      </c>
      <c r="D1373" s="86" t="s">
        <v>328</v>
      </c>
      <c r="E1373" s="86" t="s">
        <v>329</v>
      </c>
      <c r="F1373" s="69">
        <v>4000.0</v>
      </c>
      <c r="G1373" s="69">
        <v>22.45</v>
      </c>
      <c r="H1373" s="68">
        <f t="shared" si="1"/>
        <v>125.38</v>
      </c>
      <c r="I1373" s="81">
        <f>IFERROR(__xludf.DUMMYFUNCTION("IF(G1373="""", """", ROUND(G1373 / MAX(FILTER($G$2:$G5067, $D$2:$D5067=$D1373)) * 100, 2))"),98.99)</f>
        <v>98.99</v>
      </c>
      <c r="J1373" s="81">
        <f>IFERROR(__xludf.DUMMYFUNCTION("IF(H1373="""", """", ROUND(H1373 / MAX(FILTER($H$2:$H5067, $D$2:$D5067=$D1373)) * 100, 2))"),75.78)</f>
        <v>75.78</v>
      </c>
      <c r="K1373" s="2"/>
      <c r="L1373" s="48"/>
      <c r="M1373" s="48"/>
      <c r="N1373" s="48"/>
      <c r="O1373" s="48" t="str">
        <f t="shared" si="2"/>
        <v/>
      </c>
      <c r="P1373" s="48" t="str">
        <f t="shared" si="3"/>
        <v/>
      </c>
      <c r="Q1373" s="84"/>
      <c r="R1373" s="84"/>
      <c r="S1373" s="84"/>
      <c r="T1373" s="84"/>
      <c r="U1373" s="84"/>
      <c r="V1373" s="84"/>
      <c r="W1373" s="84"/>
      <c r="X1373" s="84"/>
      <c r="Y1373" s="84"/>
      <c r="Z1373" s="84"/>
      <c r="AA1373" s="84"/>
      <c r="AB1373" s="84"/>
    </row>
    <row r="1374">
      <c r="A1374" s="63">
        <v>93.0</v>
      </c>
      <c r="B1374" s="63">
        <v>148.0</v>
      </c>
      <c r="C1374" s="64" t="s">
        <v>327</v>
      </c>
      <c r="D1374" s="64" t="s">
        <v>328</v>
      </c>
      <c r="E1374" s="64" t="s">
        <v>329</v>
      </c>
      <c r="F1374" s="63">
        <v>4500.0</v>
      </c>
      <c r="G1374" s="63">
        <v>22.63</v>
      </c>
      <c r="H1374" s="66">
        <f t="shared" si="1"/>
        <v>142.19</v>
      </c>
      <c r="I1374" s="81">
        <f>IFERROR(__xludf.DUMMYFUNCTION("IF(G1374="""", """", ROUND(G1374 / MAX(FILTER($G$2:$G5067, $D$2:$D5067=$D1374)) * 100, 2))"),99.78)</f>
        <v>99.78</v>
      </c>
      <c r="J1374" s="81">
        <f>IFERROR(__xludf.DUMMYFUNCTION("IF(H1374="""", """", ROUND(H1374 / MAX(FILTER($H$2:$H5067, $D$2:$D5067=$D1374)) * 100, 2))"),85.94)</f>
        <v>85.94</v>
      </c>
      <c r="K1374" s="2"/>
      <c r="L1374" s="49"/>
      <c r="M1374" s="49"/>
      <c r="N1374" s="49"/>
      <c r="O1374" s="49" t="str">
        <f t="shared" si="2"/>
        <v/>
      </c>
      <c r="P1374" s="49" t="str">
        <f t="shared" si="3"/>
        <v/>
      </c>
      <c r="Q1374" s="84"/>
      <c r="R1374" s="84"/>
      <c r="S1374" s="84"/>
      <c r="T1374" s="84"/>
      <c r="U1374" s="84"/>
      <c r="V1374" s="84"/>
      <c r="W1374" s="84"/>
      <c r="X1374" s="84"/>
      <c r="Y1374" s="84"/>
      <c r="Z1374" s="84"/>
      <c r="AA1374" s="84"/>
      <c r="AB1374" s="84"/>
    </row>
    <row r="1375">
      <c r="A1375" s="69">
        <v>93.0</v>
      </c>
      <c r="B1375" s="69">
        <v>148.0</v>
      </c>
      <c r="C1375" s="86" t="s">
        <v>327</v>
      </c>
      <c r="D1375" s="86" t="s">
        <v>328</v>
      </c>
      <c r="E1375" s="86" t="s">
        <v>329</v>
      </c>
      <c r="F1375" s="69">
        <v>5000.0</v>
      </c>
      <c r="G1375" s="69">
        <v>22.2</v>
      </c>
      <c r="H1375" s="68">
        <f t="shared" si="1"/>
        <v>154.98</v>
      </c>
      <c r="I1375" s="81">
        <f>IFERROR(__xludf.DUMMYFUNCTION("IF(G1375="""", """", ROUND(G1375 / MAX(FILTER($G$2:$G5067, $D$2:$D5067=$D1375)) * 100, 2))"),97.88)</f>
        <v>97.88</v>
      </c>
      <c r="J1375" s="81">
        <f>IFERROR(__xludf.DUMMYFUNCTION("IF(H1375="""", """", ROUND(H1375 / MAX(FILTER($H$2:$H5067, $D$2:$D5067=$D1375)) * 100, 2))"),93.67)</f>
        <v>93.67</v>
      </c>
      <c r="K1375" s="2"/>
      <c r="L1375" s="48"/>
      <c r="M1375" s="48"/>
      <c r="N1375" s="48"/>
      <c r="O1375" s="48" t="str">
        <f t="shared" si="2"/>
        <v/>
      </c>
      <c r="P1375" s="48" t="str">
        <f t="shared" si="3"/>
        <v/>
      </c>
      <c r="Q1375" s="84"/>
      <c r="R1375" s="84"/>
      <c r="S1375" s="84"/>
      <c r="T1375" s="84"/>
      <c r="U1375" s="84"/>
      <c r="V1375" s="84"/>
      <c r="W1375" s="84"/>
      <c r="X1375" s="84"/>
      <c r="Y1375" s="84"/>
      <c r="Z1375" s="84"/>
      <c r="AA1375" s="84"/>
      <c r="AB1375" s="84"/>
    </row>
    <row r="1376">
      <c r="A1376" s="63">
        <v>93.0</v>
      </c>
      <c r="B1376" s="63">
        <v>148.0</v>
      </c>
      <c r="C1376" s="64" t="s">
        <v>327</v>
      </c>
      <c r="D1376" s="64" t="s">
        <v>328</v>
      </c>
      <c r="E1376" s="64" t="s">
        <v>329</v>
      </c>
      <c r="F1376" s="63">
        <v>5500.0</v>
      </c>
      <c r="G1376" s="63">
        <v>21.26</v>
      </c>
      <c r="H1376" s="66">
        <f t="shared" si="1"/>
        <v>163.26</v>
      </c>
      <c r="I1376" s="81">
        <f>IFERROR(__xludf.DUMMYFUNCTION("IF(G1376="""", """", ROUND(G1376 / MAX(FILTER($G$2:$G5067, $D$2:$D5067=$D1376)) * 100, 2))"),93.74)</f>
        <v>93.74</v>
      </c>
      <c r="J1376" s="81">
        <f>IFERROR(__xludf.DUMMYFUNCTION("IF(H1376="""", """", ROUND(H1376 / MAX(FILTER($H$2:$H5067, $D$2:$D5067=$D1376)) * 100, 2))"),98.67)</f>
        <v>98.67</v>
      </c>
      <c r="K1376" s="2"/>
      <c r="L1376" s="49"/>
      <c r="M1376" s="49"/>
      <c r="N1376" s="49"/>
      <c r="O1376" s="49" t="str">
        <f t="shared" si="2"/>
        <v/>
      </c>
      <c r="P1376" s="49" t="str">
        <f t="shared" si="3"/>
        <v/>
      </c>
      <c r="Q1376" s="84"/>
      <c r="R1376" s="84"/>
      <c r="S1376" s="84"/>
      <c r="T1376" s="84"/>
      <c r="U1376" s="84"/>
      <c r="V1376" s="84"/>
      <c r="W1376" s="84"/>
      <c r="X1376" s="84"/>
      <c r="Y1376" s="84"/>
      <c r="Z1376" s="84"/>
      <c r="AA1376" s="84"/>
      <c r="AB1376" s="84"/>
    </row>
    <row r="1377">
      <c r="A1377" s="69">
        <v>93.0</v>
      </c>
      <c r="B1377" s="69">
        <v>148.0</v>
      </c>
      <c r="C1377" s="86" t="s">
        <v>327</v>
      </c>
      <c r="D1377" s="86" t="s">
        <v>328</v>
      </c>
      <c r="E1377" s="86" t="s">
        <v>329</v>
      </c>
      <c r="F1377" s="69">
        <v>6000.0</v>
      </c>
      <c r="G1377" s="69">
        <v>19.75</v>
      </c>
      <c r="H1377" s="68">
        <f t="shared" si="1"/>
        <v>165.46</v>
      </c>
      <c r="I1377" s="81">
        <f>IFERROR(__xludf.DUMMYFUNCTION("IF(G1377="""", """", ROUND(G1377 / MAX(FILTER($G$2:$G5067, $D$2:$D5067=$D1377)) * 100, 2))"),87.08)</f>
        <v>87.08</v>
      </c>
      <c r="J1377" s="81">
        <f>IFERROR(__xludf.DUMMYFUNCTION("IF(H1377="""", """", ROUND(H1377 / MAX(FILTER($H$2:$H5067, $D$2:$D5067=$D1377)) * 100, 2))"),100.0)</f>
        <v>100</v>
      </c>
      <c r="K1377" s="2"/>
      <c r="L1377" s="48"/>
      <c r="M1377" s="48"/>
      <c r="N1377" s="48"/>
      <c r="O1377" s="48" t="str">
        <f t="shared" si="2"/>
        <v/>
      </c>
      <c r="P1377" s="48" t="str">
        <f t="shared" si="3"/>
        <v/>
      </c>
      <c r="Q1377" s="84"/>
      <c r="R1377" s="84"/>
      <c r="S1377" s="84"/>
      <c r="T1377" s="84"/>
      <c r="U1377" s="84"/>
      <c r="V1377" s="84"/>
      <c r="W1377" s="84"/>
      <c r="X1377" s="84"/>
      <c r="Y1377" s="84"/>
      <c r="Z1377" s="84"/>
      <c r="AA1377" s="84"/>
      <c r="AB1377" s="84"/>
    </row>
    <row r="1378">
      <c r="A1378" s="63">
        <v>93.0</v>
      </c>
      <c r="B1378" s="63">
        <v>148.0</v>
      </c>
      <c r="C1378" s="64" t="s">
        <v>327</v>
      </c>
      <c r="D1378" s="64" t="s">
        <v>328</v>
      </c>
      <c r="E1378" s="64" t="s">
        <v>329</v>
      </c>
      <c r="F1378" s="63">
        <v>6500.0</v>
      </c>
      <c r="G1378" s="63">
        <v>17.89</v>
      </c>
      <c r="H1378" s="66">
        <f t="shared" si="1"/>
        <v>162.36</v>
      </c>
      <c r="I1378" s="81">
        <f>IFERROR(__xludf.DUMMYFUNCTION("IF(G1378="""", """", ROUND(G1378 / MAX(FILTER($G$2:$G5067, $D$2:$D5067=$D1378)) * 100, 2))"),78.88)</f>
        <v>78.88</v>
      </c>
      <c r="J1378" s="81">
        <f>IFERROR(__xludf.DUMMYFUNCTION("IF(H1378="""", """", ROUND(H1378 / MAX(FILTER($H$2:$H5067, $D$2:$D5067=$D1378)) * 100, 2))"),98.13)</f>
        <v>98.13</v>
      </c>
      <c r="K1378" s="2"/>
      <c r="L1378" s="49"/>
      <c r="M1378" s="49"/>
      <c r="N1378" s="49"/>
      <c r="O1378" s="49" t="str">
        <f t="shared" si="2"/>
        <v/>
      </c>
      <c r="P1378" s="49" t="str">
        <f t="shared" si="3"/>
        <v/>
      </c>
      <c r="Q1378" s="84"/>
      <c r="R1378" s="84"/>
      <c r="S1378" s="84"/>
      <c r="T1378" s="84"/>
      <c r="U1378" s="84"/>
      <c r="V1378" s="84"/>
      <c r="W1378" s="84"/>
      <c r="X1378" s="84"/>
      <c r="Y1378" s="84"/>
      <c r="Z1378" s="84"/>
      <c r="AA1378" s="84"/>
      <c r="AB1378" s="84"/>
    </row>
    <row r="1379">
      <c r="A1379" s="69">
        <v>93.0</v>
      </c>
      <c r="B1379" s="69">
        <v>148.0</v>
      </c>
      <c r="C1379" s="86" t="s">
        <v>327</v>
      </c>
      <c r="D1379" s="86" t="s">
        <v>328</v>
      </c>
      <c r="E1379" s="86" t="s">
        <v>329</v>
      </c>
      <c r="F1379" s="69">
        <v>7000.0</v>
      </c>
      <c r="G1379" s="69">
        <v>15.77</v>
      </c>
      <c r="H1379" s="68">
        <f t="shared" si="1"/>
        <v>154.13</v>
      </c>
      <c r="I1379" s="81">
        <f>IFERROR(__xludf.DUMMYFUNCTION("IF(G1379="""", """", ROUND(G1379 / MAX(FILTER($G$2:$G5067, $D$2:$D5067=$D1379)) * 100, 2))"),69.53)</f>
        <v>69.53</v>
      </c>
      <c r="J1379" s="81">
        <f>IFERROR(__xludf.DUMMYFUNCTION("IF(H1379="""", """", ROUND(H1379 / MAX(FILTER($H$2:$H5067, $D$2:$D5067=$D1379)) * 100, 2))"),93.15)</f>
        <v>93.15</v>
      </c>
      <c r="K1379" s="2"/>
      <c r="L1379" s="48"/>
      <c r="M1379" s="48"/>
      <c r="N1379" s="48"/>
      <c r="O1379" s="48" t="str">
        <f t="shared" si="2"/>
        <v/>
      </c>
      <c r="P1379" s="48" t="str">
        <f t="shared" si="3"/>
        <v/>
      </c>
      <c r="Q1379" s="84"/>
      <c r="R1379" s="84"/>
      <c r="S1379" s="84"/>
      <c r="T1379" s="84"/>
      <c r="U1379" s="84"/>
      <c r="V1379" s="84"/>
      <c r="W1379" s="84"/>
      <c r="X1379" s="84"/>
      <c r="Y1379" s="84"/>
      <c r="Z1379" s="84"/>
      <c r="AA1379" s="84"/>
      <c r="AB1379" s="84"/>
    </row>
    <row r="1380">
      <c r="A1380" s="63">
        <v>94.0</v>
      </c>
      <c r="B1380" s="63">
        <v>151.0</v>
      </c>
      <c r="C1380" s="64" t="s">
        <v>330</v>
      </c>
      <c r="D1380" s="64" t="s">
        <v>331</v>
      </c>
      <c r="E1380" s="64" t="s">
        <v>332</v>
      </c>
      <c r="F1380" s="63">
        <v>500.0</v>
      </c>
      <c r="G1380" s="63">
        <v>18.0</v>
      </c>
      <c r="H1380" s="66">
        <f t="shared" si="1"/>
        <v>12.57</v>
      </c>
      <c r="I1380" s="81">
        <f>IFERROR(__xludf.DUMMYFUNCTION("IF(G1380="""", """", ROUND(G1380 / MAX(FILTER($G$2:$G5067, $D$2:$D5067=$D1380)) * 100, 2))"),50.39)</f>
        <v>50.39</v>
      </c>
      <c r="J1380" s="81">
        <f>IFERROR(__xludf.DUMMYFUNCTION("IF(H1380="""", """", ROUND(H1380 / MAX(FILTER($H$2:$H5067, $D$2:$D5067=$D1380)) * 100, 2))"),3.93)</f>
        <v>3.93</v>
      </c>
      <c r="K1380" s="2"/>
      <c r="L1380" s="49"/>
      <c r="M1380" s="49"/>
      <c r="N1380" s="49"/>
      <c r="O1380" s="49" t="str">
        <f t="shared" si="2"/>
        <v/>
      </c>
      <c r="P1380" s="49" t="str">
        <f t="shared" si="3"/>
        <v/>
      </c>
      <c r="Q1380" s="84"/>
      <c r="R1380" s="84"/>
      <c r="S1380" s="84"/>
      <c r="T1380" s="84"/>
      <c r="U1380" s="84"/>
      <c r="V1380" s="84"/>
      <c r="W1380" s="84"/>
      <c r="X1380" s="84"/>
      <c r="Y1380" s="84"/>
      <c r="Z1380" s="84"/>
      <c r="AA1380" s="84"/>
      <c r="AB1380" s="84"/>
    </row>
    <row r="1381">
      <c r="A1381" s="69">
        <v>94.0</v>
      </c>
      <c r="B1381" s="69">
        <v>151.0</v>
      </c>
      <c r="C1381" s="86" t="s">
        <v>330</v>
      </c>
      <c r="D1381" s="86" t="s">
        <v>331</v>
      </c>
      <c r="E1381" s="86" t="s">
        <v>332</v>
      </c>
      <c r="F1381" s="69">
        <v>1000.0</v>
      </c>
      <c r="G1381" s="69">
        <v>20.13</v>
      </c>
      <c r="H1381" s="68">
        <f t="shared" si="1"/>
        <v>28.11</v>
      </c>
      <c r="I1381" s="81">
        <f>IFERROR(__xludf.DUMMYFUNCTION("IF(G1381="""", """", ROUND(G1381 / MAX(FILTER($G$2:$G5067, $D$2:$D5067=$D1381)) * 100, 2))"),56.35)</f>
        <v>56.35</v>
      </c>
      <c r="J1381" s="81">
        <f>IFERROR(__xludf.DUMMYFUNCTION("IF(H1381="""", """", ROUND(H1381 / MAX(FILTER($H$2:$H5067, $D$2:$D5067=$D1381)) * 100, 2))"),8.79)</f>
        <v>8.79</v>
      </c>
      <c r="K1381" s="2"/>
      <c r="L1381" s="48"/>
      <c r="M1381" s="48"/>
      <c r="N1381" s="48"/>
      <c r="O1381" s="48" t="str">
        <f t="shared" si="2"/>
        <v/>
      </c>
      <c r="P1381" s="48" t="str">
        <f t="shared" si="3"/>
        <v/>
      </c>
      <c r="Q1381" s="84"/>
      <c r="R1381" s="84"/>
      <c r="S1381" s="84"/>
      <c r="T1381" s="84"/>
      <c r="U1381" s="84"/>
      <c r="V1381" s="84"/>
      <c r="W1381" s="84"/>
      <c r="X1381" s="84"/>
      <c r="Y1381" s="84"/>
      <c r="Z1381" s="84"/>
      <c r="AA1381" s="84"/>
      <c r="AB1381" s="84"/>
    </row>
    <row r="1382">
      <c r="A1382" s="63">
        <v>94.0</v>
      </c>
      <c r="B1382" s="63">
        <v>151.0</v>
      </c>
      <c r="C1382" s="64" t="s">
        <v>330</v>
      </c>
      <c r="D1382" s="64" t="s">
        <v>331</v>
      </c>
      <c r="E1382" s="64" t="s">
        <v>332</v>
      </c>
      <c r="F1382" s="63">
        <v>1500.0</v>
      </c>
      <c r="G1382" s="63">
        <v>21.63</v>
      </c>
      <c r="H1382" s="66">
        <f t="shared" si="1"/>
        <v>45.3</v>
      </c>
      <c r="I1382" s="81">
        <f>IFERROR(__xludf.DUMMYFUNCTION("IF(G1382="""", """", ROUND(G1382 / MAX(FILTER($G$2:$G5067, $D$2:$D5067=$D1382)) * 100, 2))"),60.55)</f>
        <v>60.55</v>
      </c>
      <c r="J1382" s="81">
        <f>IFERROR(__xludf.DUMMYFUNCTION("IF(H1382="""", """", ROUND(H1382 / MAX(FILTER($H$2:$H5067, $D$2:$D5067=$D1382)) * 100, 2))"),14.17)</f>
        <v>14.17</v>
      </c>
      <c r="K1382" s="2"/>
      <c r="L1382" s="49"/>
      <c r="M1382" s="49"/>
      <c r="N1382" s="49"/>
      <c r="O1382" s="49" t="str">
        <f t="shared" si="2"/>
        <v/>
      </c>
      <c r="P1382" s="49" t="str">
        <f t="shared" si="3"/>
        <v/>
      </c>
      <c r="Q1382" s="84"/>
      <c r="R1382" s="84"/>
      <c r="S1382" s="84"/>
      <c r="T1382" s="84"/>
      <c r="U1382" s="84"/>
      <c r="V1382" s="84"/>
      <c r="W1382" s="84"/>
      <c r="X1382" s="84"/>
      <c r="Y1382" s="84"/>
      <c r="Z1382" s="84"/>
      <c r="AA1382" s="84"/>
      <c r="AB1382" s="84"/>
    </row>
    <row r="1383">
      <c r="A1383" s="69">
        <v>94.0</v>
      </c>
      <c r="B1383" s="69">
        <v>151.0</v>
      </c>
      <c r="C1383" s="86" t="s">
        <v>330</v>
      </c>
      <c r="D1383" s="86" t="s">
        <v>331</v>
      </c>
      <c r="E1383" s="86" t="s">
        <v>332</v>
      </c>
      <c r="F1383" s="69">
        <v>2000.0</v>
      </c>
      <c r="G1383" s="69">
        <v>23.0</v>
      </c>
      <c r="H1383" s="68">
        <f t="shared" si="1"/>
        <v>64.23</v>
      </c>
      <c r="I1383" s="81">
        <f>IFERROR(__xludf.DUMMYFUNCTION("IF(G1383="""", """", ROUND(G1383 / MAX(FILTER($G$2:$G5067, $D$2:$D5067=$D1383)) * 100, 2))"),64.39)</f>
        <v>64.39</v>
      </c>
      <c r="J1383" s="81">
        <f>IFERROR(__xludf.DUMMYFUNCTION("IF(H1383="""", """", ROUND(H1383 / MAX(FILTER($H$2:$H5067, $D$2:$D5067=$D1383)) * 100, 2))"),20.09)</f>
        <v>20.09</v>
      </c>
      <c r="K1383" s="2"/>
      <c r="L1383" s="48"/>
      <c r="M1383" s="48"/>
      <c r="N1383" s="48"/>
      <c r="O1383" s="48" t="str">
        <f t="shared" si="2"/>
        <v/>
      </c>
      <c r="P1383" s="48" t="str">
        <f t="shared" si="3"/>
        <v/>
      </c>
      <c r="Q1383" s="84"/>
      <c r="R1383" s="84"/>
      <c r="S1383" s="84"/>
      <c r="T1383" s="84"/>
      <c r="U1383" s="84"/>
      <c r="V1383" s="84"/>
      <c r="W1383" s="84"/>
      <c r="X1383" s="84"/>
      <c r="Y1383" s="84"/>
      <c r="Z1383" s="84"/>
      <c r="AA1383" s="84"/>
      <c r="AB1383" s="84"/>
    </row>
    <row r="1384">
      <c r="A1384" s="63">
        <v>94.0</v>
      </c>
      <c r="B1384" s="63">
        <v>151.0</v>
      </c>
      <c r="C1384" s="64" t="s">
        <v>330</v>
      </c>
      <c r="D1384" s="64" t="s">
        <v>331</v>
      </c>
      <c r="E1384" s="64" t="s">
        <v>332</v>
      </c>
      <c r="F1384" s="63">
        <v>2500.0</v>
      </c>
      <c r="G1384" s="63">
        <v>24.13</v>
      </c>
      <c r="H1384" s="66">
        <f t="shared" si="1"/>
        <v>84.23</v>
      </c>
      <c r="I1384" s="81">
        <f>IFERROR(__xludf.DUMMYFUNCTION("IF(G1384="""", """", ROUND(G1384 / MAX(FILTER($G$2:$G5067, $D$2:$D5067=$D1384)) * 100, 2))"),67.55)</f>
        <v>67.55</v>
      </c>
      <c r="J1384" s="81">
        <f>IFERROR(__xludf.DUMMYFUNCTION("IF(H1384="""", """", ROUND(H1384 / MAX(FILTER($H$2:$H5067, $D$2:$D5067=$D1384)) * 100, 2))"),26.35)</f>
        <v>26.35</v>
      </c>
      <c r="K1384" s="2"/>
      <c r="L1384" s="49"/>
      <c r="M1384" s="49"/>
      <c r="N1384" s="49"/>
      <c r="O1384" s="49" t="str">
        <f t="shared" si="2"/>
        <v/>
      </c>
      <c r="P1384" s="49" t="str">
        <f t="shared" si="3"/>
        <v/>
      </c>
      <c r="Q1384" s="84"/>
      <c r="R1384" s="84"/>
      <c r="S1384" s="84"/>
      <c r="T1384" s="84"/>
      <c r="U1384" s="84"/>
      <c r="V1384" s="84"/>
      <c r="W1384" s="84"/>
      <c r="X1384" s="84"/>
      <c r="Y1384" s="84"/>
      <c r="Z1384" s="84"/>
      <c r="AA1384" s="84"/>
      <c r="AB1384" s="84"/>
    </row>
    <row r="1385">
      <c r="A1385" s="69">
        <v>94.0</v>
      </c>
      <c r="B1385" s="69">
        <v>151.0</v>
      </c>
      <c r="C1385" s="86" t="s">
        <v>330</v>
      </c>
      <c r="D1385" s="86" t="s">
        <v>331</v>
      </c>
      <c r="E1385" s="86" t="s">
        <v>332</v>
      </c>
      <c r="F1385" s="69">
        <v>3000.0</v>
      </c>
      <c r="G1385" s="69">
        <v>25.63</v>
      </c>
      <c r="H1385" s="68">
        <f t="shared" si="1"/>
        <v>107.36</v>
      </c>
      <c r="I1385" s="81">
        <f>IFERROR(__xludf.DUMMYFUNCTION("IF(G1385="""", """", ROUND(G1385 / MAX(FILTER($G$2:$G5067, $D$2:$D5067=$D1385)) * 100, 2))"),71.75)</f>
        <v>71.75</v>
      </c>
      <c r="J1385" s="81">
        <f>IFERROR(__xludf.DUMMYFUNCTION("IF(H1385="""", """", ROUND(H1385 / MAX(FILTER($H$2:$H5067, $D$2:$D5067=$D1385)) * 100, 2))"),33.58)</f>
        <v>33.58</v>
      </c>
      <c r="K1385" s="2"/>
      <c r="L1385" s="48"/>
      <c r="M1385" s="48"/>
      <c r="N1385" s="48"/>
      <c r="O1385" s="48" t="str">
        <f t="shared" si="2"/>
        <v/>
      </c>
      <c r="P1385" s="48" t="str">
        <f t="shared" si="3"/>
        <v/>
      </c>
      <c r="Q1385" s="84"/>
      <c r="R1385" s="84"/>
      <c r="S1385" s="84"/>
      <c r="T1385" s="84"/>
      <c r="U1385" s="84"/>
      <c r="V1385" s="84"/>
      <c r="W1385" s="84"/>
      <c r="X1385" s="84"/>
      <c r="Y1385" s="84"/>
      <c r="Z1385" s="84"/>
      <c r="AA1385" s="84"/>
      <c r="AB1385" s="84"/>
    </row>
    <row r="1386">
      <c r="A1386" s="63">
        <v>94.0</v>
      </c>
      <c r="B1386" s="63">
        <v>151.0</v>
      </c>
      <c r="C1386" s="64" t="s">
        <v>330</v>
      </c>
      <c r="D1386" s="64" t="s">
        <v>331</v>
      </c>
      <c r="E1386" s="64" t="s">
        <v>332</v>
      </c>
      <c r="F1386" s="63">
        <v>3500.0</v>
      </c>
      <c r="G1386" s="63">
        <v>26.88</v>
      </c>
      <c r="H1386" s="66">
        <f t="shared" si="1"/>
        <v>131.36</v>
      </c>
      <c r="I1386" s="81">
        <f>IFERROR(__xludf.DUMMYFUNCTION("IF(G1386="""", """", ROUND(G1386 / MAX(FILTER($G$2:$G5067, $D$2:$D5067=$D1386)) * 100, 2))"),75.25)</f>
        <v>75.25</v>
      </c>
      <c r="J1386" s="81">
        <f>IFERROR(__xludf.DUMMYFUNCTION("IF(H1386="""", """", ROUND(H1386 / MAX(FILTER($H$2:$H5067, $D$2:$D5067=$D1386)) * 100, 2))"),41.09)</f>
        <v>41.09</v>
      </c>
      <c r="K1386" s="2"/>
      <c r="L1386" s="49"/>
      <c r="M1386" s="49"/>
      <c r="N1386" s="49"/>
      <c r="O1386" s="49" t="str">
        <f t="shared" si="2"/>
        <v/>
      </c>
      <c r="P1386" s="49" t="str">
        <f t="shared" si="3"/>
        <v/>
      </c>
      <c r="Q1386" s="84"/>
      <c r="R1386" s="84"/>
      <c r="S1386" s="84"/>
      <c r="T1386" s="84"/>
      <c r="U1386" s="84"/>
      <c r="V1386" s="84"/>
      <c r="W1386" s="84"/>
      <c r="X1386" s="84"/>
      <c r="Y1386" s="84"/>
      <c r="Z1386" s="84"/>
      <c r="AA1386" s="84"/>
      <c r="AB1386" s="84"/>
    </row>
    <row r="1387">
      <c r="A1387" s="69">
        <v>94.0</v>
      </c>
      <c r="B1387" s="69">
        <v>151.0</v>
      </c>
      <c r="C1387" s="86" t="s">
        <v>330</v>
      </c>
      <c r="D1387" s="86" t="s">
        <v>331</v>
      </c>
      <c r="E1387" s="86" t="s">
        <v>332</v>
      </c>
      <c r="F1387" s="69">
        <v>4000.0</v>
      </c>
      <c r="G1387" s="69">
        <v>29.0</v>
      </c>
      <c r="H1387" s="68">
        <f t="shared" si="1"/>
        <v>161.97</v>
      </c>
      <c r="I1387" s="81">
        <f>IFERROR(__xludf.DUMMYFUNCTION("IF(G1387="""", """", ROUND(G1387 / MAX(FILTER($G$2:$G5067, $D$2:$D5067=$D1387)) * 100, 2))"),81.19)</f>
        <v>81.19</v>
      </c>
      <c r="J1387" s="81">
        <f>IFERROR(__xludf.DUMMYFUNCTION("IF(H1387="""", """", ROUND(H1387 / MAX(FILTER($H$2:$H5067, $D$2:$D5067=$D1387)) * 100, 2))"),50.66)</f>
        <v>50.66</v>
      </c>
      <c r="K1387" s="2"/>
      <c r="L1387" s="48"/>
      <c r="M1387" s="48"/>
      <c r="N1387" s="48"/>
      <c r="O1387" s="48" t="str">
        <f t="shared" si="2"/>
        <v/>
      </c>
      <c r="P1387" s="48" t="str">
        <f t="shared" si="3"/>
        <v/>
      </c>
      <c r="Q1387" s="84"/>
      <c r="R1387" s="84"/>
      <c r="S1387" s="84"/>
      <c r="T1387" s="84"/>
      <c r="U1387" s="84"/>
      <c r="V1387" s="84"/>
      <c r="W1387" s="84"/>
      <c r="X1387" s="84"/>
      <c r="Y1387" s="84"/>
      <c r="Z1387" s="84"/>
      <c r="AA1387" s="84"/>
      <c r="AB1387" s="84"/>
    </row>
    <row r="1388">
      <c r="A1388" s="63">
        <v>94.0</v>
      </c>
      <c r="B1388" s="63">
        <v>151.0</v>
      </c>
      <c r="C1388" s="64" t="s">
        <v>330</v>
      </c>
      <c r="D1388" s="64" t="s">
        <v>331</v>
      </c>
      <c r="E1388" s="64" t="s">
        <v>332</v>
      </c>
      <c r="F1388" s="63">
        <v>4500.0</v>
      </c>
      <c r="G1388" s="63">
        <v>31.63</v>
      </c>
      <c r="H1388" s="66">
        <f t="shared" si="1"/>
        <v>198.74</v>
      </c>
      <c r="I1388" s="81">
        <f>IFERROR(__xludf.DUMMYFUNCTION("IF(G1388="""", """", ROUND(G1388 / MAX(FILTER($G$2:$G5067, $D$2:$D5067=$D1388)) * 100, 2))"),88.55)</f>
        <v>88.55</v>
      </c>
      <c r="J1388" s="81">
        <f>IFERROR(__xludf.DUMMYFUNCTION("IF(H1388="""", """", ROUND(H1388 / MAX(FILTER($H$2:$H5067, $D$2:$D5067=$D1388)) * 100, 2))"),62.16)</f>
        <v>62.16</v>
      </c>
      <c r="K1388" s="2"/>
      <c r="L1388" s="49"/>
      <c r="M1388" s="49"/>
      <c r="N1388" s="49"/>
      <c r="O1388" s="49" t="str">
        <f t="shared" si="2"/>
        <v/>
      </c>
      <c r="P1388" s="49" t="str">
        <f t="shared" si="3"/>
        <v/>
      </c>
      <c r="Q1388" s="84"/>
      <c r="R1388" s="84"/>
      <c r="S1388" s="84"/>
      <c r="T1388" s="84"/>
      <c r="U1388" s="84"/>
      <c r="V1388" s="84"/>
      <c r="W1388" s="84"/>
      <c r="X1388" s="84"/>
      <c r="Y1388" s="84"/>
      <c r="Z1388" s="84"/>
      <c r="AA1388" s="84"/>
      <c r="AB1388" s="84"/>
    </row>
    <row r="1389">
      <c r="A1389" s="69">
        <v>94.0</v>
      </c>
      <c r="B1389" s="69">
        <v>151.0</v>
      </c>
      <c r="C1389" s="86" t="s">
        <v>330</v>
      </c>
      <c r="D1389" s="86" t="s">
        <v>331</v>
      </c>
      <c r="E1389" s="86" t="s">
        <v>332</v>
      </c>
      <c r="F1389" s="69">
        <v>5200.0</v>
      </c>
      <c r="G1389" s="69">
        <v>34.75</v>
      </c>
      <c r="H1389" s="68">
        <f t="shared" si="1"/>
        <v>252.3</v>
      </c>
      <c r="I1389" s="81">
        <f>IFERROR(__xludf.DUMMYFUNCTION("IF(G1389="""", """", ROUND(G1389 / MAX(FILTER($G$2:$G5067, $D$2:$D5067=$D1389)) * 100, 2))"),97.28)</f>
        <v>97.28</v>
      </c>
      <c r="J1389" s="81">
        <f>IFERROR(__xludf.DUMMYFUNCTION("IF(H1389="""", """", ROUND(H1389 / MAX(FILTER($H$2:$H5067, $D$2:$D5067=$D1389)) * 100, 2))"),78.92)</f>
        <v>78.92</v>
      </c>
      <c r="K1389" s="2"/>
      <c r="L1389" s="48"/>
      <c r="M1389" s="48"/>
      <c r="N1389" s="48"/>
      <c r="O1389" s="48" t="str">
        <f t="shared" si="2"/>
        <v/>
      </c>
      <c r="P1389" s="48" t="str">
        <f t="shared" si="3"/>
        <v/>
      </c>
      <c r="Q1389" s="84"/>
      <c r="R1389" s="84"/>
      <c r="S1389" s="84"/>
      <c r="T1389" s="84"/>
      <c r="U1389" s="84"/>
      <c r="V1389" s="84"/>
      <c r="W1389" s="84"/>
      <c r="X1389" s="84"/>
      <c r="Y1389" s="84"/>
      <c r="Z1389" s="84"/>
      <c r="AA1389" s="84"/>
      <c r="AB1389" s="84"/>
    </row>
    <row r="1390">
      <c r="A1390" s="63">
        <v>94.0</v>
      </c>
      <c r="B1390" s="63">
        <v>151.0</v>
      </c>
      <c r="C1390" s="64" t="s">
        <v>330</v>
      </c>
      <c r="D1390" s="64" t="s">
        <v>331</v>
      </c>
      <c r="E1390" s="64" t="s">
        <v>332</v>
      </c>
      <c r="F1390" s="63">
        <v>5750.0</v>
      </c>
      <c r="G1390" s="63">
        <v>35.72</v>
      </c>
      <c r="H1390" s="66">
        <f t="shared" si="1"/>
        <v>286.78</v>
      </c>
      <c r="I1390" s="81">
        <f>IFERROR(__xludf.DUMMYFUNCTION("IF(G1390="""", """", ROUND(G1390 / MAX(FILTER($G$2:$G5067, $D$2:$D5067=$D1390)) * 100, 2))"),100.0)</f>
        <v>100</v>
      </c>
      <c r="J1390" s="81">
        <f>IFERROR(__xludf.DUMMYFUNCTION("IF(H1390="""", """", ROUND(H1390 / MAX(FILTER($H$2:$H5067, $D$2:$D5067=$D1390)) * 100, 2))"),89.7)</f>
        <v>89.7</v>
      </c>
      <c r="K1390" s="2"/>
      <c r="L1390" s="49"/>
      <c r="M1390" s="49"/>
      <c r="N1390" s="49"/>
      <c r="O1390" s="49" t="str">
        <f t="shared" si="2"/>
        <v/>
      </c>
      <c r="P1390" s="49" t="str">
        <f t="shared" si="3"/>
        <v/>
      </c>
      <c r="Q1390" s="84"/>
      <c r="R1390" s="84"/>
      <c r="S1390" s="84"/>
      <c r="T1390" s="84"/>
      <c r="U1390" s="84"/>
      <c r="V1390" s="84"/>
      <c r="W1390" s="84"/>
      <c r="X1390" s="84"/>
      <c r="Y1390" s="84"/>
      <c r="Z1390" s="84"/>
      <c r="AA1390" s="84"/>
      <c r="AB1390" s="84"/>
    </row>
    <row r="1391">
      <c r="A1391" s="69">
        <v>94.0</v>
      </c>
      <c r="B1391" s="69">
        <v>151.0</v>
      </c>
      <c r="C1391" s="86" t="s">
        <v>330</v>
      </c>
      <c r="D1391" s="86" t="s">
        <v>331</v>
      </c>
      <c r="E1391" s="86" t="s">
        <v>332</v>
      </c>
      <c r="F1391" s="69">
        <v>6000.0</v>
      </c>
      <c r="G1391" s="69">
        <v>35.63</v>
      </c>
      <c r="H1391" s="68">
        <f t="shared" si="1"/>
        <v>298.49</v>
      </c>
      <c r="I1391" s="81">
        <f>IFERROR(__xludf.DUMMYFUNCTION("IF(G1391="""", """", ROUND(G1391 / MAX(FILTER($G$2:$G5067, $D$2:$D5067=$D1391)) * 100, 2))"),99.75)</f>
        <v>99.75</v>
      </c>
      <c r="J1391" s="81">
        <f>IFERROR(__xludf.DUMMYFUNCTION("IF(H1391="""", """", ROUND(H1391 / MAX(FILTER($H$2:$H5067, $D$2:$D5067=$D1391)) * 100, 2))"),93.36)</f>
        <v>93.36</v>
      </c>
      <c r="K1391" s="2"/>
      <c r="L1391" s="48"/>
      <c r="M1391" s="48"/>
      <c r="N1391" s="48"/>
      <c r="O1391" s="48" t="str">
        <f t="shared" si="2"/>
        <v/>
      </c>
      <c r="P1391" s="48" t="str">
        <f t="shared" si="3"/>
        <v/>
      </c>
      <c r="Q1391" s="84"/>
      <c r="R1391" s="84"/>
      <c r="S1391" s="84"/>
      <c r="T1391" s="84"/>
      <c r="U1391" s="84"/>
      <c r="V1391" s="84"/>
      <c r="W1391" s="84"/>
      <c r="X1391" s="84"/>
      <c r="Y1391" s="84"/>
      <c r="Z1391" s="84"/>
      <c r="AA1391" s="84"/>
      <c r="AB1391" s="84"/>
    </row>
    <row r="1392">
      <c r="A1392" s="63">
        <v>94.0</v>
      </c>
      <c r="B1392" s="63">
        <v>151.0</v>
      </c>
      <c r="C1392" s="64" t="s">
        <v>330</v>
      </c>
      <c r="D1392" s="64" t="s">
        <v>331</v>
      </c>
      <c r="E1392" s="64" t="s">
        <v>332</v>
      </c>
      <c r="F1392" s="63">
        <v>6500.0</v>
      </c>
      <c r="G1392" s="63">
        <v>34.63</v>
      </c>
      <c r="H1392" s="66">
        <f t="shared" si="1"/>
        <v>314.29</v>
      </c>
      <c r="I1392" s="81">
        <f>IFERROR(__xludf.DUMMYFUNCTION("IF(G1392="""", """", ROUND(G1392 / MAX(FILTER($G$2:$G5067, $D$2:$D5067=$D1392)) * 100, 2))"),96.95)</f>
        <v>96.95</v>
      </c>
      <c r="J1392" s="81">
        <f>IFERROR(__xludf.DUMMYFUNCTION("IF(H1392="""", """", ROUND(H1392 / MAX(FILTER($H$2:$H5067, $D$2:$D5067=$D1392)) * 100, 2))"),98.3)</f>
        <v>98.3</v>
      </c>
      <c r="K1392" s="2"/>
      <c r="L1392" s="49"/>
      <c r="M1392" s="49"/>
      <c r="N1392" s="49"/>
      <c r="O1392" s="49" t="str">
        <f t="shared" si="2"/>
        <v/>
      </c>
      <c r="P1392" s="49" t="str">
        <f t="shared" si="3"/>
        <v/>
      </c>
      <c r="Q1392" s="84"/>
      <c r="R1392" s="84"/>
      <c r="S1392" s="84"/>
      <c r="T1392" s="84"/>
      <c r="U1392" s="84"/>
      <c r="V1392" s="84"/>
      <c r="W1392" s="84"/>
      <c r="X1392" s="84"/>
      <c r="Y1392" s="84"/>
      <c r="Z1392" s="84"/>
      <c r="AA1392" s="84"/>
      <c r="AB1392" s="84"/>
    </row>
    <row r="1393">
      <c r="A1393" s="69">
        <v>94.0</v>
      </c>
      <c r="B1393" s="69">
        <v>151.0</v>
      </c>
      <c r="C1393" s="86" t="s">
        <v>330</v>
      </c>
      <c r="D1393" s="86" t="s">
        <v>331</v>
      </c>
      <c r="E1393" s="86" t="s">
        <v>332</v>
      </c>
      <c r="F1393" s="69">
        <v>7000.0</v>
      </c>
      <c r="G1393" s="69">
        <v>32.63</v>
      </c>
      <c r="H1393" s="68">
        <f t="shared" si="1"/>
        <v>318.92</v>
      </c>
      <c r="I1393" s="81">
        <f>IFERROR(__xludf.DUMMYFUNCTION("IF(G1393="""", """", ROUND(G1393 / MAX(FILTER($G$2:$G5067, $D$2:$D5067=$D1393)) * 100, 2))"),91.35)</f>
        <v>91.35</v>
      </c>
      <c r="J1393" s="81">
        <f>IFERROR(__xludf.DUMMYFUNCTION("IF(H1393="""", """", ROUND(H1393 / MAX(FILTER($H$2:$H5067, $D$2:$D5067=$D1393)) * 100, 2))"),99.75)</f>
        <v>99.75</v>
      </c>
      <c r="K1393" s="2"/>
      <c r="L1393" s="48"/>
      <c r="M1393" s="48"/>
      <c r="N1393" s="48"/>
      <c r="O1393" s="48" t="str">
        <f t="shared" si="2"/>
        <v/>
      </c>
      <c r="P1393" s="48" t="str">
        <f t="shared" si="3"/>
        <v/>
      </c>
      <c r="Q1393" s="84"/>
      <c r="R1393" s="84"/>
      <c r="S1393" s="84"/>
      <c r="T1393" s="84"/>
      <c r="U1393" s="84"/>
      <c r="V1393" s="84"/>
      <c r="W1393" s="84"/>
      <c r="X1393" s="84"/>
      <c r="Y1393" s="84"/>
      <c r="Z1393" s="84"/>
      <c r="AA1393" s="84"/>
      <c r="AB1393" s="84"/>
    </row>
    <row r="1394">
      <c r="A1394" s="63">
        <v>94.0</v>
      </c>
      <c r="B1394" s="63">
        <v>151.0</v>
      </c>
      <c r="C1394" s="64" t="s">
        <v>330</v>
      </c>
      <c r="D1394" s="64" t="s">
        <v>331</v>
      </c>
      <c r="E1394" s="64" t="s">
        <v>332</v>
      </c>
      <c r="F1394" s="63">
        <v>7500.0</v>
      </c>
      <c r="G1394" s="63">
        <v>30.53</v>
      </c>
      <c r="H1394" s="66">
        <f t="shared" si="1"/>
        <v>319.71</v>
      </c>
      <c r="I1394" s="81">
        <f>IFERROR(__xludf.DUMMYFUNCTION("IF(G1394="""", """", ROUND(G1394 / MAX(FILTER($G$2:$G5067, $D$2:$D5067=$D1394)) * 100, 2))"),85.47)</f>
        <v>85.47</v>
      </c>
      <c r="J1394" s="81">
        <f>IFERROR(__xludf.DUMMYFUNCTION("IF(H1394="""", """", ROUND(H1394 / MAX(FILTER($H$2:$H5067, $D$2:$D5067=$D1394)) * 100, 2))"),100.0)</f>
        <v>100</v>
      </c>
      <c r="K1394" s="2"/>
      <c r="L1394" s="49"/>
      <c r="M1394" s="49"/>
      <c r="N1394" s="49"/>
      <c r="O1394" s="49" t="str">
        <f t="shared" si="2"/>
        <v/>
      </c>
      <c r="P1394" s="49" t="str">
        <f t="shared" si="3"/>
        <v/>
      </c>
      <c r="Q1394" s="84"/>
      <c r="R1394" s="84"/>
      <c r="S1394" s="84"/>
      <c r="T1394" s="84"/>
      <c r="U1394" s="84"/>
      <c r="V1394" s="84"/>
      <c r="W1394" s="84"/>
      <c r="X1394" s="84"/>
      <c r="Y1394" s="84"/>
      <c r="Z1394" s="84"/>
      <c r="AA1394" s="84"/>
      <c r="AB1394" s="84"/>
    </row>
    <row r="1395">
      <c r="A1395" s="69">
        <v>94.0</v>
      </c>
      <c r="B1395" s="69">
        <v>151.0</v>
      </c>
      <c r="C1395" s="86" t="s">
        <v>330</v>
      </c>
      <c r="D1395" s="86" t="s">
        <v>331</v>
      </c>
      <c r="E1395" s="86" t="s">
        <v>332</v>
      </c>
      <c r="F1395" s="69">
        <v>8000.0</v>
      </c>
      <c r="G1395" s="69">
        <v>25.0</v>
      </c>
      <c r="H1395" s="68">
        <f t="shared" si="1"/>
        <v>279.25</v>
      </c>
      <c r="I1395" s="81">
        <f>IFERROR(__xludf.DUMMYFUNCTION("IF(G1395="""", """", ROUND(G1395 / MAX(FILTER($G$2:$G5067, $D$2:$D5067=$D1395)) * 100, 2))"),69.99)</f>
        <v>69.99</v>
      </c>
      <c r="J1395" s="81">
        <f>IFERROR(__xludf.DUMMYFUNCTION("IF(H1395="""", """", ROUND(H1395 / MAX(FILTER($H$2:$H5067, $D$2:$D5067=$D1395)) * 100, 2))"),87.34)</f>
        <v>87.34</v>
      </c>
      <c r="K1395" s="2"/>
      <c r="L1395" s="48"/>
      <c r="M1395" s="48"/>
      <c r="N1395" s="48"/>
      <c r="O1395" s="48" t="str">
        <f t="shared" si="2"/>
        <v/>
      </c>
      <c r="P1395" s="48" t="str">
        <f t="shared" si="3"/>
        <v/>
      </c>
      <c r="Q1395" s="84"/>
      <c r="R1395" s="84"/>
      <c r="S1395" s="84"/>
      <c r="T1395" s="84"/>
      <c r="U1395" s="84"/>
      <c r="V1395" s="84"/>
      <c r="W1395" s="84"/>
      <c r="X1395" s="84"/>
      <c r="Y1395" s="84"/>
      <c r="Z1395" s="84"/>
      <c r="AA1395" s="84"/>
      <c r="AB1395" s="84"/>
    </row>
    <row r="1396">
      <c r="A1396" s="63">
        <v>95.0</v>
      </c>
      <c r="B1396" s="63">
        <v>152.0</v>
      </c>
      <c r="C1396" s="64" t="s">
        <v>333</v>
      </c>
      <c r="D1396" s="64" t="s">
        <v>334</v>
      </c>
      <c r="E1396" s="64" t="s">
        <v>335</v>
      </c>
      <c r="F1396" s="63">
        <v>500.0</v>
      </c>
      <c r="G1396" s="63">
        <v>4.05</v>
      </c>
      <c r="H1396" s="66">
        <f t="shared" si="1"/>
        <v>2.83</v>
      </c>
      <c r="I1396" s="81">
        <f>IFERROR(__xludf.DUMMYFUNCTION("IF(G1396="""", """", ROUND(G1396 / MAX(FILTER($G$2:$G5067, $D$2:$D5067=$D1396)) * 100, 2))"),63.28)</f>
        <v>63.28</v>
      </c>
      <c r="J1396" s="81">
        <f>IFERROR(__xludf.DUMMYFUNCTION("IF(H1396="""", """", ROUND(H1396 / MAX(FILTER($H$2:$H5067, $D$2:$D5067=$D1396)) * 100, 2))"),5.2)</f>
        <v>5.2</v>
      </c>
      <c r="K1396" s="2"/>
      <c r="L1396" s="49"/>
      <c r="M1396" s="49"/>
      <c r="N1396" s="49"/>
      <c r="O1396" s="49" t="str">
        <f t="shared" si="2"/>
        <v/>
      </c>
      <c r="P1396" s="49" t="str">
        <f t="shared" si="3"/>
        <v/>
      </c>
      <c r="Q1396" s="84"/>
      <c r="R1396" s="84"/>
      <c r="S1396" s="84"/>
      <c r="T1396" s="84"/>
      <c r="U1396" s="84"/>
      <c r="V1396" s="84"/>
      <c r="W1396" s="84"/>
      <c r="X1396" s="84"/>
      <c r="Y1396" s="84"/>
      <c r="Z1396" s="84"/>
      <c r="AA1396" s="84"/>
      <c r="AB1396" s="84"/>
    </row>
    <row r="1397">
      <c r="A1397" s="69">
        <v>95.0</v>
      </c>
      <c r="B1397" s="69">
        <v>152.0</v>
      </c>
      <c r="C1397" s="86" t="s">
        <v>333</v>
      </c>
      <c r="D1397" s="86" t="s">
        <v>334</v>
      </c>
      <c r="E1397" s="86" t="s">
        <v>335</v>
      </c>
      <c r="F1397" s="69">
        <v>1000.0</v>
      </c>
      <c r="G1397" s="69">
        <v>4.8</v>
      </c>
      <c r="H1397" s="68">
        <f t="shared" si="1"/>
        <v>6.7</v>
      </c>
      <c r="I1397" s="81">
        <f>IFERROR(__xludf.DUMMYFUNCTION("IF(G1397="""", """", ROUND(G1397 / MAX(FILTER($G$2:$G5067, $D$2:$D5067=$D1397)) * 100, 2))"),75.0)</f>
        <v>75</v>
      </c>
      <c r="J1397" s="81">
        <f>IFERROR(__xludf.DUMMYFUNCTION("IF(H1397="""", """", ROUND(H1397 / MAX(FILTER($H$2:$H5067, $D$2:$D5067=$D1397)) * 100, 2))"),12.3)</f>
        <v>12.3</v>
      </c>
      <c r="K1397" s="2"/>
      <c r="L1397" s="48"/>
      <c r="M1397" s="48"/>
      <c r="N1397" s="48"/>
      <c r="O1397" s="48" t="str">
        <f t="shared" si="2"/>
        <v/>
      </c>
      <c r="P1397" s="48" t="str">
        <f t="shared" si="3"/>
        <v/>
      </c>
      <c r="Q1397" s="84"/>
      <c r="R1397" s="84"/>
      <c r="S1397" s="84"/>
      <c r="T1397" s="84"/>
      <c r="U1397" s="84"/>
      <c r="V1397" s="84"/>
      <c r="W1397" s="84"/>
      <c r="X1397" s="84"/>
      <c r="Y1397" s="84"/>
      <c r="Z1397" s="84"/>
      <c r="AA1397" s="84"/>
      <c r="AB1397" s="84"/>
    </row>
    <row r="1398">
      <c r="A1398" s="63">
        <v>95.0</v>
      </c>
      <c r="B1398" s="63">
        <v>152.0</v>
      </c>
      <c r="C1398" s="64" t="s">
        <v>333</v>
      </c>
      <c r="D1398" s="64" t="s">
        <v>334</v>
      </c>
      <c r="E1398" s="64" t="s">
        <v>335</v>
      </c>
      <c r="F1398" s="63">
        <v>1500.0</v>
      </c>
      <c r="G1398" s="63">
        <v>5.4</v>
      </c>
      <c r="H1398" s="66">
        <f t="shared" si="1"/>
        <v>11.31</v>
      </c>
      <c r="I1398" s="81">
        <f>IFERROR(__xludf.DUMMYFUNCTION("IF(G1398="""", """", ROUND(G1398 / MAX(FILTER($G$2:$G5067, $D$2:$D5067=$D1398)) * 100, 2))"),84.38)</f>
        <v>84.38</v>
      </c>
      <c r="J1398" s="81">
        <f>IFERROR(__xludf.DUMMYFUNCTION("IF(H1398="""", """", ROUND(H1398 / MAX(FILTER($H$2:$H5067, $D$2:$D5067=$D1398)) * 100, 2))"),20.77)</f>
        <v>20.77</v>
      </c>
      <c r="K1398" s="2"/>
      <c r="L1398" s="49"/>
      <c r="M1398" s="49"/>
      <c r="N1398" s="49"/>
      <c r="O1398" s="49" t="str">
        <f t="shared" si="2"/>
        <v/>
      </c>
      <c r="P1398" s="49" t="str">
        <f t="shared" si="3"/>
        <v/>
      </c>
      <c r="Q1398" s="84"/>
      <c r="R1398" s="84"/>
      <c r="S1398" s="84"/>
      <c r="T1398" s="84"/>
      <c r="U1398" s="84"/>
      <c r="V1398" s="84"/>
      <c r="W1398" s="84"/>
      <c r="X1398" s="84"/>
      <c r="Y1398" s="84"/>
      <c r="Z1398" s="84"/>
      <c r="AA1398" s="84"/>
      <c r="AB1398" s="84"/>
    </row>
    <row r="1399">
      <c r="A1399" s="69">
        <v>95.0</v>
      </c>
      <c r="B1399" s="69">
        <v>152.0</v>
      </c>
      <c r="C1399" s="86" t="s">
        <v>333</v>
      </c>
      <c r="D1399" s="86" t="s">
        <v>334</v>
      </c>
      <c r="E1399" s="86" t="s">
        <v>335</v>
      </c>
      <c r="F1399" s="69">
        <v>2000.0</v>
      </c>
      <c r="G1399" s="69">
        <v>5.83</v>
      </c>
      <c r="H1399" s="68">
        <f t="shared" si="1"/>
        <v>16.28</v>
      </c>
      <c r="I1399" s="81">
        <f>IFERROR(__xludf.DUMMYFUNCTION("IF(G1399="""", """", ROUND(G1399 / MAX(FILTER($G$2:$G5067, $D$2:$D5067=$D1399)) * 100, 2))"),91.09)</f>
        <v>91.09</v>
      </c>
      <c r="J1399" s="81">
        <f>IFERROR(__xludf.DUMMYFUNCTION("IF(H1399="""", """", ROUND(H1399 / MAX(FILTER($H$2:$H5067, $D$2:$D5067=$D1399)) * 100, 2))"),29.9)</f>
        <v>29.9</v>
      </c>
      <c r="K1399" s="2"/>
      <c r="L1399" s="48"/>
      <c r="M1399" s="48"/>
      <c r="N1399" s="48"/>
      <c r="O1399" s="48" t="str">
        <f t="shared" si="2"/>
        <v/>
      </c>
      <c r="P1399" s="48" t="str">
        <f t="shared" si="3"/>
        <v/>
      </c>
      <c r="Q1399" s="84"/>
      <c r="R1399" s="84"/>
      <c r="S1399" s="84"/>
      <c r="T1399" s="84"/>
      <c r="U1399" s="84"/>
      <c r="V1399" s="84"/>
      <c r="W1399" s="84"/>
      <c r="X1399" s="84"/>
      <c r="Y1399" s="84"/>
      <c r="Z1399" s="84"/>
      <c r="AA1399" s="84"/>
      <c r="AB1399" s="84"/>
    </row>
    <row r="1400">
      <c r="A1400" s="63">
        <v>95.0</v>
      </c>
      <c r="B1400" s="63">
        <v>152.0</v>
      </c>
      <c r="C1400" s="64" t="s">
        <v>333</v>
      </c>
      <c r="D1400" s="64" t="s">
        <v>334</v>
      </c>
      <c r="E1400" s="64" t="s">
        <v>335</v>
      </c>
      <c r="F1400" s="63">
        <v>2500.0</v>
      </c>
      <c r="G1400" s="63">
        <v>6.13</v>
      </c>
      <c r="H1400" s="66">
        <f t="shared" si="1"/>
        <v>21.4</v>
      </c>
      <c r="I1400" s="81">
        <f>IFERROR(__xludf.DUMMYFUNCTION("IF(G1400="""", """", ROUND(G1400 / MAX(FILTER($G$2:$G5067, $D$2:$D5067=$D1400)) * 100, 2))"),95.78)</f>
        <v>95.78</v>
      </c>
      <c r="J1400" s="81">
        <f>IFERROR(__xludf.DUMMYFUNCTION("IF(H1400="""", """", ROUND(H1400 / MAX(FILTER($H$2:$H5067, $D$2:$D5067=$D1400)) * 100, 2))"),39.3)</f>
        <v>39.3</v>
      </c>
      <c r="K1400" s="2"/>
      <c r="L1400" s="49"/>
      <c r="M1400" s="49"/>
      <c r="N1400" s="49"/>
      <c r="O1400" s="49" t="str">
        <f t="shared" si="2"/>
        <v/>
      </c>
      <c r="P1400" s="49" t="str">
        <f t="shared" si="3"/>
        <v/>
      </c>
      <c r="Q1400" s="84"/>
      <c r="R1400" s="84"/>
      <c r="S1400" s="84"/>
      <c r="T1400" s="84"/>
      <c r="U1400" s="84"/>
      <c r="V1400" s="84"/>
      <c r="W1400" s="84"/>
      <c r="X1400" s="84"/>
      <c r="Y1400" s="84"/>
      <c r="Z1400" s="84"/>
      <c r="AA1400" s="84"/>
      <c r="AB1400" s="84"/>
    </row>
    <row r="1401">
      <c r="A1401" s="69">
        <v>95.0</v>
      </c>
      <c r="B1401" s="69">
        <v>152.0</v>
      </c>
      <c r="C1401" s="86" t="s">
        <v>333</v>
      </c>
      <c r="D1401" s="86" t="s">
        <v>334</v>
      </c>
      <c r="E1401" s="86" t="s">
        <v>335</v>
      </c>
      <c r="F1401" s="69">
        <v>3000.0</v>
      </c>
      <c r="G1401" s="69">
        <v>6.33</v>
      </c>
      <c r="H1401" s="68">
        <f t="shared" si="1"/>
        <v>26.51</v>
      </c>
      <c r="I1401" s="81">
        <f>IFERROR(__xludf.DUMMYFUNCTION("IF(G1401="""", """", ROUND(G1401 / MAX(FILTER($G$2:$G5067, $D$2:$D5067=$D1401)) * 100, 2))"),98.91)</f>
        <v>98.91</v>
      </c>
      <c r="J1401" s="81">
        <f>IFERROR(__xludf.DUMMYFUNCTION("IF(H1401="""", """", ROUND(H1401 / MAX(FILTER($H$2:$H5067, $D$2:$D5067=$D1401)) * 100, 2))"),48.69)</f>
        <v>48.69</v>
      </c>
      <c r="K1401" s="2"/>
      <c r="L1401" s="48"/>
      <c r="M1401" s="48"/>
      <c r="N1401" s="48"/>
      <c r="O1401" s="48" t="str">
        <f t="shared" si="2"/>
        <v/>
      </c>
      <c r="P1401" s="48" t="str">
        <f t="shared" si="3"/>
        <v/>
      </c>
      <c r="Q1401" s="84"/>
      <c r="R1401" s="84"/>
      <c r="S1401" s="84"/>
      <c r="T1401" s="84"/>
      <c r="U1401" s="84"/>
      <c r="V1401" s="84"/>
      <c r="W1401" s="84"/>
      <c r="X1401" s="84"/>
      <c r="Y1401" s="84"/>
      <c r="Z1401" s="84"/>
      <c r="AA1401" s="84"/>
      <c r="AB1401" s="84"/>
    </row>
    <row r="1402">
      <c r="A1402" s="63">
        <v>95.0</v>
      </c>
      <c r="B1402" s="63">
        <v>152.0</v>
      </c>
      <c r="C1402" s="64" t="s">
        <v>333</v>
      </c>
      <c r="D1402" s="64" t="s">
        <v>334</v>
      </c>
      <c r="E1402" s="64" t="s">
        <v>335</v>
      </c>
      <c r="F1402" s="63">
        <v>3500.0</v>
      </c>
      <c r="G1402" s="63">
        <v>6.4</v>
      </c>
      <c r="H1402" s="66">
        <f t="shared" si="1"/>
        <v>31.28</v>
      </c>
      <c r="I1402" s="81">
        <f>IFERROR(__xludf.DUMMYFUNCTION("IF(G1402="""", """", ROUND(G1402 / MAX(FILTER($G$2:$G5067, $D$2:$D5067=$D1402)) * 100, 2))"),100.0)</f>
        <v>100</v>
      </c>
      <c r="J1402" s="81">
        <f>IFERROR(__xludf.DUMMYFUNCTION("IF(H1402="""", """", ROUND(H1402 / MAX(FILTER($H$2:$H5067, $D$2:$D5067=$D1402)) * 100, 2))"),57.45)</f>
        <v>57.45</v>
      </c>
      <c r="K1402" s="2"/>
      <c r="L1402" s="49"/>
      <c r="M1402" s="49"/>
      <c r="N1402" s="49"/>
      <c r="O1402" s="49" t="str">
        <f t="shared" si="2"/>
        <v/>
      </c>
      <c r="P1402" s="49" t="str">
        <f t="shared" si="3"/>
        <v/>
      </c>
      <c r="Q1402" s="84"/>
      <c r="R1402" s="84"/>
      <c r="S1402" s="84"/>
      <c r="T1402" s="84"/>
      <c r="U1402" s="84"/>
      <c r="V1402" s="84"/>
      <c r="W1402" s="84"/>
      <c r="X1402" s="84"/>
      <c r="Y1402" s="84"/>
      <c r="Z1402" s="84"/>
      <c r="AA1402" s="84"/>
      <c r="AB1402" s="84"/>
    </row>
    <row r="1403">
      <c r="A1403" s="69">
        <v>95.0</v>
      </c>
      <c r="B1403" s="69">
        <v>152.0</v>
      </c>
      <c r="C1403" s="86" t="s">
        <v>333</v>
      </c>
      <c r="D1403" s="86" t="s">
        <v>334</v>
      </c>
      <c r="E1403" s="86" t="s">
        <v>335</v>
      </c>
      <c r="F1403" s="69">
        <v>4000.0</v>
      </c>
      <c r="G1403" s="69">
        <v>6.4</v>
      </c>
      <c r="H1403" s="68">
        <f t="shared" si="1"/>
        <v>35.74</v>
      </c>
      <c r="I1403" s="81">
        <f>IFERROR(__xludf.DUMMYFUNCTION("IF(G1403="""", """", ROUND(G1403 / MAX(FILTER($G$2:$G5067, $D$2:$D5067=$D1403)) * 100, 2))"),100.0)</f>
        <v>100</v>
      </c>
      <c r="J1403" s="81">
        <f>IFERROR(__xludf.DUMMYFUNCTION("IF(H1403="""", """", ROUND(H1403 / MAX(FILTER($H$2:$H5067, $D$2:$D5067=$D1403)) * 100, 2))"),65.64)</f>
        <v>65.64</v>
      </c>
      <c r="K1403" s="2"/>
      <c r="L1403" s="48"/>
      <c r="M1403" s="48"/>
      <c r="N1403" s="48"/>
      <c r="O1403" s="48" t="str">
        <f t="shared" si="2"/>
        <v/>
      </c>
      <c r="P1403" s="48" t="str">
        <f t="shared" si="3"/>
        <v/>
      </c>
      <c r="Q1403" s="84"/>
      <c r="R1403" s="84"/>
      <c r="S1403" s="84"/>
      <c r="T1403" s="84"/>
      <c r="U1403" s="84"/>
      <c r="V1403" s="84"/>
      <c r="W1403" s="84"/>
      <c r="X1403" s="84"/>
      <c r="Y1403" s="84"/>
      <c r="Z1403" s="84"/>
      <c r="AA1403" s="84"/>
      <c r="AB1403" s="84"/>
    </row>
    <row r="1404">
      <c r="A1404" s="63">
        <v>95.0</v>
      </c>
      <c r="B1404" s="63">
        <v>152.0</v>
      </c>
      <c r="C1404" s="64" t="s">
        <v>333</v>
      </c>
      <c r="D1404" s="64" t="s">
        <v>334</v>
      </c>
      <c r="E1404" s="64" t="s">
        <v>335</v>
      </c>
      <c r="F1404" s="63">
        <v>4500.0</v>
      </c>
      <c r="G1404" s="63">
        <v>6.38</v>
      </c>
      <c r="H1404" s="66">
        <f t="shared" si="1"/>
        <v>40.09</v>
      </c>
      <c r="I1404" s="81">
        <f>IFERROR(__xludf.DUMMYFUNCTION("IF(G1404="""", """", ROUND(G1404 / MAX(FILTER($G$2:$G5067, $D$2:$D5067=$D1404)) * 100, 2))"),99.69)</f>
        <v>99.69</v>
      </c>
      <c r="J1404" s="81">
        <f>IFERROR(__xludf.DUMMYFUNCTION("IF(H1404="""", """", ROUND(H1404 / MAX(FILTER($H$2:$H5067, $D$2:$D5067=$D1404)) * 100, 2))"),73.63)</f>
        <v>73.63</v>
      </c>
      <c r="K1404" s="2"/>
      <c r="L1404" s="49"/>
      <c r="M1404" s="49"/>
      <c r="N1404" s="49"/>
      <c r="O1404" s="49" t="str">
        <f t="shared" si="2"/>
        <v/>
      </c>
      <c r="P1404" s="49" t="str">
        <f t="shared" si="3"/>
        <v/>
      </c>
      <c r="Q1404" s="84"/>
      <c r="R1404" s="84"/>
      <c r="S1404" s="84"/>
      <c r="T1404" s="84"/>
      <c r="U1404" s="84"/>
      <c r="V1404" s="84"/>
      <c r="W1404" s="84"/>
      <c r="X1404" s="84"/>
      <c r="Y1404" s="84"/>
      <c r="Z1404" s="84"/>
      <c r="AA1404" s="84"/>
      <c r="AB1404" s="84"/>
    </row>
    <row r="1405">
      <c r="A1405" s="69">
        <v>95.0</v>
      </c>
      <c r="B1405" s="69">
        <v>152.0</v>
      </c>
      <c r="C1405" s="86" t="s">
        <v>333</v>
      </c>
      <c r="D1405" s="86" t="s">
        <v>334</v>
      </c>
      <c r="E1405" s="86" t="s">
        <v>335</v>
      </c>
      <c r="F1405" s="69">
        <v>5000.0</v>
      </c>
      <c r="G1405" s="69">
        <v>6.33</v>
      </c>
      <c r="H1405" s="68">
        <f t="shared" si="1"/>
        <v>44.19</v>
      </c>
      <c r="I1405" s="81">
        <f>IFERROR(__xludf.DUMMYFUNCTION("IF(G1405="""", """", ROUND(G1405 / MAX(FILTER($G$2:$G5067, $D$2:$D5067=$D1405)) * 100, 2))"),98.91)</f>
        <v>98.91</v>
      </c>
      <c r="J1405" s="81">
        <f>IFERROR(__xludf.DUMMYFUNCTION("IF(H1405="""", """", ROUND(H1405 / MAX(FILTER($H$2:$H5067, $D$2:$D5067=$D1405)) * 100, 2))"),81.16)</f>
        <v>81.16</v>
      </c>
      <c r="K1405" s="2"/>
      <c r="L1405" s="48"/>
      <c r="M1405" s="48"/>
      <c r="N1405" s="48"/>
      <c r="O1405" s="48" t="str">
        <f t="shared" si="2"/>
        <v/>
      </c>
      <c r="P1405" s="48" t="str">
        <f t="shared" si="3"/>
        <v/>
      </c>
      <c r="Q1405" s="84"/>
      <c r="R1405" s="84"/>
      <c r="S1405" s="84"/>
      <c r="T1405" s="84"/>
      <c r="U1405" s="84"/>
      <c r="V1405" s="84"/>
      <c r="W1405" s="84"/>
      <c r="X1405" s="84"/>
      <c r="Y1405" s="84"/>
      <c r="Z1405" s="84"/>
      <c r="AA1405" s="84"/>
      <c r="AB1405" s="84"/>
    </row>
    <row r="1406">
      <c r="A1406" s="63">
        <v>95.0</v>
      </c>
      <c r="B1406" s="63">
        <v>152.0</v>
      </c>
      <c r="C1406" s="64" t="s">
        <v>333</v>
      </c>
      <c r="D1406" s="64" t="s">
        <v>334</v>
      </c>
      <c r="E1406" s="64" t="s">
        <v>335</v>
      </c>
      <c r="F1406" s="63">
        <v>5500.0</v>
      </c>
      <c r="G1406" s="63">
        <v>6.25</v>
      </c>
      <c r="H1406" s="66">
        <f t="shared" si="1"/>
        <v>48</v>
      </c>
      <c r="I1406" s="81">
        <f>IFERROR(__xludf.DUMMYFUNCTION("IF(G1406="""", """", ROUND(G1406 / MAX(FILTER($G$2:$G5067, $D$2:$D5067=$D1406)) * 100, 2))"),97.66)</f>
        <v>97.66</v>
      </c>
      <c r="J1406" s="81">
        <f>IFERROR(__xludf.DUMMYFUNCTION("IF(H1406="""", """", ROUND(H1406 / MAX(FILTER($H$2:$H5067, $D$2:$D5067=$D1406)) * 100, 2))"),88.15)</f>
        <v>88.15</v>
      </c>
      <c r="K1406" s="2"/>
      <c r="L1406" s="49"/>
      <c r="M1406" s="49"/>
      <c r="N1406" s="49"/>
      <c r="O1406" s="49" t="str">
        <f t="shared" si="2"/>
        <v/>
      </c>
      <c r="P1406" s="49" t="str">
        <f t="shared" si="3"/>
        <v/>
      </c>
      <c r="Q1406" s="84"/>
      <c r="R1406" s="84"/>
      <c r="S1406" s="84"/>
      <c r="T1406" s="84"/>
      <c r="U1406" s="84"/>
      <c r="V1406" s="84"/>
      <c r="W1406" s="84"/>
      <c r="X1406" s="84"/>
      <c r="Y1406" s="84"/>
      <c r="Z1406" s="84"/>
      <c r="AA1406" s="84"/>
      <c r="AB1406" s="84"/>
    </row>
    <row r="1407">
      <c r="A1407" s="69">
        <v>95.0</v>
      </c>
      <c r="B1407" s="69">
        <v>152.0</v>
      </c>
      <c r="C1407" s="86" t="s">
        <v>333</v>
      </c>
      <c r="D1407" s="86" t="s">
        <v>334</v>
      </c>
      <c r="E1407" s="86" t="s">
        <v>335</v>
      </c>
      <c r="F1407" s="69">
        <v>6000.0</v>
      </c>
      <c r="G1407" s="69">
        <v>6.13</v>
      </c>
      <c r="H1407" s="68">
        <f t="shared" si="1"/>
        <v>51.35</v>
      </c>
      <c r="I1407" s="81">
        <f>IFERROR(__xludf.DUMMYFUNCTION("IF(G1407="""", """", ROUND(G1407 / MAX(FILTER($G$2:$G5067, $D$2:$D5067=$D1407)) * 100, 2))"),95.78)</f>
        <v>95.78</v>
      </c>
      <c r="J1407" s="81">
        <f>IFERROR(__xludf.DUMMYFUNCTION("IF(H1407="""", """", ROUND(H1407 / MAX(FILTER($H$2:$H5067, $D$2:$D5067=$D1407)) * 100, 2))"),94.31)</f>
        <v>94.31</v>
      </c>
      <c r="K1407" s="2"/>
      <c r="L1407" s="48"/>
      <c r="M1407" s="48"/>
      <c r="N1407" s="48"/>
      <c r="O1407" s="48" t="str">
        <f t="shared" si="2"/>
        <v/>
      </c>
      <c r="P1407" s="48" t="str">
        <f t="shared" si="3"/>
        <v/>
      </c>
      <c r="Q1407" s="84"/>
      <c r="R1407" s="84"/>
      <c r="S1407" s="84"/>
      <c r="T1407" s="84"/>
      <c r="U1407" s="84"/>
      <c r="V1407" s="84"/>
      <c r="W1407" s="84"/>
      <c r="X1407" s="84"/>
      <c r="Y1407" s="84"/>
      <c r="Z1407" s="84"/>
      <c r="AA1407" s="84"/>
      <c r="AB1407" s="84"/>
    </row>
    <row r="1408">
      <c r="A1408" s="63">
        <v>95.0</v>
      </c>
      <c r="B1408" s="63">
        <v>152.0</v>
      </c>
      <c r="C1408" s="64" t="s">
        <v>333</v>
      </c>
      <c r="D1408" s="64" t="s">
        <v>334</v>
      </c>
      <c r="E1408" s="64" t="s">
        <v>335</v>
      </c>
      <c r="F1408" s="63">
        <v>6500.0</v>
      </c>
      <c r="G1408" s="63">
        <v>6.0</v>
      </c>
      <c r="H1408" s="66">
        <f t="shared" si="1"/>
        <v>54.45</v>
      </c>
      <c r="I1408" s="81">
        <f>IFERROR(__xludf.DUMMYFUNCTION("IF(G1408="""", """", ROUND(G1408 / MAX(FILTER($G$2:$G5067, $D$2:$D5067=$D1408)) * 100, 2))"),93.75)</f>
        <v>93.75</v>
      </c>
      <c r="J1408" s="81">
        <f>IFERROR(__xludf.DUMMYFUNCTION("IF(H1408="""", """", ROUND(H1408 / MAX(FILTER($H$2:$H5067, $D$2:$D5067=$D1408)) * 100, 2))"),100.0)</f>
        <v>100</v>
      </c>
      <c r="K1408" s="2"/>
      <c r="L1408" s="49"/>
      <c r="M1408" s="49"/>
      <c r="N1408" s="49"/>
      <c r="O1408" s="49" t="str">
        <f t="shared" si="2"/>
        <v/>
      </c>
      <c r="P1408" s="49" t="str">
        <f t="shared" si="3"/>
        <v/>
      </c>
      <c r="Q1408" s="84"/>
      <c r="R1408" s="84"/>
      <c r="S1408" s="84"/>
      <c r="T1408" s="84"/>
      <c r="U1408" s="84"/>
      <c r="V1408" s="84"/>
      <c r="W1408" s="84"/>
      <c r="X1408" s="84"/>
      <c r="Y1408" s="84"/>
      <c r="Z1408" s="84"/>
      <c r="AA1408" s="84"/>
      <c r="AB1408" s="84"/>
    </row>
    <row r="1409">
      <c r="A1409" s="69">
        <v>95.0</v>
      </c>
      <c r="B1409" s="69">
        <v>152.0</v>
      </c>
      <c r="C1409" s="86" t="s">
        <v>333</v>
      </c>
      <c r="D1409" s="86" t="s">
        <v>334</v>
      </c>
      <c r="E1409" s="86" t="s">
        <v>335</v>
      </c>
      <c r="F1409" s="69">
        <v>7000.0</v>
      </c>
      <c r="G1409" s="69">
        <v>5.5</v>
      </c>
      <c r="H1409" s="68">
        <f t="shared" si="1"/>
        <v>53.76</v>
      </c>
      <c r="I1409" s="81">
        <f>IFERROR(__xludf.DUMMYFUNCTION("IF(G1409="""", """", ROUND(G1409 / MAX(FILTER($G$2:$G5067, $D$2:$D5067=$D1409)) * 100, 2))"),85.94)</f>
        <v>85.94</v>
      </c>
      <c r="J1409" s="81">
        <f>IFERROR(__xludf.DUMMYFUNCTION("IF(H1409="""", """", ROUND(H1409 / MAX(FILTER($H$2:$H5067, $D$2:$D5067=$D1409)) * 100, 2))"),98.73)</f>
        <v>98.73</v>
      </c>
      <c r="K1409" s="2"/>
      <c r="L1409" s="48"/>
      <c r="M1409" s="48"/>
      <c r="N1409" s="48"/>
      <c r="O1409" s="48" t="str">
        <f t="shared" si="2"/>
        <v/>
      </c>
      <c r="P1409" s="48" t="str">
        <f t="shared" si="3"/>
        <v/>
      </c>
      <c r="Q1409" s="84"/>
      <c r="R1409" s="84"/>
      <c r="S1409" s="84"/>
      <c r="T1409" s="84"/>
      <c r="U1409" s="84"/>
      <c r="V1409" s="84"/>
      <c r="W1409" s="84"/>
      <c r="X1409" s="84"/>
      <c r="Y1409" s="84"/>
      <c r="Z1409" s="84"/>
      <c r="AA1409" s="84"/>
      <c r="AB1409" s="84"/>
    </row>
    <row r="1410">
      <c r="A1410" s="63">
        <v>95.0</v>
      </c>
      <c r="B1410" s="63">
        <v>152.0</v>
      </c>
      <c r="C1410" s="64" t="s">
        <v>333</v>
      </c>
      <c r="D1410" s="64" t="s">
        <v>334</v>
      </c>
      <c r="E1410" s="64" t="s">
        <v>335</v>
      </c>
      <c r="F1410" s="63">
        <v>7500.0</v>
      </c>
      <c r="G1410" s="63">
        <v>4.48</v>
      </c>
      <c r="H1410" s="66">
        <f t="shared" si="1"/>
        <v>46.91</v>
      </c>
      <c r="I1410" s="81">
        <f>IFERROR(__xludf.DUMMYFUNCTION("IF(G1410="""", """", ROUND(G1410 / MAX(FILTER($G$2:$G5067, $D$2:$D5067=$D1410)) * 100, 2))"),70.0)</f>
        <v>70</v>
      </c>
      <c r="J1410" s="81">
        <f>IFERROR(__xludf.DUMMYFUNCTION("IF(H1410="""", """", ROUND(H1410 / MAX(FILTER($H$2:$H5067, $D$2:$D5067=$D1410)) * 100, 2))"),86.15)</f>
        <v>86.15</v>
      </c>
      <c r="K1410" s="2"/>
      <c r="L1410" s="49"/>
      <c r="M1410" s="49"/>
      <c r="N1410" s="49"/>
      <c r="O1410" s="49" t="str">
        <f t="shared" si="2"/>
        <v/>
      </c>
      <c r="P1410" s="49" t="str">
        <f t="shared" si="3"/>
        <v/>
      </c>
      <c r="Q1410" s="84"/>
      <c r="R1410" s="84"/>
      <c r="S1410" s="84"/>
      <c r="T1410" s="84"/>
      <c r="U1410" s="84"/>
      <c r="V1410" s="84"/>
      <c r="W1410" s="84"/>
      <c r="X1410" s="84"/>
      <c r="Y1410" s="84"/>
      <c r="Z1410" s="84"/>
      <c r="AA1410" s="84"/>
      <c r="AB1410" s="84"/>
    </row>
    <row r="1411">
      <c r="A1411" s="69">
        <v>96.0</v>
      </c>
      <c r="B1411" s="69">
        <v>153.0</v>
      </c>
      <c r="C1411" s="86" t="s">
        <v>336</v>
      </c>
      <c r="D1411" s="86" t="s">
        <v>337</v>
      </c>
      <c r="E1411" s="86" t="s">
        <v>338</v>
      </c>
      <c r="F1411" s="69">
        <v>500.0</v>
      </c>
      <c r="G1411" s="69">
        <v>14.02</v>
      </c>
      <c r="H1411" s="68">
        <f t="shared" si="1"/>
        <v>9.79</v>
      </c>
      <c r="I1411" s="81">
        <f>IFERROR(__xludf.DUMMYFUNCTION("IF(G1411="""", """", ROUND(G1411 / MAX(FILTER($G$2:$G5067, $D$2:$D5067=$D1411)) * 100, 2))"),76.11)</f>
        <v>76.11</v>
      </c>
      <c r="J1411" s="81">
        <f>IFERROR(__xludf.DUMMYFUNCTION("IF(H1411="""", """", ROUND(H1411 / MAX(FILTER($H$2:$H5067, $D$2:$D5067=$D1411)) * 100, 2))"),5.18)</f>
        <v>5.18</v>
      </c>
      <c r="K1411" s="2"/>
      <c r="L1411" s="48"/>
      <c r="M1411" s="48"/>
      <c r="N1411" s="48"/>
      <c r="O1411" s="48" t="str">
        <f t="shared" si="2"/>
        <v/>
      </c>
      <c r="P1411" s="48" t="str">
        <f t="shared" si="3"/>
        <v/>
      </c>
      <c r="Q1411" s="84"/>
      <c r="R1411" s="84"/>
      <c r="S1411" s="84"/>
      <c r="T1411" s="84"/>
      <c r="U1411" s="84"/>
      <c r="V1411" s="84"/>
      <c r="W1411" s="84"/>
      <c r="X1411" s="84"/>
      <c r="Y1411" s="84"/>
      <c r="Z1411" s="84"/>
      <c r="AA1411" s="84"/>
      <c r="AB1411" s="84"/>
    </row>
    <row r="1412">
      <c r="A1412" s="63">
        <v>96.0</v>
      </c>
      <c r="B1412" s="63">
        <v>153.0</v>
      </c>
      <c r="C1412" s="64" t="s">
        <v>336</v>
      </c>
      <c r="D1412" s="64" t="s">
        <v>337</v>
      </c>
      <c r="E1412" s="64" t="s">
        <v>338</v>
      </c>
      <c r="F1412" s="63">
        <v>1000.0</v>
      </c>
      <c r="G1412" s="63">
        <v>15.07</v>
      </c>
      <c r="H1412" s="66">
        <f t="shared" si="1"/>
        <v>21.04</v>
      </c>
      <c r="I1412" s="81">
        <f>IFERROR(__xludf.DUMMYFUNCTION("IF(G1412="""", """", ROUND(G1412 / MAX(FILTER($G$2:$G5067, $D$2:$D5067=$D1412)) * 100, 2))"),81.81)</f>
        <v>81.81</v>
      </c>
      <c r="J1412" s="81">
        <f>IFERROR(__xludf.DUMMYFUNCTION("IF(H1412="""", """", ROUND(H1412 / MAX(FILTER($H$2:$H5067, $D$2:$D5067=$D1412)) * 100, 2))"),11.13)</f>
        <v>11.13</v>
      </c>
      <c r="K1412" s="2"/>
      <c r="L1412" s="49"/>
      <c r="M1412" s="49"/>
      <c r="N1412" s="49"/>
      <c r="O1412" s="49" t="str">
        <f t="shared" si="2"/>
        <v/>
      </c>
      <c r="P1412" s="49" t="str">
        <f t="shared" si="3"/>
        <v/>
      </c>
      <c r="Q1412" s="84"/>
      <c r="R1412" s="84"/>
      <c r="S1412" s="84"/>
      <c r="T1412" s="84"/>
      <c r="U1412" s="84"/>
      <c r="V1412" s="84"/>
      <c r="W1412" s="84"/>
      <c r="X1412" s="84"/>
      <c r="Y1412" s="84"/>
      <c r="Z1412" s="84"/>
      <c r="AA1412" s="84"/>
      <c r="AB1412" s="84"/>
    </row>
    <row r="1413">
      <c r="A1413" s="69">
        <v>96.0</v>
      </c>
      <c r="B1413" s="69">
        <v>153.0</v>
      </c>
      <c r="C1413" s="86" t="s">
        <v>336</v>
      </c>
      <c r="D1413" s="86" t="s">
        <v>337</v>
      </c>
      <c r="E1413" s="86" t="s">
        <v>338</v>
      </c>
      <c r="F1413" s="69">
        <v>1500.0</v>
      </c>
      <c r="G1413" s="69">
        <v>15.85</v>
      </c>
      <c r="H1413" s="68">
        <f t="shared" si="1"/>
        <v>33.2</v>
      </c>
      <c r="I1413" s="81">
        <f>IFERROR(__xludf.DUMMYFUNCTION("IF(G1413="""", """", ROUND(G1413 / MAX(FILTER($G$2:$G5067, $D$2:$D5067=$D1413)) * 100, 2))"),86.05)</f>
        <v>86.05</v>
      </c>
      <c r="J1413" s="81">
        <f>IFERROR(__xludf.DUMMYFUNCTION("IF(H1413="""", """", ROUND(H1413 / MAX(FILTER($H$2:$H5067, $D$2:$D5067=$D1413)) * 100, 2))"),17.55)</f>
        <v>17.55</v>
      </c>
      <c r="K1413" s="2"/>
      <c r="L1413" s="48"/>
      <c r="M1413" s="48"/>
      <c r="N1413" s="48"/>
      <c r="O1413" s="48" t="str">
        <f t="shared" si="2"/>
        <v/>
      </c>
      <c r="P1413" s="48" t="str">
        <f t="shared" si="3"/>
        <v/>
      </c>
      <c r="Q1413" s="84"/>
      <c r="R1413" s="84"/>
      <c r="S1413" s="84"/>
      <c r="T1413" s="84"/>
      <c r="U1413" s="84"/>
      <c r="V1413" s="84"/>
      <c r="W1413" s="84"/>
      <c r="X1413" s="84"/>
      <c r="Y1413" s="84"/>
      <c r="Z1413" s="84"/>
      <c r="AA1413" s="84"/>
      <c r="AB1413" s="84"/>
    </row>
    <row r="1414">
      <c r="A1414" s="63">
        <v>96.0</v>
      </c>
      <c r="B1414" s="63">
        <v>153.0</v>
      </c>
      <c r="C1414" s="64" t="s">
        <v>336</v>
      </c>
      <c r="D1414" s="64" t="s">
        <v>337</v>
      </c>
      <c r="E1414" s="64" t="s">
        <v>338</v>
      </c>
      <c r="F1414" s="63">
        <v>2000.0</v>
      </c>
      <c r="G1414" s="63">
        <v>16.39</v>
      </c>
      <c r="H1414" s="66">
        <f t="shared" si="1"/>
        <v>45.77</v>
      </c>
      <c r="I1414" s="81">
        <f>IFERROR(__xludf.DUMMYFUNCTION("IF(G1414="""", """", ROUND(G1414 / MAX(FILTER($G$2:$G5067, $D$2:$D5067=$D1414)) * 100, 2))"),88.98)</f>
        <v>88.98</v>
      </c>
      <c r="J1414" s="81">
        <f>IFERROR(__xludf.DUMMYFUNCTION("IF(H1414="""", """", ROUND(H1414 / MAX(FILTER($H$2:$H5067, $D$2:$D5067=$D1414)) * 100, 2))"),24.2)</f>
        <v>24.2</v>
      </c>
      <c r="K1414" s="2"/>
      <c r="L1414" s="49"/>
      <c r="M1414" s="49"/>
      <c r="N1414" s="49"/>
      <c r="O1414" s="49" t="str">
        <f t="shared" si="2"/>
        <v/>
      </c>
      <c r="P1414" s="49" t="str">
        <f t="shared" si="3"/>
        <v/>
      </c>
      <c r="Q1414" s="84"/>
      <c r="R1414" s="84"/>
      <c r="S1414" s="84"/>
      <c r="T1414" s="84"/>
      <c r="U1414" s="84"/>
      <c r="V1414" s="84"/>
      <c r="W1414" s="84"/>
      <c r="X1414" s="84"/>
      <c r="Y1414" s="84"/>
      <c r="Z1414" s="84"/>
      <c r="AA1414" s="84"/>
      <c r="AB1414" s="84"/>
    </row>
    <row r="1415">
      <c r="A1415" s="69">
        <v>96.0</v>
      </c>
      <c r="B1415" s="69">
        <v>153.0</v>
      </c>
      <c r="C1415" s="86" t="s">
        <v>336</v>
      </c>
      <c r="D1415" s="86" t="s">
        <v>337</v>
      </c>
      <c r="E1415" s="86" t="s">
        <v>338</v>
      </c>
      <c r="F1415" s="69">
        <v>2500.0</v>
      </c>
      <c r="G1415" s="69">
        <v>16.27</v>
      </c>
      <c r="H1415" s="68">
        <f t="shared" si="1"/>
        <v>56.79</v>
      </c>
      <c r="I1415" s="81">
        <f>IFERROR(__xludf.DUMMYFUNCTION("IF(G1415="""", """", ROUND(G1415 / MAX(FILTER($G$2:$G5067, $D$2:$D5067=$D1415)) * 100, 2))"),88.33)</f>
        <v>88.33</v>
      </c>
      <c r="J1415" s="81">
        <f>IFERROR(__xludf.DUMMYFUNCTION("IF(H1415="""", """", ROUND(H1415 / MAX(FILTER($H$2:$H5067, $D$2:$D5067=$D1415)) * 100, 2))"),30.03)</f>
        <v>30.03</v>
      </c>
      <c r="K1415" s="2"/>
      <c r="L1415" s="48"/>
      <c r="M1415" s="48"/>
      <c r="N1415" s="48"/>
      <c r="O1415" s="48" t="str">
        <f t="shared" si="2"/>
        <v/>
      </c>
      <c r="P1415" s="48" t="str">
        <f t="shared" si="3"/>
        <v/>
      </c>
      <c r="Q1415" s="84"/>
      <c r="R1415" s="84"/>
      <c r="S1415" s="84"/>
      <c r="T1415" s="84"/>
      <c r="U1415" s="84"/>
      <c r="V1415" s="84"/>
      <c r="W1415" s="84"/>
      <c r="X1415" s="84"/>
      <c r="Y1415" s="84"/>
      <c r="Z1415" s="84"/>
      <c r="AA1415" s="84"/>
      <c r="AB1415" s="84"/>
    </row>
    <row r="1416">
      <c r="A1416" s="63">
        <v>96.0</v>
      </c>
      <c r="B1416" s="63">
        <v>153.0</v>
      </c>
      <c r="C1416" s="64" t="s">
        <v>336</v>
      </c>
      <c r="D1416" s="64" t="s">
        <v>337</v>
      </c>
      <c r="E1416" s="64" t="s">
        <v>338</v>
      </c>
      <c r="F1416" s="63">
        <v>3000.0</v>
      </c>
      <c r="G1416" s="63">
        <v>16.47</v>
      </c>
      <c r="H1416" s="66">
        <f t="shared" si="1"/>
        <v>68.99</v>
      </c>
      <c r="I1416" s="81">
        <f>IFERROR(__xludf.DUMMYFUNCTION("IF(G1416="""", """", ROUND(G1416 / MAX(FILTER($G$2:$G5067, $D$2:$D5067=$D1416)) * 100, 2))"),89.41)</f>
        <v>89.41</v>
      </c>
      <c r="J1416" s="81">
        <f>IFERROR(__xludf.DUMMYFUNCTION("IF(H1416="""", """", ROUND(H1416 / MAX(FILTER($H$2:$H5067, $D$2:$D5067=$D1416)) * 100, 2))"),36.48)</f>
        <v>36.48</v>
      </c>
      <c r="K1416" s="2"/>
      <c r="L1416" s="49"/>
      <c r="M1416" s="49"/>
      <c r="N1416" s="49"/>
      <c r="O1416" s="49" t="str">
        <f t="shared" si="2"/>
        <v/>
      </c>
      <c r="P1416" s="49" t="str">
        <f t="shared" si="3"/>
        <v/>
      </c>
      <c r="Q1416" s="84"/>
      <c r="R1416" s="84"/>
      <c r="S1416" s="84"/>
      <c r="T1416" s="84"/>
      <c r="U1416" s="84"/>
      <c r="V1416" s="84"/>
      <c r="W1416" s="84"/>
      <c r="X1416" s="84"/>
      <c r="Y1416" s="84"/>
      <c r="Z1416" s="84"/>
      <c r="AA1416" s="84"/>
      <c r="AB1416" s="84"/>
    </row>
    <row r="1417">
      <c r="A1417" s="69">
        <v>96.0</v>
      </c>
      <c r="B1417" s="69">
        <v>153.0</v>
      </c>
      <c r="C1417" s="86" t="s">
        <v>336</v>
      </c>
      <c r="D1417" s="86" t="s">
        <v>337</v>
      </c>
      <c r="E1417" s="86" t="s">
        <v>338</v>
      </c>
      <c r="F1417" s="69">
        <v>3500.0</v>
      </c>
      <c r="G1417" s="69">
        <v>16.88</v>
      </c>
      <c r="H1417" s="68">
        <f t="shared" si="1"/>
        <v>82.49</v>
      </c>
      <c r="I1417" s="81">
        <f>IFERROR(__xludf.DUMMYFUNCTION("IF(G1417="""", """", ROUND(G1417 / MAX(FILTER($G$2:$G5067, $D$2:$D5067=$D1417)) * 100, 2))"),91.64)</f>
        <v>91.64</v>
      </c>
      <c r="J1417" s="81">
        <f>IFERROR(__xludf.DUMMYFUNCTION("IF(H1417="""", """", ROUND(H1417 / MAX(FILTER($H$2:$H5067, $D$2:$D5067=$D1417)) * 100, 2))"),43.62)</f>
        <v>43.62</v>
      </c>
      <c r="K1417" s="2"/>
      <c r="L1417" s="48"/>
      <c r="M1417" s="48"/>
      <c r="N1417" s="48"/>
      <c r="O1417" s="48" t="str">
        <f t="shared" si="2"/>
        <v/>
      </c>
      <c r="P1417" s="48" t="str">
        <f t="shared" si="3"/>
        <v/>
      </c>
      <c r="Q1417" s="84"/>
      <c r="R1417" s="84"/>
      <c r="S1417" s="84"/>
      <c r="T1417" s="84"/>
      <c r="U1417" s="84"/>
      <c r="V1417" s="84"/>
      <c r="W1417" s="84"/>
      <c r="X1417" s="84"/>
      <c r="Y1417" s="84"/>
      <c r="Z1417" s="84"/>
      <c r="AA1417" s="84"/>
      <c r="AB1417" s="84"/>
    </row>
    <row r="1418">
      <c r="A1418" s="63">
        <v>96.0</v>
      </c>
      <c r="B1418" s="63">
        <v>153.0</v>
      </c>
      <c r="C1418" s="64" t="s">
        <v>336</v>
      </c>
      <c r="D1418" s="64" t="s">
        <v>337</v>
      </c>
      <c r="E1418" s="64" t="s">
        <v>338</v>
      </c>
      <c r="F1418" s="63">
        <v>4000.0</v>
      </c>
      <c r="G1418" s="63">
        <v>17.0</v>
      </c>
      <c r="H1418" s="66">
        <f t="shared" si="1"/>
        <v>94.95</v>
      </c>
      <c r="I1418" s="81">
        <f>IFERROR(__xludf.DUMMYFUNCTION("IF(G1418="""", """", ROUND(G1418 / MAX(FILTER($G$2:$G5067, $D$2:$D5067=$D1418)) * 100, 2))"),92.29)</f>
        <v>92.29</v>
      </c>
      <c r="J1418" s="81">
        <f>IFERROR(__xludf.DUMMYFUNCTION("IF(H1418="""", """", ROUND(H1418 / MAX(FILTER($H$2:$H5067, $D$2:$D5067=$D1418)) * 100, 2))"),50.21)</f>
        <v>50.21</v>
      </c>
      <c r="K1418" s="2"/>
      <c r="L1418" s="49"/>
      <c r="M1418" s="49"/>
      <c r="N1418" s="49"/>
      <c r="O1418" s="49" t="str">
        <f t="shared" si="2"/>
        <v/>
      </c>
      <c r="P1418" s="49" t="str">
        <f t="shared" si="3"/>
        <v/>
      </c>
      <c r="Q1418" s="84"/>
      <c r="R1418" s="84"/>
      <c r="S1418" s="84"/>
      <c r="T1418" s="84"/>
      <c r="U1418" s="84"/>
      <c r="V1418" s="84"/>
      <c r="W1418" s="84"/>
      <c r="X1418" s="84"/>
      <c r="Y1418" s="84"/>
      <c r="Z1418" s="84"/>
      <c r="AA1418" s="84"/>
      <c r="AB1418" s="84"/>
    </row>
    <row r="1419">
      <c r="A1419" s="69">
        <v>96.0</v>
      </c>
      <c r="B1419" s="69">
        <v>153.0</v>
      </c>
      <c r="C1419" s="86" t="s">
        <v>336</v>
      </c>
      <c r="D1419" s="86" t="s">
        <v>337</v>
      </c>
      <c r="E1419" s="86" t="s">
        <v>338</v>
      </c>
      <c r="F1419" s="69">
        <v>4500.0</v>
      </c>
      <c r="G1419" s="69">
        <v>17.06</v>
      </c>
      <c r="H1419" s="68">
        <f t="shared" si="1"/>
        <v>107.19</v>
      </c>
      <c r="I1419" s="81">
        <f>IFERROR(__xludf.DUMMYFUNCTION("IF(G1419="""", """", ROUND(G1419 / MAX(FILTER($G$2:$G5067, $D$2:$D5067=$D1419)) * 100, 2))"),92.62)</f>
        <v>92.62</v>
      </c>
      <c r="J1419" s="81">
        <f>IFERROR(__xludf.DUMMYFUNCTION("IF(H1419="""", """", ROUND(H1419 / MAX(FILTER($H$2:$H5067, $D$2:$D5067=$D1419)) * 100, 2))"),56.68)</f>
        <v>56.68</v>
      </c>
      <c r="K1419" s="2"/>
      <c r="L1419" s="48"/>
      <c r="M1419" s="48"/>
      <c r="N1419" s="48"/>
      <c r="O1419" s="48" t="str">
        <f t="shared" si="2"/>
        <v/>
      </c>
      <c r="P1419" s="48" t="str">
        <f t="shared" si="3"/>
        <v/>
      </c>
      <c r="Q1419" s="84"/>
      <c r="R1419" s="84"/>
      <c r="S1419" s="84"/>
      <c r="T1419" s="84"/>
      <c r="U1419" s="84"/>
      <c r="V1419" s="84"/>
      <c r="W1419" s="84"/>
      <c r="X1419" s="84"/>
      <c r="Y1419" s="84"/>
      <c r="Z1419" s="84"/>
      <c r="AA1419" s="84"/>
      <c r="AB1419" s="84"/>
    </row>
    <row r="1420">
      <c r="A1420" s="63">
        <v>96.0</v>
      </c>
      <c r="B1420" s="63">
        <v>153.0</v>
      </c>
      <c r="C1420" s="64" t="s">
        <v>336</v>
      </c>
      <c r="D1420" s="64" t="s">
        <v>337</v>
      </c>
      <c r="E1420" s="64" t="s">
        <v>338</v>
      </c>
      <c r="F1420" s="63">
        <v>5000.0</v>
      </c>
      <c r="G1420" s="63">
        <v>17.1</v>
      </c>
      <c r="H1420" s="66">
        <f t="shared" si="1"/>
        <v>119.38</v>
      </c>
      <c r="I1420" s="81">
        <f>IFERROR(__xludf.DUMMYFUNCTION("IF(G1420="""", """", ROUND(G1420 / MAX(FILTER($G$2:$G5067, $D$2:$D5067=$D1420)) * 100, 2))"),92.83)</f>
        <v>92.83</v>
      </c>
      <c r="J1420" s="81">
        <f>IFERROR(__xludf.DUMMYFUNCTION("IF(H1420="""", """", ROUND(H1420 / MAX(FILTER($H$2:$H5067, $D$2:$D5067=$D1420)) * 100, 2))"),63.12)</f>
        <v>63.12</v>
      </c>
      <c r="K1420" s="2"/>
      <c r="L1420" s="49"/>
      <c r="M1420" s="49"/>
      <c r="N1420" s="49"/>
      <c r="O1420" s="49" t="str">
        <f t="shared" si="2"/>
        <v/>
      </c>
      <c r="P1420" s="49" t="str">
        <f t="shared" si="3"/>
        <v/>
      </c>
      <c r="Q1420" s="84"/>
      <c r="R1420" s="84"/>
      <c r="S1420" s="84"/>
      <c r="T1420" s="84"/>
      <c r="U1420" s="84"/>
      <c r="V1420" s="84"/>
      <c r="W1420" s="84"/>
      <c r="X1420" s="84"/>
      <c r="Y1420" s="84"/>
      <c r="Z1420" s="84"/>
      <c r="AA1420" s="84"/>
      <c r="AB1420" s="84"/>
    </row>
    <row r="1421">
      <c r="A1421" s="69">
        <v>96.0</v>
      </c>
      <c r="B1421" s="69">
        <v>153.0</v>
      </c>
      <c r="C1421" s="86" t="s">
        <v>336</v>
      </c>
      <c r="D1421" s="86" t="s">
        <v>337</v>
      </c>
      <c r="E1421" s="86" t="s">
        <v>338</v>
      </c>
      <c r="F1421" s="69">
        <v>5500.0</v>
      </c>
      <c r="G1421" s="69">
        <v>17.0</v>
      </c>
      <c r="H1421" s="68">
        <f t="shared" si="1"/>
        <v>130.55</v>
      </c>
      <c r="I1421" s="81">
        <f>IFERROR(__xludf.DUMMYFUNCTION("IF(G1421="""", """", ROUND(G1421 / MAX(FILTER($G$2:$G5067, $D$2:$D5067=$D1421)) * 100, 2))"),92.29)</f>
        <v>92.29</v>
      </c>
      <c r="J1421" s="81">
        <f>IFERROR(__xludf.DUMMYFUNCTION("IF(H1421="""", """", ROUND(H1421 / MAX(FILTER($H$2:$H5067, $D$2:$D5067=$D1421)) * 100, 2))"),69.03)</f>
        <v>69.03</v>
      </c>
      <c r="K1421" s="2"/>
      <c r="L1421" s="48"/>
      <c r="M1421" s="48"/>
      <c r="N1421" s="48"/>
      <c r="O1421" s="48" t="str">
        <f t="shared" si="2"/>
        <v/>
      </c>
      <c r="P1421" s="48" t="str">
        <f t="shared" si="3"/>
        <v/>
      </c>
      <c r="Q1421" s="84"/>
      <c r="R1421" s="84"/>
      <c r="S1421" s="84"/>
      <c r="T1421" s="84"/>
      <c r="U1421" s="84"/>
      <c r="V1421" s="84"/>
      <c r="W1421" s="84"/>
      <c r="X1421" s="84"/>
      <c r="Y1421" s="84"/>
      <c r="Z1421" s="84"/>
      <c r="AA1421" s="84"/>
      <c r="AB1421" s="84"/>
    </row>
    <row r="1422">
      <c r="A1422" s="63">
        <v>96.0</v>
      </c>
      <c r="B1422" s="63">
        <v>153.0</v>
      </c>
      <c r="C1422" s="64" t="s">
        <v>336</v>
      </c>
      <c r="D1422" s="64" t="s">
        <v>337</v>
      </c>
      <c r="E1422" s="64" t="s">
        <v>338</v>
      </c>
      <c r="F1422" s="63">
        <v>6000.0</v>
      </c>
      <c r="G1422" s="63">
        <v>17.47</v>
      </c>
      <c r="H1422" s="66">
        <f t="shared" si="1"/>
        <v>146.36</v>
      </c>
      <c r="I1422" s="81">
        <f>IFERROR(__xludf.DUMMYFUNCTION("IF(G1422="""", """", ROUND(G1422 / MAX(FILTER($G$2:$G5067, $D$2:$D5067=$D1422)) * 100, 2))"),94.84)</f>
        <v>94.84</v>
      </c>
      <c r="J1422" s="81">
        <f>IFERROR(__xludf.DUMMYFUNCTION("IF(H1422="""", """", ROUND(H1422 / MAX(FILTER($H$2:$H5067, $D$2:$D5067=$D1422)) * 100, 2))"),77.39)</f>
        <v>77.39</v>
      </c>
      <c r="K1422" s="2"/>
      <c r="L1422" s="49"/>
      <c r="M1422" s="49"/>
      <c r="N1422" s="49"/>
      <c r="O1422" s="49" t="str">
        <f t="shared" si="2"/>
        <v/>
      </c>
      <c r="P1422" s="49" t="str">
        <f t="shared" si="3"/>
        <v/>
      </c>
      <c r="Q1422" s="84"/>
      <c r="R1422" s="84"/>
      <c r="S1422" s="84"/>
      <c r="T1422" s="84"/>
      <c r="U1422" s="84"/>
      <c r="V1422" s="84"/>
      <c r="W1422" s="84"/>
      <c r="X1422" s="84"/>
      <c r="Y1422" s="84"/>
      <c r="Z1422" s="84"/>
      <c r="AA1422" s="84"/>
      <c r="AB1422" s="84"/>
    </row>
    <row r="1423">
      <c r="A1423" s="69">
        <v>96.0</v>
      </c>
      <c r="B1423" s="69">
        <v>153.0</v>
      </c>
      <c r="C1423" s="86" t="s">
        <v>336</v>
      </c>
      <c r="D1423" s="86" t="s">
        <v>337</v>
      </c>
      <c r="E1423" s="86" t="s">
        <v>338</v>
      </c>
      <c r="F1423" s="69">
        <v>6500.0</v>
      </c>
      <c r="G1423" s="69">
        <v>18.28</v>
      </c>
      <c r="H1423" s="68">
        <f t="shared" si="1"/>
        <v>165.9</v>
      </c>
      <c r="I1423" s="81">
        <f>IFERROR(__xludf.DUMMYFUNCTION("IF(G1423="""", """", ROUND(G1423 / MAX(FILTER($G$2:$G5067, $D$2:$D5067=$D1423)) * 100, 2))"),99.24)</f>
        <v>99.24</v>
      </c>
      <c r="J1423" s="81">
        <f>IFERROR(__xludf.DUMMYFUNCTION("IF(H1423="""", """", ROUND(H1423 / MAX(FILTER($H$2:$H5067, $D$2:$D5067=$D1423)) * 100, 2))"),87.72)</f>
        <v>87.72</v>
      </c>
      <c r="K1423" s="2"/>
      <c r="L1423" s="48"/>
      <c r="M1423" s="48"/>
      <c r="N1423" s="48"/>
      <c r="O1423" s="48" t="str">
        <f t="shared" si="2"/>
        <v/>
      </c>
      <c r="P1423" s="48" t="str">
        <f t="shared" si="3"/>
        <v/>
      </c>
      <c r="Q1423" s="84"/>
      <c r="R1423" s="84"/>
      <c r="S1423" s="84"/>
      <c r="T1423" s="84"/>
      <c r="U1423" s="84"/>
      <c r="V1423" s="84"/>
      <c r="W1423" s="84"/>
      <c r="X1423" s="84"/>
      <c r="Y1423" s="84"/>
      <c r="Z1423" s="84"/>
      <c r="AA1423" s="84"/>
      <c r="AB1423" s="84"/>
    </row>
    <row r="1424">
      <c r="A1424" s="63">
        <v>96.0</v>
      </c>
      <c r="B1424" s="63">
        <v>153.0</v>
      </c>
      <c r="C1424" s="64" t="s">
        <v>336</v>
      </c>
      <c r="D1424" s="64" t="s">
        <v>337</v>
      </c>
      <c r="E1424" s="64" t="s">
        <v>338</v>
      </c>
      <c r="F1424" s="63">
        <v>6800.0</v>
      </c>
      <c r="G1424" s="63">
        <v>18.42</v>
      </c>
      <c r="H1424" s="66">
        <f t="shared" si="1"/>
        <v>174.89</v>
      </c>
      <c r="I1424" s="81">
        <f>IFERROR(__xludf.DUMMYFUNCTION("IF(G1424="""", """", ROUND(G1424 / MAX(FILTER($G$2:$G5067, $D$2:$D5067=$D1424)) * 100, 2))"),100.0)</f>
        <v>100</v>
      </c>
      <c r="J1424" s="81">
        <f>IFERROR(__xludf.DUMMYFUNCTION("IF(H1424="""", """", ROUND(H1424 / MAX(FILTER($H$2:$H5067, $D$2:$D5067=$D1424)) * 100, 2))"),92.48)</f>
        <v>92.48</v>
      </c>
      <c r="K1424" s="2"/>
      <c r="L1424" s="49"/>
      <c r="M1424" s="49"/>
      <c r="N1424" s="49"/>
      <c r="O1424" s="49" t="str">
        <f t="shared" si="2"/>
        <v/>
      </c>
      <c r="P1424" s="49" t="str">
        <f t="shared" si="3"/>
        <v/>
      </c>
      <c r="Q1424" s="84"/>
      <c r="R1424" s="84"/>
      <c r="S1424" s="84"/>
      <c r="T1424" s="84"/>
      <c r="U1424" s="84"/>
      <c r="V1424" s="84"/>
      <c r="W1424" s="84"/>
      <c r="X1424" s="84"/>
      <c r="Y1424" s="84"/>
      <c r="Z1424" s="84"/>
      <c r="AA1424" s="84"/>
      <c r="AB1424" s="84"/>
    </row>
    <row r="1425">
      <c r="A1425" s="69">
        <v>96.0</v>
      </c>
      <c r="B1425" s="69">
        <v>153.0</v>
      </c>
      <c r="C1425" s="86" t="s">
        <v>336</v>
      </c>
      <c r="D1425" s="86" t="s">
        <v>337</v>
      </c>
      <c r="E1425" s="86" t="s">
        <v>338</v>
      </c>
      <c r="F1425" s="69">
        <v>7500.0</v>
      </c>
      <c r="G1425" s="69">
        <v>18.06</v>
      </c>
      <c r="H1425" s="68">
        <f t="shared" si="1"/>
        <v>189.12</v>
      </c>
      <c r="I1425" s="81">
        <f>IFERROR(__xludf.DUMMYFUNCTION("IF(G1425="""", """", ROUND(G1425 / MAX(FILTER($G$2:$G5067, $D$2:$D5067=$D1425)) * 100, 2))"),98.05)</f>
        <v>98.05</v>
      </c>
      <c r="J1425" s="81">
        <f>IFERROR(__xludf.DUMMYFUNCTION("IF(H1425="""", """", ROUND(H1425 / MAX(FILTER($H$2:$H5067, $D$2:$D5067=$D1425)) * 100, 2))"),100.0)</f>
        <v>100</v>
      </c>
      <c r="K1425" s="2"/>
      <c r="L1425" s="48"/>
      <c r="M1425" s="48"/>
      <c r="N1425" s="48"/>
      <c r="O1425" s="48" t="str">
        <f t="shared" si="2"/>
        <v/>
      </c>
      <c r="P1425" s="48" t="str">
        <f t="shared" si="3"/>
        <v/>
      </c>
      <c r="Q1425" s="84"/>
      <c r="R1425" s="84"/>
      <c r="S1425" s="84"/>
      <c r="T1425" s="84"/>
      <c r="U1425" s="84"/>
      <c r="V1425" s="84"/>
      <c r="W1425" s="84"/>
      <c r="X1425" s="84"/>
      <c r="Y1425" s="84"/>
      <c r="Z1425" s="84"/>
      <c r="AA1425" s="84"/>
      <c r="AB1425" s="84"/>
    </row>
    <row r="1426">
      <c r="A1426" s="63">
        <v>96.0</v>
      </c>
      <c r="B1426" s="63">
        <v>153.0</v>
      </c>
      <c r="C1426" s="64" t="s">
        <v>336</v>
      </c>
      <c r="D1426" s="64" t="s">
        <v>337</v>
      </c>
      <c r="E1426" s="64" t="s">
        <v>338</v>
      </c>
      <c r="F1426" s="63">
        <v>8000.0</v>
      </c>
      <c r="G1426" s="63">
        <v>16.6</v>
      </c>
      <c r="H1426" s="66">
        <f t="shared" si="1"/>
        <v>185.42</v>
      </c>
      <c r="I1426" s="81">
        <f>IFERROR(__xludf.DUMMYFUNCTION("IF(G1426="""", """", ROUND(G1426 / MAX(FILTER($G$2:$G5067, $D$2:$D5067=$D1426)) * 100, 2))"),90.12)</f>
        <v>90.12</v>
      </c>
      <c r="J1426" s="81">
        <f>IFERROR(__xludf.DUMMYFUNCTION("IF(H1426="""", """", ROUND(H1426 / MAX(FILTER($H$2:$H5067, $D$2:$D5067=$D1426)) * 100, 2))"),98.04)</f>
        <v>98.04</v>
      </c>
      <c r="K1426" s="2"/>
      <c r="L1426" s="49"/>
      <c r="M1426" s="49"/>
      <c r="N1426" s="49"/>
      <c r="O1426" s="49" t="str">
        <f t="shared" si="2"/>
        <v/>
      </c>
      <c r="P1426" s="49" t="str">
        <f t="shared" si="3"/>
        <v/>
      </c>
      <c r="Q1426" s="84"/>
      <c r="R1426" s="84"/>
      <c r="S1426" s="84"/>
      <c r="T1426" s="84"/>
      <c r="U1426" s="84"/>
      <c r="V1426" s="84"/>
      <c r="W1426" s="84"/>
      <c r="X1426" s="84"/>
      <c r="Y1426" s="84"/>
      <c r="Z1426" s="84"/>
      <c r="AA1426" s="84"/>
      <c r="AB1426" s="84"/>
    </row>
    <row r="1427">
      <c r="A1427" s="69">
        <v>96.0</v>
      </c>
      <c r="B1427" s="69">
        <v>153.0</v>
      </c>
      <c r="C1427" s="86" t="s">
        <v>336</v>
      </c>
      <c r="D1427" s="86" t="s">
        <v>337</v>
      </c>
      <c r="E1427" s="86" t="s">
        <v>338</v>
      </c>
      <c r="F1427" s="69">
        <v>8500.0</v>
      </c>
      <c r="G1427" s="69">
        <v>13.05</v>
      </c>
      <c r="H1427" s="68">
        <f t="shared" si="1"/>
        <v>154.88</v>
      </c>
      <c r="I1427" s="81">
        <f>IFERROR(__xludf.DUMMYFUNCTION("IF(G1427="""", """", ROUND(G1427 / MAX(FILTER($G$2:$G5067, $D$2:$D5067=$D1427)) * 100, 2))"),70.85)</f>
        <v>70.85</v>
      </c>
      <c r="J1427" s="81">
        <f>IFERROR(__xludf.DUMMYFUNCTION("IF(H1427="""", """", ROUND(H1427 / MAX(FILTER($H$2:$H5067, $D$2:$D5067=$D1427)) * 100, 2))"),81.9)</f>
        <v>81.9</v>
      </c>
      <c r="K1427" s="2"/>
      <c r="L1427" s="48"/>
      <c r="M1427" s="48"/>
      <c r="N1427" s="48"/>
      <c r="O1427" s="48" t="str">
        <f t="shared" si="2"/>
        <v/>
      </c>
      <c r="P1427" s="48" t="str">
        <f t="shared" si="3"/>
        <v/>
      </c>
      <c r="Q1427" s="84"/>
      <c r="R1427" s="84"/>
      <c r="S1427" s="84"/>
      <c r="T1427" s="84"/>
      <c r="U1427" s="84"/>
      <c r="V1427" s="84"/>
      <c r="W1427" s="84"/>
      <c r="X1427" s="84"/>
      <c r="Y1427" s="84"/>
      <c r="Z1427" s="84"/>
      <c r="AA1427" s="84"/>
      <c r="AB1427" s="84"/>
    </row>
    <row r="1428">
      <c r="A1428" s="63">
        <v>97.0</v>
      </c>
      <c r="B1428" s="63">
        <v>154.0</v>
      </c>
      <c r="C1428" s="64" t="s">
        <v>339</v>
      </c>
      <c r="D1428" s="64" t="s">
        <v>340</v>
      </c>
      <c r="E1428" s="64" t="s">
        <v>341</v>
      </c>
      <c r="F1428" s="63">
        <v>500.0</v>
      </c>
      <c r="G1428" s="63">
        <v>20.25</v>
      </c>
      <c r="H1428" s="66">
        <f t="shared" si="1"/>
        <v>14.14</v>
      </c>
      <c r="I1428" s="81">
        <f>IFERROR(__xludf.DUMMYFUNCTION("IF(G1428="""", """", ROUND(G1428 / MAX(FILTER($G$2:$G5067, $D$2:$D5067=$D1428)) * 100, 2))"),48.07)</f>
        <v>48.07</v>
      </c>
      <c r="J1428" s="81">
        <f>IFERROR(__xludf.DUMMYFUNCTION("IF(H1428="""", """", ROUND(H1428 / MAX(FILTER($H$2:$H5067, $D$2:$D5067=$D1428)) * 100, 2))"),3.72)</f>
        <v>3.72</v>
      </c>
      <c r="K1428" s="2"/>
      <c r="L1428" s="49"/>
      <c r="M1428" s="49"/>
      <c r="N1428" s="49"/>
      <c r="O1428" s="49" t="str">
        <f t="shared" si="2"/>
        <v/>
      </c>
      <c r="P1428" s="49" t="str">
        <f t="shared" si="3"/>
        <v/>
      </c>
      <c r="Q1428" s="84"/>
      <c r="R1428" s="84"/>
      <c r="S1428" s="84"/>
      <c r="T1428" s="84"/>
      <c r="U1428" s="84"/>
      <c r="V1428" s="84"/>
      <c r="W1428" s="84"/>
      <c r="X1428" s="84"/>
      <c r="Y1428" s="84"/>
      <c r="Z1428" s="84"/>
      <c r="AA1428" s="84"/>
      <c r="AB1428" s="84"/>
    </row>
    <row r="1429">
      <c r="A1429" s="69">
        <v>97.0</v>
      </c>
      <c r="B1429" s="69">
        <v>154.0</v>
      </c>
      <c r="C1429" s="86" t="s">
        <v>339</v>
      </c>
      <c r="D1429" s="86" t="s">
        <v>340</v>
      </c>
      <c r="E1429" s="86" t="s">
        <v>341</v>
      </c>
      <c r="F1429" s="69">
        <v>1000.0</v>
      </c>
      <c r="G1429" s="69">
        <v>24.38</v>
      </c>
      <c r="H1429" s="68">
        <f t="shared" si="1"/>
        <v>34.04</v>
      </c>
      <c r="I1429" s="81">
        <f>IFERROR(__xludf.DUMMYFUNCTION("IF(G1429="""", """", ROUND(G1429 / MAX(FILTER($G$2:$G5067, $D$2:$D5067=$D1429)) * 100, 2))"),57.87)</f>
        <v>57.87</v>
      </c>
      <c r="J1429" s="81">
        <f>IFERROR(__xludf.DUMMYFUNCTION("IF(H1429="""", """", ROUND(H1429 / MAX(FILTER($H$2:$H5067, $D$2:$D5067=$D1429)) * 100, 2))"),8.96)</f>
        <v>8.96</v>
      </c>
      <c r="K1429" s="2"/>
      <c r="L1429" s="48"/>
      <c r="M1429" s="48"/>
      <c r="N1429" s="48"/>
      <c r="O1429" s="48" t="str">
        <f t="shared" si="2"/>
        <v/>
      </c>
      <c r="P1429" s="48" t="str">
        <f t="shared" si="3"/>
        <v/>
      </c>
      <c r="Q1429" s="84"/>
      <c r="R1429" s="84"/>
      <c r="S1429" s="84"/>
      <c r="T1429" s="84"/>
      <c r="U1429" s="84"/>
      <c r="V1429" s="84"/>
      <c r="W1429" s="84"/>
      <c r="X1429" s="84"/>
      <c r="Y1429" s="84"/>
      <c r="Z1429" s="84"/>
      <c r="AA1429" s="84"/>
      <c r="AB1429" s="84"/>
    </row>
    <row r="1430">
      <c r="A1430" s="63">
        <v>97.0</v>
      </c>
      <c r="B1430" s="63">
        <v>154.0</v>
      </c>
      <c r="C1430" s="64" t="s">
        <v>339</v>
      </c>
      <c r="D1430" s="64" t="s">
        <v>340</v>
      </c>
      <c r="E1430" s="64" t="s">
        <v>341</v>
      </c>
      <c r="F1430" s="63">
        <v>1500.0</v>
      </c>
      <c r="G1430" s="63">
        <v>27.13</v>
      </c>
      <c r="H1430" s="66">
        <f t="shared" si="1"/>
        <v>56.82</v>
      </c>
      <c r="I1430" s="81">
        <f>IFERROR(__xludf.DUMMYFUNCTION("IF(G1430="""", """", ROUND(G1430 / MAX(FILTER($G$2:$G5067, $D$2:$D5067=$D1430)) * 100, 2))"),64.4)</f>
        <v>64.4</v>
      </c>
      <c r="J1430" s="81">
        <f>IFERROR(__xludf.DUMMYFUNCTION("IF(H1430="""", """", ROUND(H1430 / MAX(FILTER($H$2:$H5067, $D$2:$D5067=$D1430)) * 100, 2))"),14.96)</f>
        <v>14.96</v>
      </c>
      <c r="K1430" s="2"/>
      <c r="L1430" s="49"/>
      <c r="M1430" s="49"/>
      <c r="N1430" s="49"/>
      <c r="O1430" s="49" t="str">
        <f t="shared" si="2"/>
        <v/>
      </c>
      <c r="P1430" s="49" t="str">
        <f t="shared" si="3"/>
        <v/>
      </c>
      <c r="Q1430" s="84"/>
      <c r="R1430" s="84"/>
      <c r="S1430" s="84"/>
      <c r="T1430" s="84"/>
      <c r="U1430" s="84"/>
      <c r="V1430" s="84"/>
      <c r="W1430" s="84"/>
      <c r="X1430" s="84"/>
      <c r="Y1430" s="84"/>
      <c r="Z1430" s="84"/>
      <c r="AA1430" s="84"/>
      <c r="AB1430" s="84"/>
    </row>
    <row r="1431">
      <c r="A1431" s="69">
        <v>97.0</v>
      </c>
      <c r="B1431" s="69">
        <v>154.0</v>
      </c>
      <c r="C1431" s="86" t="s">
        <v>339</v>
      </c>
      <c r="D1431" s="86" t="s">
        <v>340</v>
      </c>
      <c r="E1431" s="86" t="s">
        <v>341</v>
      </c>
      <c r="F1431" s="69">
        <v>2000.0</v>
      </c>
      <c r="G1431" s="69">
        <v>29.5</v>
      </c>
      <c r="H1431" s="68">
        <f t="shared" si="1"/>
        <v>82.38</v>
      </c>
      <c r="I1431" s="81">
        <f>IFERROR(__xludf.DUMMYFUNCTION("IF(G1431="""", """", ROUND(G1431 / MAX(FILTER($G$2:$G5067, $D$2:$D5067=$D1431)) * 100, 2))"),70.02)</f>
        <v>70.02</v>
      </c>
      <c r="J1431" s="81">
        <f>IFERROR(__xludf.DUMMYFUNCTION("IF(H1431="""", """", ROUND(H1431 / MAX(FILTER($H$2:$H5067, $D$2:$D5067=$D1431)) * 100, 2))"),21.69)</f>
        <v>21.69</v>
      </c>
      <c r="K1431" s="2"/>
      <c r="L1431" s="48"/>
      <c r="M1431" s="48"/>
      <c r="N1431" s="48"/>
      <c r="O1431" s="48" t="str">
        <f t="shared" si="2"/>
        <v/>
      </c>
      <c r="P1431" s="48" t="str">
        <f t="shared" si="3"/>
        <v/>
      </c>
      <c r="Q1431" s="84"/>
      <c r="R1431" s="84"/>
      <c r="S1431" s="84"/>
      <c r="T1431" s="84"/>
      <c r="U1431" s="84"/>
      <c r="V1431" s="84"/>
      <c r="W1431" s="84"/>
      <c r="X1431" s="84"/>
      <c r="Y1431" s="84"/>
      <c r="Z1431" s="84"/>
      <c r="AA1431" s="84"/>
      <c r="AB1431" s="84"/>
    </row>
    <row r="1432">
      <c r="A1432" s="63">
        <v>97.0</v>
      </c>
      <c r="B1432" s="63">
        <v>154.0</v>
      </c>
      <c r="C1432" s="64" t="s">
        <v>339</v>
      </c>
      <c r="D1432" s="64" t="s">
        <v>340</v>
      </c>
      <c r="E1432" s="64" t="s">
        <v>341</v>
      </c>
      <c r="F1432" s="63">
        <v>2500.0</v>
      </c>
      <c r="G1432" s="63">
        <v>32.0</v>
      </c>
      <c r="H1432" s="66">
        <f t="shared" si="1"/>
        <v>111.7</v>
      </c>
      <c r="I1432" s="81">
        <f>IFERROR(__xludf.DUMMYFUNCTION("IF(G1432="""", """", ROUND(G1432 / MAX(FILTER($G$2:$G5067, $D$2:$D5067=$D1432)) * 100, 2))"),75.96)</f>
        <v>75.96</v>
      </c>
      <c r="J1432" s="81">
        <f>IFERROR(__xludf.DUMMYFUNCTION("IF(H1432="""", """", ROUND(H1432 / MAX(FILTER($H$2:$H5067, $D$2:$D5067=$D1432)) * 100, 2))"),29.41)</f>
        <v>29.41</v>
      </c>
      <c r="K1432" s="2"/>
      <c r="L1432" s="49"/>
      <c r="M1432" s="49"/>
      <c r="N1432" s="49"/>
      <c r="O1432" s="49" t="str">
        <f t="shared" si="2"/>
        <v/>
      </c>
      <c r="P1432" s="49" t="str">
        <f t="shared" si="3"/>
        <v/>
      </c>
      <c r="Q1432" s="84"/>
      <c r="R1432" s="84"/>
      <c r="S1432" s="84"/>
      <c r="T1432" s="84"/>
      <c r="U1432" s="84"/>
      <c r="V1432" s="84"/>
      <c r="W1432" s="84"/>
      <c r="X1432" s="84"/>
      <c r="Y1432" s="84"/>
      <c r="Z1432" s="84"/>
      <c r="AA1432" s="84"/>
      <c r="AB1432" s="84"/>
    </row>
    <row r="1433">
      <c r="A1433" s="69">
        <v>97.0</v>
      </c>
      <c r="B1433" s="69">
        <v>154.0</v>
      </c>
      <c r="C1433" s="86" t="s">
        <v>339</v>
      </c>
      <c r="D1433" s="86" t="s">
        <v>340</v>
      </c>
      <c r="E1433" s="86" t="s">
        <v>341</v>
      </c>
      <c r="F1433" s="69">
        <v>3000.0</v>
      </c>
      <c r="G1433" s="69">
        <v>34.25</v>
      </c>
      <c r="H1433" s="68">
        <f t="shared" si="1"/>
        <v>143.47</v>
      </c>
      <c r="I1433" s="81">
        <f>IFERROR(__xludf.DUMMYFUNCTION("IF(G1433="""", """", ROUND(G1433 / MAX(FILTER($G$2:$G5067, $D$2:$D5067=$D1433)) * 100, 2))"),81.3)</f>
        <v>81.3</v>
      </c>
      <c r="J1433" s="81">
        <f>IFERROR(__xludf.DUMMYFUNCTION("IF(H1433="""", """", ROUND(H1433 / MAX(FILTER($H$2:$H5067, $D$2:$D5067=$D1433)) * 100, 2))"),37.77)</f>
        <v>37.77</v>
      </c>
      <c r="K1433" s="2"/>
      <c r="L1433" s="48"/>
      <c r="M1433" s="48"/>
      <c r="N1433" s="48"/>
      <c r="O1433" s="48" t="str">
        <f t="shared" si="2"/>
        <v/>
      </c>
      <c r="P1433" s="48" t="str">
        <f t="shared" si="3"/>
        <v/>
      </c>
      <c r="Q1433" s="84"/>
      <c r="R1433" s="84"/>
      <c r="S1433" s="84"/>
      <c r="T1433" s="84"/>
      <c r="U1433" s="84"/>
      <c r="V1433" s="84"/>
      <c r="W1433" s="84"/>
      <c r="X1433" s="84"/>
      <c r="Y1433" s="84"/>
      <c r="Z1433" s="84"/>
      <c r="AA1433" s="84"/>
      <c r="AB1433" s="84"/>
    </row>
    <row r="1434">
      <c r="A1434" s="63">
        <v>97.0</v>
      </c>
      <c r="B1434" s="63">
        <v>154.0</v>
      </c>
      <c r="C1434" s="64" t="s">
        <v>339</v>
      </c>
      <c r="D1434" s="64" t="s">
        <v>340</v>
      </c>
      <c r="E1434" s="64" t="s">
        <v>341</v>
      </c>
      <c r="F1434" s="63">
        <v>3500.0</v>
      </c>
      <c r="G1434" s="63">
        <v>36.25</v>
      </c>
      <c r="H1434" s="66">
        <f t="shared" si="1"/>
        <v>177.15</v>
      </c>
      <c r="I1434" s="81">
        <f>IFERROR(__xludf.DUMMYFUNCTION("IF(G1434="""", """", ROUND(G1434 / MAX(FILTER($G$2:$G5067, $D$2:$D5067=$D1434)) * 100, 2))"),86.04)</f>
        <v>86.04</v>
      </c>
      <c r="J1434" s="81">
        <f>IFERROR(__xludf.DUMMYFUNCTION("IF(H1434="""", """", ROUND(H1434 / MAX(FILTER($H$2:$H5067, $D$2:$D5067=$D1434)) * 100, 2))"),46.64)</f>
        <v>46.64</v>
      </c>
      <c r="K1434" s="2"/>
      <c r="L1434" s="49"/>
      <c r="M1434" s="49"/>
      <c r="N1434" s="49"/>
      <c r="O1434" s="49" t="str">
        <f t="shared" si="2"/>
        <v/>
      </c>
      <c r="P1434" s="49" t="str">
        <f t="shared" si="3"/>
        <v/>
      </c>
      <c r="Q1434" s="84"/>
      <c r="R1434" s="84"/>
      <c r="S1434" s="84"/>
      <c r="T1434" s="84"/>
      <c r="U1434" s="84"/>
      <c r="V1434" s="84"/>
      <c r="W1434" s="84"/>
      <c r="X1434" s="84"/>
      <c r="Y1434" s="84"/>
      <c r="Z1434" s="84"/>
      <c r="AA1434" s="84"/>
      <c r="AB1434" s="84"/>
    </row>
    <row r="1435">
      <c r="A1435" s="69">
        <v>97.0</v>
      </c>
      <c r="B1435" s="69">
        <v>154.0</v>
      </c>
      <c r="C1435" s="86" t="s">
        <v>339</v>
      </c>
      <c r="D1435" s="86" t="s">
        <v>340</v>
      </c>
      <c r="E1435" s="86" t="s">
        <v>341</v>
      </c>
      <c r="F1435" s="69">
        <v>4000.0</v>
      </c>
      <c r="G1435" s="69">
        <v>37.75</v>
      </c>
      <c r="H1435" s="68">
        <f t="shared" si="1"/>
        <v>210.83</v>
      </c>
      <c r="I1435" s="81">
        <f>IFERROR(__xludf.DUMMYFUNCTION("IF(G1435="""", """", ROUND(G1435 / MAX(FILTER($G$2:$G5067, $D$2:$D5067=$D1435)) * 100, 2))"),89.6)</f>
        <v>89.6</v>
      </c>
      <c r="J1435" s="81">
        <f>IFERROR(__xludf.DUMMYFUNCTION("IF(H1435="""", """", ROUND(H1435 / MAX(FILTER($H$2:$H5067, $D$2:$D5067=$D1435)) * 100, 2))"),55.51)</f>
        <v>55.51</v>
      </c>
      <c r="K1435" s="2"/>
      <c r="L1435" s="48"/>
      <c r="M1435" s="48"/>
      <c r="N1435" s="48"/>
      <c r="O1435" s="48" t="str">
        <f t="shared" si="2"/>
        <v/>
      </c>
      <c r="P1435" s="48" t="str">
        <f t="shared" si="3"/>
        <v/>
      </c>
      <c r="Q1435" s="84"/>
      <c r="R1435" s="84"/>
      <c r="S1435" s="84"/>
      <c r="T1435" s="84"/>
      <c r="U1435" s="84"/>
      <c r="V1435" s="84"/>
      <c r="W1435" s="84"/>
      <c r="X1435" s="84"/>
      <c r="Y1435" s="84"/>
      <c r="Z1435" s="84"/>
      <c r="AA1435" s="84"/>
      <c r="AB1435" s="84"/>
    </row>
    <row r="1436">
      <c r="A1436" s="63">
        <v>97.0</v>
      </c>
      <c r="B1436" s="63">
        <v>154.0</v>
      </c>
      <c r="C1436" s="64" t="s">
        <v>339</v>
      </c>
      <c r="D1436" s="64" t="s">
        <v>340</v>
      </c>
      <c r="E1436" s="64" t="s">
        <v>341</v>
      </c>
      <c r="F1436" s="63">
        <v>4500.0</v>
      </c>
      <c r="G1436" s="63">
        <v>39.25</v>
      </c>
      <c r="H1436" s="66">
        <f t="shared" si="1"/>
        <v>246.61</v>
      </c>
      <c r="I1436" s="81">
        <f>IFERROR(__xludf.DUMMYFUNCTION("IF(G1436="""", """", ROUND(G1436 / MAX(FILTER($G$2:$G5067, $D$2:$D5067=$D1436)) * 100, 2))"),93.16)</f>
        <v>93.16</v>
      </c>
      <c r="J1436" s="81">
        <f>IFERROR(__xludf.DUMMYFUNCTION("IF(H1436="""", """", ROUND(H1436 / MAX(FILTER($H$2:$H5067, $D$2:$D5067=$D1436)) * 100, 2))"),64.93)</f>
        <v>64.93</v>
      </c>
      <c r="K1436" s="2"/>
      <c r="L1436" s="49"/>
      <c r="M1436" s="49"/>
      <c r="N1436" s="49"/>
      <c r="O1436" s="49" t="str">
        <f t="shared" si="2"/>
        <v/>
      </c>
      <c r="P1436" s="49" t="str">
        <f t="shared" si="3"/>
        <v/>
      </c>
      <c r="Q1436" s="84"/>
      <c r="R1436" s="84"/>
      <c r="S1436" s="84"/>
      <c r="T1436" s="84"/>
      <c r="U1436" s="84"/>
      <c r="V1436" s="84"/>
      <c r="W1436" s="84"/>
      <c r="X1436" s="84"/>
      <c r="Y1436" s="84"/>
      <c r="Z1436" s="84"/>
      <c r="AA1436" s="84"/>
      <c r="AB1436" s="84"/>
    </row>
    <row r="1437">
      <c r="A1437" s="69">
        <v>97.0</v>
      </c>
      <c r="B1437" s="69">
        <v>154.0</v>
      </c>
      <c r="C1437" s="86" t="s">
        <v>339</v>
      </c>
      <c r="D1437" s="86" t="s">
        <v>340</v>
      </c>
      <c r="E1437" s="86" t="s">
        <v>341</v>
      </c>
      <c r="F1437" s="69">
        <v>5000.0</v>
      </c>
      <c r="G1437" s="69">
        <v>40.88</v>
      </c>
      <c r="H1437" s="68">
        <f t="shared" si="1"/>
        <v>285.4</v>
      </c>
      <c r="I1437" s="81">
        <f>IFERROR(__xludf.DUMMYFUNCTION("IF(G1437="""", """", ROUND(G1437 / MAX(FILTER($G$2:$G5067, $D$2:$D5067=$D1437)) * 100, 2))"),97.03)</f>
        <v>97.03</v>
      </c>
      <c r="J1437" s="81">
        <f>IFERROR(__xludf.DUMMYFUNCTION("IF(H1437="""", """", ROUND(H1437 / MAX(FILTER($H$2:$H5067, $D$2:$D5067=$D1437)) * 100, 2))"),75.14)</f>
        <v>75.14</v>
      </c>
      <c r="K1437" s="2"/>
      <c r="L1437" s="48"/>
      <c r="M1437" s="48"/>
      <c r="N1437" s="48"/>
      <c r="O1437" s="48" t="str">
        <f t="shared" si="2"/>
        <v/>
      </c>
      <c r="P1437" s="48" t="str">
        <f t="shared" si="3"/>
        <v/>
      </c>
      <c r="Q1437" s="84"/>
      <c r="R1437" s="84"/>
      <c r="S1437" s="84"/>
      <c r="T1437" s="84"/>
      <c r="U1437" s="84"/>
      <c r="V1437" s="84"/>
      <c r="W1437" s="84"/>
      <c r="X1437" s="84"/>
      <c r="Y1437" s="84"/>
      <c r="Z1437" s="84"/>
      <c r="AA1437" s="84"/>
      <c r="AB1437" s="84"/>
    </row>
    <row r="1438">
      <c r="A1438" s="63">
        <v>97.0</v>
      </c>
      <c r="B1438" s="63">
        <v>154.0</v>
      </c>
      <c r="C1438" s="64" t="s">
        <v>339</v>
      </c>
      <c r="D1438" s="64" t="s">
        <v>340</v>
      </c>
      <c r="E1438" s="64" t="s">
        <v>341</v>
      </c>
      <c r="F1438" s="63">
        <v>5500.0</v>
      </c>
      <c r="G1438" s="63">
        <v>42.13</v>
      </c>
      <c r="H1438" s="66">
        <f t="shared" si="1"/>
        <v>323.53</v>
      </c>
      <c r="I1438" s="81">
        <f>IFERROR(__xludf.DUMMYFUNCTION("IF(G1438="""", """", ROUND(G1438 / MAX(FILTER($G$2:$G5067, $D$2:$D5067=$D1438)) * 100, 2))"),100.0)</f>
        <v>100</v>
      </c>
      <c r="J1438" s="81">
        <f>IFERROR(__xludf.DUMMYFUNCTION("IF(H1438="""", """", ROUND(H1438 / MAX(FILTER($H$2:$H5067, $D$2:$D5067=$D1438)) * 100, 2))"),85.18)</f>
        <v>85.18</v>
      </c>
      <c r="K1438" s="2"/>
      <c r="L1438" s="49"/>
      <c r="M1438" s="49"/>
      <c r="N1438" s="49"/>
      <c r="O1438" s="49" t="str">
        <f t="shared" si="2"/>
        <v/>
      </c>
      <c r="P1438" s="49" t="str">
        <f t="shared" si="3"/>
        <v/>
      </c>
      <c r="Q1438" s="84"/>
      <c r="R1438" s="84"/>
      <c r="S1438" s="84"/>
      <c r="T1438" s="84"/>
      <c r="U1438" s="84"/>
      <c r="V1438" s="84"/>
      <c r="W1438" s="84"/>
      <c r="X1438" s="84"/>
      <c r="Y1438" s="84"/>
      <c r="Z1438" s="84"/>
      <c r="AA1438" s="84"/>
      <c r="AB1438" s="84"/>
    </row>
    <row r="1439">
      <c r="A1439" s="69">
        <v>97.0</v>
      </c>
      <c r="B1439" s="69">
        <v>154.0</v>
      </c>
      <c r="C1439" s="86" t="s">
        <v>339</v>
      </c>
      <c r="D1439" s="86" t="s">
        <v>340</v>
      </c>
      <c r="E1439" s="86" t="s">
        <v>341</v>
      </c>
      <c r="F1439" s="69">
        <v>6000.0</v>
      </c>
      <c r="G1439" s="69">
        <v>42.13</v>
      </c>
      <c r="H1439" s="68">
        <f t="shared" si="1"/>
        <v>352.95</v>
      </c>
      <c r="I1439" s="81">
        <f>IFERROR(__xludf.DUMMYFUNCTION("IF(G1439="""", """", ROUND(G1439 / MAX(FILTER($G$2:$G5067, $D$2:$D5067=$D1439)) * 100, 2))"),100.0)</f>
        <v>100</v>
      </c>
      <c r="J1439" s="81">
        <f>IFERROR(__xludf.DUMMYFUNCTION("IF(H1439="""", """", ROUND(H1439 / MAX(FILTER($H$2:$H5067, $D$2:$D5067=$D1439)) * 100, 2))"),92.93)</f>
        <v>92.93</v>
      </c>
      <c r="K1439" s="2"/>
      <c r="L1439" s="48"/>
      <c r="M1439" s="48"/>
      <c r="N1439" s="48"/>
      <c r="O1439" s="48" t="str">
        <f t="shared" si="2"/>
        <v/>
      </c>
      <c r="P1439" s="48" t="str">
        <f t="shared" si="3"/>
        <v/>
      </c>
      <c r="Q1439" s="84"/>
      <c r="R1439" s="84"/>
      <c r="S1439" s="84"/>
      <c r="T1439" s="84"/>
      <c r="U1439" s="84"/>
      <c r="V1439" s="84"/>
      <c r="W1439" s="84"/>
      <c r="X1439" s="84"/>
      <c r="Y1439" s="84"/>
      <c r="Z1439" s="84"/>
      <c r="AA1439" s="84"/>
      <c r="AB1439" s="84"/>
    </row>
    <row r="1440">
      <c r="A1440" s="63">
        <v>97.0</v>
      </c>
      <c r="B1440" s="63">
        <v>154.0</v>
      </c>
      <c r="C1440" s="64" t="s">
        <v>339</v>
      </c>
      <c r="D1440" s="64" t="s">
        <v>340</v>
      </c>
      <c r="E1440" s="64" t="s">
        <v>341</v>
      </c>
      <c r="F1440" s="63">
        <v>6500.0</v>
      </c>
      <c r="G1440" s="63">
        <v>41.38</v>
      </c>
      <c r="H1440" s="66">
        <f t="shared" si="1"/>
        <v>375.55</v>
      </c>
      <c r="I1440" s="81">
        <f>IFERROR(__xludf.DUMMYFUNCTION("IF(G1440="""", """", ROUND(G1440 / MAX(FILTER($G$2:$G5067, $D$2:$D5067=$D1440)) * 100, 2))"),98.22)</f>
        <v>98.22</v>
      </c>
      <c r="J1440" s="81">
        <f>IFERROR(__xludf.DUMMYFUNCTION("IF(H1440="""", """", ROUND(H1440 / MAX(FILTER($H$2:$H5067, $D$2:$D5067=$D1440)) * 100, 2))"),98.88)</f>
        <v>98.88</v>
      </c>
      <c r="K1440" s="2"/>
      <c r="L1440" s="49"/>
      <c r="M1440" s="49"/>
      <c r="N1440" s="49"/>
      <c r="O1440" s="49" t="str">
        <f t="shared" si="2"/>
        <v/>
      </c>
      <c r="P1440" s="49" t="str">
        <f t="shared" si="3"/>
        <v/>
      </c>
      <c r="Q1440" s="84"/>
      <c r="R1440" s="84"/>
      <c r="S1440" s="84"/>
      <c r="T1440" s="84"/>
      <c r="U1440" s="84"/>
      <c r="V1440" s="84"/>
      <c r="W1440" s="84"/>
      <c r="X1440" s="84"/>
      <c r="Y1440" s="84"/>
      <c r="Z1440" s="84"/>
      <c r="AA1440" s="84"/>
      <c r="AB1440" s="84"/>
    </row>
    <row r="1441">
      <c r="A1441" s="69">
        <v>97.0</v>
      </c>
      <c r="B1441" s="69">
        <v>154.0</v>
      </c>
      <c r="C1441" s="86" t="s">
        <v>339</v>
      </c>
      <c r="D1441" s="86" t="s">
        <v>340</v>
      </c>
      <c r="E1441" s="86" t="s">
        <v>341</v>
      </c>
      <c r="F1441" s="69">
        <v>6750.0</v>
      </c>
      <c r="G1441" s="69">
        <v>40.3</v>
      </c>
      <c r="H1441" s="68">
        <f t="shared" si="1"/>
        <v>379.82</v>
      </c>
      <c r="I1441" s="81">
        <f>IFERROR(__xludf.DUMMYFUNCTION("IF(G1441="""", """", ROUND(G1441 / MAX(FILTER($G$2:$G5067, $D$2:$D5067=$D1441)) * 100, 2))"),95.66)</f>
        <v>95.66</v>
      </c>
      <c r="J1441" s="81">
        <f>IFERROR(__xludf.DUMMYFUNCTION("IF(H1441="""", """", ROUND(H1441 / MAX(FILTER($H$2:$H5067, $D$2:$D5067=$D1441)) * 100, 2))"),100.0)</f>
        <v>100</v>
      </c>
      <c r="K1441" s="2"/>
      <c r="L1441" s="48"/>
      <c r="M1441" s="48"/>
      <c r="N1441" s="48"/>
      <c r="O1441" s="48" t="str">
        <f t="shared" si="2"/>
        <v/>
      </c>
      <c r="P1441" s="48" t="str">
        <f t="shared" si="3"/>
        <v/>
      </c>
      <c r="Q1441" s="84"/>
      <c r="R1441" s="84"/>
      <c r="S1441" s="84"/>
      <c r="T1441" s="84"/>
      <c r="U1441" s="84"/>
      <c r="V1441" s="84"/>
      <c r="W1441" s="84"/>
      <c r="X1441" s="84"/>
      <c r="Y1441" s="84"/>
      <c r="Z1441" s="84"/>
      <c r="AA1441" s="84"/>
      <c r="AB1441" s="84"/>
    </row>
    <row r="1442">
      <c r="A1442" s="63">
        <v>97.0</v>
      </c>
      <c r="B1442" s="63">
        <v>154.0</v>
      </c>
      <c r="C1442" s="64" t="s">
        <v>339</v>
      </c>
      <c r="D1442" s="64" t="s">
        <v>340</v>
      </c>
      <c r="E1442" s="64" t="s">
        <v>341</v>
      </c>
      <c r="F1442" s="63">
        <v>7000.0</v>
      </c>
      <c r="G1442" s="63">
        <v>38.26</v>
      </c>
      <c r="H1442" s="66">
        <f t="shared" si="1"/>
        <v>373.95</v>
      </c>
      <c r="I1442" s="81">
        <f>IFERROR(__xludf.DUMMYFUNCTION("IF(G1442="""", """", ROUND(G1442 / MAX(FILTER($G$2:$G5067, $D$2:$D5067=$D1442)) * 100, 2))"),90.81)</f>
        <v>90.81</v>
      </c>
      <c r="J1442" s="81">
        <f>IFERROR(__xludf.DUMMYFUNCTION("IF(H1442="""", """", ROUND(H1442 / MAX(FILTER($H$2:$H5067, $D$2:$D5067=$D1442)) * 100, 2))"),98.45)</f>
        <v>98.45</v>
      </c>
      <c r="K1442" s="2"/>
      <c r="L1442" s="49"/>
      <c r="M1442" s="49"/>
      <c r="N1442" s="49"/>
      <c r="O1442" s="49" t="str">
        <f t="shared" si="2"/>
        <v/>
      </c>
      <c r="P1442" s="49" t="str">
        <f t="shared" si="3"/>
        <v/>
      </c>
      <c r="Q1442" s="84"/>
      <c r="R1442" s="84"/>
      <c r="S1442" s="84"/>
      <c r="T1442" s="84"/>
      <c r="U1442" s="84"/>
      <c r="V1442" s="84"/>
      <c r="W1442" s="84"/>
      <c r="X1442" s="84"/>
      <c r="Y1442" s="84"/>
      <c r="Z1442" s="84"/>
      <c r="AA1442" s="84"/>
      <c r="AB1442" s="84"/>
    </row>
    <row r="1443">
      <c r="A1443" s="69">
        <v>97.0</v>
      </c>
      <c r="B1443" s="69">
        <v>154.0</v>
      </c>
      <c r="C1443" s="86" t="s">
        <v>339</v>
      </c>
      <c r="D1443" s="86" t="s">
        <v>340</v>
      </c>
      <c r="E1443" s="86" t="s">
        <v>341</v>
      </c>
      <c r="F1443" s="69">
        <v>7500.0</v>
      </c>
      <c r="G1443" s="69">
        <v>32.5</v>
      </c>
      <c r="H1443" s="68">
        <f t="shared" si="1"/>
        <v>340.34</v>
      </c>
      <c r="I1443" s="81">
        <f>IFERROR(__xludf.DUMMYFUNCTION("IF(G1443="""", """", ROUND(G1443 / MAX(FILTER($G$2:$G5067, $D$2:$D5067=$D1443)) * 100, 2))"),77.14)</f>
        <v>77.14</v>
      </c>
      <c r="J1443" s="81">
        <f>IFERROR(__xludf.DUMMYFUNCTION("IF(H1443="""", """", ROUND(H1443 / MAX(FILTER($H$2:$H5067, $D$2:$D5067=$D1443)) * 100, 2))"),89.61)</f>
        <v>89.61</v>
      </c>
      <c r="K1443" s="2"/>
      <c r="L1443" s="48"/>
      <c r="M1443" s="48"/>
      <c r="N1443" s="48"/>
      <c r="O1443" s="48" t="str">
        <f t="shared" si="2"/>
        <v/>
      </c>
      <c r="P1443" s="48" t="str">
        <f t="shared" si="3"/>
        <v/>
      </c>
      <c r="Q1443" s="84"/>
      <c r="R1443" s="84"/>
      <c r="S1443" s="84"/>
      <c r="T1443" s="84"/>
      <c r="U1443" s="84"/>
      <c r="V1443" s="84"/>
      <c r="W1443" s="84"/>
      <c r="X1443" s="84"/>
      <c r="Y1443" s="84"/>
      <c r="Z1443" s="84"/>
      <c r="AA1443" s="84"/>
      <c r="AB1443" s="84"/>
    </row>
    <row r="1444">
      <c r="A1444" s="63">
        <v>98.0</v>
      </c>
      <c r="B1444" s="63">
        <v>155.0</v>
      </c>
      <c r="C1444" s="64" t="s">
        <v>342</v>
      </c>
      <c r="D1444" s="64" t="s">
        <v>343</v>
      </c>
      <c r="E1444" s="64" t="s">
        <v>344</v>
      </c>
      <c r="F1444" s="63">
        <v>500.0</v>
      </c>
      <c r="G1444" s="63">
        <v>11.1</v>
      </c>
      <c r="H1444" s="66">
        <f t="shared" si="1"/>
        <v>7.75</v>
      </c>
      <c r="I1444" s="81">
        <f>IFERROR(__xludf.DUMMYFUNCTION("IF(G1444="""", """", ROUND(G1444 / MAX(FILTER($G$2:$G5067, $D$2:$D5067=$D1444)) * 100, 2))"),53.88)</f>
        <v>53.88</v>
      </c>
      <c r="J1444" s="81">
        <f>IFERROR(__xludf.DUMMYFUNCTION("IF(H1444="""", """", ROUND(H1444 / MAX(FILTER($H$2:$H5067, $D$2:$D5067=$D1444)) * 100, 2))"),3.88)</f>
        <v>3.88</v>
      </c>
      <c r="K1444" s="2"/>
      <c r="L1444" s="49"/>
      <c r="M1444" s="49"/>
      <c r="N1444" s="49"/>
      <c r="O1444" s="49" t="str">
        <f t="shared" si="2"/>
        <v/>
      </c>
      <c r="P1444" s="49" t="str">
        <f t="shared" si="3"/>
        <v/>
      </c>
      <c r="Q1444" s="84"/>
      <c r="R1444" s="84"/>
      <c r="S1444" s="84"/>
      <c r="T1444" s="84"/>
      <c r="U1444" s="84"/>
      <c r="V1444" s="84"/>
      <c r="W1444" s="84"/>
      <c r="X1444" s="84"/>
      <c r="Y1444" s="84"/>
      <c r="Z1444" s="84"/>
      <c r="AA1444" s="84"/>
      <c r="AB1444" s="84"/>
    </row>
    <row r="1445">
      <c r="A1445" s="69">
        <v>98.0</v>
      </c>
      <c r="B1445" s="69">
        <v>155.0</v>
      </c>
      <c r="C1445" s="86" t="s">
        <v>342</v>
      </c>
      <c r="D1445" s="86" t="s">
        <v>343</v>
      </c>
      <c r="E1445" s="86" t="s">
        <v>344</v>
      </c>
      <c r="F1445" s="69">
        <v>1000.0</v>
      </c>
      <c r="G1445" s="69">
        <v>13.65</v>
      </c>
      <c r="H1445" s="68">
        <f t="shared" si="1"/>
        <v>19.06</v>
      </c>
      <c r="I1445" s="81">
        <f>IFERROR(__xludf.DUMMYFUNCTION("IF(G1445="""", """", ROUND(G1445 / MAX(FILTER($G$2:$G5067, $D$2:$D5067=$D1445)) * 100, 2))"),66.26)</f>
        <v>66.26</v>
      </c>
      <c r="J1445" s="81">
        <f>IFERROR(__xludf.DUMMYFUNCTION("IF(H1445="""", """", ROUND(H1445 / MAX(FILTER($H$2:$H5067, $D$2:$D5067=$D1445)) * 100, 2))"),9.55)</f>
        <v>9.55</v>
      </c>
      <c r="K1445" s="2"/>
      <c r="L1445" s="48"/>
      <c r="M1445" s="48"/>
      <c r="N1445" s="48"/>
      <c r="O1445" s="48" t="str">
        <f t="shared" si="2"/>
        <v/>
      </c>
      <c r="P1445" s="48" t="str">
        <f t="shared" si="3"/>
        <v/>
      </c>
      <c r="Q1445" s="84"/>
      <c r="R1445" s="84"/>
      <c r="S1445" s="84"/>
      <c r="T1445" s="84"/>
      <c r="U1445" s="84"/>
      <c r="V1445" s="84"/>
      <c r="W1445" s="84"/>
      <c r="X1445" s="84"/>
      <c r="Y1445" s="84"/>
      <c r="Z1445" s="84"/>
      <c r="AA1445" s="84"/>
      <c r="AB1445" s="84"/>
    </row>
    <row r="1446">
      <c r="A1446" s="63">
        <v>98.0</v>
      </c>
      <c r="B1446" s="63">
        <v>155.0</v>
      </c>
      <c r="C1446" s="64" t="s">
        <v>342</v>
      </c>
      <c r="D1446" s="64" t="s">
        <v>343</v>
      </c>
      <c r="E1446" s="64" t="s">
        <v>344</v>
      </c>
      <c r="F1446" s="63">
        <v>1500.0</v>
      </c>
      <c r="G1446" s="63">
        <v>14.78</v>
      </c>
      <c r="H1446" s="66">
        <f t="shared" si="1"/>
        <v>30.96</v>
      </c>
      <c r="I1446" s="81">
        <f>IFERROR(__xludf.DUMMYFUNCTION("IF(G1446="""", """", ROUND(G1446 / MAX(FILTER($G$2:$G5067, $D$2:$D5067=$D1446)) * 100, 2))"),71.75)</f>
        <v>71.75</v>
      </c>
      <c r="J1446" s="81">
        <f>IFERROR(__xludf.DUMMYFUNCTION("IF(H1446="""", """", ROUND(H1446 / MAX(FILTER($H$2:$H5067, $D$2:$D5067=$D1446)) * 100, 2))"),15.51)</f>
        <v>15.51</v>
      </c>
      <c r="K1446" s="2"/>
      <c r="L1446" s="49"/>
      <c r="M1446" s="49"/>
      <c r="N1446" s="49"/>
      <c r="O1446" s="49" t="str">
        <f t="shared" si="2"/>
        <v/>
      </c>
      <c r="P1446" s="49" t="str">
        <f t="shared" si="3"/>
        <v/>
      </c>
      <c r="Q1446" s="84"/>
      <c r="R1446" s="84"/>
      <c r="S1446" s="84"/>
      <c r="T1446" s="84"/>
      <c r="U1446" s="84"/>
      <c r="V1446" s="84"/>
      <c r="W1446" s="84"/>
      <c r="X1446" s="84"/>
      <c r="Y1446" s="84"/>
      <c r="Z1446" s="84"/>
      <c r="AA1446" s="84"/>
      <c r="AB1446" s="84"/>
    </row>
    <row r="1447">
      <c r="A1447" s="69">
        <v>98.0</v>
      </c>
      <c r="B1447" s="69">
        <v>155.0</v>
      </c>
      <c r="C1447" s="86" t="s">
        <v>342</v>
      </c>
      <c r="D1447" s="86" t="s">
        <v>343</v>
      </c>
      <c r="E1447" s="86" t="s">
        <v>344</v>
      </c>
      <c r="F1447" s="69">
        <v>2000.0</v>
      </c>
      <c r="G1447" s="69">
        <v>15.23</v>
      </c>
      <c r="H1447" s="68">
        <f t="shared" si="1"/>
        <v>42.53</v>
      </c>
      <c r="I1447" s="81">
        <f>IFERROR(__xludf.DUMMYFUNCTION("IF(G1447="""", """", ROUND(G1447 / MAX(FILTER($G$2:$G5067, $D$2:$D5067=$D1447)) * 100, 2))"),73.93)</f>
        <v>73.93</v>
      </c>
      <c r="J1447" s="81">
        <f>IFERROR(__xludf.DUMMYFUNCTION("IF(H1447="""", """", ROUND(H1447 / MAX(FILTER($H$2:$H5067, $D$2:$D5067=$D1447)) * 100, 2))"),21.31)</f>
        <v>21.31</v>
      </c>
      <c r="K1447" s="2"/>
      <c r="L1447" s="48"/>
      <c r="M1447" s="48"/>
      <c r="N1447" s="48"/>
      <c r="O1447" s="48" t="str">
        <f t="shared" si="2"/>
        <v/>
      </c>
      <c r="P1447" s="48" t="str">
        <f t="shared" si="3"/>
        <v/>
      </c>
      <c r="Q1447" s="84"/>
      <c r="R1447" s="84"/>
      <c r="S1447" s="84"/>
      <c r="T1447" s="84"/>
      <c r="U1447" s="84"/>
      <c r="V1447" s="84"/>
      <c r="W1447" s="84"/>
      <c r="X1447" s="84"/>
      <c r="Y1447" s="84"/>
      <c r="Z1447" s="84"/>
      <c r="AA1447" s="84"/>
      <c r="AB1447" s="84"/>
    </row>
    <row r="1448">
      <c r="A1448" s="63">
        <v>98.0</v>
      </c>
      <c r="B1448" s="63">
        <v>155.0</v>
      </c>
      <c r="C1448" s="64" t="s">
        <v>342</v>
      </c>
      <c r="D1448" s="64" t="s">
        <v>343</v>
      </c>
      <c r="E1448" s="64" t="s">
        <v>344</v>
      </c>
      <c r="F1448" s="63">
        <v>2500.0</v>
      </c>
      <c r="G1448" s="63">
        <v>15.53</v>
      </c>
      <c r="H1448" s="66">
        <f t="shared" si="1"/>
        <v>54.21</v>
      </c>
      <c r="I1448" s="81">
        <f>IFERROR(__xludf.DUMMYFUNCTION("IF(G1448="""", """", ROUND(G1448 / MAX(FILTER($G$2:$G5067, $D$2:$D5067=$D1448)) * 100, 2))"),75.39)</f>
        <v>75.39</v>
      </c>
      <c r="J1448" s="81">
        <f>IFERROR(__xludf.DUMMYFUNCTION("IF(H1448="""", """", ROUND(H1448 / MAX(FILTER($H$2:$H5067, $D$2:$D5067=$D1448)) * 100, 2))"),27.16)</f>
        <v>27.16</v>
      </c>
      <c r="K1448" s="2"/>
      <c r="L1448" s="49"/>
      <c r="M1448" s="49"/>
      <c r="N1448" s="49"/>
      <c r="O1448" s="49" t="str">
        <f t="shared" si="2"/>
        <v/>
      </c>
      <c r="P1448" s="49" t="str">
        <f t="shared" si="3"/>
        <v/>
      </c>
      <c r="Q1448" s="84"/>
      <c r="R1448" s="84"/>
      <c r="S1448" s="84"/>
      <c r="T1448" s="84"/>
      <c r="U1448" s="84"/>
      <c r="V1448" s="84"/>
      <c r="W1448" s="84"/>
      <c r="X1448" s="84"/>
      <c r="Y1448" s="84"/>
      <c r="Z1448" s="84"/>
      <c r="AA1448" s="84"/>
      <c r="AB1448" s="84"/>
    </row>
    <row r="1449">
      <c r="A1449" s="69">
        <v>98.0</v>
      </c>
      <c r="B1449" s="69">
        <v>155.0</v>
      </c>
      <c r="C1449" s="86" t="s">
        <v>342</v>
      </c>
      <c r="D1449" s="86" t="s">
        <v>343</v>
      </c>
      <c r="E1449" s="86" t="s">
        <v>344</v>
      </c>
      <c r="F1449" s="69">
        <v>3000.0</v>
      </c>
      <c r="G1449" s="69">
        <v>15.6</v>
      </c>
      <c r="H1449" s="68">
        <f t="shared" si="1"/>
        <v>65.34</v>
      </c>
      <c r="I1449" s="81">
        <f>IFERROR(__xludf.DUMMYFUNCTION("IF(G1449="""", """", ROUND(G1449 / MAX(FILTER($G$2:$G5067, $D$2:$D5067=$D1449)) * 100, 2))"),75.73)</f>
        <v>75.73</v>
      </c>
      <c r="J1449" s="81">
        <f>IFERROR(__xludf.DUMMYFUNCTION("IF(H1449="""", """", ROUND(H1449 / MAX(FILTER($H$2:$H5067, $D$2:$D5067=$D1449)) * 100, 2))"),32.74)</f>
        <v>32.74</v>
      </c>
      <c r="K1449" s="2"/>
      <c r="L1449" s="48"/>
      <c r="M1449" s="48"/>
      <c r="N1449" s="48"/>
      <c r="O1449" s="48" t="str">
        <f t="shared" si="2"/>
        <v/>
      </c>
      <c r="P1449" s="48" t="str">
        <f t="shared" si="3"/>
        <v/>
      </c>
      <c r="Q1449" s="84"/>
      <c r="R1449" s="84"/>
      <c r="S1449" s="84"/>
      <c r="T1449" s="84"/>
      <c r="U1449" s="84"/>
      <c r="V1449" s="84"/>
      <c r="W1449" s="84"/>
      <c r="X1449" s="84"/>
      <c r="Y1449" s="84"/>
      <c r="Z1449" s="84"/>
      <c r="AA1449" s="84"/>
      <c r="AB1449" s="84"/>
    </row>
    <row r="1450">
      <c r="A1450" s="63">
        <v>98.0</v>
      </c>
      <c r="B1450" s="63">
        <v>155.0</v>
      </c>
      <c r="C1450" s="64" t="s">
        <v>342</v>
      </c>
      <c r="D1450" s="64" t="s">
        <v>343</v>
      </c>
      <c r="E1450" s="64" t="s">
        <v>344</v>
      </c>
      <c r="F1450" s="63">
        <v>3500.0</v>
      </c>
      <c r="G1450" s="63">
        <v>15.75</v>
      </c>
      <c r="H1450" s="66">
        <f t="shared" si="1"/>
        <v>76.97</v>
      </c>
      <c r="I1450" s="81">
        <f>IFERROR(__xludf.DUMMYFUNCTION("IF(G1450="""", """", ROUND(G1450 / MAX(FILTER($G$2:$G5067, $D$2:$D5067=$D1450)) * 100, 2))"),76.46)</f>
        <v>76.46</v>
      </c>
      <c r="J1450" s="81">
        <f>IFERROR(__xludf.DUMMYFUNCTION("IF(H1450="""", """", ROUND(H1450 / MAX(FILTER($H$2:$H5067, $D$2:$D5067=$D1450)) * 100, 2))"),38.57)</f>
        <v>38.57</v>
      </c>
      <c r="K1450" s="2"/>
      <c r="L1450" s="49"/>
      <c r="M1450" s="49"/>
      <c r="N1450" s="49"/>
      <c r="O1450" s="49" t="str">
        <f t="shared" si="2"/>
        <v/>
      </c>
      <c r="P1450" s="49" t="str">
        <f t="shared" si="3"/>
        <v/>
      </c>
      <c r="Q1450" s="84"/>
      <c r="R1450" s="84"/>
      <c r="S1450" s="84"/>
      <c r="T1450" s="84"/>
      <c r="U1450" s="84"/>
      <c r="V1450" s="84"/>
      <c r="W1450" s="84"/>
      <c r="X1450" s="84"/>
      <c r="Y1450" s="84"/>
      <c r="Z1450" s="84"/>
      <c r="AA1450" s="84"/>
      <c r="AB1450" s="84"/>
    </row>
    <row r="1451">
      <c r="A1451" s="69">
        <v>98.0</v>
      </c>
      <c r="B1451" s="69">
        <v>155.0</v>
      </c>
      <c r="C1451" s="86" t="s">
        <v>342</v>
      </c>
      <c r="D1451" s="86" t="s">
        <v>343</v>
      </c>
      <c r="E1451" s="86" t="s">
        <v>344</v>
      </c>
      <c r="F1451" s="69">
        <v>4000.0</v>
      </c>
      <c r="G1451" s="69">
        <v>16.13</v>
      </c>
      <c r="H1451" s="68">
        <f t="shared" si="1"/>
        <v>90.09</v>
      </c>
      <c r="I1451" s="81">
        <f>IFERROR(__xludf.DUMMYFUNCTION("IF(G1451="""", """", ROUND(G1451 / MAX(FILTER($G$2:$G5067, $D$2:$D5067=$D1451)) * 100, 2))"),78.3)</f>
        <v>78.3</v>
      </c>
      <c r="J1451" s="81">
        <f>IFERROR(__xludf.DUMMYFUNCTION("IF(H1451="""", """", ROUND(H1451 / MAX(FILTER($H$2:$H5067, $D$2:$D5067=$D1451)) * 100, 2))"),45.14)</f>
        <v>45.14</v>
      </c>
      <c r="K1451" s="2"/>
      <c r="L1451" s="48"/>
      <c r="M1451" s="48"/>
      <c r="N1451" s="48"/>
      <c r="O1451" s="48" t="str">
        <f t="shared" si="2"/>
        <v/>
      </c>
      <c r="P1451" s="48" t="str">
        <f t="shared" si="3"/>
        <v/>
      </c>
      <c r="Q1451" s="84"/>
      <c r="R1451" s="84"/>
      <c r="S1451" s="84"/>
      <c r="T1451" s="84"/>
      <c r="U1451" s="84"/>
      <c r="V1451" s="84"/>
      <c r="W1451" s="84"/>
      <c r="X1451" s="84"/>
      <c r="Y1451" s="84"/>
      <c r="Z1451" s="84"/>
      <c r="AA1451" s="84"/>
      <c r="AB1451" s="84"/>
    </row>
    <row r="1452">
      <c r="A1452" s="63">
        <v>98.0</v>
      </c>
      <c r="B1452" s="63">
        <v>155.0</v>
      </c>
      <c r="C1452" s="64" t="s">
        <v>342</v>
      </c>
      <c r="D1452" s="64" t="s">
        <v>343</v>
      </c>
      <c r="E1452" s="64" t="s">
        <v>344</v>
      </c>
      <c r="F1452" s="63">
        <v>4500.0</v>
      </c>
      <c r="G1452" s="63">
        <v>16.73</v>
      </c>
      <c r="H1452" s="66">
        <f t="shared" si="1"/>
        <v>105.12</v>
      </c>
      <c r="I1452" s="81">
        <f>IFERROR(__xludf.DUMMYFUNCTION("IF(G1452="""", """", ROUND(G1452 / MAX(FILTER($G$2:$G5067, $D$2:$D5067=$D1452)) * 100, 2))"),81.21)</f>
        <v>81.21</v>
      </c>
      <c r="J1452" s="81">
        <f>IFERROR(__xludf.DUMMYFUNCTION("IF(H1452="""", """", ROUND(H1452 / MAX(FILTER($H$2:$H5067, $D$2:$D5067=$D1452)) * 100, 2))"),52.67)</f>
        <v>52.67</v>
      </c>
      <c r="K1452" s="2"/>
      <c r="L1452" s="49"/>
      <c r="M1452" s="49"/>
      <c r="N1452" s="49"/>
      <c r="O1452" s="49" t="str">
        <f t="shared" si="2"/>
        <v/>
      </c>
      <c r="P1452" s="49" t="str">
        <f t="shared" si="3"/>
        <v/>
      </c>
      <c r="Q1452" s="84"/>
      <c r="R1452" s="84"/>
      <c r="S1452" s="84"/>
      <c r="T1452" s="84"/>
      <c r="U1452" s="84"/>
      <c r="V1452" s="84"/>
      <c r="W1452" s="84"/>
      <c r="X1452" s="84"/>
      <c r="Y1452" s="84"/>
      <c r="Z1452" s="84"/>
      <c r="AA1452" s="84"/>
      <c r="AB1452" s="84"/>
    </row>
    <row r="1453">
      <c r="A1453" s="69">
        <v>98.0</v>
      </c>
      <c r="B1453" s="69">
        <v>155.0</v>
      </c>
      <c r="C1453" s="86" t="s">
        <v>342</v>
      </c>
      <c r="D1453" s="86" t="s">
        <v>343</v>
      </c>
      <c r="E1453" s="86" t="s">
        <v>344</v>
      </c>
      <c r="F1453" s="69">
        <v>5000.0</v>
      </c>
      <c r="G1453" s="69">
        <v>17.78</v>
      </c>
      <c r="H1453" s="68">
        <f t="shared" si="1"/>
        <v>124.13</v>
      </c>
      <c r="I1453" s="81">
        <f>IFERROR(__xludf.DUMMYFUNCTION("IF(G1453="""", """", ROUND(G1453 / MAX(FILTER($G$2:$G5067, $D$2:$D5067=$D1453)) * 100, 2))"),86.31)</f>
        <v>86.31</v>
      </c>
      <c r="J1453" s="81">
        <f>IFERROR(__xludf.DUMMYFUNCTION("IF(H1453="""", """", ROUND(H1453 / MAX(FILTER($H$2:$H5067, $D$2:$D5067=$D1453)) * 100, 2))"),62.2)</f>
        <v>62.2</v>
      </c>
      <c r="K1453" s="2"/>
      <c r="L1453" s="48"/>
      <c r="M1453" s="48"/>
      <c r="N1453" s="48"/>
      <c r="O1453" s="48" t="str">
        <f t="shared" si="2"/>
        <v/>
      </c>
      <c r="P1453" s="48" t="str">
        <f t="shared" si="3"/>
        <v/>
      </c>
      <c r="Q1453" s="84"/>
      <c r="R1453" s="84"/>
      <c r="S1453" s="84"/>
      <c r="T1453" s="84"/>
      <c r="U1453" s="84"/>
      <c r="V1453" s="84"/>
      <c r="W1453" s="84"/>
      <c r="X1453" s="84"/>
      <c r="Y1453" s="84"/>
      <c r="Z1453" s="84"/>
      <c r="AA1453" s="84"/>
      <c r="AB1453" s="84"/>
    </row>
    <row r="1454">
      <c r="A1454" s="63">
        <v>98.0</v>
      </c>
      <c r="B1454" s="63">
        <v>155.0</v>
      </c>
      <c r="C1454" s="64" t="s">
        <v>342</v>
      </c>
      <c r="D1454" s="64" t="s">
        <v>343</v>
      </c>
      <c r="E1454" s="64" t="s">
        <v>344</v>
      </c>
      <c r="F1454" s="63">
        <v>5500.0</v>
      </c>
      <c r="G1454" s="63">
        <v>19.28</v>
      </c>
      <c r="H1454" s="66">
        <f t="shared" si="1"/>
        <v>148.06</v>
      </c>
      <c r="I1454" s="81">
        <f>IFERROR(__xludf.DUMMYFUNCTION("IF(G1454="""", """", ROUND(G1454 / MAX(FILTER($G$2:$G5067, $D$2:$D5067=$D1454)) * 100, 2))"),93.59)</f>
        <v>93.59</v>
      </c>
      <c r="J1454" s="81">
        <f>IFERROR(__xludf.DUMMYFUNCTION("IF(H1454="""", """", ROUND(H1454 / MAX(FILTER($H$2:$H5067, $D$2:$D5067=$D1454)) * 100, 2))"),74.19)</f>
        <v>74.19</v>
      </c>
      <c r="K1454" s="2"/>
      <c r="L1454" s="49"/>
      <c r="M1454" s="49"/>
      <c r="N1454" s="49"/>
      <c r="O1454" s="49" t="str">
        <f t="shared" si="2"/>
        <v/>
      </c>
      <c r="P1454" s="49" t="str">
        <f t="shared" si="3"/>
        <v/>
      </c>
      <c r="Q1454" s="84"/>
      <c r="R1454" s="84"/>
      <c r="S1454" s="84"/>
      <c r="T1454" s="84"/>
      <c r="U1454" s="84"/>
      <c r="V1454" s="84"/>
      <c r="W1454" s="84"/>
      <c r="X1454" s="84"/>
      <c r="Y1454" s="84"/>
      <c r="Z1454" s="84"/>
      <c r="AA1454" s="84"/>
      <c r="AB1454" s="84"/>
    </row>
    <row r="1455">
      <c r="A1455" s="69">
        <v>98.0</v>
      </c>
      <c r="B1455" s="69">
        <v>155.0</v>
      </c>
      <c r="C1455" s="86" t="s">
        <v>342</v>
      </c>
      <c r="D1455" s="86" t="s">
        <v>343</v>
      </c>
      <c r="E1455" s="86" t="s">
        <v>344</v>
      </c>
      <c r="F1455" s="69">
        <v>6000.0</v>
      </c>
      <c r="G1455" s="69">
        <v>20.4</v>
      </c>
      <c r="H1455" s="68">
        <f t="shared" si="1"/>
        <v>170.9</v>
      </c>
      <c r="I1455" s="81">
        <f>IFERROR(__xludf.DUMMYFUNCTION("IF(G1455="""", """", ROUND(G1455 / MAX(FILTER($G$2:$G5067, $D$2:$D5067=$D1455)) * 100, 2))"),99.03)</f>
        <v>99.03</v>
      </c>
      <c r="J1455" s="81">
        <f>IFERROR(__xludf.DUMMYFUNCTION("IF(H1455="""", """", ROUND(H1455 / MAX(FILTER($H$2:$H5067, $D$2:$D5067=$D1455)) * 100, 2))"),85.63)</f>
        <v>85.63</v>
      </c>
      <c r="K1455" s="2"/>
      <c r="L1455" s="48"/>
      <c r="M1455" s="48"/>
      <c r="N1455" s="48"/>
      <c r="O1455" s="48" t="str">
        <f t="shared" si="2"/>
        <v/>
      </c>
      <c r="P1455" s="48" t="str">
        <f t="shared" si="3"/>
        <v/>
      </c>
      <c r="Q1455" s="84"/>
      <c r="R1455" s="84"/>
      <c r="S1455" s="84"/>
      <c r="T1455" s="84"/>
      <c r="U1455" s="84"/>
      <c r="V1455" s="84"/>
      <c r="W1455" s="84"/>
      <c r="X1455" s="84"/>
      <c r="Y1455" s="84"/>
      <c r="Z1455" s="84"/>
      <c r="AA1455" s="84"/>
      <c r="AB1455" s="84"/>
    </row>
    <row r="1456">
      <c r="A1456" s="63">
        <v>98.0</v>
      </c>
      <c r="B1456" s="63">
        <v>155.0</v>
      </c>
      <c r="C1456" s="64" t="s">
        <v>342</v>
      </c>
      <c r="D1456" s="64" t="s">
        <v>343</v>
      </c>
      <c r="E1456" s="64" t="s">
        <v>344</v>
      </c>
      <c r="F1456" s="63">
        <v>6400.0</v>
      </c>
      <c r="G1456" s="63">
        <v>20.6</v>
      </c>
      <c r="H1456" s="66">
        <f t="shared" si="1"/>
        <v>184.08</v>
      </c>
      <c r="I1456" s="81">
        <f>IFERROR(__xludf.DUMMYFUNCTION("IF(G1456="""", """", ROUND(G1456 / MAX(FILTER($G$2:$G5067, $D$2:$D5067=$D1456)) * 100, 2))"),100.0)</f>
        <v>100</v>
      </c>
      <c r="J1456" s="81">
        <f>IFERROR(__xludf.DUMMYFUNCTION("IF(H1456="""", """", ROUND(H1456 / MAX(FILTER($H$2:$H5067, $D$2:$D5067=$D1456)) * 100, 2))"),92.24)</f>
        <v>92.24</v>
      </c>
      <c r="K1456" s="2"/>
      <c r="L1456" s="49"/>
      <c r="M1456" s="49"/>
      <c r="N1456" s="49"/>
      <c r="O1456" s="49" t="str">
        <f t="shared" si="2"/>
        <v/>
      </c>
      <c r="P1456" s="49" t="str">
        <f t="shared" si="3"/>
        <v/>
      </c>
      <c r="Q1456" s="84"/>
      <c r="R1456" s="84"/>
      <c r="S1456" s="84"/>
      <c r="T1456" s="84"/>
      <c r="U1456" s="84"/>
      <c r="V1456" s="84"/>
      <c r="W1456" s="84"/>
      <c r="X1456" s="84"/>
      <c r="Y1456" s="84"/>
      <c r="Z1456" s="84"/>
      <c r="AA1456" s="84"/>
      <c r="AB1456" s="84"/>
    </row>
    <row r="1457">
      <c r="A1457" s="69">
        <v>98.0</v>
      </c>
      <c r="B1457" s="69">
        <v>155.0</v>
      </c>
      <c r="C1457" s="86" t="s">
        <v>342</v>
      </c>
      <c r="D1457" s="86" t="s">
        <v>343</v>
      </c>
      <c r="E1457" s="86" t="s">
        <v>344</v>
      </c>
      <c r="F1457" s="69">
        <v>7000.0</v>
      </c>
      <c r="G1457" s="69">
        <v>20.18</v>
      </c>
      <c r="H1457" s="68">
        <f t="shared" si="1"/>
        <v>197.24</v>
      </c>
      <c r="I1457" s="81">
        <f>IFERROR(__xludf.DUMMYFUNCTION("IF(G1457="""", """", ROUND(G1457 / MAX(FILTER($G$2:$G5067, $D$2:$D5067=$D1457)) * 100, 2))"),97.96)</f>
        <v>97.96</v>
      </c>
      <c r="J1457" s="81">
        <f>IFERROR(__xludf.DUMMYFUNCTION("IF(H1457="""", """", ROUND(H1457 / MAX(FILTER($H$2:$H5067, $D$2:$D5067=$D1457)) * 100, 2))"),98.83)</f>
        <v>98.83</v>
      </c>
      <c r="K1457" s="2"/>
      <c r="L1457" s="48"/>
      <c r="M1457" s="48"/>
      <c r="N1457" s="48"/>
      <c r="O1457" s="48" t="str">
        <f t="shared" si="2"/>
        <v/>
      </c>
      <c r="P1457" s="48" t="str">
        <f t="shared" si="3"/>
        <v/>
      </c>
      <c r="Q1457" s="84"/>
      <c r="R1457" s="84"/>
      <c r="S1457" s="84"/>
      <c r="T1457" s="84"/>
      <c r="U1457" s="84"/>
      <c r="V1457" s="84"/>
      <c r="W1457" s="84"/>
      <c r="X1457" s="84"/>
      <c r="Y1457" s="84"/>
      <c r="Z1457" s="84"/>
      <c r="AA1457" s="84"/>
      <c r="AB1457" s="84"/>
    </row>
    <row r="1458">
      <c r="A1458" s="63">
        <v>98.0</v>
      </c>
      <c r="B1458" s="63">
        <v>155.0</v>
      </c>
      <c r="C1458" s="64" t="s">
        <v>342</v>
      </c>
      <c r="D1458" s="64" t="s">
        <v>343</v>
      </c>
      <c r="E1458" s="64" t="s">
        <v>344</v>
      </c>
      <c r="F1458" s="63">
        <v>7300.0</v>
      </c>
      <c r="G1458" s="63">
        <v>19.58</v>
      </c>
      <c r="H1458" s="66">
        <f t="shared" si="1"/>
        <v>199.57</v>
      </c>
      <c r="I1458" s="81">
        <f>IFERROR(__xludf.DUMMYFUNCTION("IF(G1458="""", """", ROUND(G1458 / MAX(FILTER($G$2:$G5067, $D$2:$D5067=$D1458)) * 100, 2))"),95.05)</f>
        <v>95.05</v>
      </c>
      <c r="J1458" s="81">
        <f>IFERROR(__xludf.DUMMYFUNCTION("IF(H1458="""", """", ROUND(H1458 / MAX(FILTER($H$2:$H5067, $D$2:$D5067=$D1458)) * 100, 2))"),100.0)</f>
        <v>100</v>
      </c>
      <c r="K1458" s="2"/>
      <c r="L1458" s="49"/>
      <c r="M1458" s="49"/>
      <c r="N1458" s="49"/>
      <c r="O1458" s="49" t="str">
        <f t="shared" si="2"/>
        <v/>
      </c>
      <c r="P1458" s="49" t="str">
        <f t="shared" si="3"/>
        <v/>
      </c>
      <c r="Q1458" s="84"/>
      <c r="R1458" s="84"/>
      <c r="S1458" s="84"/>
      <c r="T1458" s="84"/>
      <c r="U1458" s="84"/>
      <c r="V1458" s="84"/>
      <c r="W1458" s="84"/>
      <c r="X1458" s="84"/>
      <c r="Y1458" s="84"/>
      <c r="Z1458" s="84"/>
      <c r="AA1458" s="84"/>
      <c r="AB1458" s="84"/>
    </row>
    <row r="1459">
      <c r="A1459" s="69">
        <v>98.0</v>
      </c>
      <c r="B1459" s="69">
        <v>155.0</v>
      </c>
      <c r="C1459" s="86" t="s">
        <v>342</v>
      </c>
      <c r="D1459" s="86" t="s">
        <v>343</v>
      </c>
      <c r="E1459" s="86" t="s">
        <v>344</v>
      </c>
      <c r="F1459" s="69">
        <v>8000.0</v>
      </c>
      <c r="G1459" s="69">
        <v>17.25</v>
      </c>
      <c r="H1459" s="68">
        <f t="shared" si="1"/>
        <v>192.68</v>
      </c>
      <c r="I1459" s="81">
        <f>IFERROR(__xludf.DUMMYFUNCTION("IF(G1459="""", """", ROUND(G1459 / MAX(FILTER($G$2:$G5067, $D$2:$D5067=$D1459)) * 100, 2))"),83.74)</f>
        <v>83.74</v>
      </c>
      <c r="J1459" s="81">
        <f>IFERROR(__xludf.DUMMYFUNCTION("IF(H1459="""", """", ROUND(H1459 / MAX(FILTER($H$2:$H5067, $D$2:$D5067=$D1459)) * 100, 2))"),96.55)</f>
        <v>96.55</v>
      </c>
      <c r="K1459" s="2"/>
      <c r="L1459" s="48"/>
      <c r="M1459" s="48"/>
      <c r="N1459" s="48"/>
      <c r="O1459" s="48" t="str">
        <f t="shared" si="2"/>
        <v/>
      </c>
      <c r="P1459" s="48" t="str">
        <f t="shared" si="3"/>
        <v/>
      </c>
      <c r="Q1459" s="84"/>
      <c r="R1459" s="84"/>
      <c r="S1459" s="84"/>
      <c r="T1459" s="84"/>
      <c r="U1459" s="84"/>
      <c r="V1459" s="84"/>
      <c r="W1459" s="84"/>
      <c r="X1459" s="84"/>
      <c r="Y1459" s="84"/>
      <c r="Z1459" s="84"/>
      <c r="AA1459" s="84"/>
      <c r="AB1459" s="84"/>
    </row>
    <row r="1460">
      <c r="A1460" s="63">
        <v>99.0</v>
      </c>
      <c r="B1460" s="63">
        <v>156.0</v>
      </c>
      <c r="C1460" s="64" t="s">
        <v>345</v>
      </c>
      <c r="D1460" s="64" t="s">
        <v>346</v>
      </c>
      <c r="E1460" s="64" t="s">
        <v>347</v>
      </c>
      <c r="F1460" s="63">
        <v>500.0</v>
      </c>
      <c r="G1460" s="63">
        <v>43.32</v>
      </c>
      <c r="H1460" s="66">
        <f t="shared" si="1"/>
        <v>30.24</v>
      </c>
      <c r="I1460" s="81">
        <f>IFERROR(__xludf.DUMMYFUNCTION("IF(G1460="""", """", ROUND(G1460 / MAX(FILTER($G$2:$G5067, $D$2:$D5067=$D1460)) * 100, 2))"),98.39)</f>
        <v>98.39</v>
      </c>
      <c r="J1460" s="81">
        <f>IFERROR(__xludf.DUMMYFUNCTION("IF(H1460="""", """", ROUND(H1460 / MAX(FILTER($H$2:$H5067, $D$2:$D5067=$D1460)) * 100, 2))"),15.43)</f>
        <v>15.43</v>
      </c>
      <c r="K1460" s="2"/>
      <c r="L1460" s="49"/>
      <c r="M1460" s="49"/>
      <c r="N1460" s="49"/>
      <c r="O1460" s="49" t="str">
        <f t="shared" si="2"/>
        <v/>
      </c>
      <c r="P1460" s="49" t="str">
        <f t="shared" si="3"/>
        <v/>
      </c>
      <c r="Q1460" s="84"/>
      <c r="R1460" s="84"/>
      <c r="S1460" s="84"/>
      <c r="T1460" s="84"/>
      <c r="U1460" s="84"/>
      <c r="V1460" s="84"/>
      <c r="W1460" s="84"/>
      <c r="X1460" s="84"/>
      <c r="Y1460" s="84"/>
      <c r="Z1460" s="84"/>
      <c r="AA1460" s="84"/>
      <c r="AB1460" s="84"/>
    </row>
    <row r="1461">
      <c r="A1461" s="69">
        <v>99.0</v>
      </c>
      <c r="B1461" s="69">
        <v>156.0</v>
      </c>
      <c r="C1461" s="86" t="s">
        <v>345</v>
      </c>
      <c r="D1461" s="86" t="s">
        <v>346</v>
      </c>
      <c r="E1461" s="86" t="s">
        <v>347</v>
      </c>
      <c r="F1461" s="69">
        <v>1000.0</v>
      </c>
      <c r="G1461" s="69">
        <v>43.64</v>
      </c>
      <c r="H1461" s="68">
        <f t="shared" si="1"/>
        <v>60.93</v>
      </c>
      <c r="I1461" s="81">
        <f>IFERROR(__xludf.DUMMYFUNCTION("IF(G1461="""", """", ROUND(G1461 / MAX(FILTER($G$2:$G5067, $D$2:$D5067=$D1461)) * 100, 2))"),99.11)</f>
        <v>99.11</v>
      </c>
      <c r="J1461" s="81">
        <f>IFERROR(__xludf.DUMMYFUNCTION("IF(H1461="""", """", ROUND(H1461 / MAX(FILTER($H$2:$H5067, $D$2:$D5067=$D1461)) * 100, 2))"),31.1)</f>
        <v>31.1</v>
      </c>
      <c r="K1461" s="2"/>
      <c r="L1461" s="48"/>
      <c r="M1461" s="48"/>
      <c r="N1461" s="48"/>
      <c r="O1461" s="48" t="str">
        <f t="shared" si="2"/>
        <v/>
      </c>
      <c r="P1461" s="48" t="str">
        <f t="shared" si="3"/>
        <v/>
      </c>
      <c r="Q1461" s="84"/>
      <c r="R1461" s="84"/>
      <c r="S1461" s="84"/>
      <c r="T1461" s="84"/>
      <c r="U1461" s="84"/>
      <c r="V1461" s="84"/>
      <c r="W1461" s="84"/>
      <c r="X1461" s="84"/>
      <c r="Y1461" s="84"/>
      <c r="Z1461" s="84"/>
      <c r="AA1461" s="84"/>
      <c r="AB1461" s="84"/>
    </row>
    <row r="1462">
      <c r="A1462" s="63">
        <v>99.0</v>
      </c>
      <c r="B1462" s="63">
        <v>156.0</v>
      </c>
      <c r="C1462" s="64" t="s">
        <v>345</v>
      </c>
      <c r="D1462" s="64" t="s">
        <v>346</v>
      </c>
      <c r="E1462" s="64" t="s">
        <v>347</v>
      </c>
      <c r="F1462" s="63">
        <v>1500.0</v>
      </c>
      <c r="G1462" s="63">
        <v>43.84</v>
      </c>
      <c r="H1462" s="66">
        <f t="shared" si="1"/>
        <v>91.82</v>
      </c>
      <c r="I1462" s="81">
        <f>IFERROR(__xludf.DUMMYFUNCTION("IF(G1462="""", """", ROUND(G1462 / MAX(FILTER($G$2:$G5067, $D$2:$D5067=$D1462)) * 100, 2))"),99.57)</f>
        <v>99.57</v>
      </c>
      <c r="J1462" s="81">
        <f>IFERROR(__xludf.DUMMYFUNCTION("IF(H1462="""", """", ROUND(H1462 / MAX(FILTER($H$2:$H5067, $D$2:$D5067=$D1462)) * 100, 2))"),46.87)</f>
        <v>46.87</v>
      </c>
      <c r="K1462" s="2"/>
      <c r="L1462" s="49"/>
      <c r="M1462" s="49"/>
      <c r="N1462" s="49"/>
      <c r="O1462" s="49" t="str">
        <f t="shared" si="2"/>
        <v/>
      </c>
      <c r="P1462" s="49" t="str">
        <f t="shared" si="3"/>
        <v/>
      </c>
      <c r="Q1462" s="84"/>
      <c r="R1462" s="84"/>
      <c r="S1462" s="84"/>
      <c r="T1462" s="84"/>
      <c r="U1462" s="84"/>
      <c r="V1462" s="84"/>
      <c r="W1462" s="84"/>
      <c r="X1462" s="84"/>
      <c r="Y1462" s="84"/>
      <c r="Z1462" s="84"/>
      <c r="AA1462" s="84"/>
      <c r="AB1462" s="84"/>
    </row>
    <row r="1463">
      <c r="A1463" s="69">
        <v>99.0</v>
      </c>
      <c r="B1463" s="69">
        <v>156.0</v>
      </c>
      <c r="C1463" s="86" t="s">
        <v>345</v>
      </c>
      <c r="D1463" s="86" t="s">
        <v>346</v>
      </c>
      <c r="E1463" s="86" t="s">
        <v>347</v>
      </c>
      <c r="F1463" s="69">
        <v>2000.0</v>
      </c>
      <c r="G1463" s="69">
        <v>43.82</v>
      </c>
      <c r="H1463" s="68">
        <f t="shared" si="1"/>
        <v>122.37</v>
      </c>
      <c r="I1463" s="81">
        <f>IFERROR(__xludf.DUMMYFUNCTION("IF(G1463="""", """", ROUND(G1463 / MAX(FILTER($G$2:$G5067, $D$2:$D5067=$D1463)) * 100, 2))"),99.52)</f>
        <v>99.52</v>
      </c>
      <c r="J1463" s="81">
        <f>IFERROR(__xludf.DUMMYFUNCTION("IF(H1463="""", """", ROUND(H1463 / MAX(FILTER($H$2:$H5067, $D$2:$D5067=$D1463)) * 100, 2))"),62.46)</f>
        <v>62.46</v>
      </c>
      <c r="K1463" s="2"/>
      <c r="L1463" s="48"/>
      <c r="M1463" s="48"/>
      <c r="N1463" s="48"/>
      <c r="O1463" s="48" t="str">
        <f t="shared" si="2"/>
        <v/>
      </c>
      <c r="P1463" s="48" t="str">
        <f t="shared" si="3"/>
        <v/>
      </c>
      <c r="Q1463" s="84"/>
      <c r="R1463" s="84"/>
      <c r="S1463" s="84"/>
      <c r="T1463" s="84"/>
      <c r="U1463" s="84"/>
      <c r="V1463" s="84"/>
      <c r="W1463" s="84"/>
      <c r="X1463" s="84"/>
      <c r="Y1463" s="84"/>
      <c r="Z1463" s="84"/>
      <c r="AA1463" s="84"/>
      <c r="AB1463" s="84"/>
    </row>
    <row r="1464">
      <c r="A1464" s="63">
        <v>99.0</v>
      </c>
      <c r="B1464" s="63">
        <v>156.0</v>
      </c>
      <c r="C1464" s="64" t="s">
        <v>345</v>
      </c>
      <c r="D1464" s="64" t="s">
        <v>346</v>
      </c>
      <c r="E1464" s="64" t="s">
        <v>347</v>
      </c>
      <c r="F1464" s="63">
        <v>2500.0</v>
      </c>
      <c r="G1464" s="63">
        <v>43.92</v>
      </c>
      <c r="H1464" s="66">
        <f t="shared" si="1"/>
        <v>153.31</v>
      </c>
      <c r="I1464" s="81">
        <f>IFERROR(__xludf.DUMMYFUNCTION("IF(G1464="""", """", ROUND(G1464 / MAX(FILTER($G$2:$G5067, $D$2:$D5067=$D1464)) * 100, 2))"),99.75)</f>
        <v>99.75</v>
      </c>
      <c r="J1464" s="81">
        <f>IFERROR(__xludf.DUMMYFUNCTION("IF(H1464="""", """", ROUND(H1464 / MAX(FILTER($H$2:$H5067, $D$2:$D5067=$D1464)) * 100, 2))"),78.25)</f>
        <v>78.25</v>
      </c>
      <c r="K1464" s="2"/>
      <c r="L1464" s="49"/>
      <c r="M1464" s="49"/>
      <c r="N1464" s="49"/>
      <c r="O1464" s="49" t="str">
        <f t="shared" si="2"/>
        <v/>
      </c>
      <c r="P1464" s="49" t="str">
        <f t="shared" si="3"/>
        <v/>
      </c>
      <c r="Q1464" s="84"/>
      <c r="R1464" s="84"/>
      <c r="S1464" s="84"/>
      <c r="T1464" s="84"/>
      <c r="U1464" s="84"/>
      <c r="V1464" s="84"/>
      <c r="W1464" s="84"/>
      <c r="X1464" s="84"/>
      <c r="Y1464" s="84"/>
      <c r="Z1464" s="84"/>
      <c r="AA1464" s="84"/>
      <c r="AB1464" s="84"/>
    </row>
    <row r="1465">
      <c r="A1465" s="69">
        <v>99.0</v>
      </c>
      <c r="B1465" s="69">
        <v>156.0</v>
      </c>
      <c r="C1465" s="86" t="s">
        <v>345</v>
      </c>
      <c r="D1465" s="86" t="s">
        <v>346</v>
      </c>
      <c r="E1465" s="86" t="s">
        <v>347</v>
      </c>
      <c r="F1465" s="69">
        <v>3000.0</v>
      </c>
      <c r="G1465" s="69">
        <v>44.03</v>
      </c>
      <c r="H1465" s="68">
        <f t="shared" si="1"/>
        <v>184.43</v>
      </c>
      <c r="I1465" s="81">
        <f>IFERROR(__xludf.DUMMYFUNCTION("IF(G1465="""", """", ROUND(G1465 / MAX(FILTER($G$2:$G5067, $D$2:$D5067=$D1465)) * 100, 2))"),100.0)</f>
        <v>100</v>
      </c>
      <c r="J1465" s="81">
        <f>IFERROR(__xludf.DUMMYFUNCTION("IF(H1465="""", """", ROUND(H1465 / MAX(FILTER($H$2:$H5067, $D$2:$D5067=$D1465)) * 100, 2))"),94.14)</f>
        <v>94.14</v>
      </c>
      <c r="K1465" s="2"/>
      <c r="L1465" s="48"/>
      <c r="M1465" s="48"/>
      <c r="N1465" s="48"/>
      <c r="O1465" s="48" t="str">
        <f t="shared" si="2"/>
        <v/>
      </c>
      <c r="P1465" s="48" t="str">
        <f t="shared" si="3"/>
        <v/>
      </c>
      <c r="Q1465" s="84"/>
      <c r="R1465" s="84"/>
      <c r="S1465" s="84"/>
      <c r="T1465" s="84"/>
      <c r="U1465" s="84"/>
      <c r="V1465" s="84"/>
      <c r="W1465" s="84"/>
      <c r="X1465" s="84"/>
      <c r="Y1465" s="84"/>
      <c r="Z1465" s="84"/>
      <c r="AA1465" s="84"/>
      <c r="AB1465" s="84"/>
    </row>
    <row r="1466">
      <c r="A1466" s="63">
        <v>99.0</v>
      </c>
      <c r="B1466" s="63">
        <v>156.0</v>
      </c>
      <c r="C1466" s="64" t="s">
        <v>345</v>
      </c>
      <c r="D1466" s="64" t="s">
        <v>346</v>
      </c>
      <c r="E1466" s="64" t="s">
        <v>347</v>
      </c>
      <c r="F1466" s="63">
        <v>3500.0</v>
      </c>
      <c r="G1466" s="63">
        <v>40.09</v>
      </c>
      <c r="H1466" s="66">
        <f t="shared" si="1"/>
        <v>195.92</v>
      </c>
      <c r="I1466" s="81">
        <f>IFERROR(__xludf.DUMMYFUNCTION("IF(G1466="""", """", ROUND(G1466 / MAX(FILTER($G$2:$G5067, $D$2:$D5067=$D1466)) * 100, 2))"),91.05)</f>
        <v>91.05</v>
      </c>
      <c r="J1466" s="81">
        <f>IFERROR(__xludf.DUMMYFUNCTION("IF(H1466="""", """", ROUND(H1466 / MAX(FILTER($H$2:$H5067, $D$2:$D5067=$D1466)) * 100, 2))"),100.0)</f>
        <v>100</v>
      </c>
      <c r="K1466" s="2"/>
      <c r="L1466" s="49"/>
      <c r="M1466" s="49"/>
      <c r="N1466" s="49"/>
      <c r="O1466" s="49" t="str">
        <f t="shared" si="2"/>
        <v/>
      </c>
      <c r="P1466" s="49" t="str">
        <f t="shared" si="3"/>
        <v/>
      </c>
      <c r="Q1466" s="84"/>
      <c r="R1466" s="84"/>
      <c r="S1466" s="84"/>
      <c r="T1466" s="84"/>
      <c r="U1466" s="84"/>
      <c r="V1466" s="84"/>
      <c r="W1466" s="84"/>
      <c r="X1466" s="84"/>
      <c r="Y1466" s="84"/>
      <c r="Z1466" s="84"/>
      <c r="AA1466" s="84"/>
      <c r="AB1466" s="84"/>
    </row>
    <row r="1467">
      <c r="A1467" s="69">
        <v>99.0</v>
      </c>
      <c r="B1467" s="69">
        <v>156.0</v>
      </c>
      <c r="C1467" s="86" t="s">
        <v>345</v>
      </c>
      <c r="D1467" s="86" t="s">
        <v>346</v>
      </c>
      <c r="E1467" s="86" t="s">
        <v>347</v>
      </c>
      <c r="F1467" s="69">
        <v>4000.0</v>
      </c>
      <c r="G1467" s="69">
        <v>34.99</v>
      </c>
      <c r="H1467" s="68">
        <f t="shared" si="1"/>
        <v>195.42</v>
      </c>
      <c r="I1467" s="81">
        <f>IFERROR(__xludf.DUMMYFUNCTION("IF(G1467="""", """", ROUND(G1467 / MAX(FILTER($G$2:$G5067, $D$2:$D5067=$D1467)) * 100, 2))"),79.47)</f>
        <v>79.47</v>
      </c>
      <c r="J1467" s="81">
        <f>IFERROR(__xludf.DUMMYFUNCTION("IF(H1467="""", """", ROUND(H1467 / MAX(FILTER($H$2:$H5067, $D$2:$D5067=$D1467)) * 100, 2))"),99.74)</f>
        <v>99.74</v>
      </c>
      <c r="K1467" s="2"/>
      <c r="L1467" s="48"/>
      <c r="M1467" s="48"/>
      <c r="N1467" s="48"/>
      <c r="O1467" s="48" t="str">
        <f t="shared" si="2"/>
        <v/>
      </c>
      <c r="P1467" s="48" t="str">
        <f t="shared" si="3"/>
        <v/>
      </c>
      <c r="Q1467" s="84"/>
      <c r="R1467" s="84"/>
      <c r="S1467" s="84"/>
      <c r="T1467" s="84"/>
      <c r="U1467" s="84"/>
      <c r="V1467" s="84"/>
      <c r="W1467" s="84"/>
      <c r="X1467" s="84"/>
      <c r="Y1467" s="84"/>
      <c r="Z1467" s="84"/>
      <c r="AA1467" s="84"/>
      <c r="AB1467" s="84"/>
    </row>
    <row r="1468">
      <c r="A1468" s="63">
        <v>99.0</v>
      </c>
      <c r="B1468" s="63">
        <v>156.0</v>
      </c>
      <c r="C1468" s="64" t="s">
        <v>345</v>
      </c>
      <c r="D1468" s="64" t="s">
        <v>346</v>
      </c>
      <c r="E1468" s="64" t="s">
        <v>347</v>
      </c>
      <c r="F1468" s="63">
        <v>4500.0</v>
      </c>
      <c r="G1468" s="63">
        <v>29.63</v>
      </c>
      <c r="H1468" s="66">
        <f t="shared" si="1"/>
        <v>186.17</v>
      </c>
      <c r="I1468" s="81">
        <f>IFERROR(__xludf.DUMMYFUNCTION("IF(G1468="""", """", ROUND(G1468 / MAX(FILTER($G$2:$G5067, $D$2:$D5067=$D1468)) * 100, 2))"),67.3)</f>
        <v>67.3</v>
      </c>
      <c r="J1468" s="81">
        <f>IFERROR(__xludf.DUMMYFUNCTION("IF(H1468="""", """", ROUND(H1468 / MAX(FILTER($H$2:$H5067, $D$2:$D5067=$D1468)) * 100, 2))"),95.02)</f>
        <v>95.02</v>
      </c>
      <c r="K1468" s="2"/>
      <c r="L1468" s="49"/>
      <c r="M1468" s="49"/>
      <c r="N1468" s="49"/>
      <c r="O1468" s="49" t="str">
        <f t="shared" si="2"/>
        <v/>
      </c>
      <c r="P1468" s="49" t="str">
        <f t="shared" si="3"/>
        <v/>
      </c>
      <c r="Q1468" s="84"/>
      <c r="R1468" s="84"/>
      <c r="S1468" s="84"/>
      <c r="T1468" s="84"/>
      <c r="U1468" s="84"/>
      <c r="V1468" s="84"/>
      <c r="W1468" s="84"/>
      <c r="X1468" s="84"/>
      <c r="Y1468" s="84"/>
      <c r="Z1468" s="84"/>
      <c r="AA1468" s="84"/>
      <c r="AB1468" s="84"/>
    </row>
    <row r="1469">
      <c r="A1469" s="69">
        <v>100.0</v>
      </c>
      <c r="B1469" s="69">
        <v>157.0</v>
      </c>
      <c r="C1469" s="86" t="s">
        <v>348</v>
      </c>
      <c r="D1469" s="86" t="s">
        <v>349</v>
      </c>
      <c r="E1469" s="86" t="s">
        <v>350</v>
      </c>
      <c r="F1469" s="69">
        <v>500.0</v>
      </c>
      <c r="G1469" s="69">
        <v>27.85</v>
      </c>
      <c r="H1469" s="68">
        <f t="shared" si="1"/>
        <v>19.44</v>
      </c>
      <c r="I1469" s="81">
        <f>IFERROR(__xludf.DUMMYFUNCTION("IF(G1469="""", """", ROUND(G1469 / MAX(FILTER($G$2:$G5067, $D$2:$D5067=$D1469)) * 100, 2))"),77.36)</f>
        <v>77.36</v>
      </c>
      <c r="J1469" s="81">
        <f>IFERROR(__xludf.DUMMYFUNCTION("IF(H1469="""", """", ROUND(H1469 / MAX(FILTER($H$2:$H5067, $D$2:$D5067=$D1469)) * 100, 2))"),8.11)</f>
        <v>8.11</v>
      </c>
      <c r="K1469" s="2"/>
      <c r="L1469" s="48"/>
      <c r="M1469" s="48"/>
      <c r="N1469" s="48"/>
      <c r="O1469" s="48" t="str">
        <f t="shared" si="2"/>
        <v/>
      </c>
      <c r="P1469" s="48" t="str">
        <f t="shared" si="3"/>
        <v/>
      </c>
      <c r="Q1469" s="84"/>
      <c r="R1469" s="84"/>
      <c r="S1469" s="84"/>
      <c r="T1469" s="84"/>
      <c r="U1469" s="84"/>
      <c r="V1469" s="84"/>
      <c r="W1469" s="84"/>
      <c r="X1469" s="84"/>
      <c r="Y1469" s="84"/>
      <c r="Z1469" s="84"/>
      <c r="AA1469" s="84"/>
      <c r="AB1469" s="84"/>
    </row>
    <row r="1470">
      <c r="A1470" s="63">
        <v>100.0</v>
      </c>
      <c r="B1470" s="63">
        <v>157.0</v>
      </c>
      <c r="C1470" s="64" t="s">
        <v>348</v>
      </c>
      <c r="D1470" s="64" t="s">
        <v>349</v>
      </c>
      <c r="E1470" s="64" t="s">
        <v>350</v>
      </c>
      <c r="F1470" s="63">
        <v>1000.0</v>
      </c>
      <c r="G1470" s="63">
        <v>30.99</v>
      </c>
      <c r="H1470" s="66">
        <f t="shared" si="1"/>
        <v>43.27</v>
      </c>
      <c r="I1470" s="81">
        <f>IFERROR(__xludf.DUMMYFUNCTION("IF(G1470="""", """", ROUND(G1470 / MAX(FILTER($G$2:$G5067, $D$2:$D5067=$D1470)) * 100, 2))"),86.08)</f>
        <v>86.08</v>
      </c>
      <c r="J1470" s="81">
        <f>IFERROR(__xludf.DUMMYFUNCTION("IF(H1470="""", """", ROUND(H1470 / MAX(FILTER($H$2:$H5067, $D$2:$D5067=$D1470)) * 100, 2))"),18.06)</f>
        <v>18.06</v>
      </c>
      <c r="K1470" s="2"/>
      <c r="L1470" s="49"/>
      <c r="M1470" s="49"/>
      <c r="N1470" s="49"/>
      <c r="O1470" s="49" t="str">
        <f t="shared" si="2"/>
        <v/>
      </c>
      <c r="P1470" s="49" t="str">
        <f t="shared" si="3"/>
        <v/>
      </c>
      <c r="Q1470" s="84"/>
      <c r="R1470" s="84"/>
      <c r="S1470" s="84"/>
      <c r="T1470" s="84"/>
      <c r="U1470" s="84"/>
      <c r="V1470" s="84"/>
      <c r="W1470" s="84"/>
      <c r="X1470" s="84"/>
      <c r="Y1470" s="84"/>
      <c r="Z1470" s="84"/>
      <c r="AA1470" s="84"/>
      <c r="AB1470" s="84"/>
    </row>
    <row r="1471">
      <c r="A1471" s="69">
        <v>100.0</v>
      </c>
      <c r="B1471" s="69">
        <v>157.0</v>
      </c>
      <c r="C1471" s="86" t="s">
        <v>348</v>
      </c>
      <c r="D1471" s="86" t="s">
        <v>349</v>
      </c>
      <c r="E1471" s="86" t="s">
        <v>350</v>
      </c>
      <c r="F1471" s="69">
        <v>1500.0</v>
      </c>
      <c r="G1471" s="69">
        <v>32.23</v>
      </c>
      <c r="H1471" s="68">
        <f t="shared" si="1"/>
        <v>67.5</v>
      </c>
      <c r="I1471" s="81">
        <f>IFERROR(__xludf.DUMMYFUNCTION("IF(G1471="""", """", ROUND(G1471 / MAX(FILTER($G$2:$G5067, $D$2:$D5067=$D1471)) * 100, 2))"),89.53)</f>
        <v>89.53</v>
      </c>
      <c r="J1471" s="81">
        <f>IFERROR(__xludf.DUMMYFUNCTION("IF(H1471="""", """", ROUND(H1471 / MAX(FILTER($H$2:$H5067, $D$2:$D5067=$D1471)) * 100, 2))"),28.17)</f>
        <v>28.17</v>
      </c>
      <c r="K1471" s="2"/>
      <c r="L1471" s="48"/>
      <c r="M1471" s="48"/>
      <c r="N1471" s="48"/>
      <c r="O1471" s="48" t="str">
        <f t="shared" si="2"/>
        <v/>
      </c>
      <c r="P1471" s="48" t="str">
        <f t="shared" si="3"/>
        <v/>
      </c>
      <c r="Q1471" s="84"/>
      <c r="R1471" s="84"/>
      <c r="S1471" s="84"/>
      <c r="T1471" s="84"/>
      <c r="U1471" s="84"/>
      <c r="V1471" s="84"/>
      <c r="W1471" s="84"/>
      <c r="X1471" s="84"/>
      <c r="Y1471" s="84"/>
      <c r="Z1471" s="84"/>
      <c r="AA1471" s="84"/>
      <c r="AB1471" s="84"/>
    </row>
    <row r="1472">
      <c r="A1472" s="63">
        <v>100.0</v>
      </c>
      <c r="B1472" s="63">
        <v>157.0</v>
      </c>
      <c r="C1472" s="64" t="s">
        <v>348</v>
      </c>
      <c r="D1472" s="64" t="s">
        <v>349</v>
      </c>
      <c r="E1472" s="64" t="s">
        <v>350</v>
      </c>
      <c r="F1472" s="63">
        <v>2000.0</v>
      </c>
      <c r="G1472" s="63">
        <v>31.71</v>
      </c>
      <c r="H1472" s="66">
        <f t="shared" si="1"/>
        <v>88.55</v>
      </c>
      <c r="I1472" s="81">
        <f>IFERROR(__xludf.DUMMYFUNCTION("IF(G1472="""", """", ROUND(G1472 / MAX(FILTER($G$2:$G5067, $D$2:$D5067=$D1472)) * 100, 2))"),88.08)</f>
        <v>88.08</v>
      </c>
      <c r="J1472" s="81">
        <f>IFERROR(__xludf.DUMMYFUNCTION("IF(H1472="""", """", ROUND(H1472 / MAX(FILTER($H$2:$H5067, $D$2:$D5067=$D1472)) * 100, 2))"),36.96)</f>
        <v>36.96</v>
      </c>
      <c r="K1472" s="2"/>
      <c r="L1472" s="49"/>
      <c r="M1472" s="49"/>
      <c r="N1472" s="49"/>
      <c r="O1472" s="49" t="str">
        <f t="shared" si="2"/>
        <v/>
      </c>
      <c r="P1472" s="49" t="str">
        <f t="shared" si="3"/>
        <v/>
      </c>
      <c r="Q1472" s="84"/>
      <c r="R1472" s="84"/>
      <c r="S1472" s="84"/>
      <c r="T1472" s="84"/>
      <c r="U1472" s="84"/>
      <c r="V1472" s="84"/>
      <c r="W1472" s="84"/>
      <c r="X1472" s="84"/>
      <c r="Y1472" s="84"/>
      <c r="Z1472" s="84"/>
      <c r="AA1472" s="84"/>
      <c r="AB1472" s="84"/>
    </row>
    <row r="1473">
      <c r="A1473" s="69">
        <v>100.0</v>
      </c>
      <c r="B1473" s="69">
        <v>157.0</v>
      </c>
      <c r="C1473" s="86" t="s">
        <v>348</v>
      </c>
      <c r="D1473" s="86" t="s">
        <v>349</v>
      </c>
      <c r="E1473" s="86" t="s">
        <v>350</v>
      </c>
      <c r="F1473" s="69">
        <v>2500.0</v>
      </c>
      <c r="G1473" s="69">
        <v>34.67</v>
      </c>
      <c r="H1473" s="68">
        <f t="shared" si="1"/>
        <v>121.02</v>
      </c>
      <c r="I1473" s="81">
        <f>IFERROR(__xludf.DUMMYFUNCTION("IF(G1473="""", """", ROUND(G1473 / MAX(FILTER($G$2:$G5067, $D$2:$D5067=$D1473)) * 100, 2))"),96.31)</f>
        <v>96.31</v>
      </c>
      <c r="J1473" s="81">
        <f>IFERROR(__xludf.DUMMYFUNCTION("IF(H1473="""", """", ROUND(H1473 / MAX(FILTER($H$2:$H5067, $D$2:$D5067=$D1473)) * 100, 2))"),50.51)</f>
        <v>50.51</v>
      </c>
      <c r="K1473" s="2"/>
      <c r="L1473" s="48"/>
      <c r="M1473" s="48"/>
      <c r="N1473" s="48"/>
      <c r="O1473" s="48" t="str">
        <f t="shared" si="2"/>
        <v/>
      </c>
      <c r="P1473" s="48" t="str">
        <f t="shared" si="3"/>
        <v/>
      </c>
      <c r="Q1473" s="84"/>
      <c r="R1473" s="84"/>
      <c r="S1473" s="84"/>
      <c r="T1473" s="84"/>
      <c r="U1473" s="84"/>
      <c r="V1473" s="84"/>
      <c r="W1473" s="84"/>
      <c r="X1473" s="84"/>
      <c r="Y1473" s="84"/>
      <c r="Z1473" s="84"/>
      <c r="AA1473" s="84"/>
      <c r="AB1473" s="84"/>
    </row>
    <row r="1474">
      <c r="A1474" s="63">
        <v>100.0</v>
      </c>
      <c r="B1474" s="63">
        <v>157.0</v>
      </c>
      <c r="C1474" s="64" t="s">
        <v>348</v>
      </c>
      <c r="D1474" s="64" t="s">
        <v>349</v>
      </c>
      <c r="E1474" s="64" t="s">
        <v>350</v>
      </c>
      <c r="F1474" s="63">
        <v>3000.0</v>
      </c>
      <c r="G1474" s="63">
        <v>36.0</v>
      </c>
      <c r="H1474" s="66">
        <f t="shared" si="1"/>
        <v>150.8</v>
      </c>
      <c r="I1474" s="81">
        <f>IFERROR(__xludf.DUMMYFUNCTION("IF(G1474="""", """", ROUND(G1474 / MAX(FILTER($G$2:$G5067, $D$2:$D5067=$D1474)) * 100, 2))"),100.0)</f>
        <v>100</v>
      </c>
      <c r="J1474" s="81">
        <f>IFERROR(__xludf.DUMMYFUNCTION("IF(H1474="""", """", ROUND(H1474 / MAX(FILTER($H$2:$H5067, $D$2:$D5067=$D1474)) * 100, 2))"),62.94)</f>
        <v>62.94</v>
      </c>
      <c r="K1474" s="2"/>
      <c r="L1474" s="49"/>
      <c r="M1474" s="49"/>
      <c r="N1474" s="49"/>
      <c r="O1474" s="49" t="str">
        <f t="shared" si="2"/>
        <v/>
      </c>
      <c r="P1474" s="49" t="str">
        <f t="shared" si="3"/>
        <v/>
      </c>
      <c r="Q1474" s="84"/>
      <c r="R1474" s="84"/>
      <c r="S1474" s="84"/>
      <c r="T1474" s="84"/>
      <c r="U1474" s="84"/>
      <c r="V1474" s="84"/>
      <c r="W1474" s="84"/>
      <c r="X1474" s="84"/>
      <c r="Y1474" s="84"/>
      <c r="Z1474" s="84"/>
      <c r="AA1474" s="84"/>
      <c r="AB1474" s="84"/>
    </row>
    <row r="1475">
      <c r="A1475" s="69">
        <v>100.0</v>
      </c>
      <c r="B1475" s="69">
        <v>157.0</v>
      </c>
      <c r="C1475" s="86" t="s">
        <v>348</v>
      </c>
      <c r="D1475" s="86" t="s">
        <v>349</v>
      </c>
      <c r="E1475" s="86" t="s">
        <v>350</v>
      </c>
      <c r="F1475" s="69">
        <v>3500.0</v>
      </c>
      <c r="G1475" s="69">
        <v>35.08</v>
      </c>
      <c r="H1475" s="68">
        <f t="shared" si="1"/>
        <v>171.43</v>
      </c>
      <c r="I1475" s="81">
        <f>IFERROR(__xludf.DUMMYFUNCTION("IF(G1475="""", """", ROUND(G1475 / MAX(FILTER($G$2:$G5067, $D$2:$D5067=$D1475)) * 100, 2))"),97.44)</f>
        <v>97.44</v>
      </c>
      <c r="J1475" s="81">
        <f>IFERROR(__xludf.DUMMYFUNCTION("IF(H1475="""", """", ROUND(H1475 / MAX(FILTER($H$2:$H5067, $D$2:$D5067=$D1475)) * 100, 2))"),71.55)</f>
        <v>71.55</v>
      </c>
      <c r="K1475" s="2"/>
      <c r="L1475" s="48"/>
      <c r="M1475" s="48"/>
      <c r="N1475" s="48"/>
      <c r="O1475" s="48" t="str">
        <f t="shared" si="2"/>
        <v/>
      </c>
      <c r="P1475" s="48" t="str">
        <f t="shared" si="3"/>
        <v/>
      </c>
      <c r="Q1475" s="84"/>
      <c r="R1475" s="84"/>
      <c r="S1475" s="84"/>
      <c r="T1475" s="84"/>
      <c r="U1475" s="84"/>
      <c r="V1475" s="84"/>
      <c r="W1475" s="84"/>
      <c r="X1475" s="84"/>
      <c r="Y1475" s="84"/>
      <c r="Z1475" s="84"/>
      <c r="AA1475" s="84"/>
      <c r="AB1475" s="84"/>
    </row>
    <row r="1476">
      <c r="A1476" s="63">
        <v>100.0</v>
      </c>
      <c r="B1476" s="63">
        <v>157.0</v>
      </c>
      <c r="C1476" s="64" t="s">
        <v>348</v>
      </c>
      <c r="D1476" s="64" t="s">
        <v>349</v>
      </c>
      <c r="E1476" s="64" t="s">
        <v>350</v>
      </c>
      <c r="F1476" s="63">
        <v>4000.0</v>
      </c>
      <c r="G1476" s="63">
        <v>34.16</v>
      </c>
      <c r="H1476" s="66">
        <f t="shared" si="1"/>
        <v>190.78</v>
      </c>
      <c r="I1476" s="81">
        <f>IFERROR(__xludf.DUMMYFUNCTION("IF(G1476="""", """", ROUND(G1476 / MAX(FILTER($G$2:$G5067, $D$2:$D5067=$D1476)) * 100, 2))"),94.89)</f>
        <v>94.89</v>
      </c>
      <c r="J1476" s="81">
        <f>IFERROR(__xludf.DUMMYFUNCTION("IF(H1476="""", """", ROUND(H1476 / MAX(FILTER($H$2:$H5067, $D$2:$D5067=$D1476)) * 100, 2))"),79.62)</f>
        <v>79.62</v>
      </c>
      <c r="K1476" s="2"/>
      <c r="L1476" s="49"/>
      <c r="M1476" s="49"/>
      <c r="N1476" s="49"/>
      <c r="O1476" s="49" t="str">
        <f t="shared" si="2"/>
        <v/>
      </c>
      <c r="P1476" s="49" t="str">
        <f t="shared" si="3"/>
        <v/>
      </c>
      <c r="Q1476" s="84"/>
      <c r="R1476" s="84"/>
      <c r="S1476" s="84"/>
      <c r="T1476" s="84"/>
      <c r="U1476" s="84"/>
      <c r="V1476" s="84"/>
      <c r="W1476" s="84"/>
      <c r="X1476" s="84"/>
      <c r="Y1476" s="84"/>
      <c r="Z1476" s="84"/>
      <c r="AA1476" s="84"/>
      <c r="AB1476" s="84"/>
    </row>
    <row r="1477">
      <c r="A1477" s="69">
        <v>100.0</v>
      </c>
      <c r="B1477" s="69">
        <v>157.0</v>
      </c>
      <c r="C1477" s="86" t="s">
        <v>348</v>
      </c>
      <c r="D1477" s="86" t="s">
        <v>349</v>
      </c>
      <c r="E1477" s="86" t="s">
        <v>350</v>
      </c>
      <c r="F1477" s="69">
        <v>4500.0</v>
      </c>
      <c r="G1477" s="69">
        <v>32.04</v>
      </c>
      <c r="H1477" s="68">
        <f t="shared" si="1"/>
        <v>201.31</v>
      </c>
      <c r="I1477" s="81">
        <f>IFERROR(__xludf.DUMMYFUNCTION("IF(G1477="""", """", ROUND(G1477 / MAX(FILTER($G$2:$G5067, $D$2:$D5067=$D1477)) * 100, 2))"),89.0)</f>
        <v>89</v>
      </c>
      <c r="J1477" s="81">
        <f>IFERROR(__xludf.DUMMYFUNCTION("IF(H1477="""", """", ROUND(H1477 / MAX(FILTER($H$2:$H5067, $D$2:$D5067=$D1477)) * 100, 2))"),84.02)</f>
        <v>84.02</v>
      </c>
      <c r="K1477" s="2"/>
      <c r="L1477" s="48"/>
      <c r="M1477" s="48"/>
      <c r="N1477" s="48"/>
      <c r="O1477" s="48" t="str">
        <f t="shared" si="2"/>
        <v/>
      </c>
      <c r="P1477" s="48" t="str">
        <f t="shared" si="3"/>
        <v/>
      </c>
      <c r="Q1477" s="84"/>
      <c r="R1477" s="84"/>
      <c r="S1477" s="84"/>
      <c r="T1477" s="84"/>
      <c r="U1477" s="84"/>
      <c r="V1477" s="84"/>
      <c r="W1477" s="84"/>
      <c r="X1477" s="84"/>
      <c r="Y1477" s="84"/>
      <c r="Z1477" s="84"/>
      <c r="AA1477" s="84"/>
      <c r="AB1477" s="84"/>
    </row>
    <row r="1478">
      <c r="A1478" s="63">
        <v>100.0</v>
      </c>
      <c r="B1478" s="63">
        <v>157.0</v>
      </c>
      <c r="C1478" s="64" t="s">
        <v>348</v>
      </c>
      <c r="D1478" s="64" t="s">
        <v>349</v>
      </c>
      <c r="E1478" s="64" t="s">
        <v>350</v>
      </c>
      <c r="F1478" s="63">
        <v>5000.0</v>
      </c>
      <c r="G1478" s="63">
        <v>31.1</v>
      </c>
      <c r="H1478" s="66">
        <f t="shared" si="1"/>
        <v>217.12</v>
      </c>
      <c r="I1478" s="81">
        <f>IFERROR(__xludf.DUMMYFUNCTION("IF(G1478="""", """", ROUND(G1478 / MAX(FILTER($G$2:$G5067, $D$2:$D5067=$D1478)) * 100, 2))"),86.39)</f>
        <v>86.39</v>
      </c>
      <c r="J1478" s="81">
        <f>IFERROR(__xludf.DUMMYFUNCTION("IF(H1478="""", """", ROUND(H1478 / MAX(FILTER($H$2:$H5067, $D$2:$D5067=$D1478)) * 100, 2))"),90.62)</f>
        <v>90.62</v>
      </c>
      <c r="K1478" s="2"/>
      <c r="L1478" s="49"/>
      <c r="M1478" s="49"/>
      <c r="N1478" s="49"/>
      <c r="O1478" s="49" t="str">
        <f t="shared" si="2"/>
        <v/>
      </c>
      <c r="P1478" s="49" t="str">
        <f t="shared" si="3"/>
        <v/>
      </c>
      <c r="Q1478" s="84"/>
      <c r="R1478" s="84"/>
      <c r="S1478" s="84"/>
      <c r="T1478" s="84"/>
      <c r="U1478" s="84"/>
      <c r="V1478" s="84"/>
      <c r="W1478" s="84"/>
      <c r="X1478" s="84"/>
      <c r="Y1478" s="84"/>
      <c r="Z1478" s="84"/>
      <c r="AA1478" s="84"/>
      <c r="AB1478" s="84"/>
    </row>
    <row r="1479">
      <c r="A1479" s="69">
        <v>100.0</v>
      </c>
      <c r="B1479" s="69">
        <v>157.0</v>
      </c>
      <c r="C1479" s="86" t="s">
        <v>348</v>
      </c>
      <c r="D1479" s="86" t="s">
        <v>349</v>
      </c>
      <c r="E1479" s="86" t="s">
        <v>350</v>
      </c>
      <c r="F1479" s="69">
        <v>5500.0</v>
      </c>
      <c r="G1479" s="69">
        <v>30.01</v>
      </c>
      <c r="H1479" s="68">
        <f t="shared" si="1"/>
        <v>230.46</v>
      </c>
      <c r="I1479" s="81">
        <f>IFERROR(__xludf.DUMMYFUNCTION("IF(G1479="""", """", ROUND(G1479 / MAX(FILTER($G$2:$G5067, $D$2:$D5067=$D1479)) * 100, 2))"),83.36)</f>
        <v>83.36</v>
      </c>
      <c r="J1479" s="81">
        <f>IFERROR(__xludf.DUMMYFUNCTION("IF(H1479="""", """", ROUND(H1479 / MAX(FILTER($H$2:$H5067, $D$2:$D5067=$D1479)) * 100, 2))"),96.19)</f>
        <v>96.19</v>
      </c>
      <c r="K1479" s="2"/>
      <c r="L1479" s="48"/>
      <c r="M1479" s="48"/>
      <c r="N1479" s="48"/>
      <c r="O1479" s="48" t="str">
        <f t="shared" si="2"/>
        <v/>
      </c>
      <c r="P1479" s="48" t="str">
        <f t="shared" si="3"/>
        <v/>
      </c>
      <c r="Q1479" s="84"/>
      <c r="R1479" s="84"/>
      <c r="S1479" s="84"/>
      <c r="T1479" s="84"/>
      <c r="U1479" s="84"/>
      <c r="V1479" s="84"/>
      <c r="W1479" s="84"/>
      <c r="X1479" s="84"/>
      <c r="Y1479" s="84"/>
      <c r="Z1479" s="84"/>
      <c r="AA1479" s="84"/>
      <c r="AB1479" s="84"/>
    </row>
    <row r="1480">
      <c r="A1480" s="63">
        <v>100.0</v>
      </c>
      <c r="B1480" s="63">
        <v>157.0</v>
      </c>
      <c r="C1480" s="64" t="s">
        <v>348</v>
      </c>
      <c r="D1480" s="64" t="s">
        <v>349</v>
      </c>
      <c r="E1480" s="64" t="s">
        <v>350</v>
      </c>
      <c r="F1480" s="63">
        <v>6000.0</v>
      </c>
      <c r="G1480" s="63">
        <v>28.6</v>
      </c>
      <c r="H1480" s="66">
        <f t="shared" si="1"/>
        <v>239.6</v>
      </c>
      <c r="I1480" s="81">
        <f>IFERROR(__xludf.DUMMYFUNCTION("IF(G1480="""", """", ROUND(G1480 / MAX(FILTER($G$2:$G5067, $D$2:$D5067=$D1480)) * 100, 2))"),79.44)</f>
        <v>79.44</v>
      </c>
      <c r="J1480" s="81">
        <f>IFERROR(__xludf.DUMMYFUNCTION("IF(H1480="""", """", ROUND(H1480 / MAX(FILTER($H$2:$H5067, $D$2:$D5067=$D1480)) * 100, 2))"),100.0)</f>
        <v>100</v>
      </c>
      <c r="K1480" s="2"/>
      <c r="L1480" s="49"/>
      <c r="M1480" s="49"/>
      <c r="N1480" s="49"/>
      <c r="O1480" s="49" t="str">
        <f t="shared" si="2"/>
        <v/>
      </c>
      <c r="P1480" s="49" t="str">
        <f t="shared" si="3"/>
        <v/>
      </c>
      <c r="Q1480" s="84"/>
      <c r="R1480" s="84"/>
      <c r="S1480" s="84"/>
      <c r="T1480" s="84"/>
      <c r="U1480" s="84"/>
      <c r="V1480" s="84"/>
      <c r="W1480" s="84"/>
      <c r="X1480" s="84"/>
      <c r="Y1480" s="84"/>
      <c r="Z1480" s="84"/>
      <c r="AA1480" s="84"/>
      <c r="AB1480" s="84"/>
    </row>
    <row r="1481">
      <c r="A1481" s="69">
        <v>100.0</v>
      </c>
      <c r="B1481" s="69">
        <v>157.0</v>
      </c>
      <c r="C1481" s="86" t="s">
        <v>348</v>
      </c>
      <c r="D1481" s="86" t="s">
        <v>349</v>
      </c>
      <c r="E1481" s="86" t="s">
        <v>350</v>
      </c>
      <c r="F1481" s="69">
        <v>6500.0</v>
      </c>
      <c r="G1481" s="69">
        <v>25.94</v>
      </c>
      <c r="H1481" s="68">
        <f t="shared" si="1"/>
        <v>235.42</v>
      </c>
      <c r="I1481" s="81">
        <f>IFERROR(__xludf.DUMMYFUNCTION("IF(G1481="""", """", ROUND(G1481 / MAX(FILTER($G$2:$G5067, $D$2:$D5067=$D1481)) * 100, 2))"),72.06)</f>
        <v>72.06</v>
      </c>
      <c r="J1481" s="81">
        <f>IFERROR(__xludf.DUMMYFUNCTION("IF(H1481="""", """", ROUND(H1481 / MAX(FILTER($H$2:$H5067, $D$2:$D5067=$D1481)) * 100, 2))"),98.26)</f>
        <v>98.26</v>
      </c>
      <c r="K1481" s="2"/>
      <c r="L1481" s="48"/>
      <c r="M1481" s="48"/>
      <c r="N1481" s="48"/>
      <c r="O1481" s="48" t="str">
        <f t="shared" si="2"/>
        <v/>
      </c>
      <c r="P1481" s="48" t="str">
        <f t="shared" si="3"/>
        <v/>
      </c>
      <c r="Q1481" s="84"/>
      <c r="R1481" s="84"/>
      <c r="S1481" s="84"/>
      <c r="T1481" s="84"/>
      <c r="U1481" s="84"/>
      <c r="V1481" s="84"/>
      <c r="W1481" s="84"/>
      <c r="X1481" s="84"/>
      <c r="Y1481" s="84"/>
      <c r="Z1481" s="84"/>
      <c r="AA1481" s="84"/>
      <c r="AB1481" s="84"/>
    </row>
    <row r="1482">
      <c r="A1482" s="63">
        <v>100.0</v>
      </c>
      <c r="B1482" s="63">
        <v>157.0</v>
      </c>
      <c r="C1482" s="64" t="s">
        <v>348</v>
      </c>
      <c r="D1482" s="64" t="s">
        <v>349</v>
      </c>
      <c r="E1482" s="64" t="s">
        <v>350</v>
      </c>
      <c r="F1482" s="63">
        <v>7000.0</v>
      </c>
      <c r="G1482" s="63">
        <v>22.7</v>
      </c>
      <c r="H1482" s="66">
        <f t="shared" si="1"/>
        <v>221.87</v>
      </c>
      <c r="I1482" s="81">
        <f>IFERROR(__xludf.DUMMYFUNCTION("IF(G1482="""", """", ROUND(G1482 / MAX(FILTER($G$2:$G5067, $D$2:$D5067=$D1482)) * 100, 2))"),63.06)</f>
        <v>63.06</v>
      </c>
      <c r="J1482" s="81">
        <f>IFERROR(__xludf.DUMMYFUNCTION("IF(H1482="""", """", ROUND(H1482 / MAX(FILTER($H$2:$H5067, $D$2:$D5067=$D1482)) * 100, 2))"),92.6)</f>
        <v>92.6</v>
      </c>
      <c r="K1482" s="2"/>
      <c r="L1482" s="49"/>
      <c r="M1482" s="49"/>
      <c r="N1482" s="49"/>
      <c r="O1482" s="49" t="str">
        <f t="shared" si="2"/>
        <v/>
      </c>
      <c r="P1482" s="49" t="str">
        <f t="shared" si="3"/>
        <v/>
      </c>
      <c r="Q1482" s="84"/>
      <c r="R1482" s="84"/>
      <c r="S1482" s="84"/>
      <c r="T1482" s="84"/>
      <c r="U1482" s="84"/>
      <c r="V1482" s="84"/>
      <c r="W1482" s="84"/>
      <c r="X1482" s="84"/>
      <c r="Y1482" s="84"/>
      <c r="Z1482" s="84"/>
      <c r="AA1482" s="84"/>
      <c r="AB1482" s="84"/>
    </row>
    <row r="1483">
      <c r="A1483" s="69">
        <v>101.0</v>
      </c>
      <c r="B1483" s="69">
        <v>158.0</v>
      </c>
      <c r="C1483" s="86" t="s">
        <v>351</v>
      </c>
      <c r="D1483" s="86" t="s">
        <v>352</v>
      </c>
      <c r="E1483" s="86" t="s">
        <v>353</v>
      </c>
      <c r="F1483" s="69">
        <v>500.0</v>
      </c>
      <c r="G1483" s="69">
        <v>21.25</v>
      </c>
      <c r="H1483" s="68">
        <f t="shared" si="1"/>
        <v>14.84</v>
      </c>
      <c r="I1483" s="81">
        <f>IFERROR(__xludf.DUMMYFUNCTION("IF(G1483="""", """", ROUND(G1483 / MAX(FILTER($G$2:$G5067, $D$2:$D5067=$D1483)) * 100, 2))"),47.22)</f>
        <v>47.22</v>
      </c>
      <c r="J1483" s="81">
        <f>IFERROR(__xludf.DUMMYFUNCTION("IF(H1483="""", """", ROUND(H1483 / MAX(FILTER($H$2:$H5067, $D$2:$D5067=$D1483)) * 100, 2))"),3.72)</f>
        <v>3.72</v>
      </c>
      <c r="K1483" s="2"/>
      <c r="L1483" s="48"/>
      <c r="M1483" s="48"/>
      <c r="N1483" s="48"/>
      <c r="O1483" s="48" t="str">
        <f t="shared" si="2"/>
        <v/>
      </c>
      <c r="P1483" s="48" t="str">
        <f t="shared" si="3"/>
        <v/>
      </c>
      <c r="Q1483" s="84"/>
      <c r="R1483" s="84"/>
      <c r="S1483" s="84"/>
      <c r="T1483" s="84"/>
      <c r="U1483" s="84"/>
      <c r="V1483" s="84"/>
      <c r="W1483" s="84"/>
      <c r="X1483" s="84"/>
      <c r="Y1483" s="84"/>
      <c r="Z1483" s="84"/>
      <c r="AA1483" s="84"/>
      <c r="AB1483" s="84"/>
    </row>
    <row r="1484">
      <c r="A1484" s="63">
        <v>101.0</v>
      </c>
      <c r="B1484" s="63">
        <v>158.0</v>
      </c>
      <c r="C1484" s="64" t="s">
        <v>351</v>
      </c>
      <c r="D1484" s="64" t="s">
        <v>352</v>
      </c>
      <c r="E1484" s="64" t="s">
        <v>353</v>
      </c>
      <c r="F1484" s="63">
        <v>1000.0</v>
      </c>
      <c r="G1484" s="63">
        <v>22.38</v>
      </c>
      <c r="H1484" s="66">
        <f t="shared" si="1"/>
        <v>31.25</v>
      </c>
      <c r="I1484" s="81">
        <f>IFERROR(__xludf.DUMMYFUNCTION("IF(G1484="""", """", ROUND(G1484 / MAX(FILTER($G$2:$G5067, $D$2:$D5067=$D1484)) * 100, 2))"),49.73)</f>
        <v>49.73</v>
      </c>
      <c r="J1484" s="81">
        <f>IFERROR(__xludf.DUMMYFUNCTION("IF(H1484="""", """", ROUND(H1484 / MAX(FILTER($H$2:$H5067, $D$2:$D5067=$D1484)) * 100, 2))"),7.84)</f>
        <v>7.84</v>
      </c>
      <c r="K1484" s="2"/>
      <c r="L1484" s="49"/>
      <c r="M1484" s="49"/>
      <c r="N1484" s="49"/>
      <c r="O1484" s="49" t="str">
        <f t="shared" si="2"/>
        <v/>
      </c>
      <c r="P1484" s="49" t="str">
        <f t="shared" si="3"/>
        <v/>
      </c>
      <c r="Q1484" s="84"/>
      <c r="R1484" s="84"/>
      <c r="S1484" s="84"/>
      <c r="T1484" s="84"/>
      <c r="U1484" s="84"/>
      <c r="V1484" s="84"/>
      <c r="W1484" s="84"/>
      <c r="X1484" s="84"/>
      <c r="Y1484" s="84"/>
      <c r="Z1484" s="84"/>
      <c r="AA1484" s="84"/>
      <c r="AB1484" s="84"/>
    </row>
    <row r="1485">
      <c r="A1485" s="69">
        <v>101.0</v>
      </c>
      <c r="B1485" s="69">
        <v>158.0</v>
      </c>
      <c r="C1485" s="86" t="s">
        <v>351</v>
      </c>
      <c r="D1485" s="86" t="s">
        <v>352</v>
      </c>
      <c r="E1485" s="86" t="s">
        <v>353</v>
      </c>
      <c r="F1485" s="69">
        <v>1500.0</v>
      </c>
      <c r="G1485" s="69">
        <v>23.67</v>
      </c>
      <c r="H1485" s="68">
        <f t="shared" si="1"/>
        <v>49.57</v>
      </c>
      <c r="I1485" s="81">
        <f>IFERROR(__xludf.DUMMYFUNCTION("IF(G1485="""", """", ROUND(G1485 / MAX(FILTER($G$2:$G5067, $D$2:$D5067=$D1485)) * 100, 2))"),52.6)</f>
        <v>52.6</v>
      </c>
      <c r="J1485" s="81">
        <f>IFERROR(__xludf.DUMMYFUNCTION("IF(H1485="""", """", ROUND(H1485 / MAX(FILTER($H$2:$H5067, $D$2:$D5067=$D1485)) * 100, 2))"),12.43)</f>
        <v>12.43</v>
      </c>
      <c r="K1485" s="2"/>
      <c r="L1485" s="48"/>
      <c r="M1485" s="48"/>
      <c r="N1485" s="48"/>
      <c r="O1485" s="48" t="str">
        <f t="shared" si="2"/>
        <v/>
      </c>
      <c r="P1485" s="48" t="str">
        <f t="shared" si="3"/>
        <v/>
      </c>
      <c r="Q1485" s="84"/>
      <c r="R1485" s="84"/>
      <c r="S1485" s="84"/>
      <c r="T1485" s="84"/>
      <c r="U1485" s="84"/>
      <c r="V1485" s="84"/>
      <c r="W1485" s="84"/>
      <c r="X1485" s="84"/>
      <c r="Y1485" s="84"/>
      <c r="Z1485" s="84"/>
      <c r="AA1485" s="84"/>
      <c r="AB1485" s="84"/>
    </row>
    <row r="1486">
      <c r="A1486" s="63">
        <v>101.0</v>
      </c>
      <c r="B1486" s="63">
        <v>158.0</v>
      </c>
      <c r="C1486" s="64" t="s">
        <v>351</v>
      </c>
      <c r="D1486" s="64" t="s">
        <v>352</v>
      </c>
      <c r="E1486" s="64" t="s">
        <v>353</v>
      </c>
      <c r="F1486" s="63">
        <v>2000.0</v>
      </c>
      <c r="G1486" s="63">
        <v>26.25</v>
      </c>
      <c r="H1486" s="66">
        <f t="shared" si="1"/>
        <v>73.3</v>
      </c>
      <c r="I1486" s="81">
        <f>IFERROR(__xludf.DUMMYFUNCTION("IF(G1486="""", """", ROUND(G1486 / MAX(FILTER($G$2:$G5067, $D$2:$D5067=$D1486)) * 100, 2))"),58.33)</f>
        <v>58.33</v>
      </c>
      <c r="J1486" s="81">
        <f>IFERROR(__xludf.DUMMYFUNCTION("IF(H1486="""", """", ROUND(H1486 / MAX(FILTER($H$2:$H5067, $D$2:$D5067=$D1486)) * 100, 2))"),18.38)</f>
        <v>18.38</v>
      </c>
      <c r="K1486" s="2"/>
      <c r="L1486" s="49"/>
      <c r="M1486" s="49"/>
      <c r="N1486" s="49"/>
      <c r="O1486" s="49" t="str">
        <f t="shared" si="2"/>
        <v/>
      </c>
      <c r="P1486" s="49" t="str">
        <f t="shared" si="3"/>
        <v/>
      </c>
      <c r="Q1486" s="84"/>
      <c r="R1486" s="84"/>
      <c r="S1486" s="84"/>
      <c r="T1486" s="84"/>
      <c r="U1486" s="84"/>
      <c r="V1486" s="84"/>
      <c r="W1486" s="84"/>
      <c r="X1486" s="84"/>
      <c r="Y1486" s="84"/>
      <c r="Z1486" s="84"/>
      <c r="AA1486" s="84"/>
      <c r="AB1486" s="84"/>
    </row>
    <row r="1487">
      <c r="A1487" s="69">
        <v>101.0</v>
      </c>
      <c r="B1487" s="69">
        <v>158.0</v>
      </c>
      <c r="C1487" s="86" t="s">
        <v>351</v>
      </c>
      <c r="D1487" s="86" t="s">
        <v>352</v>
      </c>
      <c r="E1487" s="86" t="s">
        <v>353</v>
      </c>
      <c r="F1487" s="69">
        <v>2500.0</v>
      </c>
      <c r="G1487" s="69">
        <v>32.63</v>
      </c>
      <c r="H1487" s="68">
        <f t="shared" si="1"/>
        <v>113.9</v>
      </c>
      <c r="I1487" s="81">
        <f>IFERROR(__xludf.DUMMYFUNCTION("IF(G1487="""", """", ROUND(G1487 / MAX(FILTER($G$2:$G5067, $D$2:$D5067=$D1487)) * 100, 2))"),72.51)</f>
        <v>72.51</v>
      </c>
      <c r="J1487" s="81">
        <f>IFERROR(__xludf.DUMMYFUNCTION("IF(H1487="""", """", ROUND(H1487 / MAX(FILTER($H$2:$H5067, $D$2:$D5067=$D1487)) * 100, 2))"),28.56)</f>
        <v>28.56</v>
      </c>
      <c r="K1487" s="2"/>
      <c r="L1487" s="48"/>
      <c r="M1487" s="48"/>
      <c r="N1487" s="48"/>
      <c r="O1487" s="48" t="str">
        <f t="shared" si="2"/>
        <v/>
      </c>
      <c r="P1487" s="48" t="str">
        <f t="shared" si="3"/>
        <v/>
      </c>
      <c r="Q1487" s="84"/>
      <c r="R1487" s="84"/>
      <c r="S1487" s="84"/>
      <c r="T1487" s="84"/>
      <c r="U1487" s="84"/>
      <c r="V1487" s="84"/>
      <c r="W1487" s="84"/>
      <c r="X1487" s="84"/>
      <c r="Y1487" s="84"/>
      <c r="Z1487" s="84"/>
      <c r="AA1487" s="84"/>
      <c r="AB1487" s="84"/>
    </row>
    <row r="1488">
      <c r="A1488" s="63">
        <v>101.0</v>
      </c>
      <c r="B1488" s="63">
        <v>158.0</v>
      </c>
      <c r="C1488" s="64" t="s">
        <v>351</v>
      </c>
      <c r="D1488" s="64" t="s">
        <v>352</v>
      </c>
      <c r="E1488" s="64" t="s">
        <v>353</v>
      </c>
      <c r="F1488" s="63">
        <v>3000.0</v>
      </c>
      <c r="G1488" s="63">
        <v>37.25</v>
      </c>
      <c r="H1488" s="66">
        <f t="shared" si="1"/>
        <v>156.03</v>
      </c>
      <c r="I1488" s="81">
        <f>IFERROR(__xludf.DUMMYFUNCTION("IF(G1488="""", """", ROUND(G1488 / MAX(FILTER($G$2:$G5067, $D$2:$D5067=$D1488)) * 100, 2))"),82.78)</f>
        <v>82.78</v>
      </c>
      <c r="J1488" s="81">
        <f>IFERROR(__xludf.DUMMYFUNCTION("IF(H1488="""", """", ROUND(H1488 / MAX(FILTER($H$2:$H5067, $D$2:$D5067=$D1488)) * 100, 2))"),39.13)</f>
        <v>39.13</v>
      </c>
      <c r="K1488" s="2"/>
      <c r="L1488" s="49"/>
      <c r="M1488" s="49"/>
      <c r="N1488" s="49"/>
      <c r="O1488" s="49" t="str">
        <f t="shared" si="2"/>
        <v/>
      </c>
      <c r="P1488" s="49" t="str">
        <f t="shared" si="3"/>
        <v/>
      </c>
      <c r="Q1488" s="84"/>
      <c r="R1488" s="84"/>
      <c r="S1488" s="84"/>
      <c r="T1488" s="84"/>
      <c r="U1488" s="84"/>
      <c r="V1488" s="84"/>
      <c r="W1488" s="84"/>
      <c r="X1488" s="84"/>
      <c r="Y1488" s="84"/>
      <c r="Z1488" s="84"/>
      <c r="AA1488" s="84"/>
      <c r="AB1488" s="84"/>
    </row>
    <row r="1489">
      <c r="A1489" s="69">
        <v>101.0</v>
      </c>
      <c r="B1489" s="69">
        <v>158.0</v>
      </c>
      <c r="C1489" s="86" t="s">
        <v>351</v>
      </c>
      <c r="D1489" s="86" t="s">
        <v>352</v>
      </c>
      <c r="E1489" s="86" t="s">
        <v>353</v>
      </c>
      <c r="F1489" s="69">
        <v>3500.0</v>
      </c>
      <c r="G1489" s="69">
        <v>40.88</v>
      </c>
      <c r="H1489" s="68">
        <f t="shared" si="1"/>
        <v>199.78</v>
      </c>
      <c r="I1489" s="81">
        <f>IFERROR(__xludf.DUMMYFUNCTION("IF(G1489="""", """", ROUND(G1489 / MAX(FILTER($G$2:$G5067, $D$2:$D5067=$D1489)) * 100, 2))"),90.84)</f>
        <v>90.84</v>
      </c>
      <c r="J1489" s="81">
        <f>IFERROR(__xludf.DUMMYFUNCTION("IF(H1489="""", """", ROUND(H1489 / MAX(FILTER($H$2:$H5067, $D$2:$D5067=$D1489)) * 100, 2))"),50.1)</f>
        <v>50.1</v>
      </c>
      <c r="K1489" s="2"/>
      <c r="L1489" s="48"/>
      <c r="M1489" s="48"/>
      <c r="N1489" s="48"/>
      <c r="O1489" s="48" t="str">
        <f t="shared" si="2"/>
        <v/>
      </c>
      <c r="P1489" s="48" t="str">
        <f t="shared" si="3"/>
        <v/>
      </c>
      <c r="Q1489" s="84"/>
      <c r="R1489" s="84"/>
      <c r="S1489" s="84"/>
      <c r="T1489" s="84"/>
      <c r="U1489" s="84"/>
      <c r="V1489" s="84"/>
      <c r="W1489" s="84"/>
      <c r="X1489" s="84"/>
      <c r="Y1489" s="84"/>
      <c r="Z1489" s="84"/>
      <c r="AA1489" s="84"/>
      <c r="AB1489" s="84"/>
    </row>
    <row r="1490">
      <c r="A1490" s="63">
        <v>101.0</v>
      </c>
      <c r="B1490" s="63">
        <v>158.0</v>
      </c>
      <c r="C1490" s="64" t="s">
        <v>351</v>
      </c>
      <c r="D1490" s="64" t="s">
        <v>352</v>
      </c>
      <c r="E1490" s="64" t="s">
        <v>353</v>
      </c>
      <c r="F1490" s="63">
        <v>4000.0</v>
      </c>
      <c r="G1490" s="63">
        <v>42.92</v>
      </c>
      <c r="H1490" s="66">
        <f t="shared" si="1"/>
        <v>239.71</v>
      </c>
      <c r="I1490" s="81">
        <f>IFERROR(__xludf.DUMMYFUNCTION("IF(G1490="""", """", ROUND(G1490 / MAX(FILTER($G$2:$G5067, $D$2:$D5067=$D1490)) * 100, 2))"),95.38)</f>
        <v>95.38</v>
      </c>
      <c r="J1490" s="81">
        <f>IFERROR(__xludf.DUMMYFUNCTION("IF(H1490="""", """", ROUND(H1490 / MAX(FILTER($H$2:$H5067, $D$2:$D5067=$D1490)) * 100, 2))"),60.11)</f>
        <v>60.11</v>
      </c>
      <c r="K1490" s="2"/>
      <c r="L1490" s="49"/>
      <c r="M1490" s="49"/>
      <c r="N1490" s="49"/>
      <c r="O1490" s="49" t="str">
        <f t="shared" si="2"/>
        <v/>
      </c>
      <c r="P1490" s="49" t="str">
        <f t="shared" si="3"/>
        <v/>
      </c>
      <c r="Q1490" s="84"/>
      <c r="R1490" s="84"/>
      <c r="S1490" s="84"/>
      <c r="T1490" s="84"/>
      <c r="U1490" s="84"/>
      <c r="V1490" s="84"/>
      <c r="W1490" s="84"/>
      <c r="X1490" s="84"/>
      <c r="Y1490" s="84"/>
      <c r="Z1490" s="84"/>
      <c r="AA1490" s="84"/>
      <c r="AB1490" s="84"/>
    </row>
    <row r="1491">
      <c r="A1491" s="69">
        <v>101.0</v>
      </c>
      <c r="B1491" s="69">
        <v>158.0</v>
      </c>
      <c r="C1491" s="86" t="s">
        <v>351</v>
      </c>
      <c r="D1491" s="86" t="s">
        <v>352</v>
      </c>
      <c r="E1491" s="86" t="s">
        <v>353</v>
      </c>
      <c r="F1491" s="69">
        <v>4500.0</v>
      </c>
      <c r="G1491" s="69">
        <v>43.88</v>
      </c>
      <c r="H1491" s="68">
        <f t="shared" si="1"/>
        <v>275.71</v>
      </c>
      <c r="I1491" s="81">
        <f>IFERROR(__xludf.DUMMYFUNCTION("IF(G1491="""", """", ROUND(G1491 / MAX(FILTER($G$2:$G5067, $D$2:$D5067=$D1491)) * 100, 2))"),97.51)</f>
        <v>97.51</v>
      </c>
      <c r="J1491" s="81">
        <f>IFERROR(__xludf.DUMMYFUNCTION("IF(H1491="""", """", ROUND(H1491 / MAX(FILTER($H$2:$H5067, $D$2:$D5067=$D1491)) * 100, 2))"),69.14)</f>
        <v>69.14</v>
      </c>
      <c r="K1491" s="2"/>
      <c r="L1491" s="48"/>
      <c r="M1491" s="48"/>
      <c r="N1491" s="48"/>
      <c r="O1491" s="48" t="str">
        <f t="shared" si="2"/>
        <v/>
      </c>
      <c r="P1491" s="48" t="str">
        <f t="shared" si="3"/>
        <v/>
      </c>
      <c r="Q1491" s="84"/>
      <c r="R1491" s="84"/>
      <c r="S1491" s="84"/>
      <c r="T1491" s="84"/>
      <c r="U1491" s="84"/>
      <c r="V1491" s="84"/>
      <c r="W1491" s="84"/>
      <c r="X1491" s="84"/>
      <c r="Y1491" s="84"/>
      <c r="Z1491" s="84"/>
      <c r="AA1491" s="84"/>
      <c r="AB1491" s="84"/>
    </row>
    <row r="1492">
      <c r="A1492" s="63">
        <v>101.0</v>
      </c>
      <c r="B1492" s="63">
        <v>158.0</v>
      </c>
      <c r="C1492" s="64" t="s">
        <v>351</v>
      </c>
      <c r="D1492" s="64" t="s">
        <v>352</v>
      </c>
      <c r="E1492" s="64" t="s">
        <v>353</v>
      </c>
      <c r="F1492" s="63">
        <v>5000.0</v>
      </c>
      <c r="G1492" s="63">
        <v>44.65</v>
      </c>
      <c r="H1492" s="66">
        <f t="shared" si="1"/>
        <v>311.71</v>
      </c>
      <c r="I1492" s="81">
        <f>IFERROR(__xludf.DUMMYFUNCTION("IF(G1492="""", """", ROUND(G1492 / MAX(FILTER($G$2:$G5067, $D$2:$D5067=$D1492)) * 100, 2))"),99.22)</f>
        <v>99.22</v>
      </c>
      <c r="J1492" s="81">
        <f>IFERROR(__xludf.DUMMYFUNCTION("IF(H1492="""", """", ROUND(H1492 / MAX(FILTER($H$2:$H5067, $D$2:$D5067=$D1492)) * 100, 2))"),78.17)</f>
        <v>78.17</v>
      </c>
      <c r="K1492" s="2"/>
      <c r="L1492" s="49"/>
      <c r="M1492" s="49"/>
      <c r="N1492" s="49"/>
      <c r="O1492" s="49" t="str">
        <f t="shared" si="2"/>
        <v/>
      </c>
      <c r="P1492" s="49" t="str">
        <f t="shared" si="3"/>
        <v/>
      </c>
      <c r="Q1492" s="84"/>
      <c r="R1492" s="84"/>
      <c r="S1492" s="84"/>
      <c r="T1492" s="84"/>
      <c r="U1492" s="84"/>
      <c r="V1492" s="84"/>
      <c r="W1492" s="84"/>
      <c r="X1492" s="84"/>
      <c r="Y1492" s="84"/>
      <c r="Z1492" s="84"/>
      <c r="AA1492" s="84"/>
      <c r="AB1492" s="84"/>
    </row>
    <row r="1493">
      <c r="A1493" s="69">
        <v>101.0</v>
      </c>
      <c r="B1493" s="69">
        <v>158.0</v>
      </c>
      <c r="C1493" s="86" t="s">
        <v>351</v>
      </c>
      <c r="D1493" s="86" t="s">
        <v>352</v>
      </c>
      <c r="E1493" s="86" t="s">
        <v>353</v>
      </c>
      <c r="F1493" s="69">
        <v>5600.0</v>
      </c>
      <c r="G1493" s="69">
        <v>45.0</v>
      </c>
      <c r="H1493" s="68">
        <f t="shared" si="1"/>
        <v>351.86</v>
      </c>
      <c r="I1493" s="81">
        <f>IFERROR(__xludf.DUMMYFUNCTION("IF(G1493="""", """", ROUND(G1493 / MAX(FILTER($G$2:$G5067, $D$2:$D5067=$D1493)) * 100, 2))"),100.0)</f>
        <v>100</v>
      </c>
      <c r="J1493" s="81">
        <f>IFERROR(__xludf.DUMMYFUNCTION("IF(H1493="""", """", ROUND(H1493 / MAX(FILTER($H$2:$H5067, $D$2:$D5067=$D1493)) * 100, 2))"),88.24)</f>
        <v>88.24</v>
      </c>
      <c r="K1493" s="2"/>
      <c r="L1493" s="48"/>
      <c r="M1493" s="48"/>
      <c r="N1493" s="48"/>
      <c r="O1493" s="48" t="str">
        <f t="shared" si="2"/>
        <v/>
      </c>
      <c r="P1493" s="48" t="str">
        <f t="shared" si="3"/>
        <v/>
      </c>
      <c r="Q1493" s="84"/>
      <c r="R1493" s="84"/>
      <c r="S1493" s="84"/>
      <c r="T1493" s="84"/>
      <c r="U1493" s="84"/>
      <c r="V1493" s="84"/>
      <c r="W1493" s="84"/>
      <c r="X1493" s="84"/>
      <c r="Y1493" s="84"/>
      <c r="Z1493" s="84"/>
      <c r="AA1493" s="84"/>
      <c r="AB1493" s="84"/>
    </row>
    <row r="1494">
      <c r="A1494" s="63">
        <v>101.0</v>
      </c>
      <c r="B1494" s="63">
        <v>158.0</v>
      </c>
      <c r="C1494" s="64" t="s">
        <v>351</v>
      </c>
      <c r="D1494" s="64" t="s">
        <v>352</v>
      </c>
      <c r="E1494" s="64" t="s">
        <v>353</v>
      </c>
      <c r="F1494" s="63">
        <v>6000.0</v>
      </c>
      <c r="G1494" s="63">
        <v>44.71</v>
      </c>
      <c r="H1494" s="66">
        <f t="shared" si="1"/>
        <v>374.56</v>
      </c>
      <c r="I1494" s="81">
        <f>IFERROR(__xludf.DUMMYFUNCTION("IF(G1494="""", """", ROUND(G1494 / MAX(FILTER($G$2:$G5067, $D$2:$D5067=$D1494)) * 100, 2))"),99.36)</f>
        <v>99.36</v>
      </c>
      <c r="J1494" s="81">
        <f>IFERROR(__xludf.DUMMYFUNCTION("IF(H1494="""", """", ROUND(H1494 / MAX(FILTER($H$2:$H5067, $D$2:$D5067=$D1494)) * 100, 2))"),93.93)</f>
        <v>93.93</v>
      </c>
      <c r="K1494" s="2"/>
      <c r="L1494" s="49"/>
      <c r="M1494" s="49"/>
      <c r="N1494" s="49"/>
      <c r="O1494" s="49" t="str">
        <f t="shared" si="2"/>
        <v/>
      </c>
      <c r="P1494" s="49" t="str">
        <f t="shared" si="3"/>
        <v/>
      </c>
      <c r="Q1494" s="84"/>
      <c r="R1494" s="84"/>
      <c r="S1494" s="84"/>
      <c r="T1494" s="84"/>
      <c r="U1494" s="84"/>
      <c r="V1494" s="84"/>
      <c r="W1494" s="84"/>
      <c r="X1494" s="84"/>
      <c r="Y1494" s="84"/>
      <c r="Z1494" s="84"/>
      <c r="AA1494" s="84"/>
      <c r="AB1494" s="84"/>
    </row>
    <row r="1495">
      <c r="A1495" s="69">
        <v>101.0</v>
      </c>
      <c r="B1495" s="69">
        <v>158.0</v>
      </c>
      <c r="C1495" s="86" t="s">
        <v>351</v>
      </c>
      <c r="D1495" s="86" t="s">
        <v>352</v>
      </c>
      <c r="E1495" s="86" t="s">
        <v>353</v>
      </c>
      <c r="F1495" s="69">
        <v>6500.0</v>
      </c>
      <c r="G1495" s="69">
        <v>43.35</v>
      </c>
      <c r="H1495" s="68">
        <f t="shared" si="1"/>
        <v>393.43</v>
      </c>
      <c r="I1495" s="81">
        <f>IFERROR(__xludf.DUMMYFUNCTION("IF(G1495="""", """", ROUND(G1495 / MAX(FILTER($G$2:$G5067, $D$2:$D5067=$D1495)) * 100, 2))"),96.33)</f>
        <v>96.33</v>
      </c>
      <c r="J1495" s="81">
        <f>IFERROR(__xludf.DUMMYFUNCTION("IF(H1495="""", """", ROUND(H1495 / MAX(FILTER($H$2:$H5067, $D$2:$D5067=$D1495)) * 100, 2))"),98.66)</f>
        <v>98.66</v>
      </c>
      <c r="K1495" s="2"/>
      <c r="L1495" s="48"/>
      <c r="M1495" s="48"/>
      <c r="N1495" s="48"/>
      <c r="O1495" s="48" t="str">
        <f t="shared" si="2"/>
        <v/>
      </c>
      <c r="P1495" s="48" t="str">
        <f t="shared" si="3"/>
        <v/>
      </c>
      <c r="Q1495" s="84"/>
      <c r="R1495" s="84"/>
      <c r="S1495" s="84"/>
      <c r="T1495" s="84"/>
      <c r="U1495" s="84"/>
      <c r="V1495" s="84"/>
      <c r="W1495" s="84"/>
      <c r="X1495" s="84"/>
      <c r="Y1495" s="84"/>
      <c r="Z1495" s="84"/>
      <c r="AA1495" s="84"/>
      <c r="AB1495" s="84"/>
    </row>
    <row r="1496">
      <c r="A1496" s="63">
        <v>101.0</v>
      </c>
      <c r="B1496" s="63">
        <v>158.0</v>
      </c>
      <c r="C1496" s="64" t="s">
        <v>351</v>
      </c>
      <c r="D1496" s="64" t="s">
        <v>352</v>
      </c>
      <c r="E1496" s="64" t="s">
        <v>353</v>
      </c>
      <c r="F1496" s="63">
        <v>6800.0</v>
      </c>
      <c r="G1496" s="63">
        <v>42.0</v>
      </c>
      <c r="H1496" s="66">
        <f t="shared" si="1"/>
        <v>398.77</v>
      </c>
      <c r="I1496" s="81">
        <f>IFERROR(__xludf.DUMMYFUNCTION("IF(G1496="""", """", ROUND(G1496 / MAX(FILTER($G$2:$G5067, $D$2:$D5067=$D1496)) * 100, 2))"),93.33)</f>
        <v>93.33</v>
      </c>
      <c r="J1496" s="81">
        <f>IFERROR(__xludf.DUMMYFUNCTION("IF(H1496="""", """", ROUND(H1496 / MAX(FILTER($H$2:$H5067, $D$2:$D5067=$D1496)) * 100, 2))"),100.0)</f>
        <v>100</v>
      </c>
      <c r="K1496" s="2"/>
      <c r="L1496" s="49"/>
      <c r="M1496" s="49"/>
      <c r="N1496" s="49"/>
      <c r="O1496" s="49" t="str">
        <f t="shared" si="2"/>
        <v/>
      </c>
      <c r="P1496" s="49" t="str">
        <f t="shared" si="3"/>
        <v/>
      </c>
      <c r="Q1496" s="84"/>
      <c r="R1496" s="84"/>
      <c r="S1496" s="84"/>
      <c r="T1496" s="84"/>
      <c r="U1496" s="84"/>
      <c r="V1496" s="84"/>
      <c r="W1496" s="84"/>
      <c r="X1496" s="84"/>
      <c r="Y1496" s="84"/>
      <c r="Z1496" s="84"/>
      <c r="AA1496" s="84"/>
      <c r="AB1496" s="84"/>
    </row>
    <row r="1497">
      <c r="A1497" s="69">
        <v>101.0</v>
      </c>
      <c r="B1497" s="69">
        <v>158.0</v>
      </c>
      <c r="C1497" s="86" t="s">
        <v>351</v>
      </c>
      <c r="D1497" s="86" t="s">
        <v>352</v>
      </c>
      <c r="E1497" s="86" t="s">
        <v>353</v>
      </c>
      <c r="F1497" s="69">
        <v>7500.0</v>
      </c>
      <c r="G1497" s="69">
        <v>37.88</v>
      </c>
      <c r="H1497" s="68">
        <f t="shared" si="1"/>
        <v>396.68</v>
      </c>
      <c r="I1497" s="81">
        <f>IFERROR(__xludf.DUMMYFUNCTION("IF(G1497="""", """", ROUND(G1497 / MAX(FILTER($G$2:$G5067, $D$2:$D5067=$D1497)) * 100, 2))"),84.18)</f>
        <v>84.18</v>
      </c>
      <c r="J1497" s="81">
        <f>IFERROR(__xludf.DUMMYFUNCTION("IF(H1497="""", """", ROUND(H1497 / MAX(FILTER($H$2:$H5067, $D$2:$D5067=$D1497)) * 100, 2))"),99.48)</f>
        <v>99.48</v>
      </c>
      <c r="K1497" s="2"/>
      <c r="L1497" s="48"/>
      <c r="M1497" s="48"/>
      <c r="N1497" s="48"/>
      <c r="O1497" s="48" t="str">
        <f t="shared" si="2"/>
        <v/>
      </c>
      <c r="P1497" s="48" t="str">
        <f t="shared" si="3"/>
        <v/>
      </c>
      <c r="Q1497" s="84"/>
      <c r="R1497" s="84"/>
      <c r="S1497" s="84"/>
      <c r="T1497" s="84"/>
      <c r="U1497" s="84"/>
      <c r="V1497" s="84"/>
      <c r="W1497" s="84"/>
      <c r="X1497" s="84"/>
      <c r="Y1497" s="84"/>
      <c r="Z1497" s="84"/>
      <c r="AA1497" s="84"/>
      <c r="AB1497" s="84"/>
    </row>
    <row r="1498">
      <c r="A1498" s="63">
        <v>101.0</v>
      </c>
      <c r="B1498" s="63">
        <v>158.0</v>
      </c>
      <c r="C1498" s="64" t="s">
        <v>351</v>
      </c>
      <c r="D1498" s="64" t="s">
        <v>352</v>
      </c>
      <c r="E1498" s="64" t="s">
        <v>353</v>
      </c>
      <c r="F1498" s="63">
        <v>8000.0</v>
      </c>
      <c r="G1498" s="63">
        <v>35.01</v>
      </c>
      <c r="H1498" s="66">
        <f t="shared" si="1"/>
        <v>391.06</v>
      </c>
      <c r="I1498" s="81">
        <f>IFERROR(__xludf.DUMMYFUNCTION("IF(G1498="""", """", ROUND(G1498 / MAX(FILTER($G$2:$G5067, $D$2:$D5067=$D1498)) * 100, 2))"),77.8)</f>
        <v>77.8</v>
      </c>
      <c r="J1498" s="81">
        <f>IFERROR(__xludf.DUMMYFUNCTION("IF(H1498="""", """", ROUND(H1498 / MAX(FILTER($H$2:$H5067, $D$2:$D5067=$D1498)) * 100, 2))"),98.07)</f>
        <v>98.07</v>
      </c>
      <c r="K1498" s="2"/>
      <c r="L1498" s="49"/>
      <c r="M1498" s="49"/>
      <c r="N1498" s="49"/>
      <c r="O1498" s="49" t="str">
        <f t="shared" si="2"/>
        <v/>
      </c>
      <c r="P1498" s="49" t="str">
        <f t="shared" si="3"/>
        <v/>
      </c>
      <c r="Q1498" s="84"/>
      <c r="R1498" s="84"/>
      <c r="S1498" s="84"/>
      <c r="T1498" s="84"/>
      <c r="U1498" s="84"/>
      <c r="V1498" s="84"/>
      <c r="W1498" s="84"/>
      <c r="X1498" s="84"/>
      <c r="Y1498" s="84"/>
      <c r="Z1498" s="84"/>
      <c r="AA1498" s="84"/>
      <c r="AB1498" s="84"/>
    </row>
    <row r="1499">
      <c r="A1499" s="69">
        <v>101.0</v>
      </c>
      <c r="B1499" s="69">
        <v>158.0</v>
      </c>
      <c r="C1499" s="86" t="s">
        <v>351</v>
      </c>
      <c r="D1499" s="86" t="s">
        <v>352</v>
      </c>
      <c r="E1499" s="86" t="s">
        <v>353</v>
      </c>
      <c r="F1499" s="69">
        <v>8500.0</v>
      </c>
      <c r="G1499" s="69">
        <v>31.88</v>
      </c>
      <c r="H1499" s="68">
        <f t="shared" si="1"/>
        <v>378.36</v>
      </c>
      <c r="I1499" s="81">
        <f>IFERROR(__xludf.DUMMYFUNCTION("IF(G1499="""", """", ROUND(G1499 / MAX(FILTER($G$2:$G5067, $D$2:$D5067=$D1499)) * 100, 2))"),70.84)</f>
        <v>70.84</v>
      </c>
      <c r="J1499" s="81">
        <f>IFERROR(__xludf.DUMMYFUNCTION("IF(H1499="""", """", ROUND(H1499 / MAX(FILTER($H$2:$H5067, $D$2:$D5067=$D1499)) * 100, 2))"),94.88)</f>
        <v>94.88</v>
      </c>
      <c r="K1499" s="2"/>
      <c r="L1499" s="48"/>
      <c r="M1499" s="48"/>
      <c r="N1499" s="48"/>
      <c r="O1499" s="48" t="str">
        <f t="shared" si="2"/>
        <v/>
      </c>
      <c r="P1499" s="48" t="str">
        <f t="shared" si="3"/>
        <v/>
      </c>
      <c r="Q1499" s="84"/>
      <c r="R1499" s="84"/>
      <c r="S1499" s="84"/>
      <c r="T1499" s="84"/>
      <c r="U1499" s="84"/>
      <c r="V1499" s="84"/>
      <c r="W1499" s="84"/>
      <c r="X1499" s="84"/>
      <c r="Y1499" s="84"/>
      <c r="Z1499" s="84"/>
      <c r="AA1499" s="84"/>
      <c r="AB1499" s="84"/>
    </row>
    <row r="1500">
      <c r="A1500" s="63">
        <v>101.0</v>
      </c>
      <c r="B1500" s="63">
        <v>158.0</v>
      </c>
      <c r="C1500" s="64" t="s">
        <v>351</v>
      </c>
      <c r="D1500" s="64" t="s">
        <v>352</v>
      </c>
      <c r="E1500" s="64" t="s">
        <v>353</v>
      </c>
      <c r="F1500" s="63">
        <v>9000.0</v>
      </c>
      <c r="G1500" s="63">
        <v>26.75</v>
      </c>
      <c r="H1500" s="66">
        <f t="shared" si="1"/>
        <v>336.15</v>
      </c>
      <c r="I1500" s="81">
        <f>IFERROR(__xludf.DUMMYFUNCTION("IF(G1500="""", """", ROUND(G1500 / MAX(FILTER($G$2:$G5067, $D$2:$D5067=$D1500)) * 100, 2))"),59.44)</f>
        <v>59.44</v>
      </c>
      <c r="J1500" s="81">
        <f>IFERROR(__xludf.DUMMYFUNCTION("IF(H1500="""", """", ROUND(H1500 / MAX(FILTER($H$2:$H5067, $D$2:$D5067=$D1500)) * 100, 2))"),84.3)</f>
        <v>84.3</v>
      </c>
      <c r="K1500" s="2"/>
      <c r="L1500" s="49"/>
      <c r="M1500" s="49"/>
      <c r="N1500" s="49"/>
      <c r="O1500" s="49" t="str">
        <f t="shared" si="2"/>
        <v/>
      </c>
      <c r="P1500" s="49" t="str">
        <f t="shared" si="3"/>
        <v/>
      </c>
      <c r="Q1500" s="84"/>
      <c r="R1500" s="84"/>
      <c r="S1500" s="84"/>
      <c r="T1500" s="84"/>
      <c r="U1500" s="84"/>
      <c r="V1500" s="84"/>
      <c r="W1500" s="84"/>
      <c r="X1500" s="84"/>
      <c r="Y1500" s="84"/>
      <c r="Z1500" s="84"/>
      <c r="AA1500" s="84"/>
      <c r="AB1500" s="84"/>
    </row>
    <row r="1501">
      <c r="A1501" s="69">
        <v>102.0</v>
      </c>
      <c r="B1501" s="69">
        <v>159.0</v>
      </c>
      <c r="C1501" s="86" t="s">
        <v>354</v>
      </c>
      <c r="D1501" s="86" t="s">
        <v>355</v>
      </c>
      <c r="E1501" s="86" t="s">
        <v>356</v>
      </c>
      <c r="F1501" s="69">
        <v>500.0</v>
      </c>
      <c r="G1501" s="69">
        <v>16.91</v>
      </c>
      <c r="H1501" s="68">
        <f t="shared" si="1"/>
        <v>11.81</v>
      </c>
      <c r="I1501" s="81">
        <f>IFERROR(__xludf.DUMMYFUNCTION("IF(G1501="""", """", ROUND(G1501 / MAX(FILTER($G$2:$G5067, $D$2:$D5067=$D1501)) * 100, 2))"),54.55)</f>
        <v>54.55</v>
      </c>
      <c r="J1501" s="81">
        <f>IFERROR(__xludf.DUMMYFUNCTION("IF(H1501="""", """", ROUND(H1501 / MAX(FILTER($H$2:$H5067, $D$2:$D5067=$D1501)) * 100, 2))"),4.2)</f>
        <v>4.2</v>
      </c>
      <c r="K1501" s="2"/>
      <c r="L1501" s="48"/>
      <c r="M1501" s="48"/>
      <c r="N1501" s="48"/>
      <c r="O1501" s="48" t="str">
        <f t="shared" si="2"/>
        <v/>
      </c>
      <c r="P1501" s="48" t="str">
        <f t="shared" si="3"/>
        <v/>
      </c>
      <c r="Q1501" s="84"/>
      <c r="R1501" s="84"/>
      <c r="S1501" s="84"/>
      <c r="T1501" s="84"/>
      <c r="U1501" s="84"/>
      <c r="V1501" s="84"/>
      <c r="W1501" s="84"/>
      <c r="X1501" s="84"/>
      <c r="Y1501" s="84"/>
      <c r="Z1501" s="84"/>
      <c r="AA1501" s="84"/>
      <c r="AB1501" s="84"/>
    </row>
    <row r="1502">
      <c r="A1502" s="63">
        <v>102.0</v>
      </c>
      <c r="B1502" s="63">
        <v>159.0</v>
      </c>
      <c r="C1502" s="64" t="s">
        <v>354</v>
      </c>
      <c r="D1502" s="64" t="s">
        <v>355</v>
      </c>
      <c r="E1502" s="64" t="s">
        <v>356</v>
      </c>
      <c r="F1502" s="63">
        <v>1000.0</v>
      </c>
      <c r="G1502" s="63">
        <v>19.19</v>
      </c>
      <c r="H1502" s="66">
        <f t="shared" si="1"/>
        <v>26.79</v>
      </c>
      <c r="I1502" s="81">
        <f>IFERROR(__xludf.DUMMYFUNCTION("IF(G1502="""", """", ROUND(G1502 / MAX(FILTER($G$2:$G5067, $D$2:$D5067=$D1502)) * 100, 2))"),61.9)</f>
        <v>61.9</v>
      </c>
      <c r="J1502" s="81">
        <f>IFERROR(__xludf.DUMMYFUNCTION("IF(H1502="""", """", ROUND(H1502 / MAX(FILTER($H$2:$H5067, $D$2:$D5067=$D1502)) * 100, 2))"),9.52)</f>
        <v>9.52</v>
      </c>
      <c r="K1502" s="2"/>
      <c r="L1502" s="49"/>
      <c r="M1502" s="49"/>
      <c r="N1502" s="49"/>
      <c r="O1502" s="49" t="str">
        <f t="shared" si="2"/>
        <v/>
      </c>
      <c r="P1502" s="49" t="str">
        <f t="shared" si="3"/>
        <v/>
      </c>
      <c r="Q1502" s="84"/>
      <c r="R1502" s="84"/>
      <c r="S1502" s="84"/>
      <c r="T1502" s="84"/>
      <c r="U1502" s="84"/>
      <c r="V1502" s="84"/>
      <c r="W1502" s="84"/>
      <c r="X1502" s="84"/>
      <c r="Y1502" s="84"/>
      <c r="Z1502" s="84"/>
      <c r="AA1502" s="84"/>
      <c r="AB1502" s="84"/>
    </row>
    <row r="1503">
      <c r="A1503" s="69">
        <v>102.0</v>
      </c>
      <c r="B1503" s="69">
        <v>159.0</v>
      </c>
      <c r="C1503" s="86" t="s">
        <v>354</v>
      </c>
      <c r="D1503" s="86" t="s">
        <v>355</v>
      </c>
      <c r="E1503" s="86" t="s">
        <v>356</v>
      </c>
      <c r="F1503" s="69">
        <v>1500.0</v>
      </c>
      <c r="G1503" s="69">
        <v>20.42</v>
      </c>
      <c r="H1503" s="68">
        <f t="shared" si="1"/>
        <v>42.77</v>
      </c>
      <c r="I1503" s="81">
        <f>IFERROR(__xludf.DUMMYFUNCTION("IF(G1503="""", """", ROUND(G1503 / MAX(FILTER($G$2:$G5067, $D$2:$D5067=$D1503)) * 100, 2))"),65.87)</f>
        <v>65.87</v>
      </c>
      <c r="J1503" s="81">
        <f>IFERROR(__xludf.DUMMYFUNCTION("IF(H1503="""", """", ROUND(H1503 / MAX(FILTER($H$2:$H5067, $D$2:$D5067=$D1503)) * 100, 2))"),15.2)</f>
        <v>15.2</v>
      </c>
      <c r="K1503" s="2"/>
      <c r="L1503" s="48"/>
      <c r="M1503" s="48"/>
      <c r="N1503" s="48"/>
      <c r="O1503" s="48" t="str">
        <f t="shared" si="2"/>
        <v/>
      </c>
      <c r="P1503" s="48" t="str">
        <f t="shared" si="3"/>
        <v/>
      </c>
      <c r="Q1503" s="84"/>
      <c r="R1503" s="84"/>
      <c r="S1503" s="84"/>
      <c r="T1503" s="84"/>
      <c r="U1503" s="84"/>
      <c r="V1503" s="84"/>
      <c r="W1503" s="84"/>
      <c r="X1503" s="84"/>
      <c r="Y1503" s="84"/>
      <c r="Z1503" s="84"/>
      <c r="AA1503" s="84"/>
      <c r="AB1503" s="84"/>
    </row>
    <row r="1504">
      <c r="A1504" s="63">
        <v>102.0</v>
      </c>
      <c r="B1504" s="63">
        <v>159.0</v>
      </c>
      <c r="C1504" s="64" t="s">
        <v>354</v>
      </c>
      <c r="D1504" s="64" t="s">
        <v>355</v>
      </c>
      <c r="E1504" s="64" t="s">
        <v>356</v>
      </c>
      <c r="F1504" s="63">
        <v>2000.0</v>
      </c>
      <c r="G1504" s="63">
        <v>22.32</v>
      </c>
      <c r="H1504" s="66">
        <f t="shared" si="1"/>
        <v>62.33</v>
      </c>
      <c r="I1504" s="81">
        <f>IFERROR(__xludf.DUMMYFUNCTION("IF(G1504="""", """", ROUND(G1504 / MAX(FILTER($G$2:$G5067, $D$2:$D5067=$D1504)) * 100, 2))"),72.0)</f>
        <v>72</v>
      </c>
      <c r="J1504" s="81">
        <f>IFERROR(__xludf.DUMMYFUNCTION("IF(H1504="""", """", ROUND(H1504 / MAX(FILTER($H$2:$H5067, $D$2:$D5067=$D1504)) * 100, 2))"),22.15)</f>
        <v>22.15</v>
      </c>
      <c r="K1504" s="2"/>
      <c r="L1504" s="49"/>
      <c r="M1504" s="49"/>
      <c r="N1504" s="49"/>
      <c r="O1504" s="49" t="str">
        <f t="shared" si="2"/>
        <v/>
      </c>
      <c r="P1504" s="49" t="str">
        <f t="shared" si="3"/>
        <v/>
      </c>
      <c r="Q1504" s="84"/>
      <c r="R1504" s="84"/>
      <c r="S1504" s="84"/>
      <c r="T1504" s="84"/>
      <c r="U1504" s="84"/>
      <c r="V1504" s="84"/>
      <c r="W1504" s="84"/>
      <c r="X1504" s="84"/>
      <c r="Y1504" s="84"/>
      <c r="Z1504" s="84"/>
      <c r="AA1504" s="84"/>
      <c r="AB1504" s="84"/>
    </row>
    <row r="1505">
      <c r="A1505" s="69">
        <v>102.0</v>
      </c>
      <c r="B1505" s="69">
        <v>159.0</v>
      </c>
      <c r="C1505" s="86" t="s">
        <v>354</v>
      </c>
      <c r="D1505" s="86" t="s">
        <v>355</v>
      </c>
      <c r="E1505" s="86" t="s">
        <v>356</v>
      </c>
      <c r="F1505" s="69">
        <v>2500.0</v>
      </c>
      <c r="G1505" s="69">
        <v>25.5</v>
      </c>
      <c r="H1505" s="68">
        <f t="shared" si="1"/>
        <v>89.01</v>
      </c>
      <c r="I1505" s="81">
        <f>IFERROR(__xludf.DUMMYFUNCTION("IF(G1505="""", """", ROUND(G1505 / MAX(FILTER($G$2:$G5067, $D$2:$D5067=$D1505)) * 100, 2))"),82.26)</f>
        <v>82.26</v>
      </c>
      <c r="J1505" s="81">
        <f>IFERROR(__xludf.DUMMYFUNCTION("IF(H1505="""", """", ROUND(H1505 / MAX(FILTER($H$2:$H5067, $D$2:$D5067=$D1505)) * 100, 2))"),31.64)</f>
        <v>31.64</v>
      </c>
      <c r="K1505" s="2"/>
      <c r="L1505" s="48"/>
      <c r="M1505" s="48"/>
      <c r="N1505" s="48"/>
      <c r="O1505" s="48" t="str">
        <f t="shared" si="2"/>
        <v/>
      </c>
      <c r="P1505" s="48" t="str">
        <f t="shared" si="3"/>
        <v/>
      </c>
      <c r="Q1505" s="84"/>
      <c r="R1505" s="84"/>
      <c r="S1505" s="84"/>
      <c r="T1505" s="84"/>
      <c r="U1505" s="84"/>
      <c r="V1505" s="84"/>
      <c r="W1505" s="84"/>
      <c r="X1505" s="84"/>
      <c r="Y1505" s="84"/>
      <c r="Z1505" s="84"/>
      <c r="AA1505" s="84"/>
      <c r="AB1505" s="84"/>
    </row>
    <row r="1506">
      <c r="A1506" s="63">
        <v>102.0</v>
      </c>
      <c r="B1506" s="63">
        <v>159.0</v>
      </c>
      <c r="C1506" s="64" t="s">
        <v>354</v>
      </c>
      <c r="D1506" s="64" t="s">
        <v>355</v>
      </c>
      <c r="E1506" s="64" t="s">
        <v>356</v>
      </c>
      <c r="F1506" s="63">
        <v>3000.0</v>
      </c>
      <c r="G1506" s="63">
        <v>27.8</v>
      </c>
      <c r="H1506" s="66">
        <f t="shared" si="1"/>
        <v>116.45</v>
      </c>
      <c r="I1506" s="81">
        <f>IFERROR(__xludf.DUMMYFUNCTION("IF(G1506="""", """", ROUND(G1506 / MAX(FILTER($G$2:$G5067, $D$2:$D5067=$D1506)) * 100, 2))"),89.68)</f>
        <v>89.68</v>
      </c>
      <c r="J1506" s="81">
        <f>IFERROR(__xludf.DUMMYFUNCTION("IF(H1506="""", """", ROUND(H1506 / MAX(FILTER($H$2:$H5067, $D$2:$D5067=$D1506)) * 100, 2))"),41.39)</f>
        <v>41.39</v>
      </c>
      <c r="K1506" s="2"/>
      <c r="L1506" s="49"/>
      <c r="M1506" s="49"/>
      <c r="N1506" s="49"/>
      <c r="O1506" s="49" t="str">
        <f t="shared" si="2"/>
        <v/>
      </c>
      <c r="P1506" s="49" t="str">
        <f t="shared" si="3"/>
        <v/>
      </c>
      <c r="Q1506" s="84"/>
      <c r="R1506" s="84"/>
      <c r="S1506" s="84"/>
      <c r="T1506" s="84"/>
      <c r="U1506" s="84"/>
      <c r="V1506" s="84"/>
      <c r="W1506" s="84"/>
      <c r="X1506" s="84"/>
      <c r="Y1506" s="84"/>
      <c r="Z1506" s="84"/>
      <c r="AA1506" s="84"/>
      <c r="AB1506" s="84"/>
    </row>
    <row r="1507">
      <c r="A1507" s="69">
        <v>102.0</v>
      </c>
      <c r="B1507" s="69">
        <v>159.0</v>
      </c>
      <c r="C1507" s="86" t="s">
        <v>354</v>
      </c>
      <c r="D1507" s="86" t="s">
        <v>355</v>
      </c>
      <c r="E1507" s="86" t="s">
        <v>356</v>
      </c>
      <c r="F1507" s="69">
        <v>3500.0</v>
      </c>
      <c r="G1507" s="69">
        <v>28.85</v>
      </c>
      <c r="H1507" s="68">
        <f t="shared" si="1"/>
        <v>140.99</v>
      </c>
      <c r="I1507" s="81">
        <f>IFERROR(__xludf.DUMMYFUNCTION("IF(G1507="""", """", ROUND(G1507 / MAX(FILTER($G$2:$G5067, $D$2:$D5067=$D1507)) * 100, 2))"),93.06)</f>
        <v>93.06</v>
      </c>
      <c r="J1507" s="81">
        <f>IFERROR(__xludf.DUMMYFUNCTION("IF(H1507="""", """", ROUND(H1507 / MAX(FILTER($H$2:$H5067, $D$2:$D5067=$D1507)) * 100, 2))"),50.11)</f>
        <v>50.11</v>
      </c>
      <c r="K1507" s="2"/>
      <c r="L1507" s="48"/>
      <c r="M1507" s="48"/>
      <c r="N1507" s="48"/>
      <c r="O1507" s="48" t="str">
        <f t="shared" si="2"/>
        <v/>
      </c>
      <c r="P1507" s="48" t="str">
        <f t="shared" si="3"/>
        <v/>
      </c>
      <c r="Q1507" s="84"/>
      <c r="R1507" s="84"/>
      <c r="S1507" s="84"/>
      <c r="T1507" s="84"/>
      <c r="U1507" s="84"/>
      <c r="V1507" s="84"/>
      <c r="W1507" s="84"/>
      <c r="X1507" s="84"/>
      <c r="Y1507" s="84"/>
      <c r="Z1507" s="84"/>
      <c r="AA1507" s="84"/>
      <c r="AB1507" s="84"/>
    </row>
    <row r="1508">
      <c r="A1508" s="63">
        <v>102.0</v>
      </c>
      <c r="B1508" s="63">
        <v>159.0</v>
      </c>
      <c r="C1508" s="64" t="s">
        <v>354</v>
      </c>
      <c r="D1508" s="64" t="s">
        <v>355</v>
      </c>
      <c r="E1508" s="64" t="s">
        <v>356</v>
      </c>
      <c r="F1508" s="63">
        <v>4000.0</v>
      </c>
      <c r="G1508" s="63">
        <v>29.2</v>
      </c>
      <c r="H1508" s="66">
        <f t="shared" si="1"/>
        <v>163.08</v>
      </c>
      <c r="I1508" s="81">
        <f>IFERROR(__xludf.DUMMYFUNCTION("IF(G1508="""", """", ROUND(G1508 / MAX(FILTER($G$2:$G5067, $D$2:$D5067=$D1508)) * 100, 2))"),94.19)</f>
        <v>94.19</v>
      </c>
      <c r="J1508" s="81">
        <f>IFERROR(__xludf.DUMMYFUNCTION("IF(H1508="""", """", ROUND(H1508 / MAX(FILTER($H$2:$H5067, $D$2:$D5067=$D1508)) * 100, 2))"),57.96)</f>
        <v>57.96</v>
      </c>
      <c r="K1508" s="2"/>
      <c r="L1508" s="49"/>
      <c r="M1508" s="49"/>
      <c r="N1508" s="49"/>
      <c r="O1508" s="49" t="str">
        <f t="shared" si="2"/>
        <v/>
      </c>
      <c r="P1508" s="49" t="str">
        <f t="shared" si="3"/>
        <v/>
      </c>
      <c r="Q1508" s="84"/>
      <c r="R1508" s="84"/>
      <c r="S1508" s="84"/>
      <c r="T1508" s="84"/>
      <c r="U1508" s="84"/>
      <c r="V1508" s="84"/>
      <c r="W1508" s="84"/>
      <c r="X1508" s="84"/>
      <c r="Y1508" s="84"/>
      <c r="Z1508" s="84"/>
      <c r="AA1508" s="84"/>
      <c r="AB1508" s="84"/>
    </row>
    <row r="1509">
      <c r="A1509" s="69">
        <v>102.0</v>
      </c>
      <c r="B1509" s="69">
        <v>159.0</v>
      </c>
      <c r="C1509" s="86" t="s">
        <v>354</v>
      </c>
      <c r="D1509" s="86" t="s">
        <v>355</v>
      </c>
      <c r="E1509" s="86" t="s">
        <v>356</v>
      </c>
      <c r="F1509" s="69">
        <v>4500.0</v>
      </c>
      <c r="G1509" s="69">
        <v>29.55</v>
      </c>
      <c r="H1509" s="68">
        <f t="shared" si="1"/>
        <v>185.67</v>
      </c>
      <c r="I1509" s="81">
        <f>IFERROR(__xludf.DUMMYFUNCTION("IF(G1509="""", """", ROUND(G1509 / MAX(FILTER($G$2:$G5067, $D$2:$D5067=$D1509)) * 100, 2))"),95.32)</f>
        <v>95.32</v>
      </c>
      <c r="J1509" s="81">
        <f>IFERROR(__xludf.DUMMYFUNCTION("IF(H1509="""", """", ROUND(H1509 / MAX(FILTER($H$2:$H5067, $D$2:$D5067=$D1509)) * 100, 2))"),65.99)</f>
        <v>65.99</v>
      </c>
      <c r="K1509" s="2"/>
      <c r="L1509" s="48"/>
      <c r="M1509" s="48"/>
      <c r="N1509" s="48"/>
      <c r="O1509" s="48" t="str">
        <f t="shared" si="2"/>
        <v/>
      </c>
      <c r="P1509" s="48" t="str">
        <f t="shared" si="3"/>
        <v/>
      </c>
      <c r="Q1509" s="84"/>
      <c r="R1509" s="84"/>
      <c r="S1509" s="84"/>
      <c r="T1509" s="84"/>
      <c r="U1509" s="84"/>
      <c r="V1509" s="84"/>
      <c r="W1509" s="84"/>
      <c r="X1509" s="84"/>
      <c r="Y1509" s="84"/>
      <c r="Z1509" s="84"/>
      <c r="AA1509" s="84"/>
      <c r="AB1509" s="84"/>
    </row>
    <row r="1510">
      <c r="A1510" s="63">
        <v>102.0</v>
      </c>
      <c r="B1510" s="63">
        <v>159.0</v>
      </c>
      <c r="C1510" s="64" t="s">
        <v>354</v>
      </c>
      <c r="D1510" s="64" t="s">
        <v>355</v>
      </c>
      <c r="E1510" s="64" t="s">
        <v>356</v>
      </c>
      <c r="F1510" s="63">
        <v>5000.0</v>
      </c>
      <c r="G1510" s="63">
        <v>30.2</v>
      </c>
      <c r="H1510" s="66">
        <f t="shared" si="1"/>
        <v>210.83</v>
      </c>
      <c r="I1510" s="81">
        <f>IFERROR(__xludf.DUMMYFUNCTION("IF(G1510="""", """", ROUND(G1510 / MAX(FILTER($G$2:$G5067, $D$2:$D5067=$D1510)) * 100, 2))"),97.42)</f>
        <v>97.42</v>
      </c>
      <c r="J1510" s="81">
        <f>IFERROR(__xludf.DUMMYFUNCTION("IF(H1510="""", """", ROUND(H1510 / MAX(FILTER($H$2:$H5067, $D$2:$D5067=$D1510)) * 100, 2))"),74.94)</f>
        <v>74.94</v>
      </c>
      <c r="K1510" s="2"/>
      <c r="L1510" s="49"/>
      <c r="M1510" s="49"/>
      <c r="N1510" s="49"/>
      <c r="O1510" s="49" t="str">
        <f t="shared" si="2"/>
        <v/>
      </c>
      <c r="P1510" s="49" t="str">
        <f t="shared" si="3"/>
        <v/>
      </c>
      <c r="Q1510" s="84"/>
      <c r="R1510" s="84"/>
      <c r="S1510" s="84"/>
      <c r="T1510" s="84"/>
      <c r="U1510" s="84"/>
      <c r="V1510" s="84"/>
      <c r="W1510" s="84"/>
      <c r="X1510" s="84"/>
      <c r="Y1510" s="84"/>
      <c r="Z1510" s="84"/>
      <c r="AA1510" s="84"/>
      <c r="AB1510" s="84"/>
    </row>
    <row r="1511">
      <c r="A1511" s="69">
        <v>102.0</v>
      </c>
      <c r="B1511" s="69">
        <v>159.0</v>
      </c>
      <c r="C1511" s="86" t="s">
        <v>354</v>
      </c>
      <c r="D1511" s="86" t="s">
        <v>355</v>
      </c>
      <c r="E1511" s="86" t="s">
        <v>356</v>
      </c>
      <c r="F1511" s="69">
        <v>5500.0</v>
      </c>
      <c r="G1511" s="69">
        <v>30.53</v>
      </c>
      <c r="H1511" s="68">
        <f t="shared" si="1"/>
        <v>234.45</v>
      </c>
      <c r="I1511" s="81">
        <f>IFERROR(__xludf.DUMMYFUNCTION("IF(G1511="""", """", ROUND(G1511 / MAX(FILTER($G$2:$G5067, $D$2:$D5067=$D1511)) * 100, 2))"),98.48)</f>
        <v>98.48</v>
      </c>
      <c r="J1511" s="81">
        <f>IFERROR(__xludf.DUMMYFUNCTION("IF(H1511="""", """", ROUND(H1511 / MAX(FILTER($H$2:$H5067, $D$2:$D5067=$D1511)) * 100, 2))"),83.33)</f>
        <v>83.33</v>
      </c>
      <c r="K1511" s="2"/>
      <c r="L1511" s="48"/>
      <c r="M1511" s="48"/>
      <c r="N1511" s="48"/>
      <c r="O1511" s="48" t="str">
        <f t="shared" si="2"/>
        <v/>
      </c>
      <c r="P1511" s="48" t="str">
        <f t="shared" si="3"/>
        <v/>
      </c>
      <c r="Q1511" s="84"/>
      <c r="R1511" s="84"/>
      <c r="S1511" s="84"/>
      <c r="T1511" s="84"/>
      <c r="U1511" s="84"/>
      <c r="V1511" s="84"/>
      <c r="W1511" s="84"/>
      <c r="X1511" s="84"/>
      <c r="Y1511" s="84"/>
      <c r="Z1511" s="84"/>
      <c r="AA1511" s="84"/>
      <c r="AB1511" s="84"/>
    </row>
    <row r="1512">
      <c r="A1512" s="63">
        <v>102.0</v>
      </c>
      <c r="B1512" s="63">
        <v>159.0</v>
      </c>
      <c r="C1512" s="64" t="s">
        <v>354</v>
      </c>
      <c r="D1512" s="64" t="s">
        <v>355</v>
      </c>
      <c r="E1512" s="64" t="s">
        <v>356</v>
      </c>
      <c r="F1512" s="63">
        <v>6000.0</v>
      </c>
      <c r="G1512" s="63">
        <v>30.87</v>
      </c>
      <c r="H1512" s="66">
        <f t="shared" si="1"/>
        <v>258.61</v>
      </c>
      <c r="I1512" s="81">
        <f>IFERROR(__xludf.DUMMYFUNCTION("IF(G1512="""", """", ROUND(G1512 / MAX(FILTER($G$2:$G5067, $D$2:$D5067=$D1512)) * 100, 2))"),99.58)</f>
        <v>99.58</v>
      </c>
      <c r="J1512" s="81">
        <f>IFERROR(__xludf.DUMMYFUNCTION("IF(H1512="""", """", ROUND(H1512 / MAX(FILTER($H$2:$H5067, $D$2:$D5067=$D1512)) * 100, 2))"),91.92)</f>
        <v>91.92</v>
      </c>
      <c r="K1512" s="2"/>
      <c r="L1512" s="49"/>
      <c r="M1512" s="49"/>
      <c r="N1512" s="49"/>
      <c r="O1512" s="49" t="str">
        <f t="shared" si="2"/>
        <v/>
      </c>
      <c r="P1512" s="49" t="str">
        <f t="shared" si="3"/>
        <v/>
      </c>
      <c r="Q1512" s="84"/>
      <c r="R1512" s="84"/>
      <c r="S1512" s="84"/>
      <c r="T1512" s="84"/>
      <c r="U1512" s="84"/>
      <c r="V1512" s="84"/>
      <c r="W1512" s="84"/>
      <c r="X1512" s="84"/>
      <c r="Y1512" s="84"/>
      <c r="Z1512" s="84"/>
      <c r="AA1512" s="84"/>
      <c r="AB1512" s="84"/>
    </row>
    <row r="1513">
      <c r="A1513" s="69">
        <v>102.0</v>
      </c>
      <c r="B1513" s="69">
        <v>159.0</v>
      </c>
      <c r="C1513" s="86" t="s">
        <v>354</v>
      </c>
      <c r="D1513" s="86" t="s">
        <v>355</v>
      </c>
      <c r="E1513" s="86" t="s">
        <v>356</v>
      </c>
      <c r="F1513" s="69">
        <v>6500.0</v>
      </c>
      <c r="G1513" s="69">
        <v>31.0</v>
      </c>
      <c r="H1513" s="68">
        <f t="shared" si="1"/>
        <v>281.35</v>
      </c>
      <c r="I1513" s="81">
        <f>IFERROR(__xludf.DUMMYFUNCTION("IF(G1513="""", """", ROUND(G1513 / MAX(FILTER($G$2:$G5067, $D$2:$D5067=$D1513)) * 100, 2))"),100.0)</f>
        <v>100</v>
      </c>
      <c r="J1513" s="81">
        <f>IFERROR(__xludf.DUMMYFUNCTION("IF(H1513="""", """", ROUND(H1513 / MAX(FILTER($H$2:$H5067, $D$2:$D5067=$D1513)) * 100, 2))"),100.0)</f>
        <v>100</v>
      </c>
      <c r="K1513" s="2"/>
      <c r="L1513" s="48"/>
      <c r="M1513" s="48"/>
      <c r="N1513" s="48"/>
      <c r="O1513" s="48" t="str">
        <f t="shared" si="2"/>
        <v/>
      </c>
      <c r="P1513" s="48" t="str">
        <f t="shared" si="3"/>
        <v/>
      </c>
      <c r="Q1513" s="84"/>
      <c r="R1513" s="84"/>
      <c r="S1513" s="84"/>
      <c r="T1513" s="84"/>
      <c r="U1513" s="84"/>
      <c r="V1513" s="84"/>
      <c r="W1513" s="84"/>
      <c r="X1513" s="84"/>
      <c r="Y1513" s="84"/>
      <c r="Z1513" s="84"/>
      <c r="AA1513" s="84"/>
      <c r="AB1513" s="84"/>
    </row>
    <row r="1514">
      <c r="A1514" s="63">
        <v>102.0</v>
      </c>
      <c r="B1514" s="63">
        <v>159.0</v>
      </c>
      <c r="C1514" s="64" t="s">
        <v>354</v>
      </c>
      <c r="D1514" s="64" t="s">
        <v>355</v>
      </c>
      <c r="E1514" s="64" t="s">
        <v>356</v>
      </c>
      <c r="F1514" s="63">
        <v>7000.0</v>
      </c>
      <c r="G1514" s="63">
        <v>28.25</v>
      </c>
      <c r="H1514" s="66">
        <f t="shared" si="1"/>
        <v>276.11</v>
      </c>
      <c r="I1514" s="81">
        <f>IFERROR(__xludf.DUMMYFUNCTION("IF(G1514="""", """", ROUND(G1514 / MAX(FILTER($G$2:$G5067, $D$2:$D5067=$D1514)) * 100, 2))"),91.13)</f>
        <v>91.13</v>
      </c>
      <c r="J1514" s="81">
        <f>IFERROR(__xludf.DUMMYFUNCTION("IF(H1514="""", """", ROUND(H1514 / MAX(FILTER($H$2:$H5067, $D$2:$D5067=$D1514)) * 100, 2))"),98.14)</f>
        <v>98.14</v>
      </c>
      <c r="K1514" s="2"/>
      <c r="L1514" s="49"/>
      <c r="M1514" s="49"/>
      <c r="N1514" s="49"/>
      <c r="O1514" s="49" t="str">
        <f t="shared" si="2"/>
        <v/>
      </c>
      <c r="P1514" s="49" t="str">
        <f t="shared" si="3"/>
        <v/>
      </c>
      <c r="Q1514" s="84"/>
      <c r="R1514" s="84"/>
      <c r="S1514" s="84"/>
      <c r="T1514" s="84"/>
      <c r="U1514" s="84"/>
      <c r="V1514" s="84"/>
      <c r="W1514" s="84"/>
      <c r="X1514" s="84"/>
      <c r="Y1514" s="84"/>
      <c r="Z1514" s="84"/>
      <c r="AA1514" s="84"/>
      <c r="AB1514" s="84"/>
    </row>
    <row r="1515">
      <c r="A1515" s="69">
        <v>102.0</v>
      </c>
      <c r="B1515" s="69">
        <v>159.0</v>
      </c>
      <c r="C1515" s="86" t="s">
        <v>354</v>
      </c>
      <c r="D1515" s="86" t="s">
        <v>355</v>
      </c>
      <c r="E1515" s="86" t="s">
        <v>356</v>
      </c>
      <c r="F1515" s="69">
        <v>7500.0</v>
      </c>
      <c r="G1515" s="69">
        <v>25.1</v>
      </c>
      <c r="H1515" s="68">
        <f t="shared" si="1"/>
        <v>262.85</v>
      </c>
      <c r="I1515" s="81">
        <f>IFERROR(__xludf.DUMMYFUNCTION("IF(G1515="""", """", ROUND(G1515 / MAX(FILTER($G$2:$G5067, $D$2:$D5067=$D1515)) * 100, 2))"),80.97)</f>
        <v>80.97</v>
      </c>
      <c r="J1515" s="81">
        <f>IFERROR(__xludf.DUMMYFUNCTION("IF(H1515="""", """", ROUND(H1515 / MAX(FILTER($H$2:$H5067, $D$2:$D5067=$D1515)) * 100, 2))"),93.42)</f>
        <v>93.42</v>
      </c>
      <c r="K1515" s="2"/>
      <c r="L1515" s="48"/>
      <c r="M1515" s="48"/>
      <c r="N1515" s="48"/>
      <c r="O1515" s="48" t="str">
        <f t="shared" si="2"/>
        <v/>
      </c>
      <c r="P1515" s="48" t="str">
        <f t="shared" si="3"/>
        <v/>
      </c>
      <c r="Q1515" s="84"/>
      <c r="R1515" s="84"/>
      <c r="S1515" s="84"/>
      <c r="T1515" s="84"/>
      <c r="U1515" s="84"/>
      <c r="V1515" s="84"/>
      <c r="W1515" s="84"/>
      <c r="X1515" s="84"/>
      <c r="Y1515" s="84"/>
      <c r="Z1515" s="84"/>
      <c r="AA1515" s="84"/>
      <c r="AB1515" s="84"/>
    </row>
    <row r="1516">
      <c r="A1516" s="63">
        <v>102.0</v>
      </c>
      <c r="B1516" s="63">
        <v>159.0</v>
      </c>
      <c r="C1516" s="64" t="s">
        <v>354</v>
      </c>
      <c r="D1516" s="64" t="s">
        <v>355</v>
      </c>
      <c r="E1516" s="64" t="s">
        <v>356</v>
      </c>
      <c r="F1516" s="63">
        <v>8000.0</v>
      </c>
      <c r="G1516" s="63">
        <v>20.0</v>
      </c>
      <c r="H1516" s="66">
        <f t="shared" si="1"/>
        <v>223.4</v>
      </c>
      <c r="I1516" s="81">
        <f>IFERROR(__xludf.DUMMYFUNCTION("IF(G1516="""", """", ROUND(G1516 / MAX(FILTER($G$2:$G5067, $D$2:$D5067=$D1516)) * 100, 2))"),64.52)</f>
        <v>64.52</v>
      </c>
      <c r="J1516" s="81">
        <f>IFERROR(__xludf.DUMMYFUNCTION("IF(H1516="""", """", ROUND(H1516 / MAX(FILTER($H$2:$H5067, $D$2:$D5067=$D1516)) * 100, 2))"),79.4)</f>
        <v>79.4</v>
      </c>
      <c r="K1516" s="2"/>
      <c r="L1516" s="49"/>
      <c r="M1516" s="49"/>
      <c r="N1516" s="49"/>
      <c r="O1516" s="49" t="str">
        <f t="shared" si="2"/>
        <v/>
      </c>
      <c r="P1516" s="49" t="str">
        <f t="shared" si="3"/>
        <v/>
      </c>
      <c r="Q1516" s="84"/>
      <c r="R1516" s="84"/>
      <c r="S1516" s="84"/>
      <c r="T1516" s="84"/>
      <c r="U1516" s="84"/>
      <c r="V1516" s="84"/>
      <c r="W1516" s="84"/>
      <c r="X1516" s="84"/>
      <c r="Y1516" s="84"/>
      <c r="Z1516" s="84"/>
      <c r="AA1516" s="84"/>
      <c r="AB1516" s="84"/>
    </row>
    <row r="1517">
      <c r="A1517" s="69">
        <v>103.0</v>
      </c>
      <c r="B1517" s="69">
        <v>160.0</v>
      </c>
      <c r="C1517" s="86" t="s">
        <v>357</v>
      </c>
      <c r="D1517" s="86" t="s">
        <v>358</v>
      </c>
      <c r="E1517" s="86" t="s">
        <v>359</v>
      </c>
      <c r="F1517" s="69">
        <v>500.0</v>
      </c>
      <c r="G1517" s="69">
        <v>13.78</v>
      </c>
      <c r="H1517" s="68">
        <f t="shared" si="1"/>
        <v>9.62</v>
      </c>
      <c r="I1517" s="81">
        <f>IFERROR(__xludf.DUMMYFUNCTION("IF(G1517="""", """", ROUND(G1517 / MAX(FILTER($G$2:$G5067, $D$2:$D5067=$D1517)) * 100, 2))"),67.58)</f>
        <v>67.58</v>
      </c>
      <c r="J1517" s="81">
        <f>IFERROR(__xludf.DUMMYFUNCTION("IF(H1517="""", """", ROUND(H1517 / MAX(FILTER($H$2:$H5067, $D$2:$D5067=$D1517)) * 100, 2))"),6.46)</f>
        <v>6.46</v>
      </c>
      <c r="K1517" s="2"/>
      <c r="L1517" s="48"/>
      <c r="M1517" s="48"/>
      <c r="N1517" s="48"/>
      <c r="O1517" s="48" t="str">
        <f t="shared" si="2"/>
        <v/>
      </c>
      <c r="P1517" s="48" t="str">
        <f t="shared" si="3"/>
        <v/>
      </c>
      <c r="Q1517" s="84"/>
      <c r="R1517" s="84"/>
      <c r="S1517" s="84"/>
      <c r="T1517" s="84"/>
      <c r="U1517" s="84"/>
      <c r="V1517" s="84"/>
      <c r="W1517" s="84"/>
      <c r="X1517" s="84"/>
      <c r="Y1517" s="84"/>
      <c r="Z1517" s="84"/>
      <c r="AA1517" s="84"/>
      <c r="AB1517" s="84"/>
    </row>
    <row r="1518">
      <c r="A1518" s="63">
        <v>103.0</v>
      </c>
      <c r="B1518" s="63">
        <v>160.0</v>
      </c>
      <c r="C1518" s="64" t="s">
        <v>357</v>
      </c>
      <c r="D1518" s="64" t="s">
        <v>358</v>
      </c>
      <c r="E1518" s="64" t="s">
        <v>359</v>
      </c>
      <c r="F1518" s="63">
        <v>1000.0</v>
      </c>
      <c r="G1518" s="63">
        <v>15.81</v>
      </c>
      <c r="H1518" s="66">
        <f t="shared" si="1"/>
        <v>22.07</v>
      </c>
      <c r="I1518" s="81">
        <f>IFERROR(__xludf.DUMMYFUNCTION("IF(G1518="""", """", ROUND(G1518 / MAX(FILTER($G$2:$G5067, $D$2:$D5067=$D1518)) * 100, 2))"),77.54)</f>
        <v>77.54</v>
      </c>
      <c r="J1518" s="81">
        <f>IFERROR(__xludf.DUMMYFUNCTION("IF(H1518="""", """", ROUND(H1518 / MAX(FILTER($H$2:$H5067, $D$2:$D5067=$D1518)) * 100, 2))"),14.83)</f>
        <v>14.83</v>
      </c>
      <c r="K1518" s="2"/>
      <c r="L1518" s="49"/>
      <c r="M1518" s="49"/>
      <c r="N1518" s="49"/>
      <c r="O1518" s="49" t="str">
        <f t="shared" si="2"/>
        <v/>
      </c>
      <c r="P1518" s="49" t="str">
        <f t="shared" si="3"/>
        <v/>
      </c>
      <c r="Q1518" s="84"/>
      <c r="R1518" s="84"/>
      <c r="S1518" s="84"/>
      <c r="T1518" s="84"/>
      <c r="U1518" s="84"/>
      <c r="V1518" s="84"/>
      <c r="W1518" s="84"/>
      <c r="X1518" s="84"/>
      <c r="Y1518" s="84"/>
      <c r="Z1518" s="84"/>
      <c r="AA1518" s="84"/>
      <c r="AB1518" s="84"/>
    </row>
    <row r="1519">
      <c r="A1519" s="69">
        <v>103.0</v>
      </c>
      <c r="B1519" s="69">
        <v>160.0</v>
      </c>
      <c r="C1519" s="86" t="s">
        <v>357</v>
      </c>
      <c r="D1519" s="86" t="s">
        <v>358</v>
      </c>
      <c r="E1519" s="86" t="s">
        <v>359</v>
      </c>
      <c r="F1519" s="69">
        <v>1500.0</v>
      </c>
      <c r="G1519" s="69">
        <v>16.93</v>
      </c>
      <c r="H1519" s="68">
        <f t="shared" si="1"/>
        <v>35.46</v>
      </c>
      <c r="I1519" s="81">
        <f>IFERROR(__xludf.DUMMYFUNCTION("IF(G1519="""", """", ROUND(G1519 / MAX(FILTER($G$2:$G5067, $D$2:$D5067=$D1519)) * 100, 2))"),83.03)</f>
        <v>83.03</v>
      </c>
      <c r="J1519" s="81">
        <f>IFERROR(__xludf.DUMMYFUNCTION("IF(H1519="""", """", ROUND(H1519 / MAX(FILTER($H$2:$H5067, $D$2:$D5067=$D1519)) * 100, 2))"),23.82)</f>
        <v>23.82</v>
      </c>
      <c r="K1519" s="2"/>
      <c r="L1519" s="48"/>
      <c r="M1519" s="48"/>
      <c r="N1519" s="48"/>
      <c r="O1519" s="48" t="str">
        <f t="shared" si="2"/>
        <v/>
      </c>
      <c r="P1519" s="48" t="str">
        <f t="shared" si="3"/>
        <v/>
      </c>
      <c r="Q1519" s="84"/>
      <c r="R1519" s="84"/>
      <c r="S1519" s="84"/>
      <c r="T1519" s="84"/>
      <c r="U1519" s="84"/>
      <c r="V1519" s="84"/>
      <c r="W1519" s="84"/>
      <c r="X1519" s="84"/>
      <c r="Y1519" s="84"/>
      <c r="Z1519" s="84"/>
      <c r="AA1519" s="84"/>
      <c r="AB1519" s="84"/>
    </row>
    <row r="1520">
      <c r="A1520" s="63">
        <v>103.0</v>
      </c>
      <c r="B1520" s="63">
        <v>160.0</v>
      </c>
      <c r="C1520" s="64" t="s">
        <v>357</v>
      </c>
      <c r="D1520" s="64" t="s">
        <v>358</v>
      </c>
      <c r="E1520" s="64" t="s">
        <v>359</v>
      </c>
      <c r="F1520" s="63">
        <v>2000.0</v>
      </c>
      <c r="G1520" s="63">
        <v>18.35</v>
      </c>
      <c r="H1520" s="66">
        <f t="shared" si="1"/>
        <v>51.24</v>
      </c>
      <c r="I1520" s="81">
        <f>IFERROR(__xludf.DUMMYFUNCTION("IF(G1520="""", """", ROUND(G1520 / MAX(FILTER($G$2:$G5067, $D$2:$D5067=$D1520)) * 100, 2))"),90.0)</f>
        <v>90</v>
      </c>
      <c r="J1520" s="81">
        <f>IFERROR(__xludf.DUMMYFUNCTION("IF(H1520="""", """", ROUND(H1520 / MAX(FILTER($H$2:$H5067, $D$2:$D5067=$D1520)) * 100, 2))"),34.42)</f>
        <v>34.42</v>
      </c>
      <c r="K1520" s="2"/>
      <c r="L1520" s="49"/>
      <c r="M1520" s="49"/>
      <c r="N1520" s="49"/>
      <c r="O1520" s="49" t="str">
        <f t="shared" si="2"/>
        <v/>
      </c>
      <c r="P1520" s="49" t="str">
        <f t="shared" si="3"/>
        <v/>
      </c>
      <c r="Q1520" s="84"/>
      <c r="R1520" s="84"/>
      <c r="S1520" s="84"/>
      <c r="T1520" s="84"/>
      <c r="U1520" s="84"/>
      <c r="V1520" s="84"/>
      <c r="W1520" s="84"/>
      <c r="X1520" s="84"/>
      <c r="Y1520" s="84"/>
      <c r="Z1520" s="84"/>
      <c r="AA1520" s="84"/>
      <c r="AB1520" s="84"/>
    </row>
    <row r="1521">
      <c r="A1521" s="69">
        <v>103.0</v>
      </c>
      <c r="B1521" s="69">
        <v>160.0</v>
      </c>
      <c r="C1521" s="86" t="s">
        <v>357</v>
      </c>
      <c r="D1521" s="86" t="s">
        <v>358</v>
      </c>
      <c r="E1521" s="86" t="s">
        <v>359</v>
      </c>
      <c r="F1521" s="69">
        <v>2500.0</v>
      </c>
      <c r="G1521" s="69">
        <v>18.0</v>
      </c>
      <c r="H1521" s="68">
        <f t="shared" si="1"/>
        <v>62.83</v>
      </c>
      <c r="I1521" s="81">
        <f>IFERROR(__xludf.DUMMYFUNCTION("IF(G1521="""", """", ROUND(G1521 / MAX(FILTER($G$2:$G5067, $D$2:$D5067=$D1521)) * 100, 2))"),88.28)</f>
        <v>88.28</v>
      </c>
      <c r="J1521" s="81">
        <f>IFERROR(__xludf.DUMMYFUNCTION("IF(H1521="""", """", ROUND(H1521 / MAX(FILTER($H$2:$H5067, $D$2:$D5067=$D1521)) * 100, 2))"),42.2)</f>
        <v>42.2</v>
      </c>
      <c r="K1521" s="2"/>
      <c r="L1521" s="48"/>
      <c r="M1521" s="48"/>
      <c r="N1521" s="48"/>
      <c r="O1521" s="48" t="str">
        <f t="shared" si="2"/>
        <v/>
      </c>
      <c r="P1521" s="48" t="str">
        <f t="shared" si="3"/>
        <v/>
      </c>
      <c r="Q1521" s="84"/>
      <c r="R1521" s="84"/>
      <c r="S1521" s="84"/>
      <c r="T1521" s="84"/>
      <c r="U1521" s="84"/>
      <c r="V1521" s="84"/>
      <c r="W1521" s="84"/>
      <c r="X1521" s="84"/>
      <c r="Y1521" s="84"/>
      <c r="Z1521" s="84"/>
      <c r="AA1521" s="84"/>
      <c r="AB1521" s="84"/>
    </row>
    <row r="1522">
      <c r="A1522" s="63">
        <v>103.0</v>
      </c>
      <c r="B1522" s="63">
        <v>160.0</v>
      </c>
      <c r="C1522" s="64" t="s">
        <v>357</v>
      </c>
      <c r="D1522" s="64" t="s">
        <v>358</v>
      </c>
      <c r="E1522" s="64" t="s">
        <v>359</v>
      </c>
      <c r="F1522" s="63">
        <v>3000.0</v>
      </c>
      <c r="G1522" s="63">
        <v>19.37</v>
      </c>
      <c r="H1522" s="66">
        <f t="shared" si="1"/>
        <v>81.14</v>
      </c>
      <c r="I1522" s="81">
        <f>IFERROR(__xludf.DUMMYFUNCTION("IF(G1522="""", """", ROUND(G1522 / MAX(FILTER($G$2:$G5067, $D$2:$D5067=$D1522)) * 100, 2))"),95.0)</f>
        <v>95</v>
      </c>
      <c r="J1522" s="81">
        <f>IFERROR(__xludf.DUMMYFUNCTION("IF(H1522="""", """", ROUND(H1522 / MAX(FILTER($H$2:$H5067, $D$2:$D5067=$D1522)) * 100, 2))"),54.5)</f>
        <v>54.5</v>
      </c>
      <c r="K1522" s="2"/>
      <c r="L1522" s="49"/>
      <c r="M1522" s="49"/>
      <c r="N1522" s="49"/>
      <c r="O1522" s="49" t="str">
        <f t="shared" si="2"/>
        <v/>
      </c>
      <c r="P1522" s="49" t="str">
        <f t="shared" si="3"/>
        <v/>
      </c>
      <c r="Q1522" s="84"/>
      <c r="R1522" s="84"/>
      <c r="S1522" s="84"/>
      <c r="T1522" s="84"/>
      <c r="U1522" s="84"/>
      <c r="V1522" s="84"/>
      <c r="W1522" s="84"/>
      <c r="X1522" s="84"/>
      <c r="Y1522" s="84"/>
      <c r="Z1522" s="84"/>
      <c r="AA1522" s="84"/>
      <c r="AB1522" s="84"/>
    </row>
    <row r="1523">
      <c r="A1523" s="69">
        <v>103.0</v>
      </c>
      <c r="B1523" s="69">
        <v>160.0</v>
      </c>
      <c r="C1523" s="86" t="s">
        <v>357</v>
      </c>
      <c r="D1523" s="86" t="s">
        <v>358</v>
      </c>
      <c r="E1523" s="86" t="s">
        <v>359</v>
      </c>
      <c r="F1523" s="69">
        <v>3500.0</v>
      </c>
      <c r="G1523" s="69">
        <v>19.88</v>
      </c>
      <c r="H1523" s="68">
        <f t="shared" si="1"/>
        <v>97.15</v>
      </c>
      <c r="I1523" s="81">
        <f>IFERROR(__xludf.DUMMYFUNCTION("IF(G1523="""", """", ROUND(G1523 / MAX(FILTER($G$2:$G5067, $D$2:$D5067=$D1523)) * 100, 2))"),97.5)</f>
        <v>97.5</v>
      </c>
      <c r="J1523" s="81">
        <f>IFERROR(__xludf.DUMMYFUNCTION("IF(H1523="""", """", ROUND(H1523 / MAX(FILTER($H$2:$H5067, $D$2:$D5067=$D1523)) * 100, 2))"),65.26)</f>
        <v>65.26</v>
      </c>
      <c r="K1523" s="2"/>
      <c r="L1523" s="48"/>
      <c r="M1523" s="48"/>
      <c r="N1523" s="48"/>
      <c r="O1523" s="48" t="str">
        <f t="shared" si="2"/>
        <v/>
      </c>
      <c r="P1523" s="48" t="str">
        <f t="shared" si="3"/>
        <v/>
      </c>
      <c r="Q1523" s="84"/>
      <c r="R1523" s="84"/>
      <c r="S1523" s="84"/>
      <c r="T1523" s="84"/>
      <c r="U1523" s="84"/>
      <c r="V1523" s="84"/>
      <c r="W1523" s="84"/>
      <c r="X1523" s="84"/>
      <c r="Y1523" s="84"/>
      <c r="Z1523" s="84"/>
      <c r="AA1523" s="84"/>
      <c r="AB1523" s="84"/>
    </row>
    <row r="1524">
      <c r="A1524" s="63">
        <v>103.0</v>
      </c>
      <c r="B1524" s="63">
        <v>160.0</v>
      </c>
      <c r="C1524" s="64" t="s">
        <v>357</v>
      </c>
      <c r="D1524" s="64" t="s">
        <v>358</v>
      </c>
      <c r="E1524" s="64" t="s">
        <v>359</v>
      </c>
      <c r="F1524" s="63">
        <v>4000.0</v>
      </c>
      <c r="G1524" s="63">
        <v>20.39</v>
      </c>
      <c r="H1524" s="66">
        <f t="shared" si="1"/>
        <v>113.88</v>
      </c>
      <c r="I1524" s="81">
        <f>IFERROR(__xludf.DUMMYFUNCTION("IF(G1524="""", """", ROUND(G1524 / MAX(FILTER($G$2:$G5067, $D$2:$D5067=$D1524)) * 100, 2))"),100.0)</f>
        <v>100</v>
      </c>
      <c r="J1524" s="81">
        <f>IFERROR(__xludf.DUMMYFUNCTION("IF(H1524="""", """", ROUND(H1524 / MAX(FILTER($H$2:$H5067, $D$2:$D5067=$D1524)) * 100, 2))"),76.5)</f>
        <v>76.5</v>
      </c>
      <c r="K1524" s="2"/>
      <c r="L1524" s="49"/>
      <c r="M1524" s="49"/>
      <c r="N1524" s="49"/>
      <c r="O1524" s="49" t="str">
        <f t="shared" si="2"/>
        <v/>
      </c>
      <c r="P1524" s="49" t="str">
        <f t="shared" si="3"/>
        <v/>
      </c>
      <c r="Q1524" s="84"/>
      <c r="R1524" s="84"/>
      <c r="S1524" s="84"/>
      <c r="T1524" s="84"/>
      <c r="U1524" s="84"/>
      <c r="V1524" s="84"/>
      <c r="W1524" s="84"/>
      <c r="X1524" s="84"/>
      <c r="Y1524" s="84"/>
      <c r="Z1524" s="84"/>
      <c r="AA1524" s="84"/>
      <c r="AB1524" s="84"/>
    </row>
    <row r="1525">
      <c r="A1525" s="69">
        <v>103.0</v>
      </c>
      <c r="B1525" s="69">
        <v>160.0</v>
      </c>
      <c r="C1525" s="86" t="s">
        <v>357</v>
      </c>
      <c r="D1525" s="86" t="s">
        <v>358</v>
      </c>
      <c r="E1525" s="86" t="s">
        <v>359</v>
      </c>
      <c r="F1525" s="69">
        <v>4500.0</v>
      </c>
      <c r="G1525" s="69">
        <v>19.88</v>
      </c>
      <c r="H1525" s="68">
        <f t="shared" si="1"/>
        <v>124.91</v>
      </c>
      <c r="I1525" s="81">
        <f>IFERROR(__xludf.DUMMYFUNCTION("IF(G1525="""", """", ROUND(G1525 / MAX(FILTER($G$2:$G5067, $D$2:$D5067=$D1525)) * 100, 2))"),97.5)</f>
        <v>97.5</v>
      </c>
      <c r="J1525" s="81">
        <f>IFERROR(__xludf.DUMMYFUNCTION("IF(H1525="""", """", ROUND(H1525 / MAX(FILTER($H$2:$H5067, $D$2:$D5067=$D1525)) * 100, 2))"),83.91)</f>
        <v>83.91</v>
      </c>
      <c r="K1525" s="2"/>
      <c r="L1525" s="48"/>
      <c r="M1525" s="48"/>
      <c r="N1525" s="48"/>
      <c r="O1525" s="48" t="str">
        <f t="shared" si="2"/>
        <v/>
      </c>
      <c r="P1525" s="48" t="str">
        <f t="shared" si="3"/>
        <v/>
      </c>
      <c r="Q1525" s="84"/>
      <c r="R1525" s="84"/>
      <c r="S1525" s="84"/>
      <c r="T1525" s="84"/>
      <c r="U1525" s="84"/>
      <c r="V1525" s="84"/>
      <c r="W1525" s="84"/>
      <c r="X1525" s="84"/>
      <c r="Y1525" s="84"/>
      <c r="Z1525" s="84"/>
      <c r="AA1525" s="84"/>
      <c r="AB1525" s="84"/>
    </row>
    <row r="1526">
      <c r="A1526" s="63">
        <v>103.0</v>
      </c>
      <c r="B1526" s="63">
        <v>160.0</v>
      </c>
      <c r="C1526" s="64" t="s">
        <v>357</v>
      </c>
      <c r="D1526" s="64" t="s">
        <v>358</v>
      </c>
      <c r="E1526" s="64" t="s">
        <v>359</v>
      </c>
      <c r="F1526" s="63">
        <v>5000.0</v>
      </c>
      <c r="G1526" s="63">
        <v>19.37</v>
      </c>
      <c r="H1526" s="66">
        <f t="shared" si="1"/>
        <v>135.23</v>
      </c>
      <c r="I1526" s="81">
        <f>IFERROR(__xludf.DUMMYFUNCTION("IF(G1526="""", """", ROUND(G1526 / MAX(FILTER($G$2:$G5067, $D$2:$D5067=$D1526)) * 100, 2))"),95.0)</f>
        <v>95</v>
      </c>
      <c r="J1526" s="81">
        <f>IFERROR(__xludf.DUMMYFUNCTION("IF(H1526="""", """", ROUND(H1526 / MAX(FILTER($H$2:$H5067, $D$2:$D5067=$D1526)) * 100, 2))"),90.84)</f>
        <v>90.84</v>
      </c>
      <c r="K1526" s="2"/>
      <c r="L1526" s="49"/>
      <c r="M1526" s="49"/>
      <c r="N1526" s="49"/>
      <c r="O1526" s="49" t="str">
        <f t="shared" si="2"/>
        <v/>
      </c>
      <c r="P1526" s="49" t="str">
        <f t="shared" si="3"/>
        <v/>
      </c>
      <c r="Q1526" s="84"/>
      <c r="R1526" s="84"/>
      <c r="S1526" s="84"/>
      <c r="T1526" s="84"/>
      <c r="U1526" s="84"/>
      <c r="V1526" s="84"/>
      <c r="W1526" s="84"/>
      <c r="X1526" s="84"/>
      <c r="Y1526" s="84"/>
      <c r="Z1526" s="84"/>
      <c r="AA1526" s="84"/>
      <c r="AB1526" s="84"/>
    </row>
    <row r="1527">
      <c r="A1527" s="69">
        <v>103.0</v>
      </c>
      <c r="B1527" s="69">
        <v>160.0</v>
      </c>
      <c r="C1527" s="86" t="s">
        <v>357</v>
      </c>
      <c r="D1527" s="86" t="s">
        <v>358</v>
      </c>
      <c r="E1527" s="86" t="s">
        <v>359</v>
      </c>
      <c r="F1527" s="69">
        <v>5500.0</v>
      </c>
      <c r="G1527" s="69">
        <v>18.61</v>
      </c>
      <c r="H1527" s="68">
        <f t="shared" si="1"/>
        <v>142.91</v>
      </c>
      <c r="I1527" s="81">
        <f>IFERROR(__xludf.DUMMYFUNCTION("IF(G1527="""", """", ROUND(G1527 / MAX(FILTER($G$2:$G5067, $D$2:$D5067=$D1527)) * 100, 2))"),91.27)</f>
        <v>91.27</v>
      </c>
      <c r="J1527" s="81">
        <f>IFERROR(__xludf.DUMMYFUNCTION("IF(H1527="""", """", ROUND(H1527 / MAX(FILTER($H$2:$H5067, $D$2:$D5067=$D1527)) * 100, 2))"),96.0)</f>
        <v>96</v>
      </c>
      <c r="K1527" s="2"/>
      <c r="L1527" s="48"/>
      <c r="M1527" s="48"/>
      <c r="N1527" s="48"/>
      <c r="O1527" s="48" t="str">
        <f t="shared" si="2"/>
        <v/>
      </c>
      <c r="P1527" s="48" t="str">
        <f t="shared" si="3"/>
        <v/>
      </c>
      <c r="Q1527" s="84"/>
      <c r="R1527" s="84"/>
      <c r="S1527" s="84"/>
      <c r="T1527" s="84"/>
      <c r="U1527" s="84"/>
      <c r="V1527" s="84"/>
      <c r="W1527" s="84"/>
      <c r="X1527" s="84"/>
      <c r="Y1527" s="84"/>
      <c r="Z1527" s="84"/>
      <c r="AA1527" s="84"/>
      <c r="AB1527" s="84"/>
    </row>
    <row r="1528">
      <c r="A1528" s="63">
        <v>103.0</v>
      </c>
      <c r="B1528" s="63">
        <v>160.0</v>
      </c>
      <c r="C1528" s="64" t="s">
        <v>357</v>
      </c>
      <c r="D1528" s="64" t="s">
        <v>358</v>
      </c>
      <c r="E1528" s="64" t="s">
        <v>359</v>
      </c>
      <c r="F1528" s="63">
        <v>6000.0</v>
      </c>
      <c r="G1528" s="63">
        <v>17.77</v>
      </c>
      <c r="H1528" s="66">
        <f t="shared" si="1"/>
        <v>148.87</v>
      </c>
      <c r="I1528" s="81">
        <f>IFERROR(__xludf.DUMMYFUNCTION("IF(G1528="""", """", ROUND(G1528 / MAX(FILTER($G$2:$G5067, $D$2:$D5067=$D1528)) * 100, 2))"),87.15)</f>
        <v>87.15</v>
      </c>
      <c r="J1528" s="81">
        <f>IFERROR(__xludf.DUMMYFUNCTION("IF(H1528="""", """", ROUND(H1528 / MAX(FILTER($H$2:$H5067, $D$2:$D5067=$D1528)) * 100, 2))"),100.0)</f>
        <v>100</v>
      </c>
      <c r="K1528" s="2"/>
      <c r="L1528" s="49"/>
      <c r="M1528" s="49"/>
      <c r="N1528" s="49"/>
      <c r="O1528" s="49" t="str">
        <f t="shared" si="2"/>
        <v/>
      </c>
      <c r="P1528" s="49" t="str">
        <f t="shared" si="3"/>
        <v/>
      </c>
      <c r="Q1528" s="84"/>
      <c r="R1528" s="84"/>
      <c r="S1528" s="84"/>
      <c r="T1528" s="84"/>
      <c r="U1528" s="84"/>
      <c r="V1528" s="84"/>
      <c r="W1528" s="84"/>
      <c r="X1528" s="84"/>
      <c r="Y1528" s="84"/>
      <c r="Z1528" s="84"/>
      <c r="AA1528" s="84"/>
      <c r="AB1528" s="84"/>
    </row>
    <row r="1529">
      <c r="A1529" s="69">
        <v>103.0</v>
      </c>
      <c r="B1529" s="69">
        <v>160.0</v>
      </c>
      <c r="C1529" s="86" t="s">
        <v>357</v>
      </c>
      <c r="D1529" s="86" t="s">
        <v>358</v>
      </c>
      <c r="E1529" s="86" t="s">
        <v>359</v>
      </c>
      <c r="F1529" s="69">
        <v>6500.0</v>
      </c>
      <c r="G1529" s="69">
        <v>15.97</v>
      </c>
      <c r="H1529" s="68">
        <f t="shared" si="1"/>
        <v>144.94</v>
      </c>
      <c r="I1529" s="81">
        <f>IFERROR(__xludf.DUMMYFUNCTION("IF(G1529="""", """", ROUND(G1529 / MAX(FILTER($G$2:$G5067, $D$2:$D5067=$D1529)) * 100, 2))"),78.32)</f>
        <v>78.32</v>
      </c>
      <c r="J1529" s="81">
        <f>IFERROR(__xludf.DUMMYFUNCTION("IF(H1529="""", """", ROUND(H1529 / MAX(FILTER($H$2:$H5067, $D$2:$D5067=$D1529)) * 100, 2))"),97.36)</f>
        <v>97.36</v>
      </c>
      <c r="K1529" s="2"/>
      <c r="L1529" s="48"/>
      <c r="M1529" s="48"/>
      <c r="N1529" s="48"/>
      <c r="O1529" s="48" t="str">
        <f t="shared" si="2"/>
        <v/>
      </c>
      <c r="P1529" s="48" t="str">
        <f t="shared" si="3"/>
        <v/>
      </c>
      <c r="Q1529" s="84"/>
      <c r="R1529" s="84"/>
      <c r="S1529" s="84"/>
      <c r="T1529" s="84"/>
      <c r="U1529" s="84"/>
      <c r="V1529" s="84"/>
      <c r="W1529" s="84"/>
      <c r="X1529" s="84"/>
      <c r="Y1529" s="84"/>
      <c r="Z1529" s="84"/>
      <c r="AA1529" s="84"/>
      <c r="AB1529" s="84"/>
    </row>
    <row r="1530">
      <c r="A1530" s="63">
        <v>103.0</v>
      </c>
      <c r="B1530" s="63">
        <v>160.0</v>
      </c>
      <c r="C1530" s="64" t="s">
        <v>357</v>
      </c>
      <c r="D1530" s="64" t="s">
        <v>358</v>
      </c>
      <c r="E1530" s="64" t="s">
        <v>359</v>
      </c>
      <c r="F1530" s="63">
        <v>7000.0</v>
      </c>
      <c r="G1530" s="63">
        <v>13.13</v>
      </c>
      <c r="H1530" s="66">
        <f t="shared" si="1"/>
        <v>128.33</v>
      </c>
      <c r="I1530" s="81">
        <f>IFERROR(__xludf.DUMMYFUNCTION("IF(G1530="""", """", ROUND(G1530 / MAX(FILTER($G$2:$G5067, $D$2:$D5067=$D1530)) * 100, 2))"),64.39)</f>
        <v>64.39</v>
      </c>
      <c r="J1530" s="81">
        <f>IFERROR(__xludf.DUMMYFUNCTION("IF(H1530="""", """", ROUND(H1530 / MAX(FILTER($H$2:$H5067, $D$2:$D5067=$D1530)) * 100, 2))"),86.2)</f>
        <v>86.2</v>
      </c>
      <c r="K1530" s="2"/>
      <c r="L1530" s="49"/>
      <c r="M1530" s="49"/>
      <c r="N1530" s="49"/>
      <c r="O1530" s="49" t="str">
        <f t="shared" si="2"/>
        <v/>
      </c>
      <c r="P1530" s="49" t="str">
        <f t="shared" si="3"/>
        <v/>
      </c>
      <c r="Q1530" s="84"/>
      <c r="R1530" s="84"/>
      <c r="S1530" s="84"/>
      <c r="T1530" s="84"/>
      <c r="U1530" s="84"/>
      <c r="V1530" s="84"/>
      <c r="W1530" s="84"/>
      <c r="X1530" s="84"/>
      <c r="Y1530" s="84"/>
      <c r="Z1530" s="84"/>
      <c r="AA1530" s="84"/>
      <c r="AB1530" s="84"/>
    </row>
    <row r="1531">
      <c r="A1531" s="69">
        <v>104.0</v>
      </c>
      <c r="B1531" s="69">
        <v>161.0</v>
      </c>
      <c r="C1531" s="86" t="s">
        <v>360</v>
      </c>
      <c r="D1531" s="86" t="s">
        <v>361</v>
      </c>
      <c r="E1531" s="86" t="s">
        <v>362</v>
      </c>
      <c r="F1531" s="69">
        <v>500.0</v>
      </c>
      <c r="G1531" s="69">
        <v>8.0</v>
      </c>
      <c r="H1531" s="68">
        <f t="shared" si="1"/>
        <v>5.59</v>
      </c>
      <c r="I1531" s="81">
        <f>IFERROR(__xludf.DUMMYFUNCTION("IF(G1531="""", """", ROUND(G1531 / MAX(FILTER($G$2:$G5067, $D$2:$D5067=$D1531)) * 100, 2))"),54.42)</f>
        <v>54.42</v>
      </c>
      <c r="J1531" s="81">
        <f>IFERROR(__xludf.DUMMYFUNCTION("IF(H1531="""", """", ROUND(H1531 / MAX(FILTER($H$2:$H5067, $D$2:$D5067=$D1531)) * 100, 2))"),4.67)</f>
        <v>4.67</v>
      </c>
      <c r="K1531" s="2"/>
      <c r="L1531" s="48"/>
      <c r="M1531" s="48"/>
      <c r="N1531" s="48"/>
      <c r="O1531" s="48" t="str">
        <f t="shared" si="2"/>
        <v/>
      </c>
      <c r="P1531" s="48" t="str">
        <f t="shared" si="3"/>
        <v/>
      </c>
      <c r="Q1531" s="84"/>
      <c r="R1531" s="84"/>
      <c r="S1531" s="84"/>
      <c r="T1531" s="84"/>
      <c r="U1531" s="84"/>
      <c r="V1531" s="84"/>
      <c r="W1531" s="84"/>
      <c r="X1531" s="84"/>
      <c r="Y1531" s="84"/>
      <c r="Z1531" s="84"/>
      <c r="AA1531" s="84"/>
      <c r="AB1531" s="84"/>
    </row>
    <row r="1532">
      <c r="A1532" s="63">
        <v>104.0</v>
      </c>
      <c r="B1532" s="63">
        <v>161.0</v>
      </c>
      <c r="C1532" s="64" t="s">
        <v>360</v>
      </c>
      <c r="D1532" s="64" t="s">
        <v>361</v>
      </c>
      <c r="E1532" s="64" t="s">
        <v>362</v>
      </c>
      <c r="F1532" s="63">
        <v>1000.0</v>
      </c>
      <c r="G1532" s="63">
        <v>10.25</v>
      </c>
      <c r="H1532" s="66">
        <f t="shared" si="1"/>
        <v>14.31</v>
      </c>
      <c r="I1532" s="81">
        <f>IFERROR(__xludf.DUMMYFUNCTION("IF(G1532="""", """", ROUND(G1532 / MAX(FILTER($G$2:$G5067, $D$2:$D5067=$D1532)) * 100, 2))"),69.73)</f>
        <v>69.73</v>
      </c>
      <c r="J1532" s="81">
        <f>IFERROR(__xludf.DUMMYFUNCTION("IF(H1532="""", """", ROUND(H1532 / MAX(FILTER($H$2:$H5067, $D$2:$D5067=$D1532)) * 100, 2))"),11.94)</f>
        <v>11.94</v>
      </c>
      <c r="K1532" s="2"/>
      <c r="L1532" s="49"/>
      <c r="M1532" s="49"/>
      <c r="N1532" s="49"/>
      <c r="O1532" s="49" t="str">
        <f t="shared" si="2"/>
        <v/>
      </c>
      <c r="P1532" s="49" t="str">
        <f t="shared" si="3"/>
        <v/>
      </c>
      <c r="Q1532" s="84"/>
      <c r="R1532" s="84"/>
      <c r="S1532" s="84"/>
      <c r="T1532" s="84"/>
      <c r="U1532" s="84"/>
      <c r="V1532" s="84"/>
      <c r="W1532" s="84"/>
      <c r="X1532" s="84"/>
      <c r="Y1532" s="84"/>
      <c r="Z1532" s="84"/>
      <c r="AA1532" s="84"/>
      <c r="AB1532" s="84"/>
    </row>
    <row r="1533">
      <c r="A1533" s="69">
        <v>104.0</v>
      </c>
      <c r="B1533" s="69">
        <v>161.0</v>
      </c>
      <c r="C1533" s="86" t="s">
        <v>360</v>
      </c>
      <c r="D1533" s="86" t="s">
        <v>361</v>
      </c>
      <c r="E1533" s="86" t="s">
        <v>362</v>
      </c>
      <c r="F1533" s="69">
        <v>1500.0</v>
      </c>
      <c r="G1533" s="69">
        <v>11.7</v>
      </c>
      <c r="H1533" s="68">
        <f t="shared" si="1"/>
        <v>24.5</v>
      </c>
      <c r="I1533" s="81">
        <f>IFERROR(__xludf.DUMMYFUNCTION("IF(G1533="""", """", ROUND(G1533 / MAX(FILTER($G$2:$G5067, $D$2:$D5067=$D1533)) * 100, 2))"),79.59)</f>
        <v>79.59</v>
      </c>
      <c r="J1533" s="81">
        <f>IFERROR(__xludf.DUMMYFUNCTION("IF(H1533="""", """", ROUND(H1533 / MAX(FILTER($H$2:$H5067, $D$2:$D5067=$D1533)) * 100, 2))"),20.45)</f>
        <v>20.45</v>
      </c>
      <c r="K1533" s="2"/>
      <c r="L1533" s="48"/>
      <c r="M1533" s="48"/>
      <c r="N1533" s="48"/>
      <c r="O1533" s="48" t="str">
        <f t="shared" si="2"/>
        <v/>
      </c>
      <c r="P1533" s="48" t="str">
        <f t="shared" si="3"/>
        <v/>
      </c>
      <c r="Q1533" s="84"/>
      <c r="R1533" s="84"/>
      <c r="S1533" s="84"/>
      <c r="T1533" s="84"/>
      <c r="U1533" s="84"/>
      <c r="V1533" s="84"/>
      <c r="W1533" s="84"/>
      <c r="X1533" s="84"/>
      <c r="Y1533" s="84"/>
      <c r="Z1533" s="84"/>
      <c r="AA1533" s="84"/>
      <c r="AB1533" s="84"/>
    </row>
    <row r="1534">
      <c r="A1534" s="63">
        <v>104.0</v>
      </c>
      <c r="B1534" s="63">
        <v>161.0</v>
      </c>
      <c r="C1534" s="64" t="s">
        <v>360</v>
      </c>
      <c r="D1534" s="64" t="s">
        <v>361</v>
      </c>
      <c r="E1534" s="64" t="s">
        <v>362</v>
      </c>
      <c r="F1534" s="63">
        <v>2000.0</v>
      </c>
      <c r="G1534" s="63">
        <v>12.5</v>
      </c>
      <c r="H1534" s="66">
        <f t="shared" si="1"/>
        <v>34.91</v>
      </c>
      <c r="I1534" s="81">
        <f>IFERROR(__xludf.DUMMYFUNCTION("IF(G1534="""", """", ROUND(G1534 / MAX(FILTER($G$2:$G5067, $D$2:$D5067=$D1534)) * 100, 2))"),85.03)</f>
        <v>85.03</v>
      </c>
      <c r="J1534" s="81">
        <f>IFERROR(__xludf.DUMMYFUNCTION("IF(H1534="""", """", ROUND(H1534 / MAX(FILTER($H$2:$H5067, $D$2:$D5067=$D1534)) * 100, 2))"),29.14)</f>
        <v>29.14</v>
      </c>
      <c r="K1534" s="2"/>
      <c r="L1534" s="49"/>
      <c r="M1534" s="49"/>
      <c r="N1534" s="49"/>
      <c r="O1534" s="49" t="str">
        <f t="shared" si="2"/>
        <v/>
      </c>
      <c r="P1534" s="49" t="str">
        <f t="shared" si="3"/>
        <v/>
      </c>
      <c r="Q1534" s="84"/>
      <c r="R1534" s="84"/>
      <c r="S1534" s="84"/>
      <c r="T1534" s="84"/>
      <c r="U1534" s="84"/>
      <c r="V1534" s="84"/>
      <c r="W1534" s="84"/>
      <c r="X1534" s="84"/>
      <c r="Y1534" s="84"/>
      <c r="Z1534" s="84"/>
      <c r="AA1534" s="84"/>
      <c r="AB1534" s="84"/>
    </row>
    <row r="1535">
      <c r="A1535" s="69">
        <v>104.0</v>
      </c>
      <c r="B1535" s="69">
        <v>161.0</v>
      </c>
      <c r="C1535" s="86" t="s">
        <v>360</v>
      </c>
      <c r="D1535" s="86" t="s">
        <v>361</v>
      </c>
      <c r="E1535" s="86" t="s">
        <v>362</v>
      </c>
      <c r="F1535" s="69">
        <v>2500.0</v>
      </c>
      <c r="G1535" s="69">
        <v>12.9</v>
      </c>
      <c r="H1535" s="68">
        <f t="shared" si="1"/>
        <v>45.03</v>
      </c>
      <c r="I1535" s="81">
        <f>IFERROR(__xludf.DUMMYFUNCTION("IF(G1535="""", """", ROUND(G1535 / MAX(FILTER($G$2:$G5067, $D$2:$D5067=$D1535)) * 100, 2))"),87.76)</f>
        <v>87.76</v>
      </c>
      <c r="J1535" s="81">
        <f>IFERROR(__xludf.DUMMYFUNCTION("IF(H1535="""", """", ROUND(H1535 / MAX(FILTER($H$2:$H5067, $D$2:$D5067=$D1535)) * 100, 2))"),37.59)</f>
        <v>37.59</v>
      </c>
      <c r="K1535" s="2"/>
      <c r="L1535" s="48"/>
      <c r="M1535" s="48"/>
      <c r="N1535" s="48"/>
      <c r="O1535" s="48" t="str">
        <f t="shared" si="2"/>
        <v/>
      </c>
      <c r="P1535" s="48" t="str">
        <f t="shared" si="3"/>
        <v/>
      </c>
      <c r="Q1535" s="84"/>
      <c r="R1535" s="84"/>
      <c r="S1535" s="84"/>
      <c r="T1535" s="84"/>
      <c r="U1535" s="84"/>
      <c r="V1535" s="84"/>
      <c r="W1535" s="84"/>
      <c r="X1535" s="84"/>
      <c r="Y1535" s="84"/>
      <c r="Z1535" s="84"/>
      <c r="AA1535" s="84"/>
      <c r="AB1535" s="84"/>
    </row>
    <row r="1536">
      <c r="A1536" s="63">
        <v>104.0</v>
      </c>
      <c r="B1536" s="63">
        <v>161.0</v>
      </c>
      <c r="C1536" s="64" t="s">
        <v>360</v>
      </c>
      <c r="D1536" s="64" t="s">
        <v>361</v>
      </c>
      <c r="E1536" s="64" t="s">
        <v>362</v>
      </c>
      <c r="F1536" s="63">
        <v>3000.0</v>
      </c>
      <c r="G1536" s="63">
        <v>13.15</v>
      </c>
      <c r="H1536" s="66">
        <f t="shared" si="1"/>
        <v>55.08</v>
      </c>
      <c r="I1536" s="81">
        <f>IFERROR(__xludf.DUMMYFUNCTION("IF(G1536="""", """", ROUND(G1536 / MAX(FILTER($G$2:$G5067, $D$2:$D5067=$D1536)) * 100, 2))"),89.46)</f>
        <v>89.46</v>
      </c>
      <c r="J1536" s="81">
        <f>IFERROR(__xludf.DUMMYFUNCTION("IF(H1536="""", """", ROUND(H1536 / MAX(FILTER($H$2:$H5067, $D$2:$D5067=$D1536)) * 100, 2))"),45.98)</f>
        <v>45.98</v>
      </c>
      <c r="K1536" s="2"/>
      <c r="L1536" s="49"/>
      <c r="M1536" s="49"/>
      <c r="N1536" s="49"/>
      <c r="O1536" s="49" t="str">
        <f t="shared" si="2"/>
        <v/>
      </c>
      <c r="P1536" s="49" t="str">
        <f t="shared" si="3"/>
        <v/>
      </c>
      <c r="Q1536" s="84"/>
      <c r="R1536" s="84"/>
      <c r="S1536" s="84"/>
      <c r="T1536" s="84"/>
      <c r="U1536" s="84"/>
      <c r="V1536" s="84"/>
      <c r="W1536" s="84"/>
      <c r="X1536" s="84"/>
      <c r="Y1536" s="84"/>
      <c r="Z1536" s="84"/>
      <c r="AA1536" s="84"/>
      <c r="AB1536" s="84"/>
    </row>
    <row r="1537">
      <c r="A1537" s="69">
        <v>104.0</v>
      </c>
      <c r="B1537" s="69">
        <v>161.0</v>
      </c>
      <c r="C1537" s="86" t="s">
        <v>360</v>
      </c>
      <c r="D1537" s="86" t="s">
        <v>361</v>
      </c>
      <c r="E1537" s="86" t="s">
        <v>362</v>
      </c>
      <c r="F1537" s="69">
        <v>3500.0</v>
      </c>
      <c r="G1537" s="69">
        <v>13.5</v>
      </c>
      <c r="H1537" s="68">
        <f t="shared" si="1"/>
        <v>65.97</v>
      </c>
      <c r="I1537" s="81">
        <f>IFERROR(__xludf.DUMMYFUNCTION("IF(G1537="""", """", ROUND(G1537 / MAX(FILTER($G$2:$G5067, $D$2:$D5067=$D1537)) * 100, 2))"),91.84)</f>
        <v>91.84</v>
      </c>
      <c r="J1537" s="81">
        <f>IFERROR(__xludf.DUMMYFUNCTION("IF(H1537="""", """", ROUND(H1537 / MAX(FILTER($H$2:$H5067, $D$2:$D5067=$D1537)) * 100, 2))"),55.07)</f>
        <v>55.07</v>
      </c>
      <c r="K1537" s="2"/>
      <c r="L1537" s="48"/>
      <c r="M1537" s="48"/>
      <c r="N1537" s="48"/>
      <c r="O1537" s="48" t="str">
        <f t="shared" si="2"/>
        <v/>
      </c>
      <c r="P1537" s="48" t="str">
        <f t="shared" si="3"/>
        <v/>
      </c>
      <c r="Q1537" s="84"/>
      <c r="R1537" s="84"/>
      <c r="S1537" s="84"/>
      <c r="T1537" s="84"/>
      <c r="U1537" s="84"/>
      <c r="V1537" s="84"/>
      <c r="W1537" s="84"/>
      <c r="X1537" s="84"/>
      <c r="Y1537" s="84"/>
      <c r="Z1537" s="84"/>
      <c r="AA1537" s="84"/>
      <c r="AB1537" s="84"/>
    </row>
    <row r="1538">
      <c r="A1538" s="63">
        <v>104.0</v>
      </c>
      <c r="B1538" s="63">
        <v>161.0</v>
      </c>
      <c r="C1538" s="64" t="s">
        <v>360</v>
      </c>
      <c r="D1538" s="64" t="s">
        <v>361</v>
      </c>
      <c r="E1538" s="64" t="s">
        <v>362</v>
      </c>
      <c r="F1538" s="63">
        <v>4000.0</v>
      </c>
      <c r="G1538" s="63">
        <v>14.0</v>
      </c>
      <c r="H1538" s="66">
        <f t="shared" si="1"/>
        <v>78.19</v>
      </c>
      <c r="I1538" s="81">
        <f>IFERROR(__xludf.DUMMYFUNCTION("IF(G1538="""", """", ROUND(G1538 / MAX(FILTER($G$2:$G5067, $D$2:$D5067=$D1538)) * 100, 2))"),95.24)</f>
        <v>95.24</v>
      </c>
      <c r="J1538" s="81">
        <f>IFERROR(__xludf.DUMMYFUNCTION("IF(H1538="""", """", ROUND(H1538 / MAX(FILTER($H$2:$H5067, $D$2:$D5067=$D1538)) * 100, 2))"),65.27)</f>
        <v>65.27</v>
      </c>
      <c r="K1538" s="2"/>
      <c r="L1538" s="49"/>
      <c r="M1538" s="49"/>
      <c r="N1538" s="49"/>
      <c r="O1538" s="49" t="str">
        <f t="shared" si="2"/>
        <v/>
      </c>
      <c r="P1538" s="49" t="str">
        <f t="shared" si="3"/>
        <v/>
      </c>
      <c r="Q1538" s="84"/>
      <c r="R1538" s="84"/>
      <c r="S1538" s="84"/>
      <c r="T1538" s="84"/>
      <c r="U1538" s="84"/>
      <c r="V1538" s="84"/>
      <c r="W1538" s="84"/>
      <c r="X1538" s="84"/>
      <c r="Y1538" s="84"/>
      <c r="Z1538" s="84"/>
      <c r="AA1538" s="84"/>
      <c r="AB1538" s="84"/>
    </row>
    <row r="1539">
      <c r="A1539" s="69">
        <v>104.0</v>
      </c>
      <c r="B1539" s="69">
        <v>161.0</v>
      </c>
      <c r="C1539" s="86" t="s">
        <v>360</v>
      </c>
      <c r="D1539" s="86" t="s">
        <v>361</v>
      </c>
      <c r="E1539" s="86" t="s">
        <v>362</v>
      </c>
      <c r="F1539" s="69">
        <v>4700.0</v>
      </c>
      <c r="G1539" s="69">
        <v>14.65</v>
      </c>
      <c r="H1539" s="68">
        <f t="shared" si="1"/>
        <v>96.14</v>
      </c>
      <c r="I1539" s="81">
        <f>IFERROR(__xludf.DUMMYFUNCTION("IF(G1539="""", """", ROUND(G1539 / MAX(FILTER($G$2:$G5067, $D$2:$D5067=$D1539)) * 100, 2))"),99.66)</f>
        <v>99.66</v>
      </c>
      <c r="J1539" s="81">
        <f>IFERROR(__xludf.DUMMYFUNCTION("IF(H1539="""", """", ROUND(H1539 / MAX(FILTER($H$2:$H5067, $D$2:$D5067=$D1539)) * 100, 2))"),80.25)</f>
        <v>80.25</v>
      </c>
      <c r="K1539" s="2"/>
      <c r="L1539" s="48"/>
      <c r="M1539" s="48"/>
      <c r="N1539" s="48"/>
      <c r="O1539" s="48" t="str">
        <f t="shared" si="2"/>
        <v/>
      </c>
      <c r="P1539" s="48" t="str">
        <f t="shared" si="3"/>
        <v/>
      </c>
      <c r="Q1539" s="84"/>
      <c r="R1539" s="84"/>
      <c r="S1539" s="84"/>
      <c r="T1539" s="84"/>
      <c r="U1539" s="84"/>
      <c r="V1539" s="84"/>
      <c r="W1539" s="84"/>
      <c r="X1539" s="84"/>
      <c r="Y1539" s="84"/>
      <c r="Z1539" s="84"/>
      <c r="AA1539" s="84"/>
      <c r="AB1539" s="84"/>
    </row>
    <row r="1540">
      <c r="A1540" s="63">
        <v>104.0</v>
      </c>
      <c r="B1540" s="63">
        <v>161.0</v>
      </c>
      <c r="C1540" s="64" t="s">
        <v>360</v>
      </c>
      <c r="D1540" s="64" t="s">
        <v>361</v>
      </c>
      <c r="E1540" s="64" t="s">
        <v>362</v>
      </c>
      <c r="F1540" s="63">
        <v>5200.0</v>
      </c>
      <c r="G1540" s="63">
        <v>14.7</v>
      </c>
      <c r="H1540" s="66">
        <f t="shared" si="1"/>
        <v>106.73</v>
      </c>
      <c r="I1540" s="81">
        <f>IFERROR(__xludf.DUMMYFUNCTION("IF(G1540="""", """", ROUND(G1540 / MAX(FILTER($G$2:$G5067, $D$2:$D5067=$D1540)) * 100, 2))"),100.0)</f>
        <v>100</v>
      </c>
      <c r="J1540" s="81">
        <f>IFERROR(__xludf.DUMMYFUNCTION("IF(H1540="""", """", ROUND(H1540 / MAX(FILTER($H$2:$H5067, $D$2:$D5067=$D1540)) * 100, 2))"),89.09)</f>
        <v>89.09</v>
      </c>
      <c r="K1540" s="2"/>
      <c r="L1540" s="49"/>
      <c r="M1540" s="49"/>
      <c r="N1540" s="49"/>
      <c r="O1540" s="49" t="str">
        <f t="shared" si="2"/>
        <v/>
      </c>
      <c r="P1540" s="49" t="str">
        <f t="shared" si="3"/>
        <v/>
      </c>
      <c r="Q1540" s="84"/>
      <c r="R1540" s="84"/>
      <c r="S1540" s="84"/>
      <c r="T1540" s="84"/>
      <c r="U1540" s="84"/>
      <c r="V1540" s="84"/>
      <c r="W1540" s="84"/>
      <c r="X1540" s="84"/>
      <c r="Y1540" s="84"/>
      <c r="Z1540" s="84"/>
      <c r="AA1540" s="84"/>
      <c r="AB1540" s="84"/>
    </row>
    <row r="1541">
      <c r="A1541" s="69">
        <v>104.0</v>
      </c>
      <c r="B1541" s="69">
        <v>161.0</v>
      </c>
      <c r="C1541" s="86" t="s">
        <v>360</v>
      </c>
      <c r="D1541" s="86" t="s">
        <v>361</v>
      </c>
      <c r="E1541" s="86" t="s">
        <v>362</v>
      </c>
      <c r="F1541" s="69">
        <v>5700.0</v>
      </c>
      <c r="G1541" s="69">
        <v>14.35</v>
      </c>
      <c r="H1541" s="68">
        <f t="shared" si="1"/>
        <v>114.21</v>
      </c>
      <c r="I1541" s="81">
        <f>IFERROR(__xludf.DUMMYFUNCTION("IF(G1541="""", """", ROUND(G1541 / MAX(FILTER($G$2:$G5067, $D$2:$D5067=$D1541)) * 100, 2))"),97.62)</f>
        <v>97.62</v>
      </c>
      <c r="J1541" s="81">
        <f>IFERROR(__xludf.DUMMYFUNCTION("IF(H1541="""", """", ROUND(H1541 / MAX(FILTER($H$2:$H5067, $D$2:$D5067=$D1541)) * 100, 2))"),95.33)</f>
        <v>95.33</v>
      </c>
      <c r="K1541" s="2"/>
      <c r="L1541" s="48"/>
      <c r="M1541" s="48"/>
      <c r="N1541" s="48"/>
      <c r="O1541" s="48" t="str">
        <f t="shared" si="2"/>
        <v/>
      </c>
      <c r="P1541" s="48" t="str">
        <f t="shared" si="3"/>
        <v/>
      </c>
      <c r="Q1541" s="84"/>
      <c r="R1541" s="84"/>
      <c r="S1541" s="84"/>
      <c r="T1541" s="84"/>
      <c r="U1541" s="84"/>
      <c r="V1541" s="84"/>
      <c r="W1541" s="84"/>
      <c r="X1541" s="84"/>
      <c r="Y1541" s="84"/>
      <c r="Z1541" s="84"/>
      <c r="AA1541" s="84"/>
      <c r="AB1541" s="84"/>
    </row>
    <row r="1542">
      <c r="A1542" s="63">
        <v>104.0</v>
      </c>
      <c r="B1542" s="63">
        <v>161.0</v>
      </c>
      <c r="C1542" s="64" t="s">
        <v>360</v>
      </c>
      <c r="D1542" s="64" t="s">
        <v>361</v>
      </c>
      <c r="E1542" s="64" t="s">
        <v>362</v>
      </c>
      <c r="F1542" s="63">
        <v>6200.0</v>
      </c>
      <c r="G1542" s="63">
        <v>13.65</v>
      </c>
      <c r="H1542" s="66">
        <f t="shared" si="1"/>
        <v>118.17</v>
      </c>
      <c r="I1542" s="81">
        <f>IFERROR(__xludf.DUMMYFUNCTION("IF(G1542="""", """", ROUND(G1542 / MAX(FILTER($G$2:$G5067, $D$2:$D5067=$D1542)) * 100, 2))"),92.86)</f>
        <v>92.86</v>
      </c>
      <c r="J1542" s="81">
        <f>IFERROR(__xludf.DUMMYFUNCTION("IF(H1542="""", """", ROUND(H1542 / MAX(FILTER($H$2:$H5067, $D$2:$D5067=$D1542)) * 100, 2))"),98.64)</f>
        <v>98.64</v>
      </c>
      <c r="K1542" s="2"/>
      <c r="L1542" s="49"/>
      <c r="M1542" s="49"/>
      <c r="N1542" s="49"/>
      <c r="O1542" s="49" t="str">
        <f t="shared" si="2"/>
        <v/>
      </c>
      <c r="P1542" s="49" t="str">
        <f t="shared" si="3"/>
        <v/>
      </c>
      <c r="Q1542" s="84"/>
      <c r="R1542" s="84"/>
      <c r="S1542" s="84"/>
      <c r="T1542" s="84"/>
      <c r="U1542" s="84"/>
      <c r="V1542" s="84"/>
      <c r="W1542" s="84"/>
      <c r="X1542" s="84"/>
      <c r="Y1542" s="84"/>
      <c r="Z1542" s="84"/>
      <c r="AA1542" s="84"/>
      <c r="AB1542" s="84"/>
    </row>
    <row r="1543">
      <c r="A1543" s="69">
        <v>104.0</v>
      </c>
      <c r="B1543" s="69">
        <v>161.0</v>
      </c>
      <c r="C1543" s="86" t="s">
        <v>360</v>
      </c>
      <c r="D1543" s="86" t="s">
        <v>361</v>
      </c>
      <c r="E1543" s="86" t="s">
        <v>362</v>
      </c>
      <c r="F1543" s="69">
        <v>6600.0</v>
      </c>
      <c r="G1543" s="69">
        <v>13.0</v>
      </c>
      <c r="H1543" s="68">
        <f t="shared" si="1"/>
        <v>119.8</v>
      </c>
      <c r="I1543" s="81">
        <f>IFERROR(__xludf.DUMMYFUNCTION("IF(G1543="""", """", ROUND(G1543 / MAX(FILTER($G$2:$G5067, $D$2:$D5067=$D1543)) * 100, 2))"),88.44)</f>
        <v>88.44</v>
      </c>
      <c r="J1543" s="81">
        <f>IFERROR(__xludf.DUMMYFUNCTION("IF(H1543="""", """", ROUND(H1543 / MAX(FILTER($H$2:$H5067, $D$2:$D5067=$D1543)) * 100, 2))"),100.0)</f>
        <v>100</v>
      </c>
      <c r="K1543" s="2"/>
      <c r="L1543" s="48"/>
      <c r="M1543" s="48"/>
      <c r="N1543" s="48"/>
      <c r="O1543" s="48" t="str">
        <f t="shared" si="2"/>
        <v/>
      </c>
      <c r="P1543" s="48" t="str">
        <f t="shared" si="3"/>
        <v/>
      </c>
      <c r="Q1543" s="84"/>
      <c r="R1543" s="84"/>
      <c r="S1543" s="84"/>
      <c r="T1543" s="84"/>
      <c r="U1543" s="84"/>
      <c r="V1543" s="84"/>
      <c r="W1543" s="84"/>
      <c r="X1543" s="84"/>
      <c r="Y1543" s="84"/>
      <c r="Z1543" s="84"/>
      <c r="AA1543" s="84"/>
      <c r="AB1543" s="84"/>
    </row>
    <row r="1544">
      <c r="A1544" s="63">
        <v>104.0</v>
      </c>
      <c r="B1544" s="63">
        <v>161.0</v>
      </c>
      <c r="C1544" s="64" t="s">
        <v>360</v>
      </c>
      <c r="D1544" s="64" t="s">
        <v>361</v>
      </c>
      <c r="E1544" s="64" t="s">
        <v>362</v>
      </c>
      <c r="F1544" s="63">
        <v>7000.0</v>
      </c>
      <c r="G1544" s="63">
        <v>11.55</v>
      </c>
      <c r="H1544" s="66">
        <f t="shared" si="1"/>
        <v>112.89</v>
      </c>
      <c r="I1544" s="81">
        <f>IFERROR(__xludf.DUMMYFUNCTION("IF(G1544="""", """", ROUND(G1544 / MAX(FILTER($G$2:$G5067, $D$2:$D5067=$D1544)) * 100, 2))"),78.57)</f>
        <v>78.57</v>
      </c>
      <c r="J1544" s="81">
        <f>IFERROR(__xludf.DUMMYFUNCTION("IF(H1544="""", """", ROUND(H1544 / MAX(FILTER($H$2:$H5067, $D$2:$D5067=$D1544)) * 100, 2))"),94.23)</f>
        <v>94.23</v>
      </c>
      <c r="K1544" s="2"/>
      <c r="L1544" s="49"/>
      <c r="M1544" s="49"/>
      <c r="N1544" s="49"/>
      <c r="O1544" s="49" t="str">
        <f t="shared" si="2"/>
        <v/>
      </c>
      <c r="P1544" s="49" t="str">
        <f t="shared" si="3"/>
        <v/>
      </c>
      <c r="Q1544" s="84"/>
      <c r="R1544" s="84"/>
      <c r="S1544" s="84"/>
      <c r="T1544" s="84"/>
      <c r="U1544" s="84"/>
      <c r="V1544" s="84"/>
      <c r="W1544" s="84"/>
      <c r="X1544" s="84"/>
      <c r="Y1544" s="84"/>
      <c r="Z1544" s="84"/>
      <c r="AA1544" s="84"/>
      <c r="AB1544" s="84"/>
    </row>
    <row r="1545">
      <c r="A1545" s="69">
        <v>104.0</v>
      </c>
      <c r="B1545" s="69">
        <v>161.0</v>
      </c>
      <c r="C1545" s="86" t="s">
        <v>360</v>
      </c>
      <c r="D1545" s="86" t="s">
        <v>361</v>
      </c>
      <c r="E1545" s="86" t="s">
        <v>362</v>
      </c>
      <c r="F1545" s="69">
        <v>7500.0</v>
      </c>
      <c r="G1545" s="69">
        <v>8.8</v>
      </c>
      <c r="H1545" s="68">
        <f t="shared" si="1"/>
        <v>92.15</v>
      </c>
      <c r="I1545" s="81">
        <f>IFERROR(__xludf.DUMMYFUNCTION("IF(G1545="""", """", ROUND(G1545 / MAX(FILTER($G$2:$G5067, $D$2:$D5067=$D1545)) * 100, 2))"),59.86)</f>
        <v>59.86</v>
      </c>
      <c r="J1545" s="81">
        <f>IFERROR(__xludf.DUMMYFUNCTION("IF(H1545="""", """", ROUND(H1545 / MAX(FILTER($H$2:$H5067, $D$2:$D5067=$D1545)) * 100, 2))"),76.92)</f>
        <v>76.92</v>
      </c>
      <c r="K1545" s="2"/>
      <c r="L1545" s="48"/>
      <c r="M1545" s="48"/>
      <c r="N1545" s="48"/>
      <c r="O1545" s="48" t="str">
        <f t="shared" si="2"/>
        <v/>
      </c>
      <c r="P1545" s="48" t="str">
        <f t="shared" si="3"/>
        <v/>
      </c>
      <c r="Q1545" s="84"/>
      <c r="R1545" s="84"/>
      <c r="S1545" s="84"/>
      <c r="T1545" s="84"/>
      <c r="U1545" s="84"/>
      <c r="V1545" s="84"/>
      <c r="W1545" s="84"/>
      <c r="X1545" s="84"/>
      <c r="Y1545" s="84"/>
      <c r="Z1545" s="84"/>
      <c r="AA1545" s="84"/>
      <c r="AB1545" s="84"/>
    </row>
    <row r="1546">
      <c r="A1546" s="63">
        <v>105.0</v>
      </c>
      <c r="B1546" s="63">
        <v>163.0</v>
      </c>
      <c r="C1546" s="64" t="s">
        <v>363</v>
      </c>
      <c r="D1546" s="64" t="s">
        <v>364</v>
      </c>
      <c r="E1546" s="64" t="s">
        <v>365</v>
      </c>
      <c r="F1546" s="63">
        <v>500.0</v>
      </c>
      <c r="G1546" s="63">
        <v>23.45</v>
      </c>
      <c r="H1546" s="66">
        <f t="shared" si="1"/>
        <v>16.37</v>
      </c>
      <c r="I1546" s="81">
        <f>IFERROR(__xludf.DUMMYFUNCTION("IF(G1546="""", """", ROUND(G1546 / MAX(FILTER($G$2:$G5067, $D$2:$D5067=$D1546)) * 100, 2))"),63.34)</f>
        <v>63.34</v>
      </c>
      <c r="J1546" s="81">
        <f>IFERROR(__xludf.DUMMYFUNCTION("IF(H1546="""", """", ROUND(H1546 / MAX(FILTER($H$2:$H5067, $D$2:$D5067=$D1546)) * 100, 2))"),5.85)</f>
        <v>5.85</v>
      </c>
      <c r="K1546" s="2"/>
      <c r="L1546" s="49"/>
      <c r="M1546" s="49"/>
      <c r="N1546" s="49"/>
      <c r="O1546" s="49" t="str">
        <f t="shared" si="2"/>
        <v/>
      </c>
      <c r="P1546" s="49" t="str">
        <f t="shared" si="3"/>
        <v/>
      </c>
      <c r="Q1546" s="84"/>
      <c r="R1546" s="84"/>
      <c r="S1546" s="84"/>
      <c r="T1546" s="84"/>
      <c r="U1546" s="84"/>
      <c r="V1546" s="84"/>
      <c r="W1546" s="84"/>
      <c r="X1546" s="84"/>
      <c r="Y1546" s="84"/>
      <c r="Z1546" s="84"/>
      <c r="AA1546" s="84"/>
      <c r="AB1546" s="84"/>
    </row>
    <row r="1547">
      <c r="A1547" s="69">
        <v>105.0</v>
      </c>
      <c r="B1547" s="69">
        <v>163.0</v>
      </c>
      <c r="C1547" s="86" t="s">
        <v>363</v>
      </c>
      <c r="D1547" s="86" t="s">
        <v>364</v>
      </c>
      <c r="E1547" s="86" t="s">
        <v>365</v>
      </c>
      <c r="F1547" s="69">
        <v>1000.0</v>
      </c>
      <c r="G1547" s="69">
        <v>27.53</v>
      </c>
      <c r="H1547" s="68">
        <f t="shared" si="1"/>
        <v>38.44</v>
      </c>
      <c r="I1547" s="81">
        <f>IFERROR(__xludf.DUMMYFUNCTION("IF(G1547="""", """", ROUND(G1547 / MAX(FILTER($G$2:$G5067, $D$2:$D5067=$D1547)) * 100, 2))"),74.37)</f>
        <v>74.37</v>
      </c>
      <c r="J1547" s="81">
        <f>IFERROR(__xludf.DUMMYFUNCTION("IF(H1547="""", """", ROUND(H1547 / MAX(FILTER($H$2:$H5067, $D$2:$D5067=$D1547)) * 100, 2))"),13.75)</f>
        <v>13.75</v>
      </c>
      <c r="K1547" s="2"/>
      <c r="L1547" s="48"/>
      <c r="M1547" s="48"/>
      <c r="N1547" s="48"/>
      <c r="O1547" s="48" t="str">
        <f t="shared" si="2"/>
        <v/>
      </c>
      <c r="P1547" s="48" t="str">
        <f t="shared" si="3"/>
        <v/>
      </c>
      <c r="Q1547" s="84"/>
      <c r="R1547" s="84"/>
      <c r="S1547" s="84"/>
      <c r="T1547" s="84"/>
      <c r="U1547" s="84"/>
      <c r="V1547" s="84"/>
      <c r="W1547" s="84"/>
      <c r="X1547" s="84"/>
      <c r="Y1547" s="84"/>
      <c r="Z1547" s="84"/>
      <c r="AA1547" s="84"/>
      <c r="AB1547" s="84"/>
    </row>
    <row r="1548">
      <c r="A1548" s="63">
        <v>105.0</v>
      </c>
      <c r="B1548" s="63">
        <v>163.0</v>
      </c>
      <c r="C1548" s="64" t="s">
        <v>363</v>
      </c>
      <c r="D1548" s="64" t="s">
        <v>364</v>
      </c>
      <c r="E1548" s="64" t="s">
        <v>365</v>
      </c>
      <c r="F1548" s="63">
        <v>1500.0</v>
      </c>
      <c r="G1548" s="63">
        <v>31.61</v>
      </c>
      <c r="H1548" s="66">
        <f t="shared" si="1"/>
        <v>66.2</v>
      </c>
      <c r="I1548" s="81">
        <f>IFERROR(__xludf.DUMMYFUNCTION("IF(G1548="""", """", ROUND(G1548 / MAX(FILTER($G$2:$G5067, $D$2:$D5067=$D1548)) * 100, 2))"),85.39)</f>
        <v>85.39</v>
      </c>
      <c r="J1548" s="81">
        <f>IFERROR(__xludf.DUMMYFUNCTION("IF(H1548="""", """", ROUND(H1548 / MAX(FILTER($H$2:$H5067, $D$2:$D5067=$D1548)) * 100, 2))"),23.68)</f>
        <v>23.68</v>
      </c>
      <c r="K1548" s="2"/>
      <c r="L1548" s="49"/>
      <c r="M1548" s="49"/>
      <c r="N1548" s="49"/>
      <c r="O1548" s="49" t="str">
        <f t="shared" si="2"/>
        <v/>
      </c>
      <c r="P1548" s="49" t="str">
        <f t="shared" si="3"/>
        <v/>
      </c>
      <c r="Q1548" s="84"/>
      <c r="R1548" s="84"/>
      <c r="S1548" s="84"/>
      <c r="T1548" s="84"/>
      <c r="U1548" s="84"/>
      <c r="V1548" s="84"/>
      <c r="W1548" s="84"/>
      <c r="X1548" s="84"/>
      <c r="Y1548" s="84"/>
      <c r="Z1548" s="84"/>
      <c r="AA1548" s="84"/>
      <c r="AB1548" s="84"/>
    </row>
    <row r="1549">
      <c r="A1549" s="69">
        <v>105.0</v>
      </c>
      <c r="B1549" s="69">
        <v>163.0</v>
      </c>
      <c r="C1549" s="86" t="s">
        <v>363</v>
      </c>
      <c r="D1549" s="86" t="s">
        <v>364</v>
      </c>
      <c r="E1549" s="86" t="s">
        <v>365</v>
      </c>
      <c r="F1549" s="69">
        <v>2000.0</v>
      </c>
      <c r="G1549" s="69">
        <v>33.45</v>
      </c>
      <c r="H1549" s="68">
        <f t="shared" si="1"/>
        <v>93.41</v>
      </c>
      <c r="I1549" s="81">
        <f>IFERROR(__xludf.DUMMYFUNCTION("IF(G1549="""", """", ROUND(G1549 / MAX(FILTER($G$2:$G5067, $D$2:$D5067=$D1549)) * 100, 2))"),90.36)</f>
        <v>90.36</v>
      </c>
      <c r="J1549" s="81">
        <f>IFERROR(__xludf.DUMMYFUNCTION("IF(H1549="""", """", ROUND(H1549 / MAX(FILTER($H$2:$H5067, $D$2:$D5067=$D1549)) * 100, 2))"),33.41)</f>
        <v>33.41</v>
      </c>
      <c r="K1549" s="2"/>
      <c r="L1549" s="48"/>
      <c r="M1549" s="48"/>
      <c r="N1549" s="48"/>
      <c r="O1549" s="48" t="str">
        <f t="shared" si="2"/>
        <v/>
      </c>
      <c r="P1549" s="48" t="str">
        <f t="shared" si="3"/>
        <v/>
      </c>
      <c r="Q1549" s="84"/>
      <c r="R1549" s="84"/>
      <c r="S1549" s="84"/>
      <c r="T1549" s="84"/>
      <c r="U1549" s="84"/>
      <c r="V1549" s="84"/>
      <c r="W1549" s="84"/>
      <c r="X1549" s="84"/>
      <c r="Y1549" s="84"/>
      <c r="Z1549" s="84"/>
      <c r="AA1549" s="84"/>
      <c r="AB1549" s="84"/>
    </row>
    <row r="1550">
      <c r="A1550" s="63">
        <v>105.0</v>
      </c>
      <c r="B1550" s="63">
        <v>163.0</v>
      </c>
      <c r="C1550" s="64" t="s">
        <v>363</v>
      </c>
      <c r="D1550" s="64" t="s">
        <v>364</v>
      </c>
      <c r="E1550" s="64" t="s">
        <v>365</v>
      </c>
      <c r="F1550" s="63">
        <v>2500.0</v>
      </c>
      <c r="G1550" s="63">
        <v>34.67</v>
      </c>
      <c r="H1550" s="66">
        <f t="shared" si="1"/>
        <v>121.02</v>
      </c>
      <c r="I1550" s="81">
        <f>IFERROR(__xludf.DUMMYFUNCTION("IF(G1550="""", """", ROUND(G1550 / MAX(FILTER($G$2:$G5067, $D$2:$D5067=$D1550)) * 100, 2))"),93.65)</f>
        <v>93.65</v>
      </c>
      <c r="J1550" s="81">
        <f>IFERROR(__xludf.DUMMYFUNCTION("IF(H1550="""", """", ROUND(H1550 / MAX(FILTER($H$2:$H5067, $D$2:$D5067=$D1550)) * 100, 2))"),43.28)</f>
        <v>43.28</v>
      </c>
      <c r="K1550" s="2"/>
      <c r="L1550" s="49"/>
      <c r="M1550" s="49"/>
      <c r="N1550" s="49"/>
      <c r="O1550" s="49" t="str">
        <f t="shared" si="2"/>
        <v/>
      </c>
      <c r="P1550" s="49" t="str">
        <f t="shared" si="3"/>
        <v/>
      </c>
      <c r="Q1550" s="84"/>
      <c r="R1550" s="84"/>
      <c r="S1550" s="84"/>
      <c r="T1550" s="84"/>
      <c r="U1550" s="84"/>
      <c r="V1550" s="84"/>
      <c r="W1550" s="84"/>
      <c r="X1550" s="84"/>
      <c r="Y1550" s="84"/>
      <c r="Z1550" s="84"/>
      <c r="AA1550" s="84"/>
      <c r="AB1550" s="84"/>
    </row>
    <row r="1551">
      <c r="A1551" s="69">
        <v>105.0</v>
      </c>
      <c r="B1551" s="69">
        <v>163.0</v>
      </c>
      <c r="C1551" s="86" t="s">
        <v>363</v>
      </c>
      <c r="D1551" s="86" t="s">
        <v>364</v>
      </c>
      <c r="E1551" s="86" t="s">
        <v>365</v>
      </c>
      <c r="F1551" s="69">
        <v>3000.0</v>
      </c>
      <c r="G1551" s="69">
        <v>35.18</v>
      </c>
      <c r="H1551" s="68">
        <f t="shared" si="1"/>
        <v>147.36</v>
      </c>
      <c r="I1551" s="81">
        <f>IFERROR(__xludf.DUMMYFUNCTION("IF(G1551="""", """", ROUND(G1551 / MAX(FILTER($G$2:$G5067, $D$2:$D5067=$D1551)) * 100, 2))"),95.03)</f>
        <v>95.03</v>
      </c>
      <c r="J1551" s="81">
        <f>IFERROR(__xludf.DUMMYFUNCTION("IF(H1551="""", """", ROUND(H1551 / MAX(FILTER($H$2:$H5067, $D$2:$D5067=$D1551)) * 100, 2))"),52.7)</f>
        <v>52.7</v>
      </c>
      <c r="K1551" s="2"/>
      <c r="L1551" s="48"/>
      <c r="M1551" s="48"/>
      <c r="N1551" s="48"/>
      <c r="O1551" s="48" t="str">
        <f t="shared" si="2"/>
        <v/>
      </c>
      <c r="P1551" s="48" t="str">
        <f t="shared" si="3"/>
        <v/>
      </c>
      <c r="Q1551" s="84"/>
      <c r="R1551" s="84"/>
      <c r="S1551" s="84"/>
      <c r="T1551" s="84"/>
      <c r="U1551" s="84"/>
      <c r="V1551" s="84"/>
      <c r="W1551" s="84"/>
      <c r="X1551" s="84"/>
      <c r="Y1551" s="84"/>
      <c r="Z1551" s="84"/>
      <c r="AA1551" s="84"/>
      <c r="AB1551" s="84"/>
    </row>
    <row r="1552">
      <c r="A1552" s="63">
        <v>105.0</v>
      </c>
      <c r="B1552" s="63">
        <v>163.0</v>
      </c>
      <c r="C1552" s="64" t="s">
        <v>363</v>
      </c>
      <c r="D1552" s="64" t="s">
        <v>364</v>
      </c>
      <c r="E1552" s="64" t="s">
        <v>365</v>
      </c>
      <c r="F1552" s="63">
        <v>3500.0</v>
      </c>
      <c r="G1552" s="63">
        <v>35.48</v>
      </c>
      <c r="H1552" s="66">
        <f t="shared" si="1"/>
        <v>173.39</v>
      </c>
      <c r="I1552" s="81">
        <f>IFERROR(__xludf.DUMMYFUNCTION("IF(G1552="""", """", ROUND(G1552 / MAX(FILTER($G$2:$G5067, $D$2:$D5067=$D1552)) * 100, 2))"),95.84)</f>
        <v>95.84</v>
      </c>
      <c r="J1552" s="81">
        <f>IFERROR(__xludf.DUMMYFUNCTION("IF(H1552="""", """", ROUND(H1552 / MAX(FILTER($H$2:$H5067, $D$2:$D5067=$D1552)) * 100, 2))"),62.01)</f>
        <v>62.01</v>
      </c>
      <c r="K1552" s="2"/>
      <c r="L1552" s="49"/>
      <c r="M1552" s="49"/>
      <c r="N1552" s="49"/>
      <c r="O1552" s="49" t="str">
        <f t="shared" si="2"/>
        <v/>
      </c>
      <c r="P1552" s="49" t="str">
        <f t="shared" si="3"/>
        <v/>
      </c>
      <c r="Q1552" s="84"/>
      <c r="R1552" s="84"/>
      <c r="S1552" s="84"/>
      <c r="T1552" s="84"/>
      <c r="U1552" s="84"/>
      <c r="V1552" s="84"/>
      <c r="W1552" s="84"/>
      <c r="X1552" s="84"/>
      <c r="Y1552" s="84"/>
      <c r="Z1552" s="84"/>
      <c r="AA1552" s="84"/>
      <c r="AB1552" s="84"/>
    </row>
    <row r="1553">
      <c r="A1553" s="69">
        <v>105.0</v>
      </c>
      <c r="B1553" s="69">
        <v>163.0</v>
      </c>
      <c r="C1553" s="86" t="s">
        <v>363</v>
      </c>
      <c r="D1553" s="86" t="s">
        <v>364</v>
      </c>
      <c r="E1553" s="86" t="s">
        <v>365</v>
      </c>
      <c r="F1553" s="69">
        <v>4000.0</v>
      </c>
      <c r="G1553" s="69">
        <v>36.03</v>
      </c>
      <c r="H1553" s="68">
        <f t="shared" si="1"/>
        <v>201.23</v>
      </c>
      <c r="I1553" s="81">
        <f>IFERROR(__xludf.DUMMYFUNCTION("IF(G1553="""", """", ROUND(G1553 / MAX(FILTER($G$2:$G5067, $D$2:$D5067=$D1553)) * 100, 2))"),97.33)</f>
        <v>97.33</v>
      </c>
      <c r="J1553" s="81">
        <f>IFERROR(__xludf.DUMMYFUNCTION("IF(H1553="""", """", ROUND(H1553 / MAX(FILTER($H$2:$H5067, $D$2:$D5067=$D1553)) * 100, 2))"),71.97)</f>
        <v>71.97</v>
      </c>
      <c r="K1553" s="2"/>
      <c r="L1553" s="48"/>
      <c r="M1553" s="48"/>
      <c r="N1553" s="48"/>
      <c r="O1553" s="48" t="str">
        <f t="shared" si="2"/>
        <v/>
      </c>
      <c r="P1553" s="48" t="str">
        <f t="shared" si="3"/>
        <v/>
      </c>
      <c r="Q1553" s="84"/>
      <c r="R1553" s="84"/>
      <c r="S1553" s="84"/>
      <c r="T1553" s="84"/>
      <c r="U1553" s="84"/>
      <c r="V1553" s="84"/>
      <c r="W1553" s="84"/>
      <c r="X1553" s="84"/>
      <c r="Y1553" s="84"/>
      <c r="Z1553" s="84"/>
      <c r="AA1553" s="84"/>
      <c r="AB1553" s="84"/>
    </row>
    <row r="1554">
      <c r="A1554" s="63">
        <v>105.0</v>
      </c>
      <c r="B1554" s="63">
        <v>163.0</v>
      </c>
      <c r="C1554" s="64" t="s">
        <v>363</v>
      </c>
      <c r="D1554" s="64" t="s">
        <v>364</v>
      </c>
      <c r="E1554" s="64" t="s">
        <v>365</v>
      </c>
      <c r="F1554" s="63">
        <v>4500.0</v>
      </c>
      <c r="G1554" s="63">
        <v>36.41</v>
      </c>
      <c r="H1554" s="66">
        <f t="shared" si="1"/>
        <v>228.77</v>
      </c>
      <c r="I1554" s="81">
        <f>IFERROR(__xludf.DUMMYFUNCTION("IF(G1554="""", """", ROUND(G1554 / MAX(FILTER($G$2:$G5067, $D$2:$D5067=$D1554)) * 100, 2))"),98.35)</f>
        <v>98.35</v>
      </c>
      <c r="J1554" s="81">
        <f>IFERROR(__xludf.DUMMYFUNCTION("IF(H1554="""", """", ROUND(H1554 / MAX(FILTER($H$2:$H5067, $D$2:$D5067=$D1554)) * 100, 2))"),81.82)</f>
        <v>81.82</v>
      </c>
      <c r="K1554" s="2"/>
      <c r="L1554" s="49"/>
      <c r="M1554" s="49"/>
      <c r="N1554" s="49"/>
      <c r="O1554" s="49" t="str">
        <f t="shared" si="2"/>
        <v/>
      </c>
      <c r="P1554" s="49" t="str">
        <f t="shared" si="3"/>
        <v/>
      </c>
      <c r="Q1554" s="84"/>
      <c r="R1554" s="84"/>
      <c r="S1554" s="84"/>
      <c r="T1554" s="84"/>
      <c r="U1554" s="84"/>
      <c r="V1554" s="84"/>
      <c r="W1554" s="84"/>
      <c r="X1554" s="84"/>
      <c r="Y1554" s="84"/>
      <c r="Z1554" s="84"/>
      <c r="AA1554" s="84"/>
      <c r="AB1554" s="84"/>
    </row>
    <row r="1555">
      <c r="A1555" s="69">
        <v>105.0</v>
      </c>
      <c r="B1555" s="69">
        <v>163.0</v>
      </c>
      <c r="C1555" s="86" t="s">
        <v>363</v>
      </c>
      <c r="D1555" s="86" t="s">
        <v>364</v>
      </c>
      <c r="E1555" s="86" t="s">
        <v>365</v>
      </c>
      <c r="F1555" s="69">
        <v>4800.0</v>
      </c>
      <c r="G1555" s="69">
        <v>37.02</v>
      </c>
      <c r="H1555" s="68">
        <f t="shared" si="1"/>
        <v>248.11</v>
      </c>
      <c r="I1555" s="81">
        <f>IFERROR(__xludf.DUMMYFUNCTION("IF(G1555="""", """", ROUND(G1555 / MAX(FILTER($G$2:$G5067, $D$2:$D5067=$D1555)) * 100, 2))"),100.0)</f>
        <v>100</v>
      </c>
      <c r="J1555" s="81">
        <f>IFERROR(__xludf.DUMMYFUNCTION("IF(H1555="""", """", ROUND(H1555 / MAX(FILTER($H$2:$H5067, $D$2:$D5067=$D1555)) * 100, 2))"),88.73)</f>
        <v>88.73</v>
      </c>
      <c r="K1555" s="2"/>
      <c r="L1555" s="48"/>
      <c r="M1555" s="48"/>
      <c r="N1555" s="48"/>
      <c r="O1555" s="48" t="str">
        <f t="shared" si="2"/>
        <v/>
      </c>
      <c r="P1555" s="48" t="str">
        <f t="shared" si="3"/>
        <v/>
      </c>
      <c r="Q1555" s="84"/>
      <c r="R1555" s="84"/>
      <c r="S1555" s="84"/>
      <c r="T1555" s="84"/>
      <c r="U1555" s="84"/>
      <c r="V1555" s="84"/>
      <c r="W1555" s="84"/>
      <c r="X1555" s="84"/>
      <c r="Y1555" s="84"/>
      <c r="Z1555" s="84"/>
      <c r="AA1555" s="84"/>
      <c r="AB1555" s="84"/>
    </row>
    <row r="1556">
      <c r="A1556" s="63">
        <v>105.0</v>
      </c>
      <c r="B1556" s="63">
        <v>163.0</v>
      </c>
      <c r="C1556" s="64" t="s">
        <v>363</v>
      </c>
      <c r="D1556" s="64" t="s">
        <v>364</v>
      </c>
      <c r="E1556" s="64" t="s">
        <v>365</v>
      </c>
      <c r="F1556" s="63">
        <v>5500.0</v>
      </c>
      <c r="G1556" s="63">
        <v>35.38</v>
      </c>
      <c r="H1556" s="66">
        <f t="shared" si="1"/>
        <v>271.7</v>
      </c>
      <c r="I1556" s="81">
        <f>IFERROR(__xludf.DUMMYFUNCTION("IF(G1556="""", """", ROUND(G1556 / MAX(FILTER($G$2:$G5067, $D$2:$D5067=$D1556)) * 100, 2))"),95.57)</f>
        <v>95.57</v>
      </c>
      <c r="J1556" s="81">
        <f>IFERROR(__xludf.DUMMYFUNCTION("IF(H1556="""", """", ROUND(H1556 / MAX(FILTER($H$2:$H5067, $D$2:$D5067=$D1556)) * 100, 2))"),97.17)</f>
        <v>97.17</v>
      </c>
      <c r="K1556" s="2"/>
      <c r="L1556" s="49"/>
      <c r="M1556" s="49"/>
      <c r="N1556" s="49"/>
      <c r="O1556" s="49" t="str">
        <f t="shared" si="2"/>
        <v/>
      </c>
      <c r="P1556" s="49" t="str">
        <f t="shared" si="3"/>
        <v/>
      </c>
      <c r="Q1556" s="84"/>
      <c r="R1556" s="84"/>
      <c r="S1556" s="84"/>
      <c r="T1556" s="84"/>
      <c r="U1556" s="84"/>
      <c r="V1556" s="84"/>
      <c r="W1556" s="84"/>
      <c r="X1556" s="84"/>
      <c r="Y1556" s="84"/>
      <c r="Z1556" s="84"/>
      <c r="AA1556" s="84"/>
      <c r="AB1556" s="84"/>
    </row>
    <row r="1557">
      <c r="A1557" s="69">
        <v>105.0</v>
      </c>
      <c r="B1557" s="69">
        <v>163.0</v>
      </c>
      <c r="C1557" s="86" t="s">
        <v>363</v>
      </c>
      <c r="D1557" s="86" t="s">
        <v>364</v>
      </c>
      <c r="E1557" s="86" t="s">
        <v>365</v>
      </c>
      <c r="F1557" s="69">
        <v>6000.0</v>
      </c>
      <c r="G1557" s="69">
        <v>33.33</v>
      </c>
      <c r="H1557" s="68">
        <f t="shared" si="1"/>
        <v>279.22</v>
      </c>
      <c r="I1557" s="81">
        <f>IFERROR(__xludf.DUMMYFUNCTION("IF(G1557="""", """", ROUND(G1557 / MAX(FILTER($G$2:$G5067, $D$2:$D5067=$D1557)) * 100, 2))"),90.03)</f>
        <v>90.03</v>
      </c>
      <c r="J1557" s="81">
        <f>IFERROR(__xludf.DUMMYFUNCTION("IF(H1557="""", """", ROUND(H1557 / MAX(FILTER($H$2:$H5067, $D$2:$D5067=$D1557)) * 100, 2))"),99.86)</f>
        <v>99.86</v>
      </c>
      <c r="K1557" s="2"/>
      <c r="L1557" s="48"/>
      <c r="M1557" s="48"/>
      <c r="N1557" s="48"/>
      <c r="O1557" s="48" t="str">
        <f t="shared" si="2"/>
        <v/>
      </c>
      <c r="P1557" s="48" t="str">
        <f t="shared" si="3"/>
        <v/>
      </c>
      <c r="Q1557" s="84"/>
      <c r="R1557" s="84"/>
      <c r="S1557" s="84"/>
      <c r="T1557" s="84"/>
      <c r="U1557" s="84"/>
      <c r="V1557" s="84"/>
      <c r="W1557" s="84"/>
      <c r="X1557" s="84"/>
      <c r="Y1557" s="84"/>
      <c r="Z1557" s="84"/>
      <c r="AA1557" s="84"/>
      <c r="AB1557" s="84"/>
    </row>
    <row r="1558">
      <c r="A1558" s="63">
        <v>105.0</v>
      </c>
      <c r="B1558" s="63">
        <v>163.0</v>
      </c>
      <c r="C1558" s="64" t="s">
        <v>363</v>
      </c>
      <c r="D1558" s="64" t="s">
        <v>364</v>
      </c>
      <c r="E1558" s="64" t="s">
        <v>365</v>
      </c>
      <c r="F1558" s="63">
        <v>6200.0</v>
      </c>
      <c r="G1558" s="63">
        <v>32.3</v>
      </c>
      <c r="H1558" s="66">
        <f t="shared" si="1"/>
        <v>279.61</v>
      </c>
      <c r="I1558" s="81">
        <f>IFERROR(__xludf.DUMMYFUNCTION("IF(G1558="""", """", ROUND(G1558 / MAX(FILTER($G$2:$G5067, $D$2:$D5067=$D1558)) * 100, 2))"),87.25)</f>
        <v>87.25</v>
      </c>
      <c r="J1558" s="81">
        <f>IFERROR(__xludf.DUMMYFUNCTION("IF(H1558="""", """", ROUND(H1558 / MAX(FILTER($H$2:$H5067, $D$2:$D5067=$D1558)) * 100, 2))"),100.0)</f>
        <v>100</v>
      </c>
      <c r="K1558" s="2"/>
      <c r="L1558" s="49"/>
      <c r="M1558" s="49"/>
      <c r="N1558" s="49"/>
      <c r="O1558" s="49" t="str">
        <f t="shared" si="2"/>
        <v/>
      </c>
      <c r="P1558" s="49" t="str">
        <f t="shared" si="3"/>
        <v/>
      </c>
      <c r="Q1558" s="84"/>
      <c r="R1558" s="84"/>
      <c r="S1558" s="84"/>
      <c r="T1558" s="84"/>
      <c r="U1558" s="84"/>
      <c r="V1558" s="84"/>
      <c r="W1558" s="84"/>
      <c r="X1558" s="84"/>
      <c r="Y1558" s="84"/>
      <c r="Z1558" s="84"/>
      <c r="AA1558" s="84"/>
      <c r="AB1558" s="84"/>
    </row>
    <row r="1559">
      <c r="A1559" s="69">
        <v>105.0</v>
      </c>
      <c r="B1559" s="69">
        <v>163.0</v>
      </c>
      <c r="C1559" s="86" t="s">
        <v>363</v>
      </c>
      <c r="D1559" s="86" t="s">
        <v>364</v>
      </c>
      <c r="E1559" s="86" t="s">
        <v>365</v>
      </c>
      <c r="F1559" s="69">
        <v>6500.0</v>
      </c>
      <c r="G1559" s="69">
        <v>29.9</v>
      </c>
      <c r="H1559" s="68">
        <f t="shared" si="1"/>
        <v>271.36</v>
      </c>
      <c r="I1559" s="81">
        <f>IFERROR(__xludf.DUMMYFUNCTION("IF(G1559="""", """", ROUND(G1559 / MAX(FILTER($G$2:$G5067, $D$2:$D5067=$D1559)) * 100, 2))"),80.77)</f>
        <v>80.77</v>
      </c>
      <c r="J1559" s="81">
        <f>IFERROR(__xludf.DUMMYFUNCTION("IF(H1559="""", """", ROUND(H1559 / MAX(FILTER($H$2:$H5067, $D$2:$D5067=$D1559)) * 100, 2))"),97.05)</f>
        <v>97.05</v>
      </c>
      <c r="K1559" s="2"/>
      <c r="L1559" s="48"/>
      <c r="M1559" s="48"/>
      <c r="N1559" s="48"/>
      <c r="O1559" s="48" t="str">
        <f t="shared" si="2"/>
        <v/>
      </c>
      <c r="P1559" s="48" t="str">
        <f t="shared" si="3"/>
        <v/>
      </c>
      <c r="Q1559" s="84"/>
      <c r="R1559" s="84"/>
      <c r="S1559" s="84"/>
      <c r="T1559" s="84"/>
      <c r="U1559" s="84"/>
      <c r="V1559" s="84"/>
      <c r="W1559" s="84"/>
      <c r="X1559" s="84"/>
      <c r="Y1559" s="84"/>
      <c r="Z1559" s="84"/>
      <c r="AA1559" s="84"/>
      <c r="AB1559" s="84"/>
    </row>
    <row r="1560">
      <c r="A1560" s="63">
        <v>105.0</v>
      </c>
      <c r="B1560" s="63">
        <v>163.0</v>
      </c>
      <c r="C1560" s="64" t="s">
        <v>363</v>
      </c>
      <c r="D1560" s="64" t="s">
        <v>364</v>
      </c>
      <c r="E1560" s="64" t="s">
        <v>365</v>
      </c>
      <c r="F1560" s="63">
        <v>7000.0</v>
      </c>
      <c r="G1560" s="63">
        <v>24.7</v>
      </c>
      <c r="H1560" s="66">
        <f t="shared" si="1"/>
        <v>241.41</v>
      </c>
      <c r="I1560" s="81">
        <f>IFERROR(__xludf.DUMMYFUNCTION("IF(G1560="""", """", ROUND(G1560 / MAX(FILTER($G$2:$G5067, $D$2:$D5067=$D1560)) * 100, 2))"),66.72)</f>
        <v>66.72</v>
      </c>
      <c r="J1560" s="81">
        <f>IFERROR(__xludf.DUMMYFUNCTION("IF(H1560="""", """", ROUND(H1560 / MAX(FILTER($H$2:$H5067, $D$2:$D5067=$D1560)) * 100, 2))"),86.34)</f>
        <v>86.34</v>
      </c>
      <c r="K1560" s="2"/>
      <c r="L1560" s="49"/>
      <c r="M1560" s="49"/>
      <c r="N1560" s="49"/>
      <c r="O1560" s="49" t="str">
        <f t="shared" si="2"/>
        <v/>
      </c>
      <c r="P1560" s="49" t="str">
        <f t="shared" si="3"/>
        <v/>
      </c>
      <c r="Q1560" s="84"/>
      <c r="R1560" s="84"/>
      <c r="S1560" s="84"/>
      <c r="T1560" s="84"/>
      <c r="U1560" s="84"/>
      <c r="V1560" s="84"/>
      <c r="W1560" s="84"/>
      <c r="X1560" s="84"/>
      <c r="Y1560" s="84"/>
      <c r="Z1560" s="84"/>
      <c r="AA1560" s="84"/>
      <c r="AB1560" s="84"/>
    </row>
    <row r="1561">
      <c r="A1561" s="69">
        <v>106.0</v>
      </c>
      <c r="B1561" s="69">
        <v>166.0</v>
      </c>
      <c r="C1561" s="86" t="s">
        <v>366</v>
      </c>
      <c r="D1561" s="86" t="s">
        <v>367</v>
      </c>
      <c r="E1561" s="86" t="s">
        <v>368</v>
      </c>
      <c r="F1561" s="69">
        <v>500.0</v>
      </c>
      <c r="G1561" s="69">
        <v>11.45</v>
      </c>
      <c r="H1561" s="68">
        <f t="shared" si="1"/>
        <v>7.99</v>
      </c>
      <c r="I1561" s="81">
        <f>IFERROR(__xludf.DUMMYFUNCTION("IF(G1561="""", """", ROUND(G1561 / MAX(FILTER($G$2:$G5067, $D$2:$D5067=$D1561)) * 100, 2))"),49.61)</f>
        <v>49.61</v>
      </c>
      <c r="J1561" s="81">
        <f>IFERROR(__xludf.DUMMYFUNCTION("IF(H1561="""", """", ROUND(H1561 / MAX(FILTER($H$2:$H5067, $D$2:$D5067=$D1561)) * 100, 2))"),5.0)</f>
        <v>5</v>
      </c>
      <c r="K1561" s="2"/>
      <c r="L1561" s="48"/>
      <c r="M1561" s="48"/>
      <c r="N1561" s="48"/>
      <c r="O1561" s="48" t="str">
        <f t="shared" si="2"/>
        <v/>
      </c>
      <c r="P1561" s="48" t="str">
        <f t="shared" si="3"/>
        <v/>
      </c>
      <c r="Q1561" s="84"/>
      <c r="R1561" s="84"/>
      <c r="S1561" s="84"/>
      <c r="T1561" s="84"/>
      <c r="U1561" s="84"/>
      <c r="V1561" s="84"/>
      <c r="W1561" s="84"/>
      <c r="X1561" s="84"/>
      <c r="Y1561" s="84"/>
      <c r="Z1561" s="84"/>
      <c r="AA1561" s="84"/>
      <c r="AB1561" s="84"/>
    </row>
    <row r="1562">
      <c r="A1562" s="63">
        <v>106.0</v>
      </c>
      <c r="B1562" s="63">
        <v>166.0</v>
      </c>
      <c r="C1562" s="64" t="s">
        <v>366</v>
      </c>
      <c r="D1562" s="64" t="s">
        <v>367</v>
      </c>
      <c r="E1562" s="64" t="s">
        <v>368</v>
      </c>
      <c r="F1562" s="63">
        <v>1000.0</v>
      </c>
      <c r="G1562" s="63">
        <v>13.7</v>
      </c>
      <c r="H1562" s="66">
        <f t="shared" si="1"/>
        <v>19.13</v>
      </c>
      <c r="I1562" s="81">
        <f>IFERROR(__xludf.DUMMYFUNCTION("IF(G1562="""", """", ROUND(G1562 / MAX(FILTER($G$2:$G5067, $D$2:$D5067=$D1562)) * 100, 2))"),59.36)</f>
        <v>59.36</v>
      </c>
      <c r="J1562" s="81">
        <f>IFERROR(__xludf.DUMMYFUNCTION("IF(H1562="""", """", ROUND(H1562 / MAX(FILTER($H$2:$H5067, $D$2:$D5067=$D1562)) * 100, 2))"),11.98)</f>
        <v>11.98</v>
      </c>
      <c r="K1562" s="2"/>
      <c r="L1562" s="49"/>
      <c r="M1562" s="49"/>
      <c r="N1562" s="49"/>
      <c r="O1562" s="49" t="str">
        <f t="shared" si="2"/>
        <v/>
      </c>
      <c r="P1562" s="49" t="str">
        <f t="shared" si="3"/>
        <v/>
      </c>
      <c r="Q1562" s="84"/>
      <c r="R1562" s="84"/>
      <c r="S1562" s="84"/>
      <c r="T1562" s="84"/>
      <c r="U1562" s="84"/>
      <c r="V1562" s="84"/>
      <c r="W1562" s="84"/>
      <c r="X1562" s="84"/>
      <c r="Y1562" s="84"/>
      <c r="Z1562" s="84"/>
      <c r="AA1562" s="84"/>
      <c r="AB1562" s="84"/>
    </row>
    <row r="1563">
      <c r="A1563" s="69">
        <v>106.0</v>
      </c>
      <c r="B1563" s="69">
        <v>166.0</v>
      </c>
      <c r="C1563" s="86" t="s">
        <v>366</v>
      </c>
      <c r="D1563" s="86" t="s">
        <v>367</v>
      </c>
      <c r="E1563" s="86" t="s">
        <v>368</v>
      </c>
      <c r="F1563" s="69">
        <v>1500.0</v>
      </c>
      <c r="G1563" s="69">
        <v>15.8</v>
      </c>
      <c r="H1563" s="68">
        <f t="shared" si="1"/>
        <v>33.09</v>
      </c>
      <c r="I1563" s="81">
        <f>IFERROR(__xludf.DUMMYFUNCTION("IF(G1563="""", """", ROUND(G1563 / MAX(FILTER($G$2:$G5067, $D$2:$D5067=$D1563)) * 100, 2))"),68.46)</f>
        <v>68.46</v>
      </c>
      <c r="J1563" s="81">
        <f>IFERROR(__xludf.DUMMYFUNCTION("IF(H1563="""", """", ROUND(H1563 / MAX(FILTER($H$2:$H5067, $D$2:$D5067=$D1563)) * 100, 2))"),20.72)</f>
        <v>20.72</v>
      </c>
      <c r="K1563" s="2"/>
      <c r="L1563" s="48"/>
      <c r="M1563" s="48"/>
      <c r="N1563" s="48"/>
      <c r="O1563" s="48" t="str">
        <f t="shared" si="2"/>
        <v/>
      </c>
      <c r="P1563" s="48" t="str">
        <f t="shared" si="3"/>
        <v/>
      </c>
      <c r="Q1563" s="84"/>
      <c r="R1563" s="84"/>
      <c r="S1563" s="84"/>
      <c r="T1563" s="84"/>
      <c r="U1563" s="84"/>
      <c r="V1563" s="84"/>
      <c r="W1563" s="84"/>
      <c r="X1563" s="84"/>
      <c r="Y1563" s="84"/>
      <c r="Z1563" s="84"/>
      <c r="AA1563" s="84"/>
      <c r="AB1563" s="84"/>
    </row>
    <row r="1564">
      <c r="A1564" s="63">
        <v>106.0</v>
      </c>
      <c r="B1564" s="63">
        <v>166.0</v>
      </c>
      <c r="C1564" s="64" t="s">
        <v>366</v>
      </c>
      <c r="D1564" s="64" t="s">
        <v>367</v>
      </c>
      <c r="E1564" s="64" t="s">
        <v>368</v>
      </c>
      <c r="F1564" s="63">
        <v>2000.0</v>
      </c>
      <c r="G1564" s="63">
        <v>17.93</v>
      </c>
      <c r="H1564" s="66">
        <f t="shared" si="1"/>
        <v>50.07</v>
      </c>
      <c r="I1564" s="81">
        <f>IFERROR(__xludf.DUMMYFUNCTION("IF(G1564="""", """", ROUND(G1564 / MAX(FILTER($G$2:$G5067, $D$2:$D5067=$D1564)) * 100, 2))"),77.69)</f>
        <v>77.69</v>
      </c>
      <c r="J1564" s="81">
        <f>IFERROR(__xludf.DUMMYFUNCTION("IF(H1564="""", """", ROUND(H1564 / MAX(FILTER($H$2:$H5067, $D$2:$D5067=$D1564)) * 100, 2))"),31.35)</f>
        <v>31.35</v>
      </c>
      <c r="K1564" s="2"/>
      <c r="L1564" s="49"/>
      <c r="M1564" s="49"/>
      <c r="N1564" s="49"/>
      <c r="O1564" s="49" t="str">
        <f t="shared" si="2"/>
        <v/>
      </c>
      <c r="P1564" s="49" t="str">
        <f t="shared" si="3"/>
        <v/>
      </c>
      <c r="Q1564" s="84"/>
      <c r="R1564" s="84"/>
      <c r="S1564" s="84"/>
      <c r="T1564" s="84"/>
      <c r="U1564" s="84"/>
      <c r="V1564" s="84"/>
      <c r="W1564" s="84"/>
      <c r="X1564" s="84"/>
      <c r="Y1564" s="84"/>
      <c r="Z1564" s="84"/>
      <c r="AA1564" s="84"/>
      <c r="AB1564" s="84"/>
    </row>
    <row r="1565">
      <c r="A1565" s="69">
        <v>106.0</v>
      </c>
      <c r="B1565" s="69">
        <v>166.0</v>
      </c>
      <c r="C1565" s="86" t="s">
        <v>366</v>
      </c>
      <c r="D1565" s="86" t="s">
        <v>367</v>
      </c>
      <c r="E1565" s="86" t="s">
        <v>368</v>
      </c>
      <c r="F1565" s="69">
        <v>2500.0</v>
      </c>
      <c r="G1565" s="69">
        <v>19.83</v>
      </c>
      <c r="H1565" s="68">
        <f t="shared" si="1"/>
        <v>69.22</v>
      </c>
      <c r="I1565" s="81">
        <f>IFERROR(__xludf.DUMMYFUNCTION("IF(G1565="""", """", ROUND(G1565 / MAX(FILTER($G$2:$G5067, $D$2:$D5067=$D1565)) * 100, 2))"),85.92)</f>
        <v>85.92</v>
      </c>
      <c r="J1565" s="81">
        <f>IFERROR(__xludf.DUMMYFUNCTION("IF(H1565="""", """", ROUND(H1565 / MAX(FILTER($H$2:$H5067, $D$2:$D5067=$D1565)) * 100, 2))"),43.34)</f>
        <v>43.34</v>
      </c>
      <c r="K1565" s="2"/>
      <c r="L1565" s="48"/>
      <c r="M1565" s="48"/>
      <c r="N1565" s="48"/>
      <c r="O1565" s="48" t="str">
        <f t="shared" si="2"/>
        <v/>
      </c>
      <c r="P1565" s="48" t="str">
        <f t="shared" si="3"/>
        <v/>
      </c>
      <c r="Q1565" s="84"/>
      <c r="R1565" s="84"/>
      <c r="S1565" s="84"/>
      <c r="T1565" s="84"/>
      <c r="U1565" s="84"/>
      <c r="V1565" s="84"/>
      <c r="W1565" s="84"/>
      <c r="X1565" s="84"/>
      <c r="Y1565" s="84"/>
      <c r="Z1565" s="84"/>
      <c r="AA1565" s="84"/>
      <c r="AB1565" s="84"/>
    </row>
    <row r="1566">
      <c r="A1566" s="63">
        <v>106.0</v>
      </c>
      <c r="B1566" s="63">
        <v>166.0</v>
      </c>
      <c r="C1566" s="64" t="s">
        <v>366</v>
      </c>
      <c r="D1566" s="64" t="s">
        <v>367</v>
      </c>
      <c r="E1566" s="64" t="s">
        <v>368</v>
      </c>
      <c r="F1566" s="63">
        <v>3000.0</v>
      </c>
      <c r="G1566" s="63">
        <v>21.45</v>
      </c>
      <c r="H1566" s="66">
        <f t="shared" si="1"/>
        <v>89.85</v>
      </c>
      <c r="I1566" s="81">
        <f>IFERROR(__xludf.DUMMYFUNCTION("IF(G1566="""", """", ROUND(G1566 / MAX(FILTER($G$2:$G5067, $D$2:$D5067=$D1566)) * 100, 2))"),92.94)</f>
        <v>92.94</v>
      </c>
      <c r="J1566" s="81">
        <f>IFERROR(__xludf.DUMMYFUNCTION("IF(H1566="""", """", ROUND(H1566 / MAX(FILTER($H$2:$H5067, $D$2:$D5067=$D1566)) * 100, 2))"),56.25)</f>
        <v>56.25</v>
      </c>
      <c r="K1566" s="2"/>
      <c r="L1566" s="49"/>
      <c r="M1566" s="49"/>
      <c r="N1566" s="49"/>
      <c r="O1566" s="49" t="str">
        <f t="shared" si="2"/>
        <v/>
      </c>
      <c r="P1566" s="49" t="str">
        <f t="shared" si="3"/>
        <v/>
      </c>
      <c r="Q1566" s="84"/>
      <c r="R1566" s="84"/>
      <c r="S1566" s="84"/>
      <c r="T1566" s="84"/>
      <c r="U1566" s="84"/>
      <c r="V1566" s="84"/>
      <c r="W1566" s="84"/>
      <c r="X1566" s="84"/>
      <c r="Y1566" s="84"/>
      <c r="Z1566" s="84"/>
      <c r="AA1566" s="84"/>
      <c r="AB1566" s="84"/>
    </row>
    <row r="1567">
      <c r="A1567" s="69">
        <v>106.0</v>
      </c>
      <c r="B1567" s="69">
        <v>166.0</v>
      </c>
      <c r="C1567" s="86" t="s">
        <v>366</v>
      </c>
      <c r="D1567" s="86" t="s">
        <v>367</v>
      </c>
      <c r="E1567" s="86" t="s">
        <v>368</v>
      </c>
      <c r="F1567" s="69">
        <v>3500.0</v>
      </c>
      <c r="G1567" s="69">
        <v>22.53</v>
      </c>
      <c r="H1567" s="68">
        <f t="shared" si="1"/>
        <v>110.1</v>
      </c>
      <c r="I1567" s="81">
        <f>IFERROR(__xludf.DUMMYFUNCTION("IF(G1567="""", """", ROUND(G1567 / MAX(FILTER($G$2:$G5067, $D$2:$D5067=$D1567)) * 100, 2))"),97.62)</f>
        <v>97.62</v>
      </c>
      <c r="J1567" s="81">
        <f>IFERROR(__xludf.DUMMYFUNCTION("IF(H1567="""", """", ROUND(H1567 / MAX(FILTER($H$2:$H5067, $D$2:$D5067=$D1567)) * 100, 2))"),68.93)</f>
        <v>68.93</v>
      </c>
      <c r="K1567" s="2"/>
      <c r="L1567" s="48"/>
      <c r="M1567" s="48"/>
      <c r="N1567" s="48"/>
      <c r="O1567" s="48" t="str">
        <f t="shared" si="2"/>
        <v/>
      </c>
      <c r="P1567" s="48" t="str">
        <f t="shared" si="3"/>
        <v/>
      </c>
      <c r="Q1567" s="84"/>
      <c r="R1567" s="84"/>
      <c r="S1567" s="84"/>
      <c r="T1567" s="84"/>
      <c r="U1567" s="84"/>
      <c r="V1567" s="84"/>
      <c r="W1567" s="84"/>
      <c r="X1567" s="84"/>
      <c r="Y1567" s="84"/>
      <c r="Z1567" s="84"/>
      <c r="AA1567" s="84"/>
      <c r="AB1567" s="84"/>
    </row>
    <row r="1568">
      <c r="A1568" s="63">
        <v>106.0</v>
      </c>
      <c r="B1568" s="63">
        <v>166.0</v>
      </c>
      <c r="C1568" s="64" t="s">
        <v>366</v>
      </c>
      <c r="D1568" s="64" t="s">
        <v>367</v>
      </c>
      <c r="E1568" s="64" t="s">
        <v>368</v>
      </c>
      <c r="F1568" s="63">
        <v>4000.0</v>
      </c>
      <c r="G1568" s="63">
        <v>23.08</v>
      </c>
      <c r="H1568" s="66">
        <f t="shared" si="1"/>
        <v>128.9</v>
      </c>
      <c r="I1568" s="81">
        <f>IFERROR(__xludf.DUMMYFUNCTION("IF(G1568="""", """", ROUND(G1568 / MAX(FILTER($G$2:$G5067, $D$2:$D5067=$D1568)) * 100, 2))"),100.0)</f>
        <v>100</v>
      </c>
      <c r="J1568" s="81">
        <f>IFERROR(__xludf.DUMMYFUNCTION("IF(H1568="""", """", ROUND(H1568 / MAX(FILTER($H$2:$H5067, $D$2:$D5067=$D1568)) * 100, 2))"),80.7)</f>
        <v>80.7</v>
      </c>
      <c r="K1568" s="2"/>
      <c r="L1568" s="49"/>
      <c r="M1568" s="49"/>
      <c r="N1568" s="49"/>
      <c r="O1568" s="49" t="str">
        <f t="shared" si="2"/>
        <v/>
      </c>
      <c r="P1568" s="49" t="str">
        <f t="shared" si="3"/>
        <v/>
      </c>
      <c r="Q1568" s="84"/>
      <c r="R1568" s="84"/>
      <c r="S1568" s="84"/>
      <c r="T1568" s="84"/>
      <c r="U1568" s="84"/>
      <c r="V1568" s="84"/>
      <c r="W1568" s="84"/>
      <c r="X1568" s="84"/>
      <c r="Y1568" s="84"/>
      <c r="Z1568" s="84"/>
      <c r="AA1568" s="84"/>
      <c r="AB1568" s="84"/>
    </row>
    <row r="1569">
      <c r="A1569" s="69">
        <v>106.0</v>
      </c>
      <c r="B1569" s="69">
        <v>166.0</v>
      </c>
      <c r="C1569" s="86" t="s">
        <v>366</v>
      </c>
      <c r="D1569" s="86" t="s">
        <v>367</v>
      </c>
      <c r="E1569" s="86" t="s">
        <v>368</v>
      </c>
      <c r="F1569" s="69">
        <v>4500.0</v>
      </c>
      <c r="G1569" s="69">
        <v>22.85</v>
      </c>
      <c r="H1569" s="68">
        <f t="shared" si="1"/>
        <v>143.57</v>
      </c>
      <c r="I1569" s="81">
        <f>IFERROR(__xludf.DUMMYFUNCTION("IF(G1569="""", """", ROUND(G1569 / MAX(FILTER($G$2:$G5067, $D$2:$D5067=$D1569)) * 100, 2))"),99.0)</f>
        <v>99</v>
      </c>
      <c r="J1569" s="81">
        <f>IFERROR(__xludf.DUMMYFUNCTION("IF(H1569="""", """", ROUND(H1569 / MAX(FILTER($H$2:$H5067, $D$2:$D5067=$D1569)) * 100, 2))"),89.88)</f>
        <v>89.88</v>
      </c>
      <c r="K1569" s="2"/>
      <c r="L1569" s="48"/>
      <c r="M1569" s="48"/>
      <c r="N1569" s="48"/>
      <c r="O1569" s="48" t="str">
        <f t="shared" si="2"/>
        <v/>
      </c>
      <c r="P1569" s="48" t="str">
        <f t="shared" si="3"/>
        <v/>
      </c>
      <c r="Q1569" s="84"/>
      <c r="R1569" s="84"/>
      <c r="S1569" s="84"/>
      <c r="T1569" s="84"/>
      <c r="U1569" s="84"/>
      <c r="V1569" s="84"/>
      <c r="W1569" s="84"/>
      <c r="X1569" s="84"/>
      <c r="Y1569" s="84"/>
      <c r="Z1569" s="84"/>
      <c r="AA1569" s="84"/>
      <c r="AB1569" s="84"/>
    </row>
    <row r="1570">
      <c r="A1570" s="63">
        <v>106.0</v>
      </c>
      <c r="B1570" s="63">
        <v>166.0</v>
      </c>
      <c r="C1570" s="64" t="s">
        <v>366</v>
      </c>
      <c r="D1570" s="64" t="s">
        <v>367</v>
      </c>
      <c r="E1570" s="64" t="s">
        <v>368</v>
      </c>
      <c r="F1570" s="63">
        <v>5000.0</v>
      </c>
      <c r="G1570" s="63">
        <v>21.8</v>
      </c>
      <c r="H1570" s="66">
        <f t="shared" si="1"/>
        <v>152.19</v>
      </c>
      <c r="I1570" s="81">
        <f>IFERROR(__xludf.DUMMYFUNCTION("IF(G1570="""", """", ROUND(G1570 / MAX(FILTER($G$2:$G5067, $D$2:$D5067=$D1570)) * 100, 2))"),94.45)</f>
        <v>94.45</v>
      </c>
      <c r="J1570" s="81">
        <f>IFERROR(__xludf.DUMMYFUNCTION("IF(H1570="""", """", ROUND(H1570 / MAX(FILTER($H$2:$H5067, $D$2:$D5067=$D1570)) * 100, 2))"),95.28)</f>
        <v>95.28</v>
      </c>
      <c r="K1570" s="2"/>
      <c r="L1570" s="49"/>
      <c r="M1570" s="49"/>
      <c r="N1570" s="49"/>
      <c r="O1570" s="49" t="str">
        <f t="shared" si="2"/>
        <v/>
      </c>
      <c r="P1570" s="49" t="str">
        <f t="shared" si="3"/>
        <v/>
      </c>
      <c r="Q1570" s="84"/>
      <c r="R1570" s="84"/>
      <c r="S1570" s="84"/>
      <c r="T1570" s="84"/>
      <c r="U1570" s="84"/>
      <c r="V1570" s="84"/>
      <c r="W1570" s="84"/>
      <c r="X1570" s="84"/>
      <c r="Y1570" s="84"/>
      <c r="Z1570" s="84"/>
      <c r="AA1570" s="84"/>
      <c r="AB1570" s="84"/>
    </row>
    <row r="1571">
      <c r="A1571" s="69">
        <v>106.0</v>
      </c>
      <c r="B1571" s="69">
        <v>166.0</v>
      </c>
      <c r="C1571" s="86" t="s">
        <v>366</v>
      </c>
      <c r="D1571" s="86" t="s">
        <v>367</v>
      </c>
      <c r="E1571" s="86" t="s">
        <v>368</v>
      </c>
      <c r="F1571" s="69">
        <v>5500.0</v>
      </c>
      <c r="G1571" s="69">
        <v>20.8</v>
      </c>
      <c r="H1571" s="68">
        <f t="shared" si="1"/>
        <v>159.73</v>
      </c>
      <c r="I1571" s="81">
        <f>IFERROR(__xludf.DUMMYFUNCTION("IF(G1571="""", """", ROUND(G1571 / MAX(FILTER($G$2:$G5067, $D$2:$D5067=$D1571)) * 100, 2))"),90.12)</f>
        <v>90.12</v>
      </c>
      <c r="J1571" s="81">
        <f>IFERROR(__xludf.DUMMYFUNCTION("IF(H1571="""", """", ROUND(H1571 / MAX(FILTER($H$2:$H5067, $D$2:$D5067=$D1571)) * 100, 2))"),100.0)</f>
        <v>100</v>
      </c>
      <c r="K1571" s="2"/>
      <c r="L1571" s="48"/>
      <c r="M1571" s="48"/>
      <c r="N1571" s="48"/>
      <c r="O1571" s="48" t="str">
        <f t="shared" si="2"/>
        <v/>
      </c>
      <c r="P1571" s="48" t="str">
        <f t="shared" si="3"/>
        <v/>
      </c>
      <c r="Q1571" s="84"/>
      <c r="R1571" s="84"/>
      <c r="S1571" s="84"/>
      <c r="T1571" s="84"/>
      <c r="U1571" s="84"/>
      <c r="V1571" s="84"/>
      <c r="W1571" s="84"/>
      <c r="X1571" s="84"/>
      <c r="Y1571" s="84"/>
      <c r="Z1571" s="84"/>
      <c r="AA1571" s="84"/>
      <c r="AB1571" s="84"/>
    </row>
    <row r="1572">
      <c r="A1572" s="63">
        <v>106.0</v>
      </c>
      <c r="B1572" s="63">
        <v>166.0</v>
      </c>
      <c r="C1572" s="64" t="s">
        <v>366</v>
      </c>
      <c r="D1572" s="64" t="s">
        <v>367</v>
      </c>
      <c r="E1572" s="64" t="s">
        <v>368</v>
      </c>
      <c r="F1572" s="63">
        <v>6000.0</v>
      </c>
      <c r="G1572" s="63">
        <v>18.75</v>
      </c>
      <c r="H1572" s="66">
        <f t="shared" si="1"/>
        <v>157.08</v>
      </c>
      <c r="I1572" s="81">
        <f>IFERROR(__xludf.DUMMYFUNCTION("IF(G1572="""", """", ROUND(G1572 / MAX(FILTER($G$2:$G5067, $D$2:$D5067=$D1572)) * 100, 2))"),81.24)</f>
        <v>81.24</v>
      </c>
      <c r="J1572" s="81">
        <f>IFERROR(__xludf.DUMMYFUNCTION("IF(H1572="""", """", ROUND(H1572 / MAX(FILTER($H$2:$H5067, $D$2:$D5067=$D1572)) * 100, 2))"),98.34)</f>
        <v>98.34</v>
      </c>
      <c r="K1572" s="2"/>
      <c r="L1572" s="49"/>
      <c r="M1572" s="49"/>
      <c r="N1572" s="49"/>
      <c r="O1572" s="49" t="str">
        <f t="shared" si="2"/>
        <v/>
      </c>
      <c r="P1572" s="49" t="str">
        <f t="shared" si="3"/>
        <v/>
      </c>
      <c r="Q1572" s="84"/>
      <c r="R1572" s="84"/>
      <c r="S1572" s="84"/>
      <c r="T1572" s="84"/>
      <c r="U1572" s="84"/>
      <c r="V1572" s="84"/>
      <c r="W1572" s="84"/>
      <c r="X1572" s="84"/>
      <c r="Y1572" s="84"/>
      <c r="Z1572" s="84"/>
      <c r="AA1572" s="84"/>
      <c r="AB1572" s="84"/>
    </row>
    <row r="1573">
      <c r="A1573" s="69">
        <v>106.0</v>
      </c>
      <c r="B1573" s="69">
        <v>166.0</v>
      </c>
      <c r="C1573" s="86" t="s">
        <v>366</v>
      </c>
      <c r="D1573" s="86" t="s">
        <v>367</v>
      </c>
      <c r="E1573" s="86" t="s">
        <v>368</v>
      </c>
      <c r="F1573" s="69">
        <v>6500.0</v>
      </c>
      <c r="G1573" s="69">
        <v>15.8</v>
      </c>
      <c r="H1573" s="68">
        <f t="shared" si="1"/>
        <v>143.4</v>
      </c>
      <c r="I1573" s="81">
        <f>IFERROR(__xludf.DUMMYFUNCTION("IF(G1573="""", """", ROUND(G1573 / MAX(FILTER($G$2:$G5067, $D$2:$D5067=$D1573)) * 100, 2))"),68.46)</f>
        <v>68.46</v>
      </c>
      <c r="J1573" s="81">
        <f>IFERROR(__xludf.DUMMYFUNCTION("IF(H1573="""", """", ROUND(H1573 / MAX(FILTER($H$2:$H5067, $D$2:$D5067=$D1573)) * 100, 2))"),89.78)</f>
        <v>89.78</v>
      </c>
      <c r="K1573" s="2"/>
      <c r="L1573" s="48"/>
      <c r="M1573" s="48"/>
      <c r="N1573" s="48"/>
      <c r="O1573" s="48" t="str">
        <f t="shared" si="2"/>
        <v/>
      </c>
      <c r="P1573" s="48" t="str">
        <f t="shared" si="3"/>
        <v/>
      </c>
      <c r="Q1573" s="84"/>
      <c r="R1573" s="84"/>
      <c r="S1573" s="84"/>
      <c r="T1573" s="84"/>
      <c r="U1573" s="84"/>
      <c r="V1573" s="84"/>
      <c r="W1573" s="84"/>
      <c r="X1573" s="84"/>
      <c r="Y1573" s="84"/>
      <c r="Z1573" s="84"/>
      <c r="AA1573" s="84"/>
      <c r="AB1573" s="84"/>
    </row>
    <row r="1574">
      <c r="A1574" s="63">
        <v>107.0</v>
      </c>
      <c r="B1574" s="63">
        <v>167.0</v>
      </c>
      <c r="C1574" s="64" t="s">
        <v>369</v>
      </c>
      <c r="D1574" s="64" t="s">
        <v>370</v>
      </c>
      <c r="E1574" s="64" t="s">
        <v>371</v>
      </c>
      <c r="F1574" s="63">
        <v>500.0</v>
      </c>
      <c r="G1574" s="63">
        <v>9.05</v>
      </c>
      <c r="H1574" s="66">
        <f t="shared" si="1"/>
        <v>6.32</v>
      </c>
      <c r="I1574" s="81">
        <f>IFERROR(__xludf.DUMMYFUNCTION("IF(G1574="""", """", ROUND(G1574 / MAX(FILTER($G$2:$G5067, $D$2:$D5067=$D1574)) * 100, 2))"),61.36)</f>
        <v>61.36</v>
      </c>
      <c r="J1574" s="81">
        <f>IFERROR(__xludf.DUMMYFUNCTION("IF(H1574="""", """", ROUND(H1574 / MAX(FILTER($H$2:$H5067, $D$2:$D5067=$D1574)) * 100, 2))"),5.16)</f>
        <v>5.16</v>
      </c>
      <c r="K1574" s="2"/>
      <c r="L1574" s="49"/>
      <c r="M1574" s="49"/>
      <c r="N1574" s="49"/>
      <c r="O1574" s="49" t="str">
        <f t="shared" si="2"/>
        <v/>
      </c>
      <c r="P1574" s="49" t="str">
        <f t="shared" si="3"/>
        <v/>
      </c>
      <c r="Q1574" s="84"/>
      <c r="R1574" s="84"/>
      <c r="S1574" s="84"/>
      <c r="T1574" s="84"/>
      <c r="U1574" s="84"/>
      <c r="V1574" s="84"/>
      <c r="W1574" s="84"/>
      <c r="X1574" s="84"/>
      <c r="Y1574" s="84"/>
      <c r="Z1574" s="84"/>
      <c r="AA1574" s="84"/>
      <c r="AB1574" s="84"/>
    </row>
    <row r="1575">
      <c r="A1575" s="69">
        <v>107.0</v>
      </c>
      <c r="B1575" s="69">
        <v>167.0</v>
      </c>
      <c r="C1575" s="86" t="s">
        <v>369</v>
      </c>
      <c r="D1575" s="86" t="s">
        <v>370</v>
      </c>
      <c r="E1575" s="86" t="s">
        <v>371</v>
      </c>
      <c r="F1575" s="69">
        <v>1000.0</v>
      </c>
      <c r="G1575" s="69">
        <v>10.45</v>
      </c>
      <c r="H1575" s="68">
        <f t="shared" si="1"/>
        <v>14.59</v>
      </c>
      <c r="I1575" s="81">
        <f>IFERROR(__xludf.DUMMYFUNCTION("IF(G1575="""", """", ROUND(G1575 / MAX(FILTER($G$2:$G5067, $D$2:$D5067=$D1575)) * 100, 2))"),70.85)</f>
        <v>70.85</v>
      </c>
      <c r="J1575" s="81">
        <f>IFERROR(__xludf.DUMMYFUNCTION("IF(H1575="""", """", ROUND(H1575 / MAX(FILTER($H$2:$H5067, $D$2:$D5067=$D1575)) * 100, 2))"),11.91)</f>
        <v>11.91</v>
      </c>
      <c r="K1575" s="2"/>
      <c r="L1575" s="48"/>
      <c r="M1575" s="48"/>
      <c r="N1575" s="48"/>
      <c r="O1575" s="48" t="str">
        <f t="shared" si="2"/>
        <v/>
      </c>
      <c r="P1575" s="48" t="str">
        <f t="shared" si="3"/>
        <v/>
      </c>
      <c r="Q1575" s="84"/>
      <c r="R1575" s="84"/>
      <c r="S1575" s="84"/>
      <c r="T1575" s="84"/>
      <c r="U1575" s="84"/>
      <c r="V1575" s="84"/>
      <c r="W1575" s="84"/>
      <c r="X1575" s="84"/>
      <c r="Y1575" s="84"/>
      <c r="Z1575" s="84"/>
      <c r="AA1575" s="84"/>
      <c r="AB1575" s="84"/>
    </row>
    <row r="1576">
      <c r="A1576" s="63">
        <v>107.0</v>
      </c>
      <c r="B1576" s="63">
        <v>167.0</v>
      </c>
      <c r="C1576" s="64" t="s">
        <v>369</v>
      </c>
      <c r="D1576" s="64" t="s">
        <v>370</v>
      </c>
      <c r="E1576" s="64" t="s">
        <v>371</v>
      </c>
      <c r="F1576" s="63">
        <v>1500.0</v>
      </c>
      <c r="G1576" s="63">
        <v>11.4</v>
      </c>
      <c r="H1576" s="66">
        <f t="shared" si="1"/>
        <v>23.88</v>
      </c>
      <c r="I1576" s="81">
        <f>IFERROR(__xludf.DUMMYFUNCTION("IF(G1576="""", """", ROUND(G1576 / MAX(FILTER($G$2:$G5067, $D$2:$D5067=$D1576)) * 100, 2))"),77.29)</f>
        <v>77.29</v>
      </c>
      <c r="J1576" s="81">
        <f>IFERROR(__xludf.DUMMYFUNCTION("IF(H1576="""", """", ROUND(H1576 / MAX(FILTER($H$2:$H5067, $D$2:$D5067=$D1576)) * 100, 2))"),19.49)</f>
        <v>19.49</v>
      </c>
      <c r="K1576" s="2"/>
      <c r="L1576" s="49"/>
      <c r="M1576" s="49"/>
      <c r="N1576" s="49"/>
      <c r="O1576" s="49" t="str">
        <f t="shared" si="2"/>
        <v/>
      </c>
      <c r="P1576" s="49" t="str">
        <f t="shared" si="3"/>
        <v/>
      </c>
      <c r="Q1576" s="84"/>
      <c r="R1576" s="84"/>
      <c r="S1576" s="84"/>
      <c r="T1576" s="84"/>
      <c r="U1576" s="84"/>
      <c r="V1576" s="84"/>
      <c r="W1576" s="84"/>
      <c r="X1576" s="84"/>
      <c r="Y1576" s="84"/>
      <c r="Z1576" s="84"/>
      <c r="AA1576" s="84"/>
      <c r="AB1576" s="84"/>
    </row>
    <row r="1577">
      <c r="A1577" s="69">
        <v>107.0</v>
      </c>
      <c r="B1577" s="69">
        <v>167.0</v>
      </c>
      <c r="C1577" s="86" t="s">
        <v>369</v>
      </c>
      <c r="D1577" s="86" t="s">
        <v>370</v>
      </c>
      <c r="E1577" s="86" t="s">
        <v>371</v>
      </c>
      <c r="F1577" s="69">
        <v>2000.0</v>
      </c>
      <c r="G1577" s="69">
        <v>12.05</v>
      </c>
      <c r="H1577" s="68">
        <f t="shared" si="1"/>
        <v>33.65</v>
      </c>
      <c r="I1577" s="81">
        <f>IFERROR(__xludf.DUMMYFUNCTION("IF(G1577="""", """", ROUND(G1577 / MAX(FILTER($G$2:$G5067, $D$2:$D5067=$D1577)) * 100, 2))"),81.69)</f>
        <v>81.69</v>
      </c>
      <c r="J1577" s="81">
        <f>IFERROR(__xludf.DUMMYFUNCTION("IF(H1577="""", """", ROUND(H1577 / MAX(FILTER($H$2:$H5067, $D$2:$D5067=$D1577)) * 100, 2))"),27.46)</f>
        <v>27.46</v>
      </c>
      <c r="K1577" s="2"/>
      <c r="L1577" s="48"/>
      <c r="M1577" s="48"/>
      <c r="N1577" s="48"/>
      <c r="O1577" s="48" t="str">
        <f t="shared" si="2"/>
        <v/>
      </c>
      <c r="P1577" s="48" t="str">
        <f t="shared" si="3"/>
        <v/>
      </c>
      <c r="Q1577" s="84"/>
      <c r="R1577" s="84"/>
      <c r="S1577" s="84"/>
      <c r="T1577" s="84"/>
      <c r="U1577" s="84"/>
      <c r="V1577" s="84"/>
      <c r="W1577" s="84"/>
      <c r="X1577" s="84"/>
      <c r="Y1577" s="84"/>
      <c r="Z1577" s="84"/>
      <c r="AA1577" s="84"/>
      <c r="AB1577" s="84"/>
    </row>
    <row r="1578">
      <c r="A1578" s="63">
        <v>107.0</v>
      </c>
      <c r="B1578" s="63">
        <v>167.0</v>
      </c>
      <c r="C1578" s="64" t="s">
        <v>369</v>
      </c>
      <c r="D1578" s="64" t="s">
        <v>370</v>
      </c>
      <c r="E1578" s="64" t="s">
        <v>371</v>
      </c>
      <c r="F1578" s="63">
        <v>2500.0</v>
      </c>
      <c r="G1578" s="63">
        <v>12.45</v>
      </c>
      <c r="H1578" s="66">
        <f t="shared" si="1"/>
        <v>43.46</v>
      </c>
      <c r="I1578" s="81">
        <f>IFERROR(__xludf.DUMMYFUNCTION("IF(G1578="""", """", ROUND(G1578 / MAX(FILTER($G$2:$G5067, $D$2:$D5067=$D1578)) * 100, 2))"),84.41)</f>
        <v>84.41</v>
      </c>
      <c r="J1578" s="81">
        <f>IFERROR(__xludf.DUMMYFUNCTION("IF(H1578="""", """", ROUND(H1578 / MAX(FILTER($H$2:$H5067, $D$2:$D5067=$D1578)) * 100, 2))"),35.47)</f>
        <v>35.47</v>
      </c>
      <c r="K1578" s="2"/>
      <c r="L1578" s="49"/>
      <c r="M1578" s="49"/>
      <c r="N1578" s="49"/>
      <c r="O1578" s="49" t="str">
        <f t="shared" si="2"/>
        <v/>
      </c>
      <c r="P1578" s="49" t="str">
        <f t="shared" si="3"/>
        <v/>
      </c>
      <c r="Q1578" s="84"/>
      <c r="R1578" s="84"/>
      <c r="S1578" s="84"/>
      <c r="T1578" s="84"/>
      <c r="U1578" s="84"/>
      <c r="V1578" s="84"/>
      <c r="W1578" s="84"/>
      <c r="X1578" s="84"/>
      <c r="Y1578" s="84"/>
      <c r="Z1578" s="84"/>
      <c r="AA1578" s="84"/>
      <c r="AB1578" s="84"/>
    </row>
    <row r="1579">
      <c r="A1579" s="69">
        <v>107.0</v>
      </c>
      <c r="B1579" s="69">
        <v>167.0</v>
      </c>
      <c r="C1579" s="86" t="s">
        <v>369</v>
      </c>
      <c r="D1579" s="86" t="s">
        <v>370</v>
      </c>
      <c r="E1579" s="86" t="s">
        <v>371</v>
      </c>
      <c r="F1579" s="69">
        <v>3000.0</v>
      </c>
      <c r="G1579" s="69">
        <v>12.85</v>
      </c>
      <c r="H1579" s="68">
        <f t="shared" si="1"/>
        <v>53.83</v>
      </c>
      <c r="I1579" s="81">
        <f>IFERROR(__xludf.DUMMYFUNCTION("IF(G1579="""", """", ROUND(G1579 / MAX(FILTER($G$2:$G5067, $D$2:$D5067=$D1579)) * 100, 2))"),87.12)</f>
        <v>87.12</v>
      </c>
      <c r="J1579" s="81">
        <f>IFERROR(__xludf.DUMMYFUNCTION("IF(H1579="""", """", ROUND(H1579 / MAX(FILTER($H$2:$H5067, $D$2:$D5067=$D1579)) * 100, 2))"),43.94)</f>
        <v>43.94</v>
      </c>
      <c r="K1579" s="2"/>
      <c r="L1579" s="48"/>
      <c r="M1579" s="48"/>
      <c r="N1579" s="48"/>
      <c r="O1579" s="48" t="str">
        <f t="shared" si="2"/>
        <v/>
      </c>
      <c r="P1579" s="48" t="str">
        <f t="shared" si="3"/>
        <v/>
      </c>
      <c r="Q1579" s="84"/>
      <c r="R1579" s="84"/>
      <c r="S1579" s="84"/>
      <c r="T1579" s="84"/>
      <c r="U1579" s="84"/>
      <c r="V1579" s="84"/>
      <c r="W1579" s="84"/>
      <c r="X1579" s="84"/>
      <c r="Y1579" s="84"/>
      <c r="Z1579" s="84"/>
      <c r="AA1579" s="84"/>
      <c r="AB1579" s="84"/>
    </row>
    <row r="1580">
      <c r="A1580" s="63">
        <v>107.0</v>
      </c>
      <c r="B1580" s="63">
        <v>167.0</v>
      </c>
      <c r="C1580" s="64" t="s">
        <v>369</v>
      </c>
      <c r="D1580" s="64" t="s">
        <v>370</v>
      </c>
      <c r="E1580" s="64" t="s">
        <v>371</v>
      </c>
      <c r="F1580" s="63">
        <v>3500.0</v>
      </c>
      <c r="G1580" s="63">
        <v>13.2</v>
      </c>
      <c r="H1580" s="66">
        <f t="shared" si="1"/>
        <v>64.51</v>
      </c>
      <c r="I1580" s="81">
        <f>IFERROR(__xludf.DUMMYFUNCTION("IF(G1580="""", """", ROUND(G1580 / MAX(FILTER($G$2:$G5067, $D$2:$D5067=$D1580)) * 100, 2))"),89.49)</f>
        <v>89.49</v>
      </c>
      <c r="J1580" s="81">
        <f>IFERROR(__xludf.DUMMYFUNCTION("IF(H1580="""", """", ROUND(H1580 / MAX(FILTER($H$2:$H5067, $D$2:$D5067=$D1580)) * 100, 2))"),52.65)</f>
        <v>52.65</v>
      </c>
      <c r="K1580" s="2"/>
      <c r="L1580" s="49"/>
      <c r="M1580" s="49"/>
      <c r="N1580" s="49"/>
      <c r="O1580" s="49" t="str">
        <f t="shared" si="2"/>
        <v/>
      </c>
      <c r="P1580" s="49" t="str">
        <f t="shared" si="3"/>
        <v/>
      </c>
      <c r="Q1580" s="84"/>
      <c r="R1580" s="84"/>
      <c r="S1580" s="84"/>
      <c r="T1580" s="84"/>
      <c r="U1580" s="84"/>
      <c r="V1580" s="84"/>
      <c r="W1580" s="84"/>
      <c r="X1580" s="84"/>
      <c r="Y1580" s="84"/>
      <c r="Z1580" s="84"/>
      <c r="AA1580" s="84"/>
      <c r="AB1580" s="84"/>
    </row>
    <row r="1581">
      <c r="A1581" s="69">
        <v>107.0</v>
      </c>
      <c r="B1581" s="69">
        <v>167.0</v>
      </c>
      <c r="C1581" s="86" t="s">
        <v>369</v>
      </c>
      <c r="D1581" s="86" t="s">
        <v>370</v>
      </c>
      <c r="E1581" s="86" t="s">
        <v>371</v>
      </c>
      <c r="F1581" s="69">
        <v>4000.0</v>
      </c>
      <c r="G1581" s="69">
        <v>13.75</v>
      </c>
      <c r="H1581" s="68">
        <f t="shared" si="1"/>
        <v>76.79</v>
      </c>
      <c r="I1581" s="81">
        <f>IFERROR(__xludf.DUMMYFUNCTION("IF(G1581="""", """", ROUND(G1581 / MAX(FILTER($G$2:$G5067, $D$2:$D5067=$D1581)) * 100, 2))"),93.22)</f>
        <v>93.22</v>
      </c>
      <c r="J1581" s="81">
        <f>IFERROR(__xludf.DUMMYFUNCTION("IF(H1581="""", """", ROUND(H1581 / MAX(FILTER($H$2:$H5067, $D$2:$D5067=$D1581)) * 100, 2))"),62.68)</f>
        <v>62.68</v>
      </c>
      <c r="K1581" s="2"/>
      <c r="L1581" s="48"/>
      <c r="M1581" s="48"/>
      <c r="N1581" s="48"/>
      <c r="O1581" s="48" t="str">
        <f t="shared" si="2"/>
        <v/>
      </c>
      <c r="P1581" s="48" t="str">
        <f t="shared" si="3"/>
        <v/>
      </c>
      <c r="Q1581" s="84"/>
      <c r="R1581" s="84"/>
      <c r="S1581" s="84"/>
      <c r="T1581" s="84"/>
      <c r="U1581" s="84"/>
      <c r="V1581" s="84"/>
      <c r="W1581" s="84"/>
      <c r="X1581" s="84"/>
      <c r="Y1581" s="84"/>
      <c r="Z1581" s="84"/>
      <c r="AA1581" s="84"/>
      <c r="AB1581" s="84"/>
    </row>
    <row r="1582">
      <c r="A1582" s="63">
        <v>107.0</v>
      </c>
      <c r="B1582" s="63">
        <v>167.0</v>
      </c>
      <c r="C1582" s="64" t="s">
        <v>369</v>
      </c>
      <c r="D1582" s="64" t="s">
        <v>370</v>
      </c>
      <c r="E1582" s="64" t="s">
        <v>371</v>
      </c>
      <c r="F1582" s="63">
        <v>4500.0</v>
      </c>
      <c r="G1582" s="63">
        <v>14.55</v>
      </c>
      <c r="H1582" s="66">
        <f t="shared" si="1"/>
        <v>91.42</v>
      </c>
      <c r="I1582" s="81">
        <f>IFERROR(__xludf.DUMMYFUNCTION("IF(G1582="""", """", ROUND(G1582 / MAX(FILTER($G$2:$G5067, $D$2:$D5067=$D1582)) * 100, 2))"),98.64)</f>
        <v>98.64</v>
      </c>
      <c r="J1582" s="81">
        <f>IFERROR(__xludf.DUMMYFUNCTION("IF(H1582="""", """", ROUND(H1582 / MAX(FILTER($H$2:$H5067, $D$2:$D5067=$D1582)) * 100, 2))"),74.62)</f>
        <v>74.62</v>
      </c>
      <c r="K1582" s="2"/>
      <c r="L1582" s="49"/>
      <c r="M1582" s="49"/>
      <c r="N1582" s="49"/>
      <c r="O1582" s="49" t="str">
        <f t="shared" si="2"/>
        <v/>
      </c>
      <c r="P1582" s="49" t="str">
        <f t="shared" si="3"/>
        <v/>
      </c>
      <c r="Q1582" s="84"/>
      <c r="R1582" s="84"/>
      <c r="S1582" s="84"/>
      <c r="T1582" s="84"/>
      <c r="U1582" s="84"/>
      <c r="V1582" s="84"/>
      <c r="W1582" s="84"/>
      <c r="X1582" s="84"/>
      <c r="Y1582" s="84"/>
      <c r="Z1582" s="84"/>
      <c r="AA1582" s="84"/>
      <c r="AB1582" s="84"/>
    </row>
    <row r="1583">
      <c r="A1583" s="69">
        <v>107.0</v>
      </c>
      <c r="B1583" s="69">
        <v>167.0</v>
      </c>
      <c r="C1583" s="86" t="s">
        <v>369</v>
      </c>
      <c r="D1583" s="86" t="s">
        <v>370</v>
      </c>
      <c r="E1583" s="86" t="s">
        <v>371</v>
      </c>
      <c r="F1583" s="69">
        <v>5000.0</v>
      </c>
      <c r="G1583" s="69">
        <v>14.75</v>
      </c>
      <c r="H1583" s="68">
        <f t="shared" si="1"/>
        <v>102.97</v>
      </c>
      <c r="I1583" s="81">
        <f>IFERROR(__xludf.DUMMYFUNCTION("IF(G1583="""", """", ROUND(G1583 / MAX(FILTER($G$2:$G5067, $D$2:$D5067=$D1583)) * 100, 2))"),100.0)</f>
        <v>100</v>
      </c>
      <c r="J1583" s="81">
        <f>IFERROR(__xludf.DUMMYFUNCTION("IF(H1583="""", """", ROUND(H1583 / MAX(FILTER($H$2:$H5067, $D$2:$D5067=$D1583)) * 100, 2))"),84.04)</f>
        <v>84.04</v>
      </c>
      <c r="K1583" s="2"/>
      <c r="L1583" s="48"/>
      <c r="M1583" s="48"/>
      <c r="N1583" s="48"/>
      <c r="O1583" s="48" t="str">
        <f t="shared" si="2"/>
        <v/>
      </c>
      <c r="P1583" s="48" t="str">
        <f t="shared" si="3"/>
        <v/>
      </c>
      <c r="Q1583" s="84"/>
      <c r="R1583" s="84"/>
      <c r="S1583" s="84"/>
      <c r="T1583" s="84"/>
      <c r="U1583" s="84"/>
      <c r="V1583" s="84"/>
      <c r="W1583" s="84"/>
      <c r="X1583" s="84"/>
      <c r="Y1583" s="84"/>
      <c r="Z1583" s="84"/>
      <c r="AA1583" s="84"/>
      <c r="AB1583" s="84"/>
    </row>
    <row r="1584">
      <c r="A1584" s="63">
        <v>107.0</v>
      </c>
      <c r="B1584" s="63">
        <v>167.0</v>
      </c>
      <c r="C1584" s="64" t="s">
        <v>369</v>
      </c>
      <c r="D1584" s="64" t="s">
        <v>370</v>
      </c>
      <c r="E1584" s="64" t="s">
        <v>371</v>
      </c>
      <c r="F1584" s="63">
        <v>5500.0</v>
      </c>
      <c r="G1584" s="63">
        <v>14.6</v>
      </c>
      <c r="H1584" s="66">
        <f t="shared" si="1"/>
        <v>112.12</v>
      </c>
      <c r="I1584" s="81">
        <f>IFERROR(__xludf.DUMMYFUNCTION("IF(G1584="""", """", ROUND(G1584 / MAX(FILTER($G$2:$G5067, $D$2:$D5067=$D1584)) * 100, 2))"),98.98)</f>
        <v>98.98</v>
      </c>
      <c r="J1584" s="81">
        <f>IFERROR(__xludf.DUMMYFUNCTION("IF(H1584="""", """", ROUND(H1584 / MAX(FILTER($H$2:$H5067, $D$2:$D5067=$D1584)) * 100, 2))"),91.51)</f>
        <v>91.51</v>
      </c>
      <c r="K1584" s="2"/>
      <c r="L1584" s="49"/>
      <c r="M1584" s="49"/>
      <c r="N1584" s="49"/>
      <c r="O1584" s="49" t="str">
        <f t="shared" si="2"/>
        <v/>
      </c>
      <c r="P1584" s="49" t="str">
        <f t="shared" si="3"/>
        <v/>
      </c>
      <c r="Q1584" s="84"/>
      <c r="R1584" s="84"/>
      <c r="S1584" s="84"/>
      <c r="T1584" s="84"/>
      <c r="U1584" s="84"/>
      <c r="V1584" s="84"/>
      <c r="W1584" s="84"/>
      <c r="X1584" s="84"/>
      <c r="Y1584" s="84"/>
      <c r="Z1584" s="84"/>
      <c r="AA1584" s="84"/>
      <c r="AB1584" s="84"/>
    </row>
    <row r="1585">
      <c r="A1585" s="69">
        <v>107.0</v>
      </c>
      <c r="B1585" s="69">
        <v>167.0</v>
      </c>
      <c r="C1585" s="86" t="s">
        <v>369</v>
      </c>
      <c r="D1585" s="86" t="s">
        <v>370</v>
      </c>
      <c r="E1585" s="86" t="s">
        <v>371</v>
      </c>
      <c r="F1585" s="69">
        <v>6000.0</v>
      </c>
      <c r="G1585" s="69">
        <v>14.1</v>
      </c>
      <c r="H1585" s="68">
        <f t="shared" si="1"/>
        <v>118.12</v>
      </c>
      <c r="I1585" s="81">
        <f>IFERROR(__xludf.DUMMYFUNCTION("IF(G1585="""", """", ROUND(G1585 / MAX(FILTER($G$2:$G5067, $D$2:$D5067=$D1585)) * 100, 2))"),95.59)</f>
        <v>95.59</v>
      </c>
      <c r="J1585" s="81">
        <f>IFERROR(__xludf.DUMMYFUNCTION("IF(H1585="""", """", ROUND(H1585 / MAX(FILTER($H$2:$H5067, $D$2:$D5067=$D1585)) * 100, 2))"),96.41)</f>
        <v>96.41</v>
      </c>
      <c r="K1585" s="2"/>
      <c r="L1585" s="48"/>
      <c r="M1585" s="48"/>
      <c r="N1585" s="48"/>
      <c r="O1585" s="48" t="str">
        <f t="shared" si="2"/>
        <v/>
      </c>
      <c r="P1585" s="48" t="str">
        <f t="shared" si="3"/>
        <v/>
      </c>
      <c r="Q1585" s="84"/>
      <c r="R1585" s="84"/>
      <c r="S1585" s="84"/>
      <c r="T1585" s="84"/>
      <c r="U1585" s="84"/>
      <c r="V1585" s="84"/>
      <c r="W1585" s="84"/>
      <c r="X1585" s="84"/>
      <c r="Y1585" s="84"/>
      <c r="Z1585" s="84"/>
      <c r="AA1585" s="84"/>
      <c r="AB1585" s="84"/>
    </row>
    <row r="1586">
      <c r="A1586" s="63">
        <v>107.0</v>
      </c>
      <c r="B1586" s="63">
        <v>167.0</v>
      </c>
      <c r="C1586" s="64" t="s">
        <v>369</v>
      </c>
      <c r="D1586" s="64" t="s">
        <v>370</v>
      </c>
      <c r="E1586" s="64" t="s">
        <v>371</v>
      </c>
      <c r="F1586" s="63">
        <v>6500.0</v>
      </c>
      <c r="G1586" s="63">
        <v>13.5</v>
      </c>
      <c r="H1586" s="66">
        <f t="shared" si="1"/>
        <v>122.52</v>
      </c>
      <c r="I1586" s="81">
        <f>IFERROR(__xludf.DUMMYFUNCTION("IF(G1586="""", """", ROUND(G1586 / MAX(FILTER($G$2:$G5067, $D$2:$D5067=$D1586)) * 100, 2))"),91.53)</f>
        <v>91.53</v>
      </c>
      <c r="J1586" s="81">
        <f>IFERROR(__xludf.DUMMYFUNCTION("IF(H1586="""", """", ROUND(H1586 / MAX(FILTER($H$2:$H5067, $D$2:$D5067=$D1586)) * 100, 2))"),100.0)</f>
        <v>100</v>
      </c>
      <c r="K1586" s="2"/>
      <c r="L1586" s="49"/>
      <c r="M1586" s="49"/>
      <c r="N1586" s="49"/>
      <c r="O1586" s="49" t="str">
        <f t="shared" si="2"/>
        <v/>
      </c>
      <c r="P1586" s="49" t="str">
        <f t="shared" si="3"/>
        <v/>
      </c>
      <c r="Q1586" s="84"/>
      <c r="R1586" s="84"/>
      <c r="S1586" s="84"/>
      <c r="T1586" s="84"/>
      <c r="U1586" s="84"/>
      <c r="V1586" s="84"/>
      <c r="W1586" s="84"/>
      <c r="X1586" s="84"/>
      <c r="Y1586" s="84"/>
      <c r="Z1586" s="84"/>
      <c r="AA1586" s="84"/>
      <c r="AB1586" s="84"/>
    </row>
    <row r="1587">
      <c r="A1587" s="69">
        <v>107.0</v>
      </c>
      <c r="B1587" s="69">
        <v>167.0</v>
      </c>
      <c r="C1587" s="86" t="s">
        <v>369</v>
      </c>
      <c r="D1587" s="86" t="s">
        <v>370</v>
      </c>
      <c r="E1587" s="86" t="s">
        <v>371</v>
      </c>
      <c r="F1587" s="69">
        <v>7000.0</v>
      </c>
      <c r="G1587" s="69">
        <v>12.15</v>
      </c>
      <c r="H1587" s="68">
        <f t="shared" si="1"/>
        <v>118.75</v>
      </c>
      <c r="I1587" s="81">
        <f>IFERROR(__xludf.DUMMYFUNCTION("IF(G1587="""", """", ROUND(G1587 / MAX(FILTER($G$2:$G5067, $D$2:$D5067=$D1587)) * 100, 2))"),82.37)</f>
        <v>82.37</v>
      </c>
      <c r="J1587" s="81">
        <f>IFERROR(__xludf.DUMMYFUNCTION("IF(H1587="""", """", ROUND(H1587 / MAX(FILTER($H$2:$H5067, $D$2:$D5067=$D1587)) * 100, 2))"),96.92)</f>
        <v>96.92</v>
      </c>
      <c r="K1587" s="2"/>
      <c r="L1587" s="48"/>
      <c r="M1587" s="48"/>
      <c r="N1587" s="48"/>
      <c r="O1587" s="48" t="str">
        <f t="shared" si="2"/>
        <v/>
      </c>
      <c r="P1587" s="48" t="str">
        <f t="shared" si="3"/>
        <v/>
      </c>
      <c r="Q1587" s="84"/>
      <c r="R1587" s="84"/>
      <c r="S1587" s="84"/>
      <c r="T1587" s="84"/>
      <c r="U1587" s="84"/>
      <c r="V1587" s="84"/>
      <c r="W1587" s="84"/>
      <c r="X1587" s="84"/>
      <c r="Y1587" s="84"/>
      <c r="Z1587" s="84"/>
      <c r="AA1587" s="84"/>
      <c r="AB1587" s="84"/>
    </row>
    <row r="1588">
      <c r="A1588" s="63">
        <v>107.0</v>
      </c>
      <c r="B1588" s="63">
        <v>167.0</v>
      </c>
      <c r="C1588" s="64" t="s">
        <v>369</v>
      </c>
      <c r="D1588" s="64" t="s">
        <v>370</v>
      </c>
      <c r="E1588" s="64" t="s">
        <v>371</v>
      </c>
      <c r="F1588" s="63">
        <v>7500.0</v>
      </c>
      <c r="G1588" s="63">
        <v>10.25</v>
      </c>
      <c r="H1588" s="66">
        <f t="shared" si="1"/>
        <v>107.34</v>
      </c>
      <c r="I1588" s="81">
        <f>IFERROR(__xludf.DUMMYFUNCTION("IF(G1588="""", """", ROUND(G1588 / MAX(FILTER($G$2:$G5067, $D$2:$D5067=$D1588)) * 100, 2))"),69.49)</f>
        <v>69.49</v>
      </c>
      <c r="J1588" s="81">
        <f>IFERROR(__xludf.DUMMYFUNCTION("IF(H1588="""", """", ROUND(H1588 / MAX(FILTER($H$2:$H5067, $D$2:$D5067=$D1588)) * 100, 2))"),87.61)</f>
        <v>87.61</v>
      </c>
      <c r="K1588" s="2"/>
      <c r="L1588" s="49"/>
      <c r="M1588" s="49"/>
      <c r="N1588" s="49"/>
      <c r="O1588" s="49" t="str">
        <f t="shared" si="2"/>
        <v/>
      </c>
      <c r="P1588" s="49" t="str">
        <f t="shared" si="3"/>
        <v/>
      </c>
      <c r="Q1588" s="84"/>
      <c r="R1588" s="84"/>
      <c r="S1588" s="84"/>
      <c r="T1588" s="84"/>
      <c r="U1588" s="84"/>
      <c r="V1588" s="84"/>
      <c r="W1588" s="84"/>
      <c r="X1588" s="84"/>
      <c r="Y1588" s="84"/>
      <c r="Z1588" s="84"/>
      <c r="AA1588" s="84"/>
      <c r="AB1588" s="84"/>
    </row>
    <row r="1589">
      <c r="A1589" s="69">
        <v>107.0</v>
      </c>
      <c r="B1589" s="69">
        <v>167.0</v>
      </c>
      <c r="C1589" s="86" t="s">
        <v>369</v>
      </c>
      <c r="D1589" s="86" t="s">
        <v>370</v>
      </c>
      <c r="E1589" s="86" t="s">
        <v>371</v>
      </c>
      <c r="F1589" s="69">
        <v>8000.0</v>
      </c>
      <c r="G1589" s="69">
        <v>7.9</v>
      </c>
      <c r="H1589" s="68">
        <f t="shared" si="1"/>
        <v>88.24</v>
      </c>
      <c r="I1589" s="81">
        <f>IFERROR(__xludf.DUMMYFUNCTION("IF(G1589="""", """", ROUND(G1589 / MAX(FILTER($G$2:$G5067, $D$2:$D5067=$D1589)) * 100, 2))"),53.56)</f>
        <v>53.56</v>
      </c>
      <c r="J1589" s="81">
        <f>IFERROR(__xludf.DUMMYFUNCTION("IF(H1589="""", """", ROUND(H1589 / MAX(FILTER($H$2:$H5067, $D$2:$D5067=$D1589)) * 100, 2))"),72.02)</f>
        <v>72.02</v>
      </c>
      <c r="K1589" s="2"/>
      <c r="L1589" s="48"/>
      <c r="M1589" s="48"/>
      <c r="N1589" s="48"/>
      <c r="O1589" s="48" t="str">
        <f t="shared" si="2"/>
        <v/>
      </c>
      <c r="P1589" s="48" t="str">
        <f t="shared" si="3"/>
        <v/>
      </c>
      <c r="Q1589" s="84"/>
      <c r="R1589" s="84"/>
      <c r="S1589" s="84"/>
      <c r="T1589" s="84"/>
      <c r="U1589" s="84"/>
      <c r="V1589" s="84"/>
      <c r="W1589" s="84"/>
      <c r="X1589" s="84"/>
      <c r="Y1589" s="84"/>
      <c r="Z1589" s="84"/>
      <c r="AA1589" s="84"/>
      <c r="AB1589" s="84"/>
    </row>
    <row r="1590">
      <c r="A1590" s="63">
        <v>108.0</v>
      </c>
      <c r="B1590" s="63">
        <v>168.0</v>
      </c>
      <c r="C1590" s="64" t="s">
        <v>372</v>
      </c>
      <c r="D1590" s="64" t="s">
        <v>373</v>
      </c>
      <c r="E1590" s="64" t="s">
        <v>374</v>
      </c>
      <c r="F1590" s="63">
        <v>500.0</v>
      </c>
      <c r="G1590" s="63">
        <v>3.4</v>
      </c>
      <c r="H1590" s="66">
        <f t="shared" si="1"/>
        <v>2.37</v>
      </c>
      <c r="I1590" s="81">
        <f>IFERROR(__xludf.DUMMYFUNCTION("IF(G1590="""", """", ROUND(G1590 / MAX(FILTER($G$2:$G5067, $D$2:$D5067=$D1590)) * 100, 2))"),85.0)</f>
        <v>85</v>
      </c>
      <c r="J1590" s="81">
        <f>IFERROR(__xludf.DUMMYFUNCTION("IF(H1590="""", """", ROUND(H1590 / MAX(FILTER($H$2:$H5067, $D$2:$D5067=$D1590)) * 100, 2))"),8.2)</f>
        <v>8.2</v>
      </c>
      <c r="K1590" s="2"/>
      <c r="L1590" s="49"/>
      <c r="M1590" s="49"/>
      <c r="N1590" s="49"/>
      <c r="O1590" s="49" t="str">
        <f t="shared" si="2"/>
        <v/>
      </c>
      <c r="P1590" s="49" t="str">
        <f t="shared" si="3"/>
        <v/>
      </c>
      <c r="Q1590" s="84"/>
      <c r="R1590" s="84"/>
      <c r="S1590" s="84"/>
      <c r="T1590" s="84"/>
      <c r="U1590" s="84"/>
      <c r="V1590" s="84"/>
      <c r="W1590" s="84"/>
      <c r="X1590" s="84"/>
      <c r="Y1590" s="84"/>
      <c r="Z1590" s="84"/>
      <c r="AA1590" s="84"/>
      <c r="AB1590" s="84"/>
    </row>
    <row r="1591">
      <c r="A1591" s="69">
        <v>108.0</v>
      </c>
      <c r="B1591" s="69">
        <v>168.0</v>
      </c>
      <c r="C1591" s="86" t="s">
        <v>372</v>
      </c>
      <c r="D1591" s="86" t="s">
        <v>373</v>
      </c>
      <c r="E1591" s="86" t="s">
        <v>374</v>
      </c>
      <c r="F1591" s="69">
        <v>1000.0</v>
      </c>
      <c r="G1591" s="69">
        <v>3.57</v>
      </c>
      <c r="H1591" s="68">
        <f t="shared" si="1"/>
        <v>4.98</v>
      </c>
      <c r="I1591" s="81">
        <f>IFERROR(__xludf.DUMMYFUNCTION("IF(G1591="""", """", ROUND(G1591 / MAX(FILTER($G$2:$G5067, $D$2:$D5067=$D1591)) * 100, 2))"),89.25)</f>
        <v>89.25</v>
      </c>
      <c r="J1591" s="81">
        <f>IFERROR(__xludf.DUMMYFUNCTION("IF(H1591="""", """", ROUND(H1591 / MAX(FILTER($H$2:$H5067, $D$2:$D5067=$D1591)) * 100, 2))"),17.23)</f>
        <v>17.23</v>
      </c>
      <c r="K1591" s="2"/>
      <c r="L1591" s="48"/>
      <c r="M1591" s="48"/>
      <c r="N1591" s="48"/>
      <c r="O1591" s="48" t="str">
        <f t="shared" si="2"/>
        <v/>
      </c>
      <c r="P1591" s="48" t="str">
        <f t="shared" si="3"/>
        <v/>
      </c>
      <c r="Q1591" s="84"/>
      <c r="R1591" s="84"/>
      <c r="S1591" s="84"/>
      <c r="T1591" s="84"/>
      <c r="U1591" s="84"/>
      <c r="V1591" s="84"/>
      <c r="W1591" s="84"/>
      <c r="X1591" s="84"/>
      <c r="Y1591" s="84"/>
      <c r="Z1591" s="84"/>
      <c r="AA1591" s="84"/>
      <c r="AB1591" s="84"/>
    </row>
    <row r="1592">
      <c r="A1592" s="63">
        <v>108.0</v>
      </c>
      <c r="B1592" s="63">
        <v>168.0</v>
      </c>
      <c r="C1592" s="64" t="s">
        <v>372</v>
      </c>
      <c r="D1592" s="64" t="s">
        <v>373</v>
      </c>
      <c r="E1592" s="64" t="s">
        <v>374</v>
      </c>
      <c r="F1592" s="63">
        <v>1500.0</v>
      </c>
      <c r="G1592" s="63">
        <v>3.69</v>
      </c>
      <c r="H1592" s="66">
        <f t="shared" si="1"/>
        <v>7.73</v>
      </c>
      <c r="I1592" s="81">
        <f>IFERROR(__xludf.DUMMYFUNCTION("IF(G1592="""", """", ROUND(G1592 / MAX(FILTER($G$2:$G5067, $D$2:$D5067=$D1592)) * 100, 2))"),92.25)</f>
        <v>92.25</v>
      </c>
      <c r="J1592" s="81">
        <f>IFERROR(__xludf.DUMMYFUNCTION("IF(H1592="""", """", ROUND(H1592 / MAX(FILTER($H$2:$H5067, $D$2:$D5067=$D1592)) * 100, 2))"),26.75)</f>
        <v>26.75</v>
      </c>
      <c r="K1592" s="2"/>
      <c r="L1592" s="49"/>
      <c r="M1592" s="49"/>
      <c r="N1592" s="49"/>
      <c r="O1592" s="49" t="str">
        <f t="shared" si="2"/>
        <v/>
      </c>
      <c r="P1592" s="49" t="str">
        <f t="shared" si="3"/>
        <v/>
      </c>
      <c r="Q1592" s="84"/>
      <c r="R1592" s="84"/>
      <c r="S1592" s="84"/>
      <c r="T1592" s="84"/>
      <c r="U1592" s="84"/>
      <c r="V1592" s="84"/>
      <c r="W1592" s="84"/>
      <c r="X1592" s="84"/>
      <c r="Y1592" s="84"/>
      <c r="Z1592" s="84"/>
      <c r="AA1592" s="84"/>
      <c r="AB1592" s="84"/>
    </row>
    <row r="1593">
      <c r="A1593" s="69">
        <v>108.0</v>
      </c>
      <c r="B1593" s="69">
        <v>168.0</v>
      </c>
      <c r="C1593" s="86" t="s">
        <v>372</v>
      </c>
      <c r="D1593" s="86" t="s">
        <v>373</v>
      </c>
      <c r="E1593" s="86" t="s">
        <v>374</v>
      </c>
      <c r="F1593" s="69">
        <v>2000.0</v>
      </c>
      <c r="G1593" s="69">
        <v>3.78</v>
      </c>
      <c r="H1593" s="68">
        <f t="shared" si="1"/>
        <v>10.56</v>
      </c>
      <c r="I1593" s="81">
        <f>IFERROR(__xludf.DUMMYFUNCTION("IF(G1593="""", """", ROUND(G1593 / MAX(FILTER($G$2:$G5067, $D$2:$D5067=$D1593)) * 100, 2))"),94.5)</f>
        <v>94.5</v>
      </c>
      <c r="J1593" s="81">
        <f>IFERROR(__xludf.DUMMYFUNCTION("IF(H1593="""", """", ROUND(H1593 / MAX(FILTER($H$2:$H5067, $D$2:$D5067=$D1593)) * 100, 2))"),36.54)</f>
        <v>36.54</v>
      </c>
      <c r="K1593" s="2"/>
      <c r="L1593" s="48"/>
      <c r="M1593" s="48"/>
      <c r="N1593" s="48"/>
      <c r="O1593" s="48" t="str">
        <f t="shared" si="2"/>
        <v/>
      </c>
      <c r="P1593" s="48" t="str">
        <f t="shared" si="3"/>
        <v/>
      </c>
      <c r="Q1593" s="84"/>
      <c r="R1593" s="84"/>
      <c r="S1593" s="84"/>
      <c r="T1593" s="84"/>
      <c r="U1593" s="84"/>
      <c r="V1593" s="84"/>
      <c r="W1593" s="84"/>
      <c r="X1593" s="84"/>
      <c r="Y1593" s="84"/>
      <c r="Z1593" s="84"/>
      <c r="AA1593" s="84"/>
      <c r="AB1593" s="84"/>
    </row>
    <row r="1594">
      <c r="A1594" s="63">
        <v>108.0</v>
      </c>
      <c r="B1594" s="63">
        <v>168.0</v>
      </c>
      <c r="C1594" s="64" t="s">
        <v>372</v>
      </c>
      <c r="D1594" s="64" t="s">
        <v>373</v>
      </c>
      <c r="E1594" s="64" t="s">
        <v>374</v>
      </c>
      <c r="F1594" s="63">
        <v>2500.0</v>
      </c>
      <c r="G1594" s="63">
        <v>3.85</v>
      </c>
      <c r="H1594" s="66">
        <f t="shared" si="1"/>
        <v>13.44</v>
      </c>
      <c r="I1594" s="81">
        <f>IFERROR(__xludf.DUMMYFUNCTION("IF(G1594="""", """", ROUND(G1594 / MAX(FILTER($G$2:$G5067, $D$2:$D5067=$D1594)) * 100, 2))"),96.25)</f>
        <v>96.25</v>
      </c>
      <c r="J1594" s="81">
        <f>IFERROR(__xludf.DUMMYFUNCTION("IF(H1594="""", """", ROUND(H1594 / MAX(FILTER($H$2:$H5067, $D$2:$D5067=$D1594)) * 100, 2))"),46.51)</f>
        <v>46.51</v>
      </c>
      <c r="K1594" s="2"/>
      <c r="L1594" s="49"/>
      <c r="M1594" s="49"/>
      <c r="N1594" s="49"/>
      <c r="O1594" s="49" t="str">
        <f t="shared" si="2"/>
        <v/>
      </c>
      <c r="P1594" s="49" t="str">
        <f t="shared" si="3"/>
        <v/>
      </c>
      <c r="Q1594" s="84"/>
      <c r="R1594" s="84"/>
      <c r="S1594" s="84"/>
      <c r="T1594" s="84"/>
      <c r="U1594" s="84"/>
      <c r="V1594" s="84"/>
      <c r="W1594" s="84"/>
      <c r="X1594" s="84"/>
      <c r="Y1594" s="84"/>
      <c r="Z1594" s="84"/>
      <c r="AA1594" s="84"/>
      <c r="AB1594" s="84"/>
    </row>
    <row r="1595">
      <c r="A1595" s="69">
        <v>108.0</v>
      </c>
      <c r="B1595" s="69">
        <v>168.0</v>
      </c>
      <c r="C1595" s="86" t="s">
        <v>372</v>
      </c>
      <c r="D1595" s="86" t="s">
        <v>373</v>
      </c>
      <c r="E1595" s="86" t="s">
        <v>374</v>
      </c>
      <c r="F1595" s="69">
        <v>3000.0</v>
      </c>
      <c r="G1595" s="69">
        <v>3.92</v>
      </c>
      <c r="H1595" s="68">
        <f t="shared" si="1"/>
        <v>16.42</v>
      </c>
      <c r="I1595" s="81">
        <f>IFERROR(__xludf.DUMMYFUNCTION("IF(G1595="""", """", ROUND(G1595 / MAX(FILTER($G$2:$G5067, $D$2:$D5067=$D1595)) * 100, 2))"),98.0)</f>
        <v>98</v>
      </c>
      <c r="J1595" s="81">
        <f>IFERROR(__xludf.DUMMYFUNCTION("IF(H1595="""", """", ROUND(H1595 / MAX(FILTER($H$2:$H5067, $D$2:$D5067=$D1595)) * 100, 2))"),56.82)</f>
        <v>56.82</v>
      </c>
      <c r="K1595" s="2"/>
      <c r="L1595" s="48"/>
      <c r="M1595" s="48"/>
      <c r="N1595" s="48"/>
      <c r="O1595" s="48" t="str">
        <f t="shared" si="2"/>
        <v/>
      </c>
      <c r="P1595" s="48" t="str">
        <f t="shared" si="3"/>
        <v/>
      </c>
      <c r="Q1595" s="84"/>
      <c r="R1595" s="84"/>
      <c r="S1595" s="84"/>
      <c r="T1595" s="84"/>
      <c r="U1595" s="84"/>
      <c r="V1595" s="84"/>
      <c r="W1595" s="84"/>
      <c r="X1595" s="84"/>
      <c r="Y1595" s="84"/>
      <c r="Z1595" s="84"/>
      <c r="AA1595" s="84"/>
      <c r="AB1595" s="84"/>
    </row>
    <row r="1596">
      <c r="A1596" s="63">
        <v>108.0</v>
      </c>
      <c r="B1596" s="63">
        <v>168.0</v>
      </c>
      <c r="C1596" s="64" t="s">
        <v>372</v>
      </c>
      <c r="D1596" s="64" t="s">
        <v>373</v>
      </c>
      <c r="E1596" s="64" t="s">
        <v>374</v>
      </c>
      <c r="F1596" s="63">
        <v>3500.0</v>
      </c>
      <c r="G1596" s="63">
        <v>4.0</v>
      </c>
      <c r="H1596" s="66">
        <f t="shared" si="1"/>
        <v>19.55</v>
      </c>
      <c r="I1596" s="81">
        <f>IFERROR(__xludf.DUMMYFUNCTION("IF(G1596="""", """", ROUND(G1596 / MAX(FILTER($G$2:$G5067, $D$2:$D5067=$D1596)) * 100, 2))"),100.0)</f>
        <v>100</v>
      </c>
      <c r="J1596" s="81">
        <f>IFERROR(__xludf.DUMMYFUNCTION("IF(H1596="""", """", ROUND(H1596 / MAX(FILTER($H$2:$H5067, $D$2:$D5067=$D1596)) * 100, 2))"),67.65)</f>
        <v>67.65</v>
      </c>
      <c r="K1596" s="2"/>
      <c r="L1596" s="49"/>
      <c r="M1596" s="49"/>
      <c r="N1596" s="49"/>
      <c r="O1596" s="49" t="str">
        <f t="shared" si="2"/>
        <v/>
      </c>
      <c r="P1596" s="49" t="str">
        <f t="shared" si="3"/>
        <v/>
      </c>
      <c r="Q1596" s="84"/>
      <c r="R1596" s="84"/>
      <c r="S1596" s="84"/>
      <c r="T1596" s="84"/>
      <c r="U1596" s="84"/>
      <c r="V1596" s="84"/>
      <c r="W1596" s="84"/>
      <c r="X1596" s="84"/>
      <c r="Y1596" s="84"/>
      <c r="Z1596" s="84"/>
      <c r="AA1596" s="84"/>
      <c r="AB1596" s="84"/>
    </row>
    <row r="1597">
      <c r="A1597" s="69">
        <v>108.0</v>
      </c>
      <c r="B1597" s="69">
        <v>168.0</v>
      </c>
      <c r="C1597" s="86" t="s">
        <v>372</v>
      </c>
      <c r="D1597" s="86" t="s">
        <v>373</v>
      </c>
      <c r="E1597" s="86" t="s">
        <v>374</v>
      </c>
      <c r="F1597" s="69">
        <v>4000.0</v>
      </c>
      <c r="G1597" s="69">
        <v>3.95</v>
      </c>
      <c r="H1597" s="68">
        <f t="shared" si="1"/>
        <v>22.06</v>
      </c>
      <c r="I1597" s="81">
        <f>IFERROR(__xludf.DUMMYFUNCTION("IF(G1597="""", """", ROUND(G1597 / MAX(FILTER($G$2:$G5067, $D$2:$D5067=$D1597)) * 100, 2))"),98.75)</f>
        <v>98.75</v>
      </c>
      <c r="J1597" s="81">
        <f>IFERROR(__xludf.DUMMYFUNCTION("IF(H1597="""", """", ROUND(H1597 / MAX(FILTER($H$2:$H5067, $D$2:$D5067=$D1597)) * 100, 2))"),76.33)</f>
        <v>76.33</v>
      </c>
      <c r="K1597" s="2"/>
      <c r="L1597" s="48"/>
      <c r="M1597" s="48"/>
      <c r="N1597" s="48"/>
      <c r="O1597" s="48" t="str">
        <f t="shared" si="2"/>
        <v/>
      </c>
      <c r="P1597" s="48" t="str">
        <f t="shared" si="3"/>
        <v/>
      </c>
      <c r="Q1597" s="84"/>
      <c r="R1597" s="84"/>
      <c r="S1597" s="84"/>
      <c r="T1597" s="84"/>
      <c r="U1597" s="84"/>
      <c r="V1597" s="84"/>
      <c r="W1597" s="84"/>
      <c r="X1597" s="84"/>
      <c r="Y1597" s="84"/>
      <c r="Z1597" s="84"/>
      <c r="AA1597" s="84"/>
      <c r="AB1597" s="84"/>
    </row>
    <row r="1598">
      <c r="A1598" s="63">
        <v>108.0</v>
      </c>
      <c r="B1598" s="63">
        <v>168.0</v>
      </c>
      <c r="C1598" s="64" t="s">
        <v>372</v>
      </c>
      <c r="D1598" s="64" t="s">
        <v>373</v>
      </c>
      <c r="E1598" s="64" t="s">
        <v>374</v>
      </c>
      <c r="F1598" s="63">
        <v>4500.0</v>
      </c>
      <c r="G1598" s="63">
        <v>3.9</v>
      </c>
      <c r="H1598" s="66">
        <f t="shared" si="1"/>
        <v>24.5</v>
      </c>
      <c r="I1598" s="81">
        <f>IFERROR(__xludf.DUMMYFUNCTION("IF(G1598="""", """", ROUND(G1598 / MAX(FILTER($G$2:$G5067, $D$2:$D5067=$D1598)) * 100, 2))"),97.5)</f>
        <v>97.5</v>
      </c>
      <c r="J1598" s="81">
        <f>IFERROR(__xludf.DUMMYFUNCTION("IF(H1598="""", """", ROUND(H1598 / MAX(FILTER($H$2:$H5067, $D$2:$D5067=$D1598)) * 100, 2))"),84.78)</f>
        <v>84.78</v>
      </c>
      <c r="K1598" s="2"/>
      <c r="L1598" s="49"/>
      <c r="M1598" s="49"/>
      <c r="N1598" s="49"/>
      <c r="O1598" s="49" t="str">
        <f t="shared" si="2"/>
        <v/>
      </c>
      <c r="P1598" s="49" t="str">
        <f t="shared" si="3"/>
        <v/>
      </c>
      <c r="Q1598" s="84"/>
      <c r="R1598" s="84"/>
      <c r="S1598" s="84"/>
      <c r="T1598" s="84"/>
      <c r="U1598" s="84"/>
      <c r="V1598" s="84"/>
      <c r="W1598" s="84"/>
      <c r="X1598" s="84"/>
      <c r="Y1598" s="84"/>
      <c r="Z1598" s="84"/>
      <c r="AA1598" s="84"/>
      <c r="AB1598" s="84"/>
    </row>
    <row r="1599">
      <c r="A1599" s="69">
        <v>108.0</v>
      </c>
      <c r="B1599" s="69">
        <v>168.0</v>
      </c>
      <c r="C1599" s="86" t="s">
        <v>372</v>
      </c>
      <c r="D1599" s="86" t="s">
        <v>373</v>
      </c>
      <c r="E1599" s="86" t="s">
        <v>374</v>
      </c>
      <c r="F1599" s="69">
        <v>5000.0</v>
      </c>
      <c r="G1599" s="69">
        <v>3.8</v>
      </c>
      <c r="H1599" s="68">
        <f t="shared" si="1"/>
        <v>26.53</v>
      </c>
      <c r="I1599" s="81">
        <f>IFERROR(__xludf.DUMMYFUNCTION("IF(G1599="""", """", ROUND(G1599 / MAX(FILTER($G$2:$G5067, $D$2:$D5067=$D1599)) * 100, 2))"),95.0)</f>
        <v>95</v>
      </c>
      <c r="J1599" s="81">
        <f>IFERROR(__xludf.DUMMYFUNCTION("IF(H1599="""", """", ROUND(H1599 / MAX(FILTER($H$2:$H5067, $D$2:$D5067=$D1599)) * 100, 2))"),91.8)</f>
        <v>91.8</v>
      </c>
      <c r="K1599" s="2"/>
      <c r="L1599" s="48"/>
      <c r="M1599" s="48"/>
      <c r="N1599" s="48"/>
      <c r="O1599" s="48" t="str">
        <f t="shared" si="2"/>
        <v/>
      </c>
      <c r="P1599" s="48" t="str">
        <f t="shared" si="3"/>
        <v/>
      </c>
      <c r="Q1599" s="84"/>
      <c r="R1599" s="84"/>
      <c r="S1599" s="84"/>
      <c r="T1599" s="84"/>
      <c r="U1599" s="84"/>
      <c r="V1599" s="84"/>
      <c r="W1599" s="84"/>
      <c r="X1599" s="84"/>
      <c r="Y1599" s="84"/>
      <c r="Z1599" s="84"/>
      <c r="AA1599" s="84"/>
      <c r="AB1599" s="84"/>
    </row>
    <row r="1600">
      <c r="A1600" s="63">
        <v>108.0</v>
      </c>
      <c r="B1600" s="63">
        <v>168.0</v>
      </c>
      <c r="C1600" s="64" t="s">
        <v>372</v>
      </c>
      <c r="D1600" s="64" t="s">
        <v>373</v>
      </c>
      <c r="E1600" s="64" t="s">
        <v>374</v>
      </c>
      <c r="F1600" s="63">
        <v>5750.0</v>
      </c>
      <c r="G1600" s="63">
        <v>3.6</v>
      </c>
      <c r="H1600" s="66">
        <f t="shared" si="1"/>
        <v>28.9</v>
      </c>
      <c r="I1600" s="81">
        <f>IFERROR(__xludf.DUMMYFUNCTION("IF(G1600="""", """", ROUND(G1600 / MAX(FILTER($G$2:$G5067, $D$2:$D5067=$D1600)) * 100, 2))"),90.0)</f>
        <v>90</v>
      </c>
      <c r="J1600" s="81">
        <f>IFERROR(__xludf.DUMMYFUNCTION("IF(H1600="""", """", ROUND(H1600 / MAX(FILTER($H$2:$H5067, $D$2:$D5067=$D1600)) * 100, 2))"),100.0)</f>
        <v>100</v>
      </c>
      <c r="K1600" s="2"/>
      <c r="L1600" s="49"/>
      <c r="M1600" s="49"/>
      <c r="N1600" s="49"/>
      <c r="O1600" s="49" t="str">
        <f t="shared" si="2"/>
        <v/>
      </c>
      <c r="P1600" s="49" t="str">
        <f t="shared" si="3"/>
        <v/>
      </c>
      <c r="Q1600" s="84"/>
      <c r="R1600" s="84"/>
      <c r="S1600" s="84"/>
      <c r="T1600" s="84"/>
      <c r="U1600" s="84"/>
      <c r="V1600" s="84"/>
      <c r="W1600" s="84"/>
      <c r="X1600" s="84"/>
      <c r="Y1600" s="84"/>
      <c r="Z1600" s="84"/>
      <c r="AA1600" s="84"/>
      <c r="AB1600" s="84"/>
    </row>
    <row r="1601">
      <c r="A1601" s="69">
        <v>108.0</v>
      </c>
      <c r="B1601" s="69">
        <v>168.0</v>
      </c>
      <c r="C1601" s="86" t="s">
        <v>372</v>
      </c>
      <c r="D1601" s="86" t="s">
        <v>373</v>
      </c>
      <c r="E1601" s="86" t="s">
        <v>374</v>
      </c>
      <c r="F1601" s="69">
        <v>6000.0</v>
      </c>
      <c r="G1601" s="69">
        <v>3.42</v>
      </c>
      <c r="H1601" s="68">
        <f t="shared" si="1"/>
        <v>28.65</v>
      </c>
      <c r="I1601" s="81">
        <f>IFERROR(__xludf.DUMMYFUNCTION("IF(G1601="""", """", ROUND(G1601 / MAX(FILTER($G$2:$G5067, $D$2:$D5067=$D1601)) * 100, 2))"),85.5)</f>
        <v>85.5</v>
      </c>
      <c r="J1601" s="81">
        <f>IFERROR(__xludf.DUMMYFUNCTION("IF(H1601="""", """", ROUND(H1601 / MAX(FILTER($H$2:$H5067, $D$2:$D5067=$D1601)) * 100, 2))"),99.13)</f>
        <v>99.13</v>
      </c>
      <c r="K1601" s="2"/>
      <c r="L1601" s="48"/>
      <c r="M1601" s="48"/>
      <c r="N1601" s="48"/>
      <c r="O1601" s="48" t="str">
        <f t="shared" si="2"/>
        <v/>
      </c>
      <c r="P1601" s="48" t="str">
        <f t="shared" si="3"/>
        <v/>
      </c>
      <c r="Q1601" s="84"/>
      <c r="R1601" s="84"/>
      <c r="S1601" s="84"/>
      <c r="T1601" s="84"/>
      <c r="U1601" s="84"/>
      <c r="V1601" s="84"/>
      <c r="W1601" s="84"/>
      <c r="X1601" s="84"/>
      <c r="Y1601" s="84"/>
      <c r="Z1601" s="84"/>
      <c r="AA1601" s="84"/>
      <c r="AB1601" s="84"/>
    </row>
    <row r="1602">
      <c r="A1602" s="63">
        <v>108.0</v>
      </c>
      <c r="B1602" s="63">
        <v>168.0</v>
      </c>
      <c r="C1602" s="64" t="s">
        <v>372</v>
      </c>
      <c r="D1602" s="64" t="s">
        <v>373</v>
      </c>
      <c r="E1602" s="64" t="s">
        <v>374</v>
      </c>
      <c r="F1602" s="63">
        <v>6500.0</v>
      </c>
      <c r="G1602" s="63">
        <v>3.1</v>
      </c>
      <c r="H1602" s="66">
        <f t="shared" si="1"/>
        <v>28.13</v>
      </c>
      <c r="I1602" s="81">
        <f>IFERROR(__xludf.DUMMYFUNCTION("IF(G1602="""", """", ROUND(G1602 / MAX(FILTER($G$2:$G5067, $D$2:$D5067=$D1602)) * 100, 2))"),77.5)</f>
        <v>77.5</v>
      </c>
      <c r="J1602" s="81">
        <f>IFERROR(__xludf.DUMMYFUNCTION("IF(H1602="""", """", ROUND(H1602 / MAX(FILTER($H$2:$H5067, $D$2:$D5067=$D1602)) * 100, 2))"),97.34)</f>
        <v>97.34</v>
      </c>
      <c r="K1602" s="2"/>
      <c r="L1602" s="49"/>
      <c r="M1602" s="49"/>
      <c r="N1602" s="49"/>
      <c r="O1602" s="49" t="str">
        <f t="shared" si="2"/>
        <v/>
      </c>
      <c r="P1602" s="49" t="str">
        <f t="shared" si="3"/>
        <v/>
      </c>
      <c r="Q1602" s="84"/>
      <c r="R1602" s="84"/>
      <c r="S1602" s="84"/>
      <c r="T1602" s="84"/>
      <c r="U1602" s="84"/>
      <c r="V1602" s="84"/>
      <c r="W1602" s="84"/>
      <c r="X1602" s="84"/>
      <c r="Y1602" s="84"/>
      <c r="Z1602" s="84"/>
      <c r="AA1602" s="84"/>
      <c r="AB1602" s="84"/>
    </row>
    <row r="1603">
      <c r="A1603" s="69">
        <v>108.0</v>
      </c>
      <c r="B1603" s="69">
        <v>168.0</v>
      </c>
      <c r="C1603" s="86" t="s">
        <v>372</v>
      </c>
      <c r="D1603" s="86" t="s">
        <v>373</v>
      </c>
      <c r="E1603" s="86" t="s">
        <v>374</v>
      </c>
      <c r="F1603" s="69">
        <v>7000.0</v>
      </c>
      <c r="G1603" s="69">
        <v>2.72</v>
      </c>
      <c r="H1603" s="68">
        <f t="shared" si="1"/>
        <v>26.58</v>
      </c>
      <c r="I1603" s="81">
        <f>IFERROR(__xludf.DUMMYFUNCTION("IF(G1603="""", """", ROUND(G1603 / MAX(FILTER($G$2:$G5067, $D$2:$D5067=$D1603)) * 100, 2))"),68.0)</f>
        <v>68</v>
      </c>
      <c r="J1603" s="81">
        <f>IFERROR(__xludf.DUMMYFUNCTION("IF(H1603="""", """", ROUND(H1603 / MAX(FILTER($H$2:$H5067, $D$2:$D5067=$D1603)) * 100, 2))"),91.97)</f>
        <v>91.97</v>
      </c>
      <c r="K1603" s="2"/>
      <c r="L1603" s="48"/>
      <c r="M1603" s="48"/>
      <c r="N1603" s="48"/>
      <c r="O1603" s="48" t="str">
        <f t="shared" si="2"/>
        <v/>
      </c>
      <c r="P1603" s="48" t="str">
        <f t="shared" si="3"/>
        <v/>
      </c>
      <c r="Q1603" s="84"/>
      <c r="R1603" s="84"/>
      <c r="S1603" s="84"/>
      <c r="T1603" s="84"/>
      <c r="U1603" s="84"/>
      <c r="V1603" s="84"/>
      <c r="W1603" s="84"/>
      <c r="X1603" s="84"/>
      <c r="Y1603" s="84"/>
      <c r="Z1603" s="84"/>
      <c r="AA1603" s="84"/>
      <c r="AB1603" s="84"/>
    </row>
    <row r="1604">
      <c r="A1604" s="63">
        <v>109.0</v>
      </c>
      <c r="B1604" s="63">
        <v>170.0</v>
      </c>
      <c r="C1604" s="64" t="s">
        <v>375</v>
      </c>
      <c r="D1604" s="64" t="s">
        <v>376</v>
      </c>
      <c r="E1604" s="64" t="s">
        <v>377</v>
      </c>
      <c r="F1604" s="63">
        <v>500.0</v>
      </c>
      <c r="G1604" s="63">
        <v>18.65</v>
      </c>
      <c r="H1604" s="66">
        <f t="shared" si="1"/>
        <v>13.02</v>
      </c>
      <c r="I1604" s="81">
        <f>IFERROR(__xludf.DUMMYFUNCTION("IF(G1604="""", """", ROUND(G1604 / MAX(FILTER($G$2:$G5067, $D$2:$D5067=$D1604)) * 100, 2))"),33.3)</f>
        <v>33.3</v>
      </c>
      <c r="J1604" s="81">
        <f>IFERROR(__xludf.DUMMYFUNCTION("IF(H1604="""", """", ROUND(H1604 / MAX(FILTER($H$2:$H5067, $D$2:$D5067=$D1604)) * 100, 2))"),4.08)</f>
        <v>4.08</v>
      </c>
      <c r="K1604" s="2"/>
      <c r="L1604" s="49"/>
      <c r="M1604" s="49"/>
      <c r="N1604" s="49"/>
      <c r="O1604" s="49" t="str">
        <f t="shared" si="2"/>
        <v/>
      </c>
      <c r="P1604" s="49" t="str">
        <f t="shared" si="3"/>
        <v/>
      </c>
      <c r="Q1604" s="84"/>
      <c r="R1604" s="84"/>
      <c r="S1604" s="84"/>
      <c r="T1604" s="84"/>
      <c r="U1604" s="84"/>
      <c r="V1604" s="84"/>
      <c r="W1604" s="84"/>
      <c r="X1604" s="84"/>
      <c r="Y1604" s="84"/>
      <c r="Z1604" s="84"/>
      <c r="AA1604" s="84"/>
      <c r="AB1604" s="84"/>
    </row>
    <row r="1605">
      <c r="A1605" s="69">
        <v>109.0</v>
      </c>
      <c r="B1605" s="69">
        <v>170.0</v>
      </c>
      <c r="C1605" s="86" t="s">
        <v>375</v>
      </c>
      <c r="D1605" s="86" t="s">
        <v>376</v>
      </c>
      <c r="E1605" s="86" t="s">
        <v>377</v>
      </c>
      <c r="F1605" s="69">
        <v>1000.0</v>
      </c>
      <c r="G1605" s="69">
        <v>22.8</v>
      </c>
      <c r="H1605" s="68">
        <f t="shared" si="1"/>
        <v>31.83</v>
      </c>
      <c r="I1605" s="81">
        <f>IFERROR(__xludf.DUMMYFUNCTION("IF(G1605="""", """", ROUND(G1605 / MAX(FILTER($G$2:$G5067, $D$2:$D5067=$D1605)) * 100, 2))"),40.71)</f>
        <v>40.71</v>
      </c>
      <c r="J1605" s="81">
        <f>IFERROR(__xludf.DUMMYFUNCTION("IF(H1605="""", """", ROUND(H1605 / MAX(FILTER($H$2:$H5067, $D$2:$D5067=$D1605)) * 100, 2))"),9.97)</f>
        <v>9.97</v>
      </c>
      <c r="K1605" s="2"/>
      <c r="L1605" s="48"/>
      <c r="M1605" s="48"/>
      <c r="N1605" s="48"/>
      <c r="O1605" s="48" t="str">
        <f t="shared" si="2"/>
        <v/>
      </c>
      <c r="P1605" s="48" t="str">
        <f t="shared" si="3"/>
        <v/>
      </c>
      <c r="Q1605" s="84"/>
      <c r="R1605" s="84"/>
      <c r="S1605" s="84"/>
      <c r="T1605" s="84"/>
      <c r="U1605" s="84"/>
      <c r="V1605" s="84"/>
      <c r="W1605" s="84"/>
      <c r="X1605" s="84"/>
      <c r="Y1605" s="84"/>
      <c r="Z1605" s="84"/>
      <c r="AA1605" s="84"/>
      <c r="AB1605" s="84"/>
    </row>
    <row r="1606">
      <c r="A1606" s="63">
        <v>109.0</v>
      </c>
      <c r="B1606" s="63">
        <v>170.0</v>
      </c>
      <c r="C1606" s="64" t="s">
        <v>375</v>
      </c>
      <c r="D1606" s="64" t="s">
        <v>376</v>
      </c>
      <c r="E1606" s="64" t="s">
        <v>377</v>
      </c>
      <c r="F1606" s="63">
        <v>1500.0</v>
      </c>
      <c r="G1606" s="63">
        <v>30.05</v>
      </c>
      <c r="H1606" s="66">
        <f t="shared" si="1"/>
        <v>62.94</v>
      </c>
      <c r="I1606" s="81">
        <f>IFERROR(__xludf.DUMMYFUNCTION("IF(G1606="""", """", ROUND(G1606 / MAX(FILTER($G$2:$G5067, $D$2:$D5067=$D1606)) * 100, 2))"),53.66)</f>
        <v>53.66</v>
      </c>
      <c r="J1606" s="81">
        <f>IFERROR(__xludf.DUMMYFUNCTION("IF(H1606="""", """", ROUND(H1606 / MAX(FILTER($H$2:$H5067, $D$2:$D5067=$D1606)) * 100, 2))"),19.71)</f>
        <v>19.71</v>
      </c>
      <c r="K1606" s="2"/>
      <c r="L1606" s="49"/>
      <c r="M1606" s="49"/>
      <c r="N1606" s="49"/>
      <c r="O1606" s="49" t="str">
        <f t="shared" si="2"/>
        <v/>
      </c>
      <c r="P1606" s="49" t="str">
        <f t="shared" si="3"/>
        <v/>
      </c>
      <c r="Q1606" s="84"/>
      <c r="R1606" s="84"/>
      <c r="S1606" s="84"/>
      <c r="T1606" s="84"/>
      <c r="U1606" s="84"/>
      <c r="V1606" s="84"/>
      <c r="W1606" s="84"/>
      <c r="X1606" s="84"/>
      <c r="Y1606" s="84"/>
      <c r="Z1606" s="84"/>
      <c r="AA1606" s="84"/>
      <c r="AB1606" s="84"/>
    </row>
    <row r="1607">
      <c r="A1607" s="69">
        <v>109.0</v>
      </c>
      <c r="B1607" s="69">
        <v>170.0</v>
      </c>
      <c r="C1607" s="86" t="s">
        <v>375</v>
      </c>
      <c r="D1607" s="86" t="s">
        <v>376</v>
      </c>
      <c r="E1607" s="86" t="s">
        <v>377</v>
      </c>
      <c r="F1607" s="69">
        <v>2000.0</v>
      </c>
      <c r="G1607" s="69">
        <v>40.5</v>
      </c>
      <c r="H1607" s="68">
        <f t="shared" si="1"/>
        <v>113.1</v>
      </c>
      <c r="I1607" s="81">
        <f>IFERROR(__xludf.DUMMYFUNCTION("IF(G1607="""", """", ROUND(G1607 / MAX(FILTER($G$2:$G5067, $D$2:$D5067=$D1607)) * 100, 2))"),72.32)</f>
        <v>72.32</v>
      </c>
      <c r="J1607" s="81">
        <f>IFERROR(__xludf.DUMMYFUNCTION("IF(H1607="""", """", ROUND(H1607 / MAX(FILTER($H$2:$H5067, $D$2:$D5067=$D1607)) * 100, 2))"),35.41)</f>
        <v>35.41</v>
      </c>
      <c r="K1607" s="2"/>
      <c r="L1607" s="48"/>
      <c r="M1607" s="48"/>
      <c r="N1607" s="48"/>
      <c r="O1607" s="48" t="str">
        <f t="shared" si="2"/>
        <v/>
      </c>
      <c r="P1607" s="48" t="str">
        <f t="shared" si="3"/>
        <v/>
      </c>
      <c r="Q1607" s="84"/>
      <c r="R1607" s="84"/>
      <c r="S1607" s="84"/>
      <c r="T1607" s="84"/>
      <c r="U1607" s="84"/>
      <c r="V1607" s="84"/>
      <c r="W1607" s="84"/>
      <c r="X1607" s="84"/>
      <c r="Y1607" s="84"/>
      <c r="Z1607" s="84"/>
      <c r="AA1607" s="84"/>
      <c r="AB1607" s="84"/>
    </row>
    <row r="1608">
      <c r="A1608" s="63">
        <v>109.0</v>
      </c>
      <c r="B1608" s="63">
        <v>170.0</v>
      </c>
      <c r="C1608" s="64" t="s">
        <v>375</v>
      </c>
      <c r="D1608" s="64" t="s">
        <v>376</v>
      </c>
      <c r="E1608" s="64" t="s">
        <v>377</v>
      </c>
      <c r="F1608" s="63">
        <v>2500.0</v>
      </c>
      <c r="G1608" s="63">
        <v>48.35</v>
      </c>
      <c r="H1608" s="66">
        <f t="shared" si="1"/>
        <v>168.77</v>
      </c>
      <c r="I1608" s="81">
        <f>IFERROR(__xludf.DUMMYFUNCTION("IF(G1608="""", """", ROUND(G1608 / MAX(FILTER($G$2:$G5067, $D$2:$D5067=$D1608)) * 100, 2))"),86.34)</f>
        <v>86.34</v>
      </c>
      <c r="J1608" s="81">
        <f>IFERROR(__xludf.DUMMYFUNCTION("IF(H1608="""", """", ROUND(H1608 / MAX(FILTER($H$2:$H5067, $D$2:$D5067=$D1608)) * 100, 2))"),52.84)</f>
        <v>52.84</v>
      </c>
      <c r="K1608" s="2"/>
      <c r="L1608" s="49"/>
      <c r="M1608" s="49"/>
      <c r="N1608" s="49"/>
      <c r="O1608" s="49" t="str">
        <f t="shared" si="2"/>
        <v/>
      </c>
      <c r="P1608" s="49" t="str">
        <f t="shared" si="3"/>
        <v/>
      </c>
      <c r="Q1608" s="84"/>
      <c r="R1608" s="84"/>
      <c r="S1608" s="84"/>
      <c r="T1608" s="84"/>
      <c r="U1608" s="84"/>
      <c r="V1608" s="84"/>
      <c r="W1608" s="84"/>
      <c r="X1608" s="84"/>
      <c r="Y1608" s="84"/>
      <c r="Z1608" s="84"/>
      <c r="AA1608" s="84"/>
      <c r="AB1608" s="84"/>
    </row>
    <row r="1609">
      <c r="A1609" s="69">
        <v>109.0</v>
      </c>
      <c r="B1609" s="69">
        <v>170.0</v>
      </c>
      <c r="C1609" s="86" t="s">
        <v>375</v>
      </c>
      <c r="D1609" s="86" t="s">
        <v>376</v>
      </c>
      <c r="E1609" s="86" t="s">
        <v>377</v>
      </c>
      <c r="F1609" s="69">
        <v>3000.0</v>
      </c>
      <c r="G1609" s="69">
        <v>54.2</v>
      </c>
      <c r="H1609" s="68">
        <f t="shared" si="1"/>
        <v>227.03</v>
      </c>
      <c r="I1609" s="81">
        <f>IFERROR(__xludf.DUMMYFUNCTION("IF(G1609="""", """", ROUND(G1609 / MAX(FILTER($G$2:$G5067, $D$2:$D5067=$D1609)) * 100, 2))"),96.79)</f>
        <v>96.79</v>
      </c>
      <c r="J1609" s="81">
        <f>IFERROR(__xludf.DUMMYFUNCTION("IF(H1609="""", """", ROUND(H1609 / MAX(FILTER($H$2:$H5067, $D$2:$D5067=$D1609)) * 100, 2))"),71.08)</f>
        <v>71.08</v>
      </c>
      <c r="K1609" s="2"/>
      <c r="L1609" s="48"/>
      <c r="M1609" s="48"/>
      <c r="N1609" s="48"/>
      <c r="O1609" s="48" t="str">
        <f t="shared" si="2"/>
        <v/>
      </c>
      <c r="P1609" s="48" t="str">
        <f t="shared" si="3"/>
        <v/>
      </c>
      <c r="Q1609" s="84"/>
      <c r="R1609" s="84"/>
      <c r="S1609" s="84"/>
      <c r="T1609" s="84"/>
      <c r="U1609" s="84"/>
      <c r="V1609" s="84"/>
      <c r="W1609" s="84"/>
      <c r="X1609" s="84"/>
      <c r="Y1609" s="84"/>
      <c r="Z1609" s="84"/>
      <c r="AA1609" s="84"/>
      <c r="AB1609" s="84"/>
    </row>
    <row r="1610">
      <c r="A1610" s="63">
        <v>109.0</v>
      </c>
      <c r="B1610" s="63">
        <v>170.0</v>
      </c>
      <c r="C1610" s="64" t="s">
        <v>375</v>
      </c>
      <c r="D1610" s="64" t="s">
        <v>376</v>
      </c>
      <c r="E1610" s="64" t="s">
        <v>377</v>
      </c>
      <c r="F1610" s="63">
        <v>3500.0</v>
      </c>
      <c r="G1610" s="63">
        <v>55.65</v>
      </c>
      <c r="H1610" s="66">
        <f t="shared" si="1"/>
        <v>271.96</v>
      </c>
      <c r="I1610" s="81">
        <f>IFERROR(__xludf.DUMMYFUNCTION("IF(G1610="""", """", ROUND(G1610 / MAX(FILTER($G$2:$G5067, $D$2:$D5067=$D1610)) * 100, 2))"),99.38)</f>
        <v>99.38</v>
      </c>
      <c r="J1610" s="81">
        <f>IFERROR(__xludf.DUMMYFUNCTION("IF(H1610="""", """", ROUND(H1610 / MAX(FILTER($H$2:$H5067, $D$2:$D5067=$D1610)) * 100, 2))"),85.15)</f>
        <v>85.15</v>
      </c>
      <c r="K1610" s="2"/>
      <c r="L1610" s="49"/>
      <c r="M1610" s="49"/>
      <c r="N1610" s="49"/>
      <c r="O1610" s="49" t="str">
        <f t="shared" si="2"/>
        <v/>
      </c>
      <c r="P1610" s="49" t="str">
        <f t="shared" si="3"/>
        <v/>
      </c>
      <c r="Q1610" s="84"/>
      <c r="R1610" s="84"/>
      <c r="S1610" s="84"/>
      <c r="T1610" s="84"/>
      <c r="U1610" s="84"/>
      <c r="V1610" s="84"/>
      <c r="W1610" s="84"/>
      <c r="X1610" s="84"/>
      <c r="Y1610" s="84"/>
      <c r="Z1610" s="84"/>
      <c r="AA1610" s="84"/>
      <c r="AB1610" s="84"/>
    </row>
    <row r="1611">
      <c r="A1611" s="69">
        <v>109.0</v>
      </c>
      <c r="B1611" s="69">
        <v>170.0</v>
      </c>
      <c r="C1611" s="86" t="s">
        <v>375</v>
      </c>
      <c r="D1611" s="86" t="s">
        <v>376</v>
      </c>
      <c r="E1611" s="86" t="s">
        <v>377</v>
      </c>
      <c r="F1611" s="69">
        <v>4000.0</v>
      </c>
      <c r="G1611" s="69">
        <v>56.0</v>
      </c>
      <c r="H1611" s="68">
        <f t="shared" si="1"/>
        <v>312.76</v>
      </c>
      <c r="I1611" s="81">
        <f>IFERROR(__xludf.DUMMYFUNCTION("IF(G1611="""", """", ROUND(G1611 / MAX(FILTER($G$2:$G5067, $D$2:$D5067=$D1611)) * 100, 2))"),100.0)</f>
        <v>100</v>
      </c>
      <c r="J1611" s="81">
        <f>IFERROR(__xludf.DUMMYFUNCTION("IF(H1611="""", """", ROUND(H1611 / MAX(FILTER($H$2:$H5067, $D$2:$D5067=$D1611)) * 100, 2))"),97.92)</f>
        <v>97.92</v>
      </c>
      <c r="K1611" s="2"/>
      <c r="L1611" s="48"/>
      <c r="M1611" s="48"/>
      <c r="N1611" s="48"/>
      <c r="O1611" s="48" t="str">
        <f t="shared" si="2"/>
        <v/>
      </c>
      <c r="P1611" s="48" t="str">
        <f t="shared" si="3"/>
        <v/>
      </c>
      <c r="Q1611" s="84"/>
      <c r="R1611" s="84"/>
      <c r="S1611" s="84"/>
      <c r="T1611" s="84"/>
      <c r="U1611" s="84"/>
      <c r="V1611" s="84"/>
      <c r="W1611" s="84"/>
      <c r="X1611" s="84"/>
      <c r="Y1611" s="84"/>
      <c r="Z1611" s="84"/>
      <c r="AA1611" s="84"/>
      <c r="AB1611" s="84"/>
    </row>
    <row r="1612">
      <c r="A1612" s="63">
        <v>109.0</v>
      </c>
      <c r="B1612" s="63">
        <v>170.0</v>
      </c>
      <c r="C1612" s="64" t="s">
        <v>375</v>
      </c>
      <c r="D1612" s="64" t="s">
        <v>376</v>
      </c>
      <c r="E1612" s="64" t="s">
        <v>377</v>
      </c>
      <c r="F1612" s="63">
        <v>4500.0</v>
      </c>
      <c r="G1612" s="63">
        <v>50.65</v>
      </c>
      <c r="H1612" s="66">
        <f t="shared" si="1"/>
        <v>318.24</v>
      </c>
      <c r="I1612" s="81">
        <f>IFERROR(__xludf.DUMMYFUNCTION("IF(G1612="""", """", ROUND(G1612 / MAX(FILTER($G$2:$G5067, $D$2:$D5067=$D1612)) * 100, 2))"),90.45)</f>
        <v>90.45</v>
      </c>
      <c r="J1612" s="81">
        <f>IFERROR(__xludf.DUMMYFUNCTION("IF(H1612="""", """", ROUND(H1612 / MAX(FILTER($H$2:$H5067, $D$2:$D5067=$D1612)) * 100, 2))"),99.64)</f>
        <v>99.64</v>
      </c>
      <c r="K1612" s="2"/>
      <c r="L1612" s="49"/>
      <c r="M1612" s="49"/>
      <c r="N1612" s="49"/>
      <c r="O1612" s="49" t="str">
        <f t="shared" si="2"/>
        <v/>
      </c>
      <c r="P1612" s="49" t="str">
        <f t="shared" si="3"/>
        <v/>
      </c>
      <c r="Q1612" s="84"/>
      <c r="R1612" s="84"/>
      <c r="S1612" s="84"/>
      <c r="T1612" s="84"/>
      <c r="U1612" s="84"/>
      <c r="V1612" s="84"/>
      <c r="W1612" s="84"/>
      <c r="X1612" s="84"/>
      <c r="Y1612" s="84"/>
      <c r="Z1612" s="84"/>
      <c r="AA1612" s="84"/>
      <c r="AB1612" s="84"/>
    </row>
    <row r="1613">
      <c r="A1613" s="69">
        <v>109.0</v>
      </c>
      <c r="B1613" s="69">
        <v>170.0</v>
      </c>
      <c r="C1613" s="86" t="s">
        <v>375</v>
      </c>
      <c r="D1613" s="86" t="s">
        <v>376</v>
      </c>
      <c r="E1613" s="86" t="s">
        <v>377</v>
      </c>
      <c r="F1613" s="69">
        <v>5000.0</v>
      </c>
      <c r="G1613" s="69">
        <v>45.75</v>
      </c>
      <c r="H1613" s="68">
        <f t="shared" si="1"/>
        <v>319.39</v>
      </c>
      <c r="I1613" s="81">
        <f>IFERROR(__xludf.DUMMYFUNCTION("IF(G1613="""", """", ROUND(G1613 / MAX(FILTER($G$2:$G5067, $D$2:$D5067=$D1613)) * 100, 2))"),81.7)</f>
        <v>81.7</v>
      </c>
      <c r="J1613" s="81">
        <f>IFERROR(__xludf.DUMMYFUNCTION("IF(H1613="""", """", ROUND(H1613 / MAX(FILTER($H$2:$H5067, $D$2:$D5067=$D1613)) * 100, 2))"),100.0)</f>
        <v>100</v>
      </c>
      <c r="K1613" s="2"/>
      <c r="L1613" s="48"/>
      <c r="M1613" s="48"/>
      <c r="N1613" s="48"/>
      <c r="O1613" s="48" t="str">
        <f t="shared" si="2"/>
        <v/>
      </c>
      <c r="P1613" s="48" t="str">
        <f t="shared" si="3"/>
        <v/>
      </c>
      <c r="Q1613" s="84"/>
      <c r="R1613" s="84"/>
      <c r="S1613" s="84"/>
      <c r="T1613" s="84"/>
      <c r="U1613" s="84"/>
      <c r="V1613" s="84"/>
      <c r="W1613" s="84"/>
      <c r="X1613" s="84"/>
      <c r="Y1613" s="84"/>
      <c r="Z1613" s="84"/>
      <c r="AA1613" s="84"/>
      <c r="AB1613" s="84"/>
    </row>
    <row r="1614">
      <c r="A1614" s="63">
        <v>109.0</v>
      </c>
      <c r="B1614" s="63">
        <v>170.0</v>
      </c>
      <c r="C1614" s="64" t="s">
        <v>375</v>
      </c>
      <c r="D1614" s="64" t="s">
        <v>376</v>
      </c>
      <c r="E1614" s="64" t="s">
        <v>377</v>
      </c>
      <c r="F1614" s="63">
        <v>5500.0</v>
      </c>
      <c r="G1614" s="63">
        <v>40.8</v>
      </c>
      <c r="H1614" s="66">
        <f t="shared" si="1"/>
        <v>313.32</v>
      </c>
      <c r="I1614" s="81">
        <f>IFERROR(__xludf.DUMMYFUNCTION("IF(G1614="""", """", ROUND(G1614 / MAX(FILTER($G$2:$G5067, $D$2:$D5067=$D1614)) * 100, 2))"),72.86)</f>
        <v>72.86</v>
      </c>
      <c r="J1614" s="81">
        <f>IFERROR(__xludf.DUMMYFUNCTION("IF(H1614="""", """", ROUND(H1614 / MAX(FILTER($H$2:$H5067, $D$2:$D5067=$D1614)) * 100, 2))"),98.1)</f>
        <v>98.1</v>
      </c>
      <c r="K1614" s="2"/>
      <c r="L1614" s="49"/>
      <c r="M1614" s="49"/>
      <c r="N1614" s="49"/>
      <c r="O1614" s="49" t="str">
        <f t="shared" si="2"/>
        <v/>
      </c>
      <c r="P1614" s="49" t="str">
        <f t="shared" si="3"/>
        <v/>
      </c>
      <c r="Q1614" s="84"/>
      <c r="R1614" s="84"/>
      <c r="S1614" s="84"/>
      <c r="T1614" s="84"/>
      <c r="U1614" s="84"/>
      <c r="V1614" s="84"/>
      <c r="W1614" s="84"/>
      <c r="X1614" s="84"/>
      <c r="Y1614" s="84"/>
      <c r="Z1614" s="84"/>
      <c r="AA1614" s="84"/>
      <c r="AB1614" s="84"/>
    </row>
    <row r="1615">
      <c r="A1615" s="69">
        <v>109.0</v>
      </c>
      <c r="B1615" s="69">
        <v>170.0</v>
      </c>
      <c r="C1615" s="86" t="s">
        <v>375</v>
      </c>
      <c r="D1615" s="86" t="s">
        <v>376</v>
      </c>
      <c r="E1615" s="86" t="s">
        <v>377</v>
      </c>
      <c r="F1615" s="69">
        <v>6000.0</v>
      </c>
      <c r="G1615" s="69">
        <v>36.8</v>
      </c>
      <c r="H1615" s="68">
        <f t="shared" si="1"/>
        <v>308.29</v>
      </c>
      <c r="I1615" s="81">
        <f>IFERROR(__xludf.DUMMYFUNCTION("IF(G1615="""", """", ROUND(G1615 / MAX(FILTER($G$2:$G5067, $D$2:$D5067=$D1615)) * 100, 2))"),65.71)</f>
        <v>65.71</v>
      </c>
      <c r="J1615" s="81">
        <f>IFERROR(__xludf.DUMMYFUNCTION("IF(H1615="""", """", ROUND(H1615 / MAX(FILTER($H$2:$H5067, $D$2:$D5067=$D1615)) * 100, 2))"),96.52)</f>
        <v>96.52</v>
      </c>
      <c r="K1615" s="2"/>
      <c r="L1615" s="48"/>
      <c r="M1615" s="48"/>
      <c r="N1615" s="48"/>
      <c r="O1615" s="48" t="str">
        <f t="shared" si="2"/>
        <v/>
      </c>
      <c r="P1615" s="48" t="str">
        <f t="shared" si="3"/>
        <v/>
      </c>
      <c r="Q1615" s="84"/>
      <c r="R1615" s="84"/>
      <c r="S1615" s="84"/>
      <c r="T1615" s="84"/>
      <c r="U1615" s="84"/>
      <c r="V1615" s="84"/>
      <c r="W1615" s="84"/>
      <c r="X1615" s="84"/>
      <c r="Y1615" s="84"/>
      <c r="Z1615" s="84"/>
      <c r="AA1615" s="84"/>
      <c r="AB1615" s="84"/>
    </row>
    <row r="1616">
      <c r="A1616" s="63">
        <v>109.0</v>
      </c>
      <c r="B1616" s="63">
        <v>170.0</v>
      </c>
      <c r="C1616" s="64" t="s">
        <v>375</v>
      </c>
      <c r="D1616" s="64" t="s">
        <v>376</v>
      </c>
      <c r="E1616" s="64" t="s">
        <v>377</v>
      </c>
      <c r="F1616" s="63">
        <v>6500.0</v>
      </c>
      <c r="G1616" s="63">
        <v>33.0</v>
      </c>
      <c r="H1616" s="66">
        <f t="shared" si="1"/>
        <v>299.5</v>
      </c>
      <c r="I1616" s="81">
        <f>IFERROR(__xludf.DUMMYFUNCTION("IF(G1616="""", """", ROUND(G1616 / MAX(FILTER($G$2:$G5067, $D$2:$D5067=$D1616)) * 100, 2))"),58.93)</f>
        <v>58.93</v>
      </c>
      <c r="J1616" s="81">
        <f>IFERROR(__xludf.DUMMYFUNCTION("IF(H1616="""", """", ROUND(H1616 / MAX(FILTER($H$2:$H5067, $D$2:$D5067=$D1616)) * 100, 2))"),93.77)</f>
        <v>93.77</v>
      </c>
      <c r="K1616" s="2"/>
      <c r="L1616" s="49"/>
      <c r="M1616" s="49"/>
      <c r="N1616" s="49"/>
      <c r="O1616" s="49" t="str">
        <f t="shared" si="2"/>
        <v/>
      </c>
      <c r="P1616" s="49" t="str">
        <f t="shared" si="3"/>
        <v/>
      </c>
      <c r="Q1616" s="84"/>
      <c r="R1616" s="84"/>
      <c r="S1616" s="84"/>
      <c r="T1616" s="84"/>
      <c r="U1616" s="84"/>
      <c r="V1616" s="84"/>
      <c r="W1616" s="84"/>
      <c r="X1616" s="84"/>
      <c r="Y1616" s="84"/>
      <c r="Z1616" s="84"/>
      <c r="AA1616" s="84"/>
      <c r="AB1616" s="84"/>
    </row>
    <row r="1617">
      <c r="A1617" s="69">
        <v>109.0</v>
      </c>
      <c r="B1617" s="69">
        <v>170.0</v>
      </c>
      <c r="C1617" s="86" t="s">
        <v>375</v>
      </c>
      <c r="D1617" s="86" t="s">
        <v>376</v>
      </c>
      <c r="E1617" s="86" t="s">
        <v>377</v>
      </c>
      <c r="F1617" s="69">
        <v>7000.0</v>
      </c>
      <c r="G1617" s="69">
        <v>28.2</v>
      </c>
      <c r="H1617" s="68">
        <f t="shared" si="1"/>
        <v>275.62</v>
      </c>
      <c r="I1617" s="81">
        <f>IFERROR(__xludf.DUMMYFUNCTION("IF(G1617="""", """", ROUND(G1617 / MAX(FILTER($G$2:$G5067, $D$2:$D5067=$D1617)) * 100, 2))"),50.36)</f>
        <v>50.36</v>
      </c>
      <c r="J1617" s="81">
        <f>IFERROR(__xludf.DUMMYFUNCTION("IF(H1617="""", """", ROUND(H1617 / MAX(FILTER($H$2:$H5067, $D$2:$D5067=$D1617)) * 100, 2))"),86.3)</f>
        <v>86.3</v>
      </c>
      <c r="K1617" s="2"/>
      <c r="L1617" s="48"/>
      <c r="M1617" s="48"/>
      <c r="N1617" s="48"/>
      <c r="O1617" s="48" t="str">
        <f t="shared" si="2"/>
        <v/>
      </c>
      <c r="P1617" s="48" t="str">
        <f t="shared" si="3"/>
        <v/>
      </c>
      <c r="Q1617" s="84"/>
      <c r="R1617" s="84"/>
      <c r="S1617" s="84"/>
      <c r="T1617" s="84"/>
      <c r="U1617" s="84"/>
      <c r="V1617" s="84"/>
      <c r="W1617" s="84"/>
      <c r="X1617" s="84"/>
      <c r="Y1617" s="84"/>
      <c r="Z1617" s="84"/>
      <c r="AA1617" s="84"/>
      <c r="AB1617" s="84"/>
    </row>
    <row r="1618">
      <c r="A1618" s="63">
        <v>109.0</v>
      </c>
      <c r="B1618" s="63">
        <v>170.0</v>
      </c>
      <c r="C1618" s="64" t="s">
        <v>375</v>
      </c>
      <c r="D1618" s="64" t="s">
        <v>376</v>
      </c>
      <c r="E1618" s="64" t="s">
        <v>377</v>
      </c>
      <c r="F1618" s="63">
        <v>7500.0</v>
      </c>
      <c r="G1618" s="63">
        <v>21.9</v>
      </c>
      <c r="H1618" s="66">
        <f t="shared" si="1"/>
        <v>229.34</v>
      </c>
      <c r="I1618" s="81">
        <f>IFERROR(__xludf.DUMMYFUNCTION("IF(G1618="""", """", ROUND(G1618 / MAX(FILTER($G$2:$G5067, $D$2:$D5067=$D1618)) * 100, 2))"),39.11)</f>
        <v>39.11</v>
      </c>
      <c r="J1618" s="81">
        <f>IFERROR(__xludf.DUMMYFUNCTION("IF(H1618="""", """", ROUND(H1618 / MAX(FILTER($H$2:$H5067, $D$2:$D5067=$D1618)) * 100, 2))"),71.81)</f>
        <v>71.81</v>
      </c>
      <c r="K1618" s="2"/>
      <c r="L1618" s="49"/>
      <c r="M1618" s="49"/>
      <c r="N1618" s="49"/>
      <c r="O1618" s="49" t="str">
        <f t="shared" si="2"/>
        <v/>
      </c>
      <c r="P1618" s="49" t="str">
        <f t="shared" si="3"/>
        <v/>
      </c>
      <c r="Q1618" s="84"/>
      <c r="R1618" s="84"/>
      <c r="S1618" s="84"/>
      <c r="T1618" s="84"/>
      <c r="U1618" s="84"/>
      <c r="V1618" s="84"/>
      <c r="W1618" s="84"/>
      <c r="X1618" s="84"/>
      <c r="Y1618" s="84"/>
      <c r="Z1618" s="84"/>
      <c r="AA1618" s="84"/>
      <c r="AB1618" s="84"/>
    </row>
    <row r="1619">
      <c r="A1619" s="69">
        <v>110.0</v>
      </c>
      <c r="B1619" s="69">
        <v>172.0</v>
      </c>
      <c r="C1619" s="86" t="s">
        <v>378</v>
      </c>
      <c r="D1619" s="86" t="s">
        <v>379</v>
      </c>
      <c r="E1619" s="86" t="s">
        <v>380</v>
      </c>
      <c r="F1619" s="69">
        <v>500.0</v>
      </c>
      <c r="G1619" s="69">
        <v>15.03</v>
      </c>
      <c r="H1619" s="68">
        <f t="shared" si="1"/>
        <v>10.49</v>
      </c>
      <c r="I1619" s="81">
        <f>IFERROR(__xludf.DUMMYFUNCTION("IF(G1619="""", """", ROUND(G1619 / MAX(FILTER($G$2:$G5067, $D$2:$D5067=$D1619)) * 100, 2))"),48.48)</f>
        <v>48.48</v>
      </c>
      <c r="J1619" s="81">
        <f>IFERROR(__xludf.DUMMYFUNCTION("IF(H1619="""", """", ROUND(H1619 / MAX(FILTER($H$2:$H5067, $D$2:$D5067=$D1619)) * 100, 2))"),4.29)</f>
        <v>4.29</v>
      </c>
      <c r="K1619" s="2"/>
      <c r="L1619" s="48"/>
      <c r="M1619" s="48"/>
      <c r="N1619" s="48"/>
      <c r="O1619" s="48" t="str">
        <f t="shared" si="2"/>
        <v/>
      </c>
      <c r="P1619" s="48" t="str">
        <f t="shared" si="3"/>
        <v/>
      </c>
      <c r="Q1619" s="84"/>
      <c r="R1619" s="84"/>
      <c r="S1619" s="84"/>
      <c r="T1619" s="84"/>
      <c r="U1619" s="84"/>
      <c r="V1619" s="84"/>
      <c r="W1619" s="84"/>
      <c r="X1619" s="84"/>
      <c r="Y1619" s="84"/>
      <c r="Z1619" s="84"/>
      <c r="AA1619" s="84"/>
      <c r="AB1619" s="84"/>
    </row>
    <row r="1620">
      <c r="A1620" s="63">
        <v>110.0</v>
      </c>
      <c r="B1620" s="63">
        <v>172.0</v>
      </c>
      <c r="C1620" s="64" t="s">
        <v>378</v>
      </c>
      <c r="D1620" s="64" t="s">
        <v>379</v>
      </c>
      <c r="E1620" s="64" t="s">
        <v>380</v>
      </c>
      <c r="F1620" s="63">
        <v>1000.0</v>
      </c>
      <c r="G1620" s="63">
        <v>16.87</v>
      </c>
      <c r="H1620" s="66">
        <f t="shared" si="1"/>
        <v>23.55</v>
      </c>
      <c r="I1620" s="81">
        <f>IFERROR(__xludf.DUMMYFUNCTION("IF(G1620="""", """", ROUND(G1620 / MAX(FILTER($G$2:$G5067, $D$2:$D5067=$D1620)) * 100, 2))"),54.42)</f>
        <v>54.42</v>
      </c>
      <c r="J1620" s="81">
        <f>IFERROR(__xludf.DUMMYFUNCTION("IF(H1620="""", """", ROUND(H1620 / MAX(FILTER($H$2:$H5067, $D$2:$D5067=$D1620)) * 100, 2))"),9.63)</f>
        <v>9.63</v>
      </c>
      <c r="K1620" s="2"/>
      <c r="L1620" s="49"/>
      <c r="M1620" s="49"/>
      <c r="N1620" s="49"/>
      <c r="O1620" s="49" t="str">
        <f t="shared" si="2"/>
        <v/>
      </c>
      <c r="P1620" s="49" t="str">
        <f t="shared" si="3"/>
        <v/>
      </c>
      <c r="Q1620" s="84"/>
      <c r="R1620" s="84"/>
      <c r="S1620" s="84"/>
      <c r="T1620" s="84"/>
      <c r="U1620" s="84"/>
      <c r="V1620" s="84"/>
      <c r="W1620" s="84"/>
      <c r="X1620" s="84"/>
      <c r="Y1620" s="84"/>
      <c r="Z1620" s="84"/>
      <c r="AA1620" s="84"/>
      <c r="AB1620" s="84"/>
    </row>
    <row r="1621">
      <c r="A1621" s="69">
        <v>110.0</v>
      </c>
      <c r="B1621" s="69">
        <v>172.0</v>
      </c>
      <c r="C1621" s="86" t="s">
        <v>378</v>
      </c>
      <c r="D1621" s="86" t="s">
        <v>379</v>
      </c>
      <c r="E1621" s="86" t="s">
        <v>380</v>
      </c>
      <c r="F1621" s="69">
        <v>1500.0</v>
      </c>
      <c r="G1621" s="69">
        <v>17.6</v>
      </c>
      <c r="H1621" s="68">
        <f t="shared" si="1"/>
        <v>36.86</v>
      </c>
      <c r="I1621" s="81">
        <f>IFERROR(__xludf.DUMMYFUNCTION("IF(G1621="""", """", ROUND(G1621 / MAX(FILTER($G$2:$G5067, $D$2:$D5067=$D1621)) * 100, 2))"),56.77)</f>
        <v>56.77</v>
      </c>
      <c r="J1621" s="81">
        <f>IFERROR(__xludf.DUMMYFUNCTION("IF(H1621="""", """", ROUND(H1621 / MAX(FILTER($H$2:$H5067, $D$2:$D5067=$D1621)) * 100, 2))"),15.07)</f>
        <v>15.07</v>
      </c>
      <c r="K1621" s="2"/>
      <c r="L1621" s="48"/>
      <c r="M1621" s="48"/>
      <c r="N1621" s="48"/>
      <c r="O1621" s="48" t="str">
        <f t="shared" si="2"/>
        <v/>
      </c>
      <c r="P1621" s="48" t="str">
        <f t="shared" si="3"/>
        <v/>
      </c>
      <c r="Q1621" s="84"/>
      <c r="R1621" s="84"/>
      <c r="S1621" s="84"/>
      <c r="T1621" s="84"/>
      <c r="U1621" s="84"/>
      <c r="V1621" s="84"/>
      <c r="W1621" s="84"/>
      <c r="X1621" s="84"/>
      <c r="Y1621" s="84"/>
      <c r="Z1621" s="84"/>
      <c r="AA1621" s="84"/>
      <c r="AB1621" s="84"/>
    </row>
    <row r="1622">
      <c r="A1622" s="63">
        <v>110.0</v>
      </c>
      <c r="B1622" s="63">
        <v>172.0</v>
      </c>
      <c r="C1622" s="64" t="s">
        <v>378</v>
      </c>
      <c r="D1622" s="64" t="s">
        <v>379</v>
      </c>
      <c r="E1622" s="64" t="s">
        <v>380</v>
      </c>
      <c r="F1622" s="63">
        <v>2000.0</v>
      </c>
      <c r="G1622" s="63">
        <v>19.6</v>
      </c>
      <c r="H1622" s="66">
        <f t="shared" si="1"/>
        <v>54.73</v>
      </c>
      <c r="I1622" s="81">
        <f>IFERROR(__xludf.DUMMYFUNCTION("IF(G1622="""", """", ROUND(G1622 / MAX(FILTER($G$2:$G5067, $D$2:$D5067=$D1622)) * 100, 2))"),63.23)</f>
        <v>63.23</v>
      </c>
      <c r="J1622" s="81">
        <f>IFERROR(__xludf.DUMMYFUNCTION("IF(H1622="""", """", ROUND(H1622 / MAX(FILTER($H$2:$H5067, $D$2:$D5067=$D1622)) * 100, 2))"),22.37)</f>
        <v>22.37</v>
      </c>
      <c r="K1622" s="2"/>
      <c r="L1622" s="49"/>
      <c r="M1622" s="49"/>
      <c r="N1622" s="49"/>
      <c r="O1622" s="49" t="str">
        <f t="shared" si="2"/>
        <v/>
      </c>
      <c r="P1622" s="49" t="str">
        <f t="shared" si="3"/>
        <v/>
      </c>
      <c r="Q1622" s="84"/>
      <c r="R1622" s="84"/>
      <c r="S1622" s="84"/>
      <c r="T1622" s="84"/>
      <c r="U1622" s="84"/>
      <c r="V1622" s="84"/>
      <c r="W1622" s="84"/>
      <c r="X1622" s="84"/>
      <c r="Y1622" s="84"/>
      <c r="Z1622" s="84"/>
      <c r="AA1622" s="84"/>
      <c r="AB1622" s="84"/>
    </row>
    <row r="1623">
      <c r="A1623" s="69">
        <v>110.0</v>
      </c>
      <c r="B1623" s="69">
        <v>172.0</v>
      </c>
      <c r="C1623" s="86" t="s">
        <v>378</v>
      </c>
      <c r="D1623" s="86" t="s">
        <v>379</v>
      </c>
      <c r="E1623" s="86" t="s">
        <v>380</v>
      </c>
      <c r="F1623" s="69">
        <v>2500.0</v>
      </c>
      <c r="G1623" s="69">
        <v>26.2</v>
      </c>
      <c r="H1623" s="68">
        <f t="shared" si="1"/>
        <v>91.45</v>
      </c>
      <c r="I1623" s="81">
        <f>IFERROR(__xludf.DUMMYFUNCTION("IF(G1623="""", """", ROUND(G1623 / MAX(FILTER($G$2:$G5067, $D$2:$D5067=$D1623)) * 100, 2))"),84.52)</f>
        <v>84.52</v>
      </c>
      <c r="J1623" s="81">
        <f>IFERROR(__xludf.DUMMYFUNCTION("IF(H1623="""", """", ROUND(H1623 / MAX(FILTER($H$2:$H5067, $D$2:$D5067=$D1623)) * 100, 2))"),37.38)</f>
        <v>37.38</v>
      </c>
      <c r="K1623" s="2"/>
      <c r="L1623" s="48"/>
      <c r="M1623" s="48"/>
      <c r="N1623" s="48"/>
      <c r="O1623" s="48" t="str">
        <f t="shared" si="2"/>
        <v/>
      </c>
      <c r="P1623" s="48" t="str">
        <f t="shared" si="3"/>
        <v/>
      </c>
      <c r="Q1623" s="84"/>
      <c r="R1623" s="84"/>
      <c r="S1623" s="84"/>
      <c r="T1623" s="84"/>
      <c r="U1623" s="84"/>
      <c r="V1623" s="84"/>
      <c r="W1623" s="84"/>
      <c r="X1623" s="84"/>
      <c r="Y1623" s="84"/>
      <c r="Z1623" s="84"/>
      <c r="AA1623" s="84"/>
      <c r="AB1623" s="84"/>
    </row>
    <row r="1624">
      <c r="A1624" s="63">
        <v>110.0</v>
      </c>
      <c r="B1624" s="63">
        <v>172.0</v>
      </c>
      <c r="C1624" s="64" t="s">
        <v>378</v>
      </c>
      <c r="D1624" s="64" t="s">
        <v>379</v>
      </c>
      <c r="E1624" s="64" t="s">
        <v>380</v>
      </c>
      <c r="F1624" s="63">
        <v>3000.0</v>
      </c>
      <c r="G1624" s="63">
        <v>30.1</v>
      </c>
      <c r="H1624" s="66">
        <f t="shared" si="1"/>
        <v>126.08</v>
      </c>
      <c r="I1624" s="81">
        <f>IFERROR(__xludf.DUMMYFUNCTION("IF(G1624="""", """", ROUND(G1624 / MAX(FILTER($G$2:$G5067, $D$2:$D5067=$D1624)) * 100, 2))"),97.1)</f>
        <v>97.1</v>
      </c>
      <c r="J1624" s="81">
        <f>IFERROR(__xludf.DUMMYFUNCTION("IF(H1624="""", """", ROUND(H1624 / MAX(FILTER($H$2:$H5067, $D$2:$D5067=$D1624)) * 100, 2))"),51.54)</f>
        <v>51.54</v>
      </c>
      <c r="K1624" s="2"/>
      <c r="L1624" s="49"/>
      <c r="M1624" s="49"/>
      <c r="N1624" s="49"/>
      <c r="O1624" s="49" t="str">
        <f t="shared" si="2"/>
        <v/>
      </c>
      <c r="P1624" s="49" t="str">
        <f t="shared" si="3"/>
        <v/>
      </c>
      <c r="Q1624" s="84"/>
      <c r="R1624" s="84"/>
      <c r="S1624" s="84"/>
      <c r="T1624" s="84"/>
      <c r="U1624" s="84"/>
      <c r="V1624" s="84"/>
      <c r="W1624" s="84"/>
      <c r="X1624" s="84"/>
      <c r="Y1624" s="84"/>
      <c r="Z1624" s="84"/>
      <c r="AA1624" s="84"/>
      <c r="AB1624" s="84"/>
    </row>
    <row r="1625">
      <c r="A1625" s="69">
        <v>110.0</v>
      </c>
      <c r="B1625" s="69">
        <v>172.0</v>
      </c>
      <c r="C1625" s="86" t="s">
        <v>378</v>
      </c>
      <c r="D1625" s="86" t="s">
        <v>379</v>
      </c>
      <c r="E1625" s="86" t="s">
        <v>380</v>
      </c>
      <c r="F1625" s="69">
        <v>3500.0</v>
      </c>
      <c r="G1625" s="69">
        <v>30.8</v>
      </c>
      <c r="H1625" s="68">
        <f t="shared" si="1"/>
        <v>150.52</v>
      </c>
      <c r="I1625" s="81">
        <f>IFERROR(__xludf.DUMMYFUNCTION("IF(G1625="""", """", ROUND(G1625 / MAX(FILTER($G$2:$G5067, $D$2:$D5067=$D1625)) * 100, 2))"),99.35)</f>
        <v>99.35</v>
      </c>
      <c r="J1625" s="81">
        <f>IFERROR(__xludf.DUMMYFUNCTION("IF(H1625="""", """", ROUND(H1625 / MAX(FILTER($H$2:$H5067, $D$2:$D5067=$D1625)) * 100, 2))"),61.53)</f>
        <v>61.53</v>
      </c>
      <c r="K1625" s="2"/>
      <c r="L1625" s="48"/>
      <c r="M1625" s="48"/>
      <c r="N1625" s="48"/>
      <c r="O1625" s="48" t="str">
        <f t="shared" si="2"/>
        <v/>
      </c>
      <c r="P1625" s="48" t="str">
        <f t="shared" si="3"/>
        <v/>
      </c>
      <c r="Q1625" s="84"/>
      <c r="R1625" s="84"/>
      <c r="S1625" s="84"/>
      <c r="T1625" s="84"/>
      <c r="U1625" s="84"/>
      <c r="V1625" s="84"/>
      <c r="W1625" s="84"/>
      <c r="X1625" s="84"/>
      <c r="Y1625" s="84"/>
      <c r="Z1625" s="84"/>
      <c r="AA1625" s="84"/>
      <c r="AB1625" s="84"/>
    </row>
    <row r="1626">
      <c r="A1626" s="63">
        <v>110.0</v>
      </c>
      <c r="B1626" s="63">
        <v>172.0</v>
      </c>
      <c r="C1626" s="64" t="s">
        <v>378</v>
      </c>
      <c r="D1626" s="64" t="s">
        <v>379</v>
      </c>
      <c r="E1626" s="64" t="s">
        <v>380</v>
      </c>
      <c r="F1626" s="63">
        <v>4000.0</v>
      </c>
      <c r="G1626" s="63">
        <v>31.0</v>
      </c>
      <c r="H1626" s="66">
        <f t="shared" si="1"/>
        <v>173.14</v>
      </c>
      <c r="I1626" s="81">
        <f>IFERROR(__xludf.DUMMYFUNCTION("IF(G1626="""", """", ROUND(G1626 / MAX(FILTER($G$2:$G5067, $D$2:$D5067=$D1626)) * 100, 2))"),100.0)</f>
        <v>100</v>
      </c>
      <c r="J1626" s="81">
        <f>IFERROR(__xludf.DUMMYFUNCTION("IF(H1626="""", """", ROUND(H1626 / MAX(FILTER($H$2:$H5067, $D$2:$D5067=$D1626)) * 100, 2))"),70.78)</f>
        <v>70.78</v>
      </c>
      <c r="K1626" s="2"/>
      <c r="L1626" s="49"/>
      <c r="M1626" s="49"/>
      <c r="N1626" s="49"/>
      <c r="O1626" s="49" t="str">
        <f t="shared" si="2"/>
        <v/>
      </c>
      <c r="P1626" s="49" t="str">
        <f t="shared" si="3"/>
        <v/>
      </c>
      <c r="Q1626" s="84"/>
      <c r="R1626" s="84"/>
      <c r="S1626" s="84"/>
      <c r="T1626" s="84"/>
      <c r="U1626" s="84"/>
      <c r="V1626" s="84"/>
      <c r="W1626" s="84"/>
      <c r="X1626" s="84"/>
      <c r="Y1626" s="84"/>
      <c r="Z1626" s="84"/>
      <c r="AA1626" s="84"/>
      <c r="AB1626" s="84"/>
    </row>
    <row r="1627">
      <c r="A1627" s="69">
        <v>110.0</v>
      </c>
      <c r="B1627" s="69">
        <v>172.0</v>
      </c>
      <c r="C1627" s="86" t="s">
        <v>378</v>
      </c>
      <c r="D1627" s="86" t="s">
        <v>379</v>
      </c>
      <c r="E1627" s="86" t="s">
        <v>380</v>
      </c>
      <c r="F1627" s="69">
        <v>4500.0</v>
      </c>
      <c r="G1627" s="69">
        <v>30.75</v>
      </c>
      <c r="H1627" s="68">
        <f t="shared" si="1"/>
        <v>193.21</v>
      </c>
      <c r="I1627" s="81">
        <f>IFERROR(__xludf.DUMMYFUNCTION("IF(G1627="""", """", ROUND(G1627 / MAX(FILTER($G$2:$G5067, $D$2:$D5067=$D1627)) * 100, 2))"),99.19)</f>
        <v>99.19</v>
      </c>
      <c r="J1627" s="81">
        <f>IFERROR(__xludf.DUMMYFUNCTION("IF(H1627="""", """", ROUND(H1627 / MAX(FILTER($H$2:$H5067, $D$2:$D5067=$D1627)) * 100, 2))"),78.98)</f>
        <v>78.98</v>
      </c>
      <c r="K1627" s="2"/>
      <c r="L1627" s="48"/>
      <c r="M1627" s="48"/>
      <c r="N1627" s="48"/>
      <c r="O1627" s="48" t="str">
        <f t="shared" si="2"/>
        <v/>
      </c>
      <c r="P1627" s="48" t="str">
        <f t="shared" si="3"/>
        <v/>
      </c>
      <c r="Q1627" s="84"/>
      <c r="R1627" s="84"/>
      <c r="S1627" s="84"/>
      <c r="T1627" s="84"/>
      <c r="U1627" s="84"/>
      <c r="V1627" s="84"/>
      <c r="W1627" s="84"/>
      <c r="X1627" s="84"/>
      <c r="Y1627" s="84"/>
      <c r="Z1627" s="84"/>
      <c r="AA1627" s="84"/>
      <c r="AB1627" s="84"/>
    </row>
    <row r="1628">
      <c r="A1628" s="63">
        <v>110.0</v>
      </c>
      <c r="B1628" s="63">
        <v>172.0</v>
      </c>
      <c r="C1628" s="64" t="s">
        <v>378</v>
      </c>
      <c r="D1628" s="64" t="s">
        <v>379</v>
      </c>
      <c r="E1628" s="64" t="s">
        <v>380</v>
      </c>
      <c r="F1628" s="63">
        <v>5000.0</v>
      </c>
      <c r="G1628" s="63">
        <v>30.5</v>
      </c>
      <c r="H1628" s="66">
        <f t="shared" si="1"/>
        <v>212.93</v>
      </c>
      <c r="I1628" s="81">
        <f>IFERROR(__xludf.DUMMYFUNCTION("IF(G1628="""", """", ROUND(G1628 / MAX(FILTER($G$2:$G5067, $D$2:$D5067=$D1628)) * 100, 2))"),98.39)</f>
        <v>98.39</v>
      </c>
      <c r="J1628" s="81">
        <f>IFERROR(__xludf.DUMMYFUNCTION("IF(H1628="""", """", ROUND(H1628 / MAX(FILTER($H$2:$H5067, $D$2:$D5067=$D1628)) * 100, 2))"),87.05)</f>
        <v>87.05</v>
      </c>
      <c r="K1628" s="2"/>
      <c r="L1628" s="49"/>
      <c r="M1628" s="49"/>
      <c r="N1628" s="49"/>
      <c r="O1628" s="49" t="str">
        <f t="shared" si="2"/>
        <v/>
      </c>
      <c r="P1628" s="49" t="str">
        <f t="shared" si="3"/>
        <v/>
      </c>
      <c r="Q1628" s="84"/>
      <c r="R1628" s="84"/>
      <c r="S1628" s="84"/>
      <c r="T1628" s="84"/>
      <c r="U1628" s="84"/>
      <c r="V1628" s="84"/>
      <c r="W1628" s="84"/>
      <c r="X1628" s="84"/>
      <c r="Y1628" s="84"/>
      <c r="Z1628" s="84"/>
      <c r="AA1628" s="84"/>
      <c r="AB1628" s="84"/>
    </row>
    <row r="1629">
      <c r="A1629" s="69">
        <v>110.0</v>
      </c>
      <c r="B1629" s="69">
        <v>172.0</v>
      </c>
      <c r="C1629" s="86" t="s">
        <v>378</v>
      </c>
      <c r="D1629" s="86" t="s">
        <v>379</v>
      </c>
      <c r="E1629" s="86" t="s">
        <v>380</v>
      </c>
      <c r="F1629" s="69">
        <v>5500.0</v>
      </c>
      <c r="G1629" s="69">
        <v>30.2</v>
      </c>
      <c r="H1629" s="68">
        <f t="shared" si="1"/>
        <v>231.92</v>
      </c>
      <c r="I1629" s="81">
        <f>IFERROR(__xludf.DUMMYFUNCTION("IF(G1629="""", """", ROUND(G1629 / MAX(FILTER($G$2:$G5067, $D$2:$D5067=$D1629)) * 100, 2))"),97.42)</f>
        <v>97.42</v>
      </c>
      <c r="J1629" s="81">
        <f>IFERROR(__xludf.DUMMYFUNCTION("IF(H1629="""", """", ROUND(H1629 / MAX(FILTER($H$2:$H5067, $D$2:$D5067=$D1629)) * 100, 2))"),94.81)</f>
        <v>94.81</v>
      </c>
      <c r="K1629" s="2"/>
      <c r="L1629" s="48"/>
      <c r="M1629" s="48"/>
      <c r="N1629" s="48"/>
      <c r="O1629" s="48" t="str">
        <f t="shared" si="2"/>
        <v/>
      </c>
      <c r="P1629" s="48" t="str">
        <f t="shared" si="3"/>
        <v/>
      </c>
      <c r="Q1629" s="84"/>
      <c r="R1629" s="84"/>
      <c r="S1629" s="84"/>
      <c r="T1629" s="84"/>
      <c r="U1629" s="84"/>
      <c r="V1629" s="84"/>
      <c r="W1629" s="84"/>
      <c r="X1629" s="84"/>
      <c r="Y1629" s="84"/>
      <c r="Z1629" s="84"/>
      <c r="AA1629" s="84"/>
      <c r="AB1629" s="84"/>
    </row>
    <row r="1630">
      <c r="A1630" s="63">
        <v>110.0</v>
      </c>
      <c r="B1630" s="63">
        <v>172.0</v>
      </c>
      <c r="C1630" s="64" t="s">
        <v>378</v>
      </c>
      <c r="D1630" s="64" t="s">
        <v>379</v>
      </c>
      <c r="E1630" s="64" t="s">
        <v>380</v>
      </c>
      <c r="F1630" s="63">
        <v>6000.0</v>
      </c>
      <c r="G1630" s="63">
        <v>29.2</v>
      </c>
      <c r="H1630" s="66">
        <f t="shared" si="1"/>
        <v>244.62</v>
      </c>
      <c r="I1630" s="81">
        <f>IFERROR(__xludf.DUMMYFUNCTION("IF(G1630="""", """", ROUND(G1630 / MAX(FILTER($G$2:$G5067, $D$2:$D5067=$D1630)) * 100, 2))"),94.19)</f>
        <v>94.19</v>
      </c>
      <c r="J1630" s="81">
        <f>IFERROR(__xludf.DUMMYFUNCTION("IF(H1630="""", """", ROUND(H1630 / MAX(FILTER($H$2:$H5067, $D$2:$D5067=$D1630)) * 100, 2))"),100.0)</f>
        <v>100</v>
      </c>
      <c r="K1630" s="2"/>
      <c r="L1630" s="49"/>
      <c r="M1630" s="49"/>
      <c r="N1630" s="49"/>
      <c r="O1630" s="49" t="str">
        <f t="shared" si="2"/>
        <v/>
      </c>
      <c r="P1630" s="49" t="str">
        <f t="shared" si="3"/>
        <v/>
      </c>
      <c r="Q1630" s="84"/>
      <c r="R1630" s="84"/>
      <c r="S1630" s="84"/>
      <c r="T1630" s="84"/>
      <c r="U1630" s="84"/>
      <c r="V1630" s="84"/>
      <c r="W1630" s="84"/>
      <c r="X1630" s="84"/>
      <c r="Y1630" s="84"/>
      <c r="Z1630" s="84"/>
      <c r="AA1630" s="84"/>
      <c r="AB1630" s="84"/>
    </row>
    <row r="1631">
      <c r="A1631" s="69">
        <v>110.0</v>
      </c>
      <c r="B1631" s="69">
        <v>172.0</v>
      </c>
      <c r="C1631" s="86" t="s">
        <v>378</v>
      </c>
      <c r="D1631" s="86" t="s">
        <v>379</v>
      </c>
      <c r="E1631" s="86" t="s">
        <v>380</v>
      </c>
      <c r="F1631" s="69">
        <v>6500.0</v>
      </c>
      <c r="G1631" s="69">
        <v>26.6</v>
      </c>
      <c r="H1631" s="68">
        <f t="shared" si="1"/>
        <v>241.41</v>
      </c>
      <c r="I1631" s="81">
        <f>IFERROR(__xludf.DUMMYFUNCTION("IF(G1631="""", """", ROUND(G1631 / MAX(FILTER($G$2:$G5067, $D$2:$D5067=$D1631)) * 100, 2))"),85.81)</f>
        <v>85.81</v>
      </c>
      <c r="J1631" s="81">
        <f>IFERROR(__xludf.DUMMYFUNCTION("IF(H1631="""", """", ROUND(H1631 / MAX(FILTER($H$2:$H5067, $D$2:$D5067=$D1631)) * 100, 2))"),98.69)</f>
        <v>98.69</v>
      </c>
      <c r="K1631" s="2"/>
      <c r="L1631" s="48"/>
      <c r="M1631" s="48"/>
      <c r="N1631" s="48"/>
      <c r="O1631" s="48" t="str">
        <f t="shared" si="2"/>
        <v/>
      </c>
      <c r="P1631" s="48" t="str">
        <f t="shared" si="3"/>
        <v/>
      </c>
      <c r="Q1631" s="84"/>
      <c r="R1631" s="84"/>
      <c r="S1631" s="84"/>
      <c r="T1631" s="84"/>
      <c r="U1631" s="84"/>
      <c r="V1631" s="84"/>
      <c r="W1631" s="84"/>
      <c r="X1631" s="84"/>
      <c r="Y1631" s="84"/>
      <c r="Z1631" s="84"/>
      <c r="AA1631" s="84"/>
      <c r="AB1631" s="84"/>
    </row>
    <row r="1632">
      <c r="A1632" s="63">
        <v>110.0</v>
      </c>
      <c r="B1632" s="63">
        <v>172.0</v>
      </c>
      <c r="C1632" s="64" t="s">
        <v>378</v>
      </c>
      <c r="D1632" s="64" t="s">
        <v>379</v>
      </c>
      <c r="E1632" s="64" t="s">
        <v>380</v>
      </c>
      <c r="F1632" s="63">
        <v>7000.0</v>
      </c>
      <c r="G1632" s="63">
        <v>23.5</v>
      </c>
      <c r="H1632" s="66">
        <f t="shared" si="1"/>
        <v>229.68</v>
      </c>
      <c r="I1632" s="81">
        <f>IFERROR(__xludf.DUMMYFUNCTION("IF(G1632="""", """", ROUND(G1632 / MAX(FILTER($G$2:$G5067, $D$2:$D5067=$D1632)) * 100, 2))"),75.81)</f>
        <v>75.81</v>
      </c>
      <c r="J1632" s="81">
        <f>IFERROR(__xludf.DUMMYFUNCTION("IF(H1632="""", """", ROUND(H1632 / MAX(FILTER($H$2:$H5067, $D$2:$D5067=$D1632)) * 100, 2))"),93.89)</f>
        <v>93.89</v>
      </c>
      <c r="K1632" s="2"/>
      <c r="L1632" s="49"/>
      <c r="M1632" s="49"/>
      <c r="N1632" s="49"/>
      <c r="O1632" s="49" t="str">
        <f t="shared" si="2"/>
        <v/>
      </c>
      <c r="P1632" s="49" t="str">
        <f t="shared" si="3"/>
        <v/>
      </c>
      <c r="Q1632" s="84"/>
      <c r="R1632" s="84"/>
      <c r="S1632" s="84"/>
      <c r="T1632" s="84"/>
      <c r="U1632" s="84"/>
      <c r="V1632" s="84"/>
      <c r="W1632" s="84"/>
      <c r="X1632" s="84"/>
      <c r="Y1632" s="84"/>
      <c r="Z1632" s="84"/>
      <c r="AA1632" s="84"/>
      <c r="AB1632" s="84"/>
    </row>
    <row r="1633">
      <c r="A1633" s="69">
        <v>110.0</v>
      </c>
      <c r="B1633" s="69">
        <v>172.0</v>
      </c>
      <c r="C1633" s="86" t="s">
        <v>378</v>
      </c>
      <c r="D1633" s="86" t="s">
        <v>379</v>
      </c>
      <c r="E1633" s="86" t="s">
        <v>380</v>
      </c>
      <c r="F1633" s="69">
        <v>7500.0</v>
      </c>
      <c r="G1633" s="69">
        <v>17.8</v>
      </c>
      <c r="H1633" s="68">
        <f t="shared" si="1"/>
        <v>186.4</v>
      </c>
      <c r="I1633" s="81">
        <f>IFERROR(__xludf.DUMMYFUNCTION("IF(G1633="""", """", ROUND(G1633 / MAX(FILTER($G$2:$G5067, $D$2:$D5067=$D1633)) * 100, 2))"),57.42)</f>
        <v>57.42</v>
      </c>
      <c r="J1633" s="81">
        <f>IFERROR(__xludf.DUMMYFUNCTION("IF(H1633="""", """", ROUND(H1633 / MAX(FILTER($H$2:$H5067, $D$2:$D5067=$D1633)) * 100, 2))"),76.2)</f>
        <v>76.2</v>
      </c>
      <c r="K1633" s="2"/>
      <c r="L1633" s="48"/>
      <c r="M1633" s="48"/>
      <c r="N1633" s="48"/>
      <c r="O1633" s="48" t="str">
        <f t="shared" si="2"/>
        <v/>
      </c>
      <c r="P1633" s="48" t="str">
        <f t="shared" si="3"/>
        <v/>
      </c>
      <c r="Q1633" s="84"/>
      <c r="R1633" s="84"/>
      <c r="S1633" s="84"/>
      <c r="T1633" s="84"/>
      <c r="U1633" s="84"/>
      <c r="V1633" s="84"/>
      <c r="W1633" s="84"/>
      <c r="X1633" s="84"/>
      <c r="Y1633" s="84"/>
      <c r="Z1633" s="84"/>
      <c r="AA1633" s="84"/>
      <c r="AB1633" s="84"/>
    </row>
    <row r="1634">
      <c r="A1634" s="63">
        <v>111.0</v>
      </c>
      <c r="B1634" s="63">
        <v>173.0</v>
      </c>
      <c r="C1634" s="64" t="s">
        <v>381</v>
      </c>
      <c r="D1634" s="64" t="s">
        <v>382</v>
      </c>
      <c r="E1634" s="64" t="s">
        <v>383</v>
      </c>
      <c r="F1634" s="63">
        <v>500.0</v>
      </c>
      <c r="G1634" s="63">
        <v>33.95</v>
      </c>
      <c r="H1634" s="66">
        <f t="shared" si="1"/>
        <v>23.7</v>
      </c>
      <c r="I1634" s="81">
        <f>IFERROR(__xludf.DUMMYFUNCTION("IF(G1634="""", """", ROUND(G1634 / MAX(FILTER($G$2:$G5067, $D$2:$D5067=$D1634)) * 100, 2))"),56.58)</f>
        <v>56.58</v>
      </c>
      <c r="J1634" s="81">
        <f>IFERROR(__xludf.DUMMYFUNCTION("IF(H1634="""", """", ROUND(H1634 / MAX(FILTER($H$2:$H5067, $D$2:$D5067=$D1634)) * 100, 2))"),4.84)</f>
        <v>4.84</v>
      </c>
      <c r="K1634" s="2"/>
      <c r="L1634" s="49"/>
      <c r="M1634" s="49"/>
      <c r="N1634" s="49"/>
      <c r="O1634" s="49" t="str">
        <f t="shared" si="2"/>
        <v/>
      </c>
      <c r="P1634" s="49" t="str">
        <f t="shared" si="3"/>
        <v/>
      </c>
      <c r="Q1634" s="84"/>
      <c r="R1634" s="84"/>
      <c r="S1634" s="84"/>
      <c r="T1634" s="84"/>
      <c r="U1634" s="84"/>
      <c r="V1634" s="84"/>
      <c r="W1634" s="84"/>
      <c r="X1634" s="84"/>
      <c r="Y1634" s="84"/>
      <c r="Z1634" s="84"/>
      <c r="AA1634" s="84"/>
      <c r="AB1634" s="84"/>
    </row>
    <row r="1635">
      <c r="A1635" s="69">
        <v>111.0</v>
      </c>
      <c r="B1635" s="69">
        <v>173.0</v>
      </c>
      <c r="C1635" s="86" t="s">
        <v>381</v>
      </c>
      <c r="D1635" s="86" t="s">
        <v>382</v>
      </c>
      <c r="E1635" s="86" t="s">
        <v>383</v>
      </c>
      <c r="F1635" s="69">
        <v>1000.0</v>
      </c>
      <c r="G1635" s="69">
        <v>39.72</v>
      </c>
      <c r="H1635" s="68">
        <f t="shared" si="1"/>
        <v>55.46</v>
      </c>
      <c r="I1635" s="81">
        <f>IFERROR(__xludf.DUMMYFUNCTION("IF(G1635="""", """", ROUND(G1635 / MAX(FILTER($G$2:$G5067, $D$2:$D5067=$D1635)) * 100, 2))"),66.2)</f>
        <v>66.2</v>
      </c>
      <c r="J1635" s="81">
        <f>IFERROR(__xludf.DUMMYFUNCTION("IF(H1635="""", """", ROUND(H1635 / MAX(FILTER($H$2:$H5067, $D$2:$D5067=$D1635)) * 100, 2))"),11.34)</f>
        <v>11.34</v>
      </c>
      <c r="K1635" s="2"/>
      <c r="L1635" s="48"/>
      <c r="M1635" s="48"/>
      <c r="N1635" s="48"/>
      <c r="O1635" s="48" t="str">
        <f t="shared" si="2"/>
        <v/>
      </c>
      <c r="P1635" s="48" t="str">
        <f t="shared" si="3"/>
        <v/>
      </c>
      <c r="Q1635" s="84"/>
      <c r="R1635" s="84"/>
      <c r="S1635" s="84"/>
      <c r="T1635" s="84"/>
      <c r="U1635" s="84"/>
      <c r="V1635" s="84"/>
      <c r="W1635" s="84"/>
      <c r="X1635" s="84"/>
      <c r="Y1635" s="84"/>
      <c r="Z1635" s="84"/>
      <c r="AA1635" s="84"/>
      <c r="AB1635" s="84"/>
    </row>
    <row r="1636">
      <c r="A1636" s="63">
        <v>111.0</v>
      </c>
      <c r="B1636" s="63">
        <v>173.0</v>
      </c>
      <c r="C1636" s="64" t="s">
        <v>381</v>
      </c>
      <c r="D1636" s="64" t="s">
        <v>382</v>
      </c>
      <c r="E1636" s="64" t="s">
        <v>383</v>
      </c>
      <c r="F1636" s="63">
        <v>1500.0</v>
      </c>
      <c r="G1636" s="63">
        <v>44.1</v>
      </c>
      <c r="H1636" s="66">
        <f t="shared" si="1"/>
        <v>92.36</v>
      </c>
      <c r="I1636" s="81">
        <f>IFERROR(__xludf.DUMMYFUNCTION("IF(G1636="""", """", ROUND(G1636 / MAX(FILTER($G$2:$G5067, $D$2:$D5067=$D1636)) * 100, 2))"),73.5)</f>
        <v>73.5</v>
      </c>
      <c r="J1636" s="81">
        <f>IFERROR(__xludf.DUMMYFUNCTION("IF(H1636="""", """", ROUND(H1636 / MAX(FILTER($H$2:$H5067, $D$2:$D5067=$D1636)) * 100, 2))"),18.88)</f>
        <v>18.88</v>
      </c>
      <c r="K1636" s="2"/>
      <c r="L1636" s="49"/>
      <c r="M1636" s="49"/>
      <c r="N1636" s="49"/>
      <c r="O1636" s="49" t="str">
        <f t="shared" si="2"/>
        <v/>
      </c>
      <c r="P1636" s="49" t="str">
        <f t="shared" si="3"/>
        <v/>
      </c>
      <c r="Q1636" s="84"/>
      <c r="R1636" s="84"/>
      <c r="S1636" s="84"/>
      <c r="T1636" s="84"/>
      <c r="U1636" s="84"/>
      <c r="V1636" s="84"/>
      <c r="W1636" s="84"/>
      <c r="X1636" s="84"/>
      <c r="Y1636" s="84"/>
      <c r="Z1636" s="84"/>
      <c r="AA1636" s="84"/>
      <c r="AB1636" s="84"/>
    </row>
    <row r="1637">
      <c r="A1637" s="69">
        <v>111.0</v>
      </c>
      <c r="B1637" s="69">
        <v>173.0</v>
      </c>
      <c r="C1637" s="86" t="s">
        <v>381</v>
      </c>
      <c r="D1637" s="86" t="s">
        <v>382</v>
      </c>
      <c r="E1637" s="86" t="s">
        <v>383</v>
      </c>
      <c r="F1637" s="69">
        <v>2000.0</v>
      </c>
      <c r="G1637" s="69">
        <v>48.13</v>
      </c>
      <c r="H1637" s="68">
        <f t="shared" si="1"/>
        <v>134.4</v>
      </c>
      <c r="I1637" s="81">
        <f>IFERROR(__xludf.DUMMYFUNCTION("IF(G1637="""", """", ROUND(G1637 / MAX(FILTER($G$2:$G5067, $D$2:$D5067=$D1637)) * 100, 2))"),80.22)</f>
        <v>80.22</v>
      </c>
      <c r="J1637" s="81">
        <f>IFERROR(__xludf.DUMMYFUNCTION("IF(H1637="""", """", ROUND(H1637 / MAX(FILTER($H$2:$H5067, $D$2:$D5067=$D1637)) * 100, 2))"),27.47)</f>
        <v>27.47</v>
      </c>
      <c r="K1637" s="2"/>
      <c r="L1637" s="48"/>
      <c r="M1637" s="48"/>
      <c r="N1637" s="48"/>
      <c r="O1637" s="48" t="str">
        <f t="shared" si="2"/>
        <v/>
      </c>
      <c r="P1637" s="48" t="str">
        <f t="shared" si="3"/>
        <v/>
      </c>
      <c r="Q1637" s="84"/>
      <c r="R1637" s="84"/>
      <c r="S1637" s="84"/>
      <c r="T1637" s="84"/>
      <c r="U1637" s="84"/>
      <c r="V1637" s="84"/>
      <c r="W1637" s="84"/>
      <c r="X1637" s="84"/>
      <c r="Y1637" s="84"/>
      <c r="Z1637" s="84"/>
      <c r="AA1637" s="84"/>
      <c r="AB1637" s="84"/>
    </row>
    <row r="1638">
      <c r="A1638" s="63">
        <v>111.0</v>
      </c>
      <c r="B1638" s="63">
        <v>173.0</v>
      </c>
      <c r="C1638" s="64" t="s">
        <v>381</v>
      </c>
      <c r="D1638" s="64" t="s">
        <v>382</v>
      </c>
      <c r="E1638" s="64" t="s">
        <v>383</v>
      </c>
      <c r="F1638" s="63">
        <v>2500.0</v>
      </c>
      <c r="G1638" s="63">
        <v>51.45</v>
      </c>
      <c r="H1638" s="66">
        <f t="shared" si="1"/>
        <v>179.59</v>
      </c>
      <c r="I1638" s="81">
        <f>IFERROR(__xludf.DUMMYFUNCTION("IF(G1638="""", """", ROUND(G1638 / MAX(FILTER($G$2:$G5067, $D$2:$D5067=$D1638)) * 100, 2))"),85.75)</f>
        <v>85.75</v>
      </c>
      <c r="J1638" s="81">
        <f>IFERROR(__xludf.DUMMYFUNCTION("IF(H1638="""", """", ROUND(H1638 / MAX(FILTER($H$2:$H5067, $D$2:$D5067=$D1638)) * 100, 2))"),36.7)</f>
        <v>36.7</v>
      </c>
      <c r="K1638" s="2"/>
      <c r="L1638" s="49"/>
      <c r="M1638" s="49"/>
      <c r="N1638" s="49"/>
      <c r="O1638" s="49" t="str">
        <f t="shared" si="2"/>
        <v/>
      </c>
      <c r="P1638" s="49" t="str">
        <f t="shared" si="3"/>
        <v/>
      </c>
      <c r="Q1638" s="84"/>
      <c r="R1638" s="84"/>
      <c r="S1638" s="84"/>
      <c r="T1638" s="84"/>
      <c r="U1638" s="84"/>
      <c r="V1638" s="84"/>
      <c r="W1638" s="84"/>
      <c r="X1638" s="84"/>
      <c r="Y1638" s="84"/>
      <c r="Z1638" s="84"/>
      <c r="AA1638" s="84"/>
      <c r="AB1638" s="84"/>
    </row>
    <row r="1639">
      <c r="A1639" s="69">
        <v>111.0</v>
      </c>
      <c r="B1639" s="69">
        <v>173.0</v>
      </c>
      <c r="C1639" s="86" t="s">
        <v>381</v>
      </c>
      <c r="D1639" s="86" t="s">
        <v>382</v>
      </c>
      <c r="E1639" s="86" t="s">
        <v>383</v>
      </c>
      <c r="F1639" s="69">
        <v>3000.0</v>
      </c>
      <c r="G1639" s="69">
        <v>53.9</v>
      </c>
      <c r="H1639" s="68">
        <f t="shared" si="1"/>
        <v>225.77</v>
      </c>
      <c r="I1639" s="81">
        <f>IFERROR(__xludf.DUMMYFUNCTION("IF(G1639="""", """", ROUND(G1639 / MAX(FILTER($G$2:$G5067, $D$2:$D5067=$D1639)) * 100, 2))"),89.83)</f>
        <v>89.83</v>
      </c>
      <c r="J1639" s="81">
        <f>IFERROR(__xludf.DUMMYFUNCTION("IF(H1639="""", """", ROUND(H1639 / MAX(FILTER($H$2:$H5067, $D$2:$D5067=$D1639)) * 100, 2))"),46.14)</f>
        <v>46.14</v>
      </c>
      <c r="K1639" s="2"/>
      <c r="L1639" s="48"/>
      <c r="M1639" s="48"/>
      <c r="N1639" s="48"/>
      <c r="O1639" s="48" t="str">
        <f t="shared" si="2"/>
        <v/>
      </c>
      <c r="P1639" s="48" t="str">
        <f t="shared" si="3"/>
        <v/>
      </c>
      <c r="Q1639" s="84"/>
      <c r="R1639" s="84"/>
      <c r="S1639" s="84"/>
      <c r="T1639" s="84"/>
      <c r="U1639" s="84"/>
      <c r="V1639" s="84"/>
      <c r="W1639" s="84"/>
      <c r="X1639" s="84"/>
      <c r="Y1639" s="84"/>
      <c r="Z1639" s="84"/>
      <c r="AA1639" s="84"/>
      <c r="AB1639" s="84"/>
    </row>
    <row r="1640">
      <c r="A1640" s="63">
        <v>111.0</v>
      </c>
      <c r="B1640" s="63">
        <v>173.0</v>
      </c>
      <c r="C1640" s="64" t="s">
        <v>381</v>
      </c>
      <c r="D1640" s="64" t="s">
        <v>382</v>
      </c>
      <c r="E1640" s="64" t="s">
        <v>383</v>
      </c>
      <c r="F1640" s="63">
        <v>3500.0</v>
      </c>
      <c r="G1640" s="63">
        <v>56.17</v>
      </c>
      <c r="H1640" s="66">
        <f t="shared" si="1"/>
        <v>274.5</v>
      </c>
      <c r="I1640" s="81">
        <f>IFERROR(__xludf.DUMMYFUNCTION("IF(G1640="""", """", ROUND(G1640 / MAX(FILTER($G$2:$G5067, $D$2:$D5067=$D1640)) * 100, 2))"),93.62)</f>
        <v>93.62</v>
      </c>
      <c r="J1640" s="81">
        <f>IFERROR(__xludf.DUMMYFUNCTION("IF(H1640="""", """", ROUND(H1640 / MAX(FILTER($H$2:$H5067, $D$2:$D5067=$D1640)) * 100, 2))"),56.1)</f>
        <v>56.1</v>
      </c>
      <c r="K1640" s="2"/>
      <c r="L1640" s="49"/>
      <c r="M1640" s="49"/>
      <c r="N1640" s="49"/>
      <c r="O1640" s="49" t="str">
        <f t="shared" si="2"/>
        <v/>
      </c>
      <c r="P1640" s="49" t="str">
        <f t="shared" si="3"/>
        <v/>
      </c>
      <c r="Q1640" s="84"/>
      <c r="R1640" s="84"/>
      <c r="S1640" s="84"/>
      <c r="T1640" s="84"/>
      <c r="U1640" s="84"/>
      <c r="V1640" s="84"/>
      <c r="W1640" s="84"/>
      <c r="X1640" s="84"/>
      <c r="Y1640" s="84"/>
      <c r="Z1640" s="84"/>
      <c r="AA1640" s="84"/>
      <c r="AB1640" s="84"/>
    </row>
    <row r="1641">
      <c r="A1641" s="69">
        <v>111.0</v>
      </c>
      <c r="B1641" s="69">
        <v>173.0</v>
      </c>
      <c r="C1641" s="86" t="s">
        <v>381</v>
      </c>
      <c r="D1641" s="86" t="s">
        <v>382</v>
      </c>
      <c r="E1641" s="86" t="s">
        <v>383</v>
      </c>
      <c r="F1641" s="69">
        <v>4000.0</v>
      </c>
      <c r="G1641" s="69">
        <v>58.28</v>
      </c>
      <c r="H1641" s="68">
        <f t="shared" si="1"/>
        <v>325.5</v>
      </c>
      <c r="I1641" s="81">
        <f>IFERROR(__xludf.DUMMYFUNCTION("IF(G1641="""", """", ROUND(G1641 / MAX(FILTER($G$2:$G5067, $D$2:$D5067=$D1641)) * 100, 2))"),97.13)</f>
        <v>97.13</v>
      </c>
      <c r="J1641" s="81">
        <f>IFERROR(__xludf.DUMMYFUNCTION("IF(H1641="""", """", ROUND(H1641 / MAX(FILTER($H$2:$H5067, $D$2:$D5067=$D1641)) * 100, 2))"),66.53)</f>
        <v>66.53</v>
      </c>
      <c r="K1641" s="2"/>
      <c r="L1641" s="48"/>
      <c r="M1641" s="48"/>
      <c r="N1641" s="48"/>
      <c r="O1641" s="48" t="str">
        <f t="shared" si="2"/>
        <v/>
      </c>
      <c r="P1641" s="48" t="str">
        <f t="shared" si="3"/>
        <v/>
      </c>
      <c r="Q1641" s="84"/>
      <c r="R1641" s="84"/>
      <c r="S1641" s="84"/>
      <c r="T1641" s="84"/>
      <c r="U1641" s="84"/>
      <c r="V1641" s="84"/>
      <c r="W1641" s="84"/>
      <c r="X1641" s="84"/>
      <c r="Y1641" s="84"/>
      <c r="Z1641" s="84"/>
      <c r="AA1641" s="84"/>
      <c r="AB1641" s="84"/>
    </row>
    <row r="1642">
      <c r="A1642" s="63">
        <v>111.0</v>
      </c>
      <c r="B1642" s="63">
        <v>173.0</v>
      </c>
      <c r="C1642" s="64" t="s">
        <v>381</v>
      </c>
      <c r="D1642" s="64" t="s">
        <v>382</v>
      </c>
      <c r="E1642" s="64" t="s">
        <v>383</v>
      </c>
      <c r="F1642" s="63">
        <v>4500.0</v>
      </c>
      <c r="G1642" s="63">
        <v>59.33</v>
      </c>
      <c r="H1642" s="66">
        <f t="shared" si="1"/>
        <v>372.78</v>
      </c>
      <c r="I1642" s="81">
        <f>IFERROR(__xludf.DUMMYFUNCTION("IF(G1642="""", """", ROUND(G1642 / MAX(FILTER($G$2:$G5067, $D$2:$D5067=$D1642)) * 100, 2))"),98.88)</f>
        <v>98.88</v>
      </c>
      <c r="J1642" s="81">
        <f>IFERROR(__xludf.DUMMYFUNCTION("IF(H1642="""", """", ROUND(H1642 / MAX(FILTER($H$2:$H5067, $D$2:$D5067=$D1642)) * 100, 2))"),76.19)</f>
        <v>76.19</v>
      </c>
      <c r="K1642" s="2"/>
      <c r="L1642" s="49"/>
      <c r="M1642" s="49"/>
      <c r="N1642" s="49"/>
      <c r="O1642" s="49" t="str">
        <f t="shared" si="2"/>
        <v/>
      </c>
      <c r="P1642" s="49" t="str">
        <f t="shared" si="3"/>
        <v/>
      </c>
      <c r="Q1642" s="84"/>
      <c r="R1642" s="84"/>
      <c r="S1642" s="84"/>
      <c r="T1642" s="84"/>
      <c r="U1642" s="84"/>
      <c r="V1642" s="84"/>
      <c r="W1642" s="84"/>
      <c r="X1642" s="84"/>
      <c r="Y1642" s="84"/>
      <c r="Z1642" s="84"/>
      <c r="AA1642" s="84"/>
      <c r="AB1642" s="84"/>
    </row>
    <row r="1643">
      <c r="A1643" s="69">
        <v>111.0</v>
      </c>
      <c r="B1643" s="69">
        <v>173.0</v>
      </c>
      <c r="C1643" s="86" t="s">
        <v>381</v>
      </c>
      <c r="D1643" s="86" t="s">
        <v>382</v>
      </c>
      <c r="E1643" s="86" t="s">
        <v>383</v>
      </c>
      <c r="F1643" s="69">
        <v>5000.0</v>
      </c>
      <c r="G1643" s="69">
        <v>59.85</v>
      </c>
      <c r="H1643" s="68">
        <f t="shared" si="1"/>
        <v>417.83</v>
      </c>
      <c r="I1643" s="81">
        <f>IFERROR(__xludf.DUMMYFUNCTION("IF(G1643="""", """", ROUND(G1643 / MAX(FILTER($G$2:$G5067, $D$2:$D5067=$D1643)) * 100, 2))"),99.75)</f>
        <v>99.75</v>
      </c>
      <c r="J1643" s="81">
        <f>IFERROR(__xludf.DUMMYFUNCTION("IF(H1643="""", """", ROUND(H1643 / MAX(FILTER($H$2:$H5067, $D$2:$D5067=$D1643)) * 100, 2))"),85.4)</f>
        <v>85.4</v>
      </c>
      <c r="K1643" s="2"/>
      <c r="L1643" s="48"/>
      <c r="M1643" s="48"/>
      <c r="N1643" s="48"/>
      <c r="O1643" s="48" t="str">
        <f t="shared" si="2"/>
        <v/>
      </c>
      <c r="P1643" s="48" t="str">
        <f t="shared" si="3"/>
        <v/>
      </c>
      <c r="Q1643" s="84"/>
      <c r="R1643" s="84"/>
      <c r="S1643" s="84"/>
      <c r="T1643" s="84"/>
      <c r="U1643" s="84"/>
      <c r="V1643" s="84"/>
      <c r="W1643" s="84"/>
      <c r="X1643" s="84"/>
      <c r="Y1643" s="84"/>
      <c r="Z1643" s="84"/>
      <c r="AA1643" s="84"/>
      <c r="AB1643" s="84"/>
    </row>
    <row r="1644">
      <c r="A1644" s="63">
        <v>111.0</v>
      </c>
      <c r="B1644" s="63">
        <v>173.0</v>
      </c>
      <c r="C1644" s="64" t="s">
        <v>381</v>
      </c>
      <c r="D1644" s="64" t="s">
        <v>382</v>
      </c>
      <c r="E1644" s="64" t="s">
        <v>383</v>
      </c>
      <c r="F1644" s="63">
        <v>5200.0</v>
      </c>
      <c r="G1644" s="63">
        <v>60.0</v>
      </c>
      <c r="H1644" s="66">
        <f t="shared" si="1"/>
        <v>435.63</v>
      </c>
      <c r="I1644" s="81">
        <f>IFERROR(__xludf.DUMMYFUNCTION("IF(G1644="""", """", ROUND(G1644 / MAX(FILTER($G$2:$G5067, $D$2:$D5067=$D1644)) * 100, 2))"),100.0)</f>
        <v>100</v>
      </c>
      <c r="J1644" s="81">
        <f>IFERROR(__xludf.DUMMYFUNCTION("IF(H1644="""", """", ROUND(H1644 / MAX(FILTER($H$2:$H5067, $D$2:$D5067=$D1644)) * 100, 2))"),89.03)</f>
        <v>89.03</v>
      </c>
      <c r="K1644" s="2"/>
      <c r="L1644" s="49"/>
      <c r="M1644" s="49"/>
      <c r="N1644" s="49"/>
      <c r="O1644" s="49" t="str">
        <f t="shared" si="2"/>
        <v/>
      </c>
      <c r="P1644" s="49" t="str">
        <f t="shared" si="3"/>
        <v/>
      </c>
      <c r="Q1644" s="84"/>
      <c r="R1644" s="84"/>
      <c r="S1644" s="84"/>
      <c r="T1644" s="84"/>
      <c r="U1644" s="84"/>
      <c r="V1644" s="84"/>
      <c r="W1644" s="84"/>
      <c r="X1644" s="84"/>
      <c r="Y1644" s="84"/>
      <c r="Z1644" s="84"/>
      <c r="AA1644" s="84"/>
      <c r="AB1644" s="84"/>
    </row>
    <row r="1645">
      <c r="A1645" s="69">
        <v>111.0</v>
      </c>
      <c r="B1645" s="69">
        <v>173.0</v>
      </c>
      <c r="C1645" s="86" t="s">
        <v>381</v>
      </c>
      <c r="D1645" s="86" t="s">
        <v>382</v>
      </c>
      <c r="E1645" s="86" t="s">
        <v>383</v>
      </c>
      <c r="F1645" s="69">
        <v>5800.0</v>
      </c>
      <c r="G1645" s="69">
        <v>58.1</v>
      </c>
      <c r="H1645" s="68">
        <f t="shared" si="1"/>
        <v>470.51</v>
      </c>
      <c r="I1645" s="81">
        <f>IFERROR(__xludf.DUMMYFUNCTION("IF(G1645="""", """", ROUND(G1645 / MAX(FILTER($G$2:$G5067, $D$2:$D5067=$D1645)) * 100, 2))"),96.83)</f>
        <v>96.83</v>
      </c>
      <c r="J1645" s="81">
        <f>IFERROR(__xludf.DUMMYFUNCTION("IF(H1645="""", """", ROUND(H1645 / MAX(FILTER($H$2:$H5067, $D$2:$D5067=$D1645)) * 100, 2))"),96.16)</f>
        <v>96.16</v>
      </c>
      <c r="K1645" s="2"/>
      <c r="L1645" s="48"/>
      <c r="M1645" s="48"/>
      <c r="N1645" s="48"/>
      <c r="O1645" s="48" t="str">
        <f t="shared" si="2"/>
        <v/>
      </c>
      <c r="P1645" s="48" t="str">
        <f t="shared" si="3"/>
        <v/>
      </c>
      <c r="Q1645" s="84"/>
      <c r="R1645" s="84"/>
      <c r="S1645" s="84"/>
      <c r="T1645" s="84"/>
      <c r="U1645" s="84"/>
      <c r="V1645" s="84"/>
      <c r="W1645" s="84"/>
      <c r="X1645" s="84"/>
      <c r="Y1645" s="84"/>
      <c r="Z1645" s="84"/>
      <c r="AA1645" s="84"/>
      <c r="AB1645" s="84"/>
    </row>
    <row r="1646">
      <c r="A1646" s="63">
        <v>111.0</v>
      </c>
      <c r="B1646" s="63">
        <v>173.0</v>
      </c>
      <c r="C1646" s="64" t="s">
        <v>381</v>
      </c>
      <c r="D1646" s="64" t="s">
        <v>382</v>
      </c>
      <c r="E1646" s="64" t="s">
        <v>383</v>
      </c>
      <c r="F1646" s="63">
        <v>6500.0</v>
      </c>
      <c r="G1646" s="63">
        <v>53.56</v>
      </c>
      <c r="H1646" s="66">
        <f t="shared" si="1"/>
        <v>486.09</v>
      </c>
      <c r="I1646" s="81">
        <f>IFERROR(__xludf.DUMMYFUNCTION("IF(G1646="""", """", ROUND(G1646 / MAX(FILTER($G$2:$G5067, $D$2:$D5067=$D1646)) * 100, 2))"),89.27)</f>
        <v>89.27</v>
      </c>
      <c r="J1646" s="81">
        <f>IFERROR(__xludf.DUMMYFUNCTION("IF(H1646="""", """", ROUND(H1646 / MAX(FILTER($H$2:$H5067, $D$2:$D5067=$D1646)) * 100, 2))"),99.35)</f>
        <v>99.35</v>
      </c>
      <c r="K1646" s="2"/>
      <c r="L1646" s="49"/>
      <c r="M1646" s="49"/>
      <c r="N1646" s="49"/>
      <c r="O1646" s="49" t="str">
        <f t="shared" si="2"/>
        <v/>
      </c>
      <c r="P1646" s="49" t="str">
        <f t="shared" si="3"/>
        <v/>
      </c>
      <c r="Q1646" s="84"/>
      <c r="R1646" s="84"/>
      <c r="S1646" s="84"/>
      <c r="T1646" s="84"/>
      <c r="U1646" s="84"/>
      <c r="V1646" s="84"/>
      <c r="W1646" s="84"/>
      <c r="X1646" s="84"/>
      <c r="Y1646" s="84"/>
      <c r="Z1646" s="84"/>
      <c r="AA1646" s="84"/>
      <c r="AB1646" s="84"/>
    </row>
    <row r="1647">
      <c r="A1647" s="69">
        <v>111.0</v>
      </c>
      <c r="B1647" s="69">
        <v>173.0</v>
      </c>
      <c r="C1647" s="86" t="s">
        <v>381</v>
      </c>
      <c r="D1647" s="86" t="s">
        <v>382</v>
      </c>
      <c r="E1647" s="86" t="s">
        <v>383</v>
      </c>
      <c r="F1647" s="69">
        <v>7000.0</v>
      </c>
      <c r="G1647" s="69">
        <v>50.05</v>
      </c>
      <c r="H1647" s="68">
        <f t="shared" si="1"/>
        <v>489.18</v>
      </c>
      <c r="I1647" s="81">
        <f>IFERROR(__xludf.DUMMYFUNCTION("IF(G1647="""", """", ROUND(G1647 / MAX(FILTER($G$2:$G5067, $D$2:$D5067=$D1647)) * 100, 2))"),83.42)</f>
        <v>83.42</v>
      </c>
      <c r="J1647" s="81">
        <f>IFERROR(__xludf.DUMMYFUNCTION("IF(H1647="""", """", ROUND(H1647 / MAX(FILTER($H$2:$H5067, $D$2:$D5067=$D1647)) * 100, 2))"),99.98)</f>
        <v>99.98</v>
      </c>
      <c r="K1647" s="2"/>
      <c r="L1647" s="48"/>
      <c r="M1647" s="48"/>
      <c r="N1647" s="48"/>
      <c r="O1647" s="48" t="str">
        <f t="shared" si="2"/>
        <v/>
      </c>
      <c r="P1647" s="48" t="str">
        <f t="shared" si="3"/>
        <v/>
      </c>
      <c r="Q1647" s="84"/>
      <c r="R1647" s="84"/>
      <c r="S1647" s="84"/>
      <c r="T1647" s="84"/>
      <c r="U1647" s="84"/>
      <c r="V1647" s="84"/>
      <c r="W1647" s="84"/>
      <c r="X1647" s="84"/>
      <c r="Y1647" s="84"/>
      <c r="Z1647" s="84"/>
      <c r="AA1647" s="84"/>
      <c r="AB1647" s="84"/>
    </row>
    <row r="1648">
      <c r="A1648" s="63">
        <v>111.0</v>
      </c>
      <c r="B1648" s="63">
        <v>173.0</v>
      </c>
      <c r="C1648" s="64" t="s">
        <v>381</v>
      </c>
      <c r="D1648" s="64" t="s">
        <v>382</v>
      </c>
      <c r="E1648" s="64" t="s">
        <v>383</v>
      </c>
      <c r="F1648" s="63">
        <v>7200.0</v>
      </c>
      <c r="G1648" s="63">
        <v>48.67</v>
      </c>
      <c r="H1648" s="66">
        <f t="shared" si="1"/>
        <v>489.28</v>
      </c>
      <c r="I1648" s="81">
        <f>IFERROR(__xludf.DUMMYFUNCTION("IF(G1648="""", """", ROUND(G1648 / MAX(FILTER($G$2:$G5067, $D$2:$D5067=$D1648)) * 100, 2))"),81.12)</f>
        <v>81.12</v>
      </c>
      <c r="J1648" s="81">
        <f>IFERROR(__xludf.DUMMYFUNCTION("IF(H1648="""", """", ROUND(H1648 / MAX(FILTER($H$2:$H5067, $D$2:$D5067=$D1648)) * 100, 2))"),100.0)</f>
        <v>100</v>
      </c>
      <c r="K1648" s="2"/>
      <c r="L1648" s="49"/>
      <c r="M1648" s="49"/>
      <c r="N1648" s="49"/>
      <c r="O1648" s="49" t="str">
        <f t="shared" si="2"/>
        <v/>
      </c>
      <c r="P1648" s="49" t="str">
        <f t="shared" si="3"/>
        <v/>
      </c>
      <c r="Q1648" s="84"/>
      <c r="R1648" s="84"/>
      <c r="S1648" s="84"/>
      <c r="T1648" s="84"/>
      <c r="U1648" s="84"/>
      <c r="V1648" s="84"/>
      <c r="W1648" s="84"/>
      <c r="X1648" s="84"/>
      <c r="Y1648" s="84"/>
      <c r="Z1648" s="84"/>
      <c r="AA1648" s="84"/>
      <c r="AB1648" s="84"/>
    </row>
    <row r="1649">
      <c r="A1649" s="69">
        <v>111.0</v>
      </c>
      <c r="B1649" s="69">
        <v>173.0</v>
      </c>
      <c r="C1649" s="86" t="s">
        <v>381</v>
      </c>
      <c r="D1649" s="86" t="s">
        <v>382</v>
      </c>
      <c r="E1649" s="86" t="s">
        <v>383</v>
      </c>
      <c r="F1649" s="69">
        <v>7800.0</v>
      </c>
      <c r="G1649" s="69">
        <v>43.74</v>
      </c>
      <c r="H1649" s="68">
        <f t="shared" si="1"/>
        <v>476.36</v>
      </c>
      <c r="I1649" s="81">
        <f>IFERROR(__xludf.DUMMYFUNCTION("IF(G1649="""", """", ROUND(G1649 / MAX(FILTER($G$2:$G5067, $D$2:$D5067=$D1649)) * 100, 2))"),72.9)</f>
        <v>72.9</v>
      </c>
      <c r="J1649" s="81">
        <f>IFERROR(__xludf.DUMMYFUNCTION("IF(H1649="""", """", ROUND(H1649 / MAX(FILTER($H$2:$H5067, $D$2:$D5067=$D1649)) * 100, 2))"),97.36)</f>
        <v>97.36</v>
      </c>
      <c r="K1649" s="2"/>
      <c r="L1649" s="48"/>
      <c r="M1649" s="48"/>
      <c r="N1649" s="48"/>
      <c r="O1649" s="48" t="str">
        <f t="shared" si="2"/>
        <v/>
      </c>
      <c r="P1649" s="48" t="str">
        <f t="shared" si="3"/>
        <v/>
      </c>
      <c r="Q1649" s="84"/>
      <c r="R1649" s="84"/>
      <c r="S1649" s="84"/>
      <c r="T1649" s="84"/>
      <c r="U1649" s="84"/>
      <c r="V1649" s="84"/>
      <c r="W1649" s="84"/>
      <c r="X1649" s="84"/>
      <c r="Y1649" s="84"/>
      <c r="Z1649" s="84"/>
      <c r="AA1649" s="84"/>
      <c r="AB1649" s="84"/>
    </row>
    <row r="1650">
      <c r="A1650" s="63">
        <v>111.0</v>
      </c>
      <c r="B1650" s="63">
        <v>173.0</v>
      </c>
      <c r="C1650" s="64" t="s">
        <v>381</v>
      </c>
      <c r="D1650" s="64" t="s">
        <v>382</v>
      </c>
      <c r="E1650" s="64" t="s">
        <v>383</v>
      </c>
      <c r="F1650" s="63">
        <v>8500.0</v>
      </c>
      <c r="G1650" s="63">
        <v>34.13</v>
      </c>
      <c r="H1650" s="66">
        <f t="shared" si="1"/>
        <v>405.06</v>
      </c>
      <c r="I1650" s="81">
        <f>IFERROR(__xludf.DUMMYFUNCTION("IF(G1650="""", """", ROUND(G1650 / MAX(FILTER($G$2:$G5067, $D$2:$D5067=$D1650)) * 100, 2))"),56.88)</f>
        <v>56.88</v>
      </c>
      <c r="J1650" s="81">
        <f>IFERROR(__xludf.DUMMYFUNCTION("IF(H1650="""", """", ROUND(H1650 / MAX(FILTER($H$2:$H5067, $D$2:$D5067=$D1650)) * 100, 2))"),82.79)</f>
        <v>82.79</v>
      </c>
      <c r="K1650" s="2"/>
      <c r="L1650" s="49"/>
      <c r="M1650" s="49"/>
      <c r="N1650" s="49"/>
      <c r="O1650" s="49" t="str">
        <f t="shared" si="2"/>
        <v/>
      </c>
      <c r="P1650" s="49" t="str">
        <f t="shared" si="3"/>
        <v/>
      </c>
      <c r="Q1650" s="84"/>
      <c r="R1650" s="84"/>
      <c r="S1650" s="84"/>
      <c r="T1650" s="84"/>
      <c r="U1650" s="84"/>
      <c r="V1650" s="84"/>
      <c r="W1650" s="84"/>
      <c r="X1650" s="84"/>
      <c r="Y1650" s="84"/>
      <c r="Z1650" s="84"/>
      <c r="AA1650" s="84"/>
      <c r="AB1650" s="84"/>
    </row>
    <row r="1651">
      <c r="A1651" s="69">
        <v>112.0</v>
      </c>
      <c r="B1651" s="69">
        <v>174.0</v>
      </c>
      <c r="C1651" s="86" t="s">
        <v>384</v>
      </c>
      <c r="D1651" s="86" t="s">
        <v>385</v>
      </c>
      <c r="E1651" s="86" t="s">
        <v>386</v>
      </c>
      <c r="F1651" s="69">
        <v>500.0</v>
      </c>
      <c r="G1651" s="69">
        <v>10.0</v>
      </c>
      <c r="H1651" s="68">
        <f t="shared" si="1"/>
        <v>6.98</v>
      </c>
      <c r="I1651" s="81">
        <f>IFERROR(__xludf.DUMMYFUNCTION("IF(G1651="""", """", ROUND(G1651 / MAX(FILTER($G$2:$G5067, $D$2:$D5067=$D1651)) * 100, 2))"),67.8)</f>
        <v>67.8</v>
      </c>
      <c r="J1651" s="81">
        <f>IFERROR(__xludf.DUMMYFUNCTION("IF(H1651="""", """", ROUND(H1651 / MAX(FILTER($H$2:$H5067, $D$2:$D5067=$D1651)) * 100, 2))"),5.41)</f>
        <v>5.41</v>
      </c>
      <c r="K1651" s="2"/>
      <c r="L1651" s="48"/>
      <c r="M1651" s="48"/>
      <c r="N1651" s="48"/>
      <c r="O1651" s="48" t="str">
        <f t="shared" si="2"/>
        <v/>
      </c>
      <c r="P1651" s="48" t="str">
        <f t="shared" si="3"/>
        <v/>
      </c>
      <c r="Q1651" s="84"/>
      <c r="R1651" s="84"/>
      <c r="S1651" s="84"/>
      <c r="T1651" s="84"/>
      <c r="U1651" s="84"/>
      <c r="V1651" s="84"/>
      <c r="W1651" s="84"/>
      <c r="X1651" s="84"/>
      <c r="Y1651" s="84"/>
      <c r="Z1651" s="84"/>
      <c r="AA1651" s="84"/>
      <c r="AB1651" s="84"/>
    </row>
    <row r="1652">
      <c r="A1652" s="63">
        <v>112.0</v>
      </c>
      <c r="B1652" s="63">
        <v>174.0</v>
      </c>
      <c r="C1652" s="64" t="s">
        <v>384</v>
      </c>
      <c r="D1652" s="64" t="s">
        <v>385</v>
      </c>
      <c r="E1652" s="64" t="s">
        <v>386</v>
      </c>
      <c r="F1652" s="63">
        <v>1000.0</v>
      </c>
      <c r="G1652" s="63">
        <v>11.0</v>
      </c>
      <c r="H1652" s="66">
        <f t="shared" si="1"/>
        <v>15.36</v>
      </c>
      <c r="I1652" s="81">
        <f>IFERROR(__xludf.DUMMYFUNCTION("IF(G1652="""", """", ROUND(G1652 / MAX(FILTER($G$2:$G5067, $D$2:$D5067=$D1652)) * 100, 2))"),74.58)</f>
        <v>74.58</v>
      </c>
      <c r="J1652" s="81">
        <f>IFERROR(__xludf.DUMMYFUNCTION("IF(H1652="""", """", ROUND(H1652 / MAX(FILTER($H$2:$H5067, $D$2:$D5067=$D1652)) * 100, 2))"),11.91)</f>
        <v>11.91</v>
      </c>
      <c r="K1652" s="2"/>
      <c r="L1652" s="49"/>
      <c r="M1652" s="49"/>
      <c r="N1652" s="49"/>
      <c r="O1652" s="49" t="str">
        <f t="shared" si="2"/>
        <v/>
      </c>
      <c r="P1652" s="49" t="str">
        <f t="shared" si="3"/>
        <v/>
      </c>
      <c r="Q1652" s="84"/>
      <c r="R1652" s="84"/>
      <c r="S1652" s="84"/>
      <c r="T1652" s="84"/>
      <c r="U1652" s="84"/>
      <c r="V1652" s="84"/>
      <c r="W1652" s="84"/>
      <c r="X1652" s="84"/>
      <c r="Y1652" s="84"/>
      <c r="Z1652" s="84"/>
      <c r="AA1652" s="84"/>
      <c r="AB1652" s="84"/>
    </row>
    <row r="1653">
      <c r="A1653" s="69">
        <v>112.0</v>
      </c>
      <c r="B1653" s="69">
        <v>174.0</v>
      </c>
      <c r="C1653" s="86" t="s">
        <v>384</v>
      </c>
      <c r="D1653" s="86" t="s">
        <v>385</v>
      </c>
      <c r="E1653" s="86" t="s">
        <v>386</v>
      </c>
      <c r="F1653" s="69">
        <v>1500.0</v>
      </c>
      <c r="G1653" s="69">
        <v>11.65</v>
      </c>
      <c r="H1653" s="68">
        <f t="shared" si="1"/>
        <v>24.4</v>
      </c>
      <c r="I1653" s="81">
        <f>IFERROR(__xludf.DUMMYFUNCTION("IF(G1653="""", """", ROUND(G1653 / MAX(FILTER($G$2:$G5067, $D$2:$D5067=$D1653)) * 100, 2))"),78.98)</f>
        <v>78.98</v>
      </c>
      <c r="J1653" s="81">
        <f>IFERROR(__xludf.DUMMYFUNCTION("IF(H1653="""", """", ROUND(H1653 / MAX(FILTER($H$2:$H5067, $D$2:$D5067=$D1653)) * 100, 2))"),18.91)</f>
        <v>18.91</v>
      </c>
      <c r="K1653" s="2"/>
      <c r="L1653" s="48"/>
      <c r="M1653" s="48"/>
      <c r="N1653" s="48"/>
      <c r="O1653" s="48" t="str">
        <f t="shared" si="2"/>
        <v/>
      </c>
      <c r="P1653" s="48" t="str">
        <f t="shared" si="3"/>
        <v/>
      </c>
      <c r="Q1653" s="84"/>
      <c r="R1653" s="84"/>
      <c r="S1653" s="84"/>
      <c r="T1653" s="84"/>
      <c r="U1653" s="84"/>
      <c r="V1653" s="84"/>
      <c r="W1653" s="84"/>
      <c r="X1653" s="84"/>
      <c r="Y1653" s="84"/>
      <c r="Z1653" s="84"/>
      <c r="AA1653" s="84"/>
      <c r="AB1653" s="84"/>
    </row>
    <row r="1654">
      <c r="A1654" s="63">
        <v>112.0</v>
      </c>
      <c r="B1654" s="63">
        <v>174.0</v>
      </c>
      <c r="C1654" s="64" t="s">
        <v>384</v>
      </c>
      <c r="D1654" s="64" t="s">
        <v>385</v>
      </c>
      <c r="E1654" s="64" t="s">
        <v>386</v>
      </c>
      <c r="F1654" s="63">
        <v>2000.0</v>
      </c>
      <c r="G1654" s="63">
        <v>12.3</v>
      </c>
      <c r="H1654" s="66">
        <f t="shared" si="1"/>
        <v>34.35</v>
      </c>
      <c r="I1654" s="81">
        <f>IFERROR(__xludf.DUMMYFUNCTION("IF(G1654="""", """", ROUND(G1654 / MAX(FILTER($G$2:$G5067, $D$2:$D5067=$D1654)) * 100, 2))"),83.39)</f>
        <v>83.39</v>
      </c>
      <c r="J1654" s="81">
        <f>IFERROR(__xludf.DUMMYFUNCTION("IF(H1654="""", """", ROUND(H1654 / MAX(FILTER($H$2:$H5067, $D$2:$D5067=$D1654)) * 100, 2))"),26.63)</f>
        <v>26.63</v>
      </c>
      <c r="K1654" s="2"/>
      <c r="L1654" s="49"/>
      <c r="M1654" s="49"/>
      <c r="N1654" s="49"/>
      <c r="O1654" s="49" t="str">
        <f t="shared" si="2"/>
        <v/>
      </c>
      <c r="P1654" s="49" t="str">
        <f t="shared" si="3"/>
        <v/>
      </c>
      <c r="Q1654" s="84"/>
      <c r="R1654" s="84"/>
      <c r="S1654" s="84"/>
      <c r="T1654" s="84"/>
      <c r="U1654" s="84"/>
      <c r="V1654" s="84"/>
      <c r="W1654" s="84"/>
      <c r="X1654" s="84"/>
      <c r="Y1654" s="84"/>
      <c r="Z1654" s="84"/>
      <c r="AA1654" s="84"/>
      <c r="AB1654" s="84"/>
    </row>
    <row r="1655">
      <c r="A1655" s="69">
        <v>112.0</v>
      </c>
      <c r="B1655" s="69">
        <v>174.0</v>
      </c>
      <c r="C1655" s="86" t="s">
        <v>384</v>
      </c>
      <c r="D1655" s="86" t="s">
        <v>385</v>
      </c>
      <c r="E1655" s="86" t="s">
        <v>386</v>
      </c>
      <c r="F1655" s="69">
        <v>2500.0</v>
      </c>
      <c r="G1655" s="69">
        <v>12.95</v>
      </c>
      <c r="H1655" s="68">
        <f t="shared" si="1"/>
        <v>45.2</v>
      </c>
      <c r="I1655" s="81">
        <f>IFERROR(__xludf.DUMMYFUNCTION("IF(G1655="""", """", ROUND(G1655 / MAX(FILTER($G$2:$G5067, $D$2:$D5067=$D1655)) * 100, 2))"),87.8)</f>
        <v>87.8</v>
      </c>
      <c r="J1655" s="81">
        <f>IFERROR(__xludf.DUMMYFUNCTION("IF(H1655="""", """", ROUND(H1655 / MAX(FILTER($H$2:$H5067, $D$2:$D5067=$D1655)) * 100, 2))"),35.04)</f>
        <v>35.04</v>
      </c>
      <c r="K1655" s="2"/>
      <c r="L1655" s="48"/>
      <c r="M1655" s="48"/>
      <c r="N1655" s="48"/>
      <c r="O1655" s="48" t="str">
        <f t="shared" si="2"/>
        <v/>
      </c>
      <c r="P1655" s="48" t="str">
        <f t="shared" si="3"/>
        <v/>
      </c>
      <c r="Q1655" s="84"/>
      <c r="R1655" s="84"/>
      <c r="S1655" s="84"/>
      <c r="T1655" s="84"/>
      <c r="U1655" s="84"/>
      <c r="V1655" s="84"/>
      <c r="W1655" s="84"/>
      <c r="X1655" s="84"/>
      <c r="Y1655" s="84"/>
      <c r="Z1655" s="84"/>
      <c r="AA1655" s="84"/>
      <c r="AB1655" s="84"/>
    </row>
    <row r="1656">
      <c r="A1656" s="63">
        <v>112.0</v>
      </c>
      <c r="B1656" s="63">
        <v>174.0</v>
      </c>
      <c r="C1656" s="64" t="s">
        <v>384</v>
      </c>
      <c r="D1656" s="64" t="s">
        <v>385</v>
      </c>
      <c r="E1656" s="64" t="s">
        <v>386</v>
      </c>
      <c r="F1656" s="63">
        <v>3000.0</v>
      </c>
      <c r="G1656" s="63">
        <v>13.2</v>
      </c>
      <c r="H1656" s="66">
        <f t="shared" si="1"/>
        <v>55.29</v>
      </c>
      <c r="I1656" s="81">
        <f>IFERROR(__xludf.DUMMYFUNCTION("IF(G1656="""", """", ROUND(G1656 / MAX(FILTER($G$2:$G5067, $D$2:$D5067=$D1656)) * 100, 2))"),89.49)</f>
        <v>89.49</v>
      </c>
      <c r="J1656" s="81">
        <f>IFERROR(__xludf.DUMMYFUNCTION("IF(H1656="""", """", ROUND(H1656 / MAX(FILTER($H$2:$H5067, $D$2:$D5067=$D1656)) * 100, 2))"),42.86)</f>
        <v>42.86</v>
      </c>
      <c r="K1656" s="2"/>
      <c r="L1656" s="49"/>
      <c r="M1656" s="49"/>
      <c r="N1656" s="49"/>
      <c r="O1656" s="49" t="str">
        <f t="shared" si="2"/>
        <v/>
      </c>
      <c r="P1656" s="49" t="str">
        <f t="shared" si="3"/>
        <v/>
      </c>
      <c r="Q1656" s="84"/>
      <c r="R1656" s="84"/>
      <c r="S1656" s="84"/>
      <c r="T1656" s="84"/>
      <c r="U1656" s="84"/>
      <c r="V1656" s="84"/>
      <c r="W1656" s="84"/>
      <c r="X1656" s="84"/>
      <c r="Y1656" s="84"/>
      <c r="Z1656" s="84"/>
      <c r="AA1656" s="84"/>
      <c r="AB1656" s="84"/>
    </row>
    <row r="1657">
      <c r="A1657" s="69">
        <v>112.0</v>
      </c>
      <c r="B1657" s="69">
        <v>174.0</v>
      </c>
      <c r="C1657" s="86" t="s">
        <v>384</v>
      </c>
      <c r="D1657" s="86" t="s">
        <v>385</v>
      </c>
      <c r="E1657" s="86" t="s">
        <v>386</v>
      </c>
      <c r="F1657" s="69">
        <v>3500.0</v>
      </c>
      <c r="G1657" s="69">
        <v>13.85</v>
      </c>
      <c r="H1657" s="68">
        <f t="shared" si="1"/>
        <v>67.68</v>
      </c>
      <c r="I1657" s="81">
        <f>IFERROR(__xludf.DUMMYFUNCTION("IF(G1657="""", """", ROUND(G1657 / MAX(FILTER($G$2:$G5067, $D$2:$D5067=$D1657)) * 100, 2))"),93.9)</f>
        <v>93.9</v>
      </c>
      <c r="J1657" s="81">
        <f>IFERROR(__xludf.DUMMYFUNCTION("IF(H1657="""", """", ROUND(H1657 / MAX(FILTER($H$2:$H5067, $D$2:$D5067=$D1657)) * 100, 2))"),52.46)</f>
        <v>52.46</v>
      </c>
      <c r="K1657" s="2"/>
      <c r="L1657" s="48"/>
      <c r="M1657" s="48"/>
      <c r="N1657" s="48"/>
      <c r="O1657" s="48" t="str">
        <f t="shared" si="2"/>
        <v/>
      </c>
      <c r="P1657" s="48" t="str">
        <f t="shared" si="3"/>
        <v/>
      </c>
      <c r="Q1657" s="84"/>
      <c r="R1657" s="84"/>
      <c r="S1657" s="84"/>
      <c r="T1657" s="84"/>
      <c r="U1657" s="84"/>
      <c r="V1657" s="84"/>
      <c r="W1657" s="84"/>
      <c r="X1657" s="84"/>
      <c r="Y1657" s="84"/>
      <c r="Z1657" s="84"/>
      <c r="AA1657" s="84"/>
      <c r="AB1657" s="84"/>
    </row>
    <row r="1658">
      <c r="A1658" s="63">
        <v>112.0</v>
      </c>
      <c r="B1658" s="63">
        <v>174.0</v>
      </c>
      <c r="C1658" s="64" t="s">
        <v>384</v>
      </c>
      <c r="D1658" s="64" t="s">
        <v>385</v>
      </c>
      <c r="E1658" s="64" t="s">
        <v>386</v>
      </c>
      <c r="F1658" s="63">
        <v>4000.0</v>
      </c>
      <c r="G1658" s="63">
        <v>14.4</v>
      </c>
      <c r="H1658" s="66">
        <f t="shared" si="1"/>
        <v>80.42</v>
      </c>
      <c r="I1658" s="81">
        <f>IFERROR(__xludf.DUMMYFUNCTION("IF(G1658="""", """", ROUND(G1658 / MAX(FILTER($G$2:$G5067, $D$2:$D5067=$D1658)) * 100, 2))"),97.63)</f>
        <v>97.63</v>
      </c>
      <c r="J1658" s="81">
        <f>IFERROR(__xludf.DUMMYFUNCTION("IF(H1658="""", """", ROUND(H1658 / MAX(FILTER($H$2:$H5067, $D$2:$D5067=$D1658)) * 100, 2))"),62.34)</f>
        <v>62.34</v>
      </c>
      <c r="K1658" s="2"/>
      <c r="L1658" s="49"/>
      <c r="M1658" s="49"/>
      <c r="N1658" s="49"/>
      <c r="O1658" s="49" t="str">
        <f t="shared" si="2"/>
        <v/>
      </c>
      <c r="P1658" s="49" t="str">
        <f t="shared" si="3"/>
        <v/>
      </c>
      <c r="Q1658" s="84"/>
      <c r="R1658" s="84"/>
      <c r="S1658" s="84"/>
      <c r="T1658" s="84"/>
      <c r="U1658" s="84"/>
      <c r="V1658" s="84"/>
      <c r="W1658" s="84"/>
      <c r="X1658" s="84"/>
      <c r="Y1658" s="84"/>
      <c r="Z1658" s="84"/>
      <c r="AA1658" s="84"/>
      <c r="AB1658" s="84"/>
    </row>
    <row r="1659">
      <c r="A1659" s="69">
        <v>112.0</v>
      </c>
      <c r="B1659" s="69">
        <v>174.0</v>
      </c>
      <c r="C1659" s="86" t="s">
        <v>384</v>
      </c>
      <c r="D1659" s="86" t="s">
        <v>385</v>
      </c>
      <c r="E1659" s="86" t="s">
        <v>386</v>
      </c>
      <c r="F1659" s="69">
        <v>4600.0</v>
      </c>
      <c r="G1659" s="69">
        <v>14.75</v>
      </c>
      <c r="H1659" s="68">
        <f t="shared" si="1"/>
        <v>94.74</v>
      </c>
      <c r="I1659" s="81">
        <f>IFERROR(__xludf.DUMMYFUNCTION("IF(G1659="""", """", ROUND(G1659 / MAX(FILTER($G$2:$G5067, $D$2:$D5067=$D1659)) * 100, 2))"),100.0)</f>
        <v>100</v>
      </c>
      <c r="J1659" s="81">
        <f>IFERROR(__xludf.DUMMYFUNCTION("IF(H1659="""", """", ROUND(H1659 / MAX(FILTER($H$2:$H5067, $D$2:$D5067=$D1659)) * 100, 2))"),73.44)</f>
        <v>73.44</v>
      </c>
      <c r="K1659" s="2"/>
      <c r="L1659" s="48"/>
      <c r="M1659" s="48"/>
      <c r="N1659" s="48"/>
      <c r="O1659" s="48" t="str">
        <f t="shared" si="2"/>
        <v/>
      </c>
      <c r="P1659" s="48" t="str">
        <f t="shared" si="3"/>
        <v/>
      </c>
      <c r="Q1659" s="84"/>
      <c r="R1659" s="84"/>
      <c r="S1659" s="84"/>
      <c r="T1659" s="84"/>
      <c r="U1659" s="84"/>
      <c r="V1659" s="84"/>
      <c r="W1659" s="84"/>
      <c r="X1659" s="84"/>
      <c r="Y1659" s="84"/>
      <c r="Z1659" s="84"/>
      <c r="AA1659" s="84"/>
      <c r="AB1659" s="84"/>
    </row>
    <row r="1660">
      <c r="A1660" s="63">
        <v>112.0</v>
      </c>
      <c r="B1660" s="63">
        <v>174.0</v>
      </c>
      <c r="C1660" s="64" t="s">
        <v>384</v>
      </c>
      <c r="D1660" s="64" t="s">
        <v>385</v>
      </c>
      <c r="E1660" s="64" t="s">
        <v>386</v>
      </c>
      <c r="F1660" s="63">
        <v>5200.0</v>
      </c>
      <c r="G1660" s="63">
        <v>14.75</v>
      </c>
      <c r="H1660" s="66">
        <f t="shared" si="1"/>
        <v>107.09</v>
      </c>
      <c r="I1660" s="81">
        <f>IFERROR(__xludf.DUMMYFUNCTION("IF(G1660="""", """", ROUND(G1660 / MAX(FILTER($G$2:$G5067, $D$2:$D5067=$D1660)) * 100, 2))"),100.0)</f>
        <v>100</v>
      </c>
      <c r="J1660" s="81">
        <f>IFERROR(__xludf.DUMMYFUNCTION("IF(H1660="""", """", ROUND(H1660 / MAX(FILTER($H$2:$H5067, $D$2:$D5067=$D1660)) * 100, 2))"),83.01)</f>
        <v>83.01</v>
      </c>
      <c r="K1660" s="2"/>
      <c r="L1660" s="49"/>
      <c r="M1660" s="49"/>
      <c r="N1660" s="49"/>
      <c r="O1660" s="49" t="str">
        <f t="shared" si="2"/>
        <v/>
      </c>
      <c r="P1660" s="49" t="str">
        <f t="shared" si="3"/>
        <v/>
      </c>
      <c r="Q1660" s="84"/>
      <c r="R1660" s="84"/>
      <c r="S1660" s="84"/>
      <c r="T1660" s="84"/>
      <c r="U1660" s="84"/>
      <c r="V1660" s="84"/>
      <c r="W1660" s="84"/>
      <c r="X1660" s="84"/>
      <c r="Y1660" s="84"/>
      <c r="Z1660" s="84"/>
      <c r="AA1660" s="84"/>
      <c r="AB1660" s="84"/>
    </row>
    <row r="1661">
      <c r="A1661" s="69">
        <v>112.0</v>
      </c>
      <c r="B1661" s="69">
        <v>174.0</v>
      </c>
      <c r="C1661" s="86" t="s">
        <v>384</v>
      </c>
      <c r="D1661" s="86" t="s">
        <v>385</v>
      </c>
      <c r="E1661" s="86" t="s">
        <v>386</v>
      </c>
      <c r="F1661" s="69">
        <v>5600.0</v>
      </c>
      <c r="G1661" s="69">
        <v>14.62</v>
      </c>
      <c r="H1661" s="68">
        <f t="shared" si="1"/>
        <v>114.31</v>
      </c>
      <c r="I1661" s="81">
        <f>IFERROR(__xludf.DUMMYFUNCTION("IF(G1661="""", """", ROUND(G1661 / MAX(FILTER($G$2:$G5067, $D$2:$D5067=$D1661)) * 100, 2))"),99.12)</f>
        <v>99.12</v>
      </c>
      <c r="J1661" s="81">
        <f>IFERROR(__xludf.DUMMYFUNCTION("IF(H1661="""", """", ROUND(H1661 / MAX(FILTER($H$2:$H5067, $D$2:$D5067=$D1661)) * 100, 2))"),88.61)</f>
        <v>88.61</v>
      </c>
      <c r="K1661" s="2"/>
      <c r="L1661" s="48"/>
      <c r="M1661" s="48"/>
      <c r="N1661" s="48"/>
      <c r="O1661" s="48" t="str">
        <f t="shared" si="2"/>
        <v/>
      </c>
      <c r="P1661" s="48" t="str">
        <f t="shared" si="3"/>
        <v/>
      </c>
      <c r="Q1661" s="84"/>
      <c r="R1661" s="84"/>
      <c r="S1661" s="84"/>
      <c r="T1661" s="84"/>
      <c r="U1661" s="84"/>
      <c r="V1661" s="84"/>
      <c r="W1661" s="84"/>
      <c r="X1661" s="84"/>
      <c r="Y1661" s="84"/>
      <c r="Z1661" s="84"/>
      <c r="AA1661" s="84"/>
      <c r="AB1661" s="84"/>
    </row>
    <row r="1662">
      <c r="A1662" s="63">
        <v>112.0</v>
      </c>
      <c r="B1662" s="63">
        <v>174.0</v>
      </c>
      <c r="C1662" s="64" t="s">
        <v>384</v>
      </c>
      <c r="D1662" s="64" t="s">
        <v>385</v>
      </c>
      <c r="E1662" s="64" t="s">
        <v>386</v>
      </c>
      <c r="F1662" s="63">
        <v>6000.0</v>
      </c>
      <c r="G1662" s="63">
        <v>14.46</v>
      </c>
      <c r="H1662" s="66">
        <f t="shared" si="1"/>
        <v>121.14</v>
      </c>
      <c r="I1662" s="81">
        <f>IFERROR(__xludf.DUMMYFUNCTION("IF(G1662="""", """", ROUND(G1662 / MAX(FILTER($G$2:$G5067, $D$2:$D5067=$D1662)) * 100, 2))"),98.03)</f>
        <v>98.03</v>
      </c>
      <c r="J1662" s="81">
        <f>IFERROR(__xludf.DUMMYFUNCTION("IF(H1662="""", """", ROUND(H1662 / MAX(FILTER($H$2:$H5067, $D$2:$D5067=$D1662)) * 100, 2))"),93.9)</f>
        <v>93.9</v>
      </c>
      <c r="K1662" s="2"/>
      <c r="L1662" s="49"/>
      <c r="M1662" s="49"/>
      <c r="N1662" s="49"/>
      <c r="O1662" s="49" t="str">
        <f t="shared" si="2"/>
        <v/>
      </c>
      <c r="P1662" s="49" t="str">
        <f t="shared" si="3"/>
        <v/>
      </c>
      <c r="Q1662" s="84"/>
      <c r="R1662" s="84"/>
      <c r="S1662" s="84"/>
      <c r="T1662" s="84"/>
      <c r="U1662" s="84"/>
      <c r="V1662" s="84"/>
      <c r="W1662" s="84"/>
      <c r="X1662" s="84"/>
      <c r="Y1662" s="84"/>
      <c r="Z1662" s="84"/>
      <c r="AA1662" s="84"/>
      <c r="AB1662" s="84"/>
    </row>
    <row r="1663">
      <c r="A1663" s="69">
        <v>112.0</v>
      </c>
      <c r="B1663" s="69">
        <v>174.0</v>
      </c>
      <c r="C1663" s="86" t="s">
        <v>384</v>
      </c>
      <c r="D1663" s="86" t="s">
        <v>385</v>
      </c>
      <c r="E1663" s="86" t="s">
        <v>386</v>
      </c>
      <c r="F1663" s="69">
        <v>6600.0</v>
      </c>
      <c r="G1663" s="69">
        <v>13.95</v>
      </c>
      <c r="H1663" s="68">
        <f t="shared" si="1"/>
        <v>128.55</v>
      </c>
      <c r="I1663" s="81">
        <f>IFERROR(__xludf.DUMMYFUNCTION("IF(G1663="""", """", ROUND(G1663 / MAX(FILTER($G$2:$G5067, $D$2:$D5067=$D1663)) * 100, 2))"),94.58)</f>
        <v>94.58</v>
      </c>
      <c r="J1663" s="81">
        <f>IFERROR(__xludf.DUMMYFUNCTION("IF(H1663="""", """", ROUND(H1663 / MAX(FILTER($H$2:$H5067, $D$2:$D5067=$D1663)) * 100, 2))"),99.64)</f>
        <v>99.64</v>
      </c>
      <c r="K1663" s="2"/>
      <c r="L1663" s="48"/>
      <c r="M1663" s="48"/>
      <c r="N1663" s="48"/>
      <c r="O1663" s="48" t="str">
        <f t="shared" si="2"/>
        <v/>
      </c>
      <c r="P1663" s="48" t="str">
        <f t="shared" si="3"/>
        <v/>
      </c>
      <c r="Q1663" s="84"/>
      <c r="R1663" s="84"/>
      <c r="S1663" s="84"/>
      <c r="T1663" s="84"/>
      <c r="U1663" s="84"/>
      <c r="V1663" s="84"/>
      <c r="W1663" s="84"/>
      <c r="X1663" s="84"/>
      <c r="Y1663" s="84"/>
      <c r="Z1663" s="84"/>
      <c r="AA1663" s="84"/>
      <c r="AB1663" s="84"/>
    </row>
    <row r="1664">
      <c r="A1664" s="63">
        <v>112.0</v>
      </c>
      <c r="B1664" s="63">
        <v>174.0</v>
      </c>
      <c r="C1664" s="64" t="s">
        <v>384</v>
      </c>
      <c r="D1664" s="64" t="s">
        <v>385</v>
      </c>
      <c r="E1664" s="64" t="s">
        <v>386</v>
      </c>
      <c r="F1664" s="63">
        <v>7000.0</v>
      </c>
      <c r="G1664" s="63">
        <v>13.2</v>
      </c>
      <c r="H1664" s="66">
        <f t="shared" si="1"/>
        <v>129.01</v>
      </c>
      <c r="I1664" s="81">
        <f>IFERROR(__xludf.DUMMYFUNCTION("IF(G1664="""", """", ROUND(G1664 / MAX(FILTER($G$2:$G5067, $D$2:$D5067=$D1664)) * 100, 2))"),89.49)</f>
        <v>89.49</v>
      </c>
      <c r="J1664" s="81">
        <f>IFERROR(__xludf.DUMMYFUNCTION("IF(H1664="""", """", ROUND(H1664 / MAX(FILTER($H$2:$H5067, $D$2:$D5067=$D1664)) * 100, 2))"),100.0)</f>
        <v>100</v>
      </c>
      <c r="K1664" s="2"/>
      <c r="L1664" s="49"/>
      <c r="M1664" s="49"/>
      <c r="N1664" s="49"/>
      <c r="O1664" s="49" t="str">
        <f t="shared" si="2"/>
        <v/>
      </c>
      <c r="P1664" s="49" t="str">
        <f t="shared" si="3"/>
        <v/>
      </c>
      <c r="Q1664" s="84"/>
      <c r="R1664" s="84"/>
      <c r="S1664" s="84"/>
      <c r="T1664" s="84"/>
      <c r="U1664" s="84"/>
      <c r="V1664" s="84"/>
      <c r="W1664" s="84"/>
      <c r="X1664" s="84"/>
      <c r="Y1664" s="84"/>
      <c r="Z1664" s="84"/>
      <c r="AA1664" s="84"/>
      <c r="AB1664" s="84"/>
    </row>
    <row r="1665">
      <c r="A1665" s="69">
        <v>112.0</v>
      </c>
      <c r="B1665" s="69">
        <v>174.0</v>
      </c>
      <c r="C1665" s="86" t="s">
        <v>384</v>
      </c>
      <c r="D1665" s="86" t="s">
        <v>385</v>
      </c>
      <c r="E1665" s="86" t="s">
        <v>386</v>
      </c>
      <c r="F1665" s="69">
        <v>7500.0</v>
      </c>
      <c r="G1665" s="69">
        <v>11.75</v>
      </c>
      <c r="H1665" s="68">
        <f t="shared" si="1"/>
        <v>123.05</v>
      </c>
      <c r="I1665" s="81">
        <f>IFERROR(__xludf.DUMMYFUNCTION("IF(G1665="""", """", ROUND(G1665 / MAX(FILTER($G$2:$G5067, $D$2:$D5067=$D1665)) * 100, 2))"),79.66)</f>
        <v>79.66</v>
      </c>
      <c r="J1665" s="81">
        <f>IFERROR(__xludf.DUMMYFUNCTION("IF(H1665="""", """", ROUND(H1665 / MAX(FILTER($H$2:$H5067, $D$2:$D5067=$D1665)) * 100, 2))"),95.38)</f>
        <v>95.38</v>
      </c>
      <c r="K1665" s="2"/>
      <c r="L1665" s="48"/>
      <c r="M1665" s="48"/>
      <c r="N1665" s="48"/>
      <c r="O1665" s="48" t="str">
        <f t="shared" si="2"/>
        <v/>
      </c>
      <c r="P1665" s="48" t="str">
        <f t="shared" si="3"/>
        <v/>
      </c>
      <c r="Q1665" s="84"/>
      <c r="R1665" s="84"/>
      <c r="S1665" s="84"/>
      <c r="T1665" s="84"/>
      <c r="U1665" s="84"/>
      <c r="V1665" s="84"/>
      <c r="W1665" s="84"/>
      <c r="X1665" s="84"/>
      <c r="Y1665" s="84"/>
      <c r="Z1665" s="84"/>
      <c r="AA1665" s="84"/>
      <c r="AB1665" s="84"/>
    </row>
    <row r="1666">
      <c r="A1666" s="63">
        <v>112.0</v>
      </c>
      <c r="B1666" s="63">
        <v>174.0</v>
      </c>
      <c r="C1666" s="64" t="s">
        <v>384</v>
      </c>
      <c r="D1666" s="64" t="s">
        <v>385</v>
      </c>
      <c r="E1666" s="64" t="s">
        <v>386</v>
      </c>
      <c r="F1666" s="63">
        <v>8000.0</v>
      </c>
      <c r="G1666" s="63">
        <v>9.55</v>
      </c>
      <c r="H1666" s="66">
        <f t="shared" si="1"/>
        <v>106.67</v>
      </c>
      <c r="I1666" s="81">
        <f>IFERROR(__xludf.DUMMYFUNCTION("IF(G1666="""", """", ROUND(G1666 / MAX(FILTER($G$2:$G5067, $D$2:$D5067=$D1666)) * 100, 2))"),64.75)</f>
        <v>64.75</v>
      </c>
      <c r="J1666" s="81">
        <f>IFERROR(__xludf.DUMMYFUNCTION("IF(H1666="""", """", ROUND(H1666 / MAX(FILTER($H$2:$H5067, $D$2:$D5067=$D1666)) * 100, 2))"),82.68)</f>
        <v>82.68</v>
      </c>
      <c r="K1666" s="2"/>
      <c r="L1666" s="49"/>
      <c r="M1666" s="49"/>
      <c r="N1666" s="49"/>
      <c r="O1666" s="49" t="str">
        <f t="shared" si="2"/>
        <v/>
      </c>
      <c r="P1666" s="49" t="str">
        <f t="shared" si="3"/>
        <v/>
      </c>
      <c r="Q1666" s="84"/>
      <c r="R1666" s="84"/>
      <c r="S1666" s="84"/>
      <c r="T1666" s="84"/>
      <c r="U1666" s="84"/>
      <c r="V1666" s="84"/>
      <c r="W1666" s="84"/>
      <c r="X1666" s="84"/>
      <c r="Y1666" s="84"/>
      <c r="Z1666" s="84"/>
      <c r="AA1666" s="84"/>
      <c r="AB1666" s="84"/>
    </row>
    <row r="1667">
      <c r="A1667" s="69">
        <v>113.0</v>
      </c>
      <c r="B1667" s="69">
        <v>175.0</v>
      </c>
      <c r="C1667" s="86" t="s">
        <v>387</v>
      </c>
      <c r="D1667" s="86" t="s">
        <v>388</v>
      </c>
      <c r="E1667" s="86" t="s">
        <v>389</v>
      </c>
      <c r="F1667" s="69">
        <v>500.0</v>
      </c>
      <c r="G1667" s="69">
        <v>14.77</v>
      </c>
      <c r="H1667" s="68">
        <f t="shared" si="1"/>
        <v>10.31</v>
      </c>
      <c r="I1667" s="81">
        <f>IFERROR(__xludf.DUMMYFUNCTION("IF(G1667="""", """", ROUND(G1667 / MAX(FILTER($G$2:$G5067, $D$2:$D5067=$D1667)) * 100, 2))"),47.65)</f>
        <v>47.65</v>
      </c>
      <c r="J1667" s="81">
        <f>IFERROR(__xludf.DUMMYFUNCTION("IF(H1667="""", """", ROUND(H1667 / MAX(FILTER($H$2:$H5067, $D$2:$D5067=$D1667)) * 100, 2))"),4.05)</f>
        <v>4.05</v>
      </c>
      <c r="K1667" s="2"/>
      <c r="L1667" s="48"/>
      <c r="M1667" s="48"/>
      <c r="N1667" s="48"/>
      <c r="O1667" s="48" t="str">
        <f t="shared" si="2"/>
        <v/>
      </c>
      <c r="P1667" s="48" t="str">
        <f t="shared" si="3"/>
        <v/>
      </c>
      <c r="Q1667" s="84"/>
      <c r="R1667" s="84"/>
      <c r="S1667" s="84"/>
      <c r="T1667" s="84"/>
      <c r="U1667" s="84"/>
      <c r="V1667" s="84"/>
      <c r="W1667" s="84"/>
      <c r="X1667" s="84"/>
      <c r="Y1667" s="84"/>
      <c r="Z1667" s="84"/>
      <c r="AA1667" s="84"/>
      <c r="AB1667" s="84"/>
    </row>
    <row r="1668">
      <c r="A1668" s="63">
        <v>113.0</v>
      </c>
      <c r="B1668" s="63">
        <v>175.0</v>
      </c>
      <c r="C1668" s="64" t="s">
        <v>387</v>
      </c>
      <c r="D1668" s="64" t="s">
        <v>388</v>
      </c>
      <c r="E1668" s="64" t="s">
        <v>389</v>
      </c>
      <c r="F1668" s="63">
        <v>1000.0</v>
      </c>
      <c r="G1668" s="63">
        <v>17.43</v>
      </c>
      <c r="H1668" s="66">
        <f t="shared" si="1"/>
        <v>24.34</v>
      </c>
      <c r="I1668" s="81">
        <f>IFERROR(__xludf.DUMMYFUNCTION("IF(G1668="""", """", ROUND(G1668 / MAX(FILTER($G$2:$G5067, $D$2:$D5067=$D1668)) * 100, 2))"),56.23)</f>
        <v>56.23</v>
      </c>
      <c r="J1668" s="81">
        <f>IFERROR(__xludf.DUMMYFUNCTION("IF(H1668="""", """", ROUND(H1668 / MAX(FILTER($H$2:$H5067, $D$2:$D5067=$D1668)) * 100, 2))"),9.57)</f>
        <v>9.57</v>
      </c>
      <c r="K1668" s="2"/>
      <c r="L1668" s="49"/>
      <c r="M1668" s="49"/>
      <c r="N1668" s="49"/>
      <c r="O1668" s="49" t="str">
        <f t="shared" si="2"/>
        <v/>
      </c>
      <c r="P1668" s="49" t="str">
        <f t="shared" si="3"/>
        <v/>
      </c>
      <c r="Q1668" s="84"/>
      <c r="R1668" s="84"/>
      <c r="S1668" s="84"/>
      <c r="T1668" s="84"/>
      <c r="U1668" s="84"/>
      <c r="V1668" s="84"/>
      <c r="W1668" s="84"/>
      <c r="X1668" s="84"/>
      <c r="Y1668" s="84"/>
      <c r="Z1668" s="84"/>
      <c r="AA1668" s="84"/>
      <c r="AB1668" s="84"/>
    </row>
    <row r="1669">
      <c r="A1669" s="69">
        <v>113.0</v>
      </c>
      <c r="B1669" s="69">
        <v>175.0</v>
      </c>
      <c r="C1669" s="86" t="s">
        <v>387</v>
      </c>
      <c r="D1669" s="86" t="s">
        <v>388</v>
      </c>
      <c r="E1669" s="86" t="s">
        <v>389</v>
      </c>
      <c r="F1669" s="69">
        <v>1500.0</v>
      </c>
      <c r="G1669" s="69">
        <v>19.2</v>
      </c>
      <c r="H1669" s="68">
        <f t="shared" si="1"/>
        <v>40.21</v>
      </c>
      <c r="I1669" s="81">
        <f>IFERROR(__xludf.DUMMYFUNCTION("IF(G1669="""", """", ROUND(G1669 / MAX(FILTER($G$2:$G5067, $D$2:$D5067=$D1669)) * 100, 2))"),61.94)</f>
        <v>61.94</v>
      </c>
      <c r="J1669" s="81">
        <f>IFERROR(__xludf.DUMMYFUNCTION("IF(H1669="""", """", ROUND(H1669 / MAX(FILTER($H$2:$H5067, $D$2:$D5067=$D1669)) * 100, 2))"),15.8)</f>
        <v>15.8</v>
      </c>
      <c r="K1669" s="2"/>
      <c r="L1669" s="48"/>
      <c r="M1669" s="48"/>
      <c r="N1669" s="48"/>
      <c r="O1669" s="48" t="str">
        <f t="shared" si="2"/>
        <v/>
      </c>
      <c r="P1669" s="48" t="str">
        <f t="shared" si="3"/>
        <v/>
      </c>
      <c r="Q1669" s="84"/>
      <c r="R1669" s="84"/>
      <c r="S1669" s="84"/>
      <c r="T1669" s="84"/>
      <c r="U1669" s="84"/>
      <c r="V1669" s="84"/>
      <c r="W1669" s="84"/>
      <c r="X1669" s="84"/>
      <c r="Y1669" s="84"/>
      <c r="Z1669" s="84"/>
      <c r="AA1669" s="84"/>
      <c r="AB1669" s="84"/>
    </row>
    <row r="1670">
      <c r="A1670" s="63">
        <v>113.0</v>
      </c>
      <c r="B1670" s="63">
        <v>175.0</v>
      </c>
      <c r="C1670" s="64" t="s">
        <v>387</v>
      </c>
      <c r="D1670" s="64" t="s">
        <v>388</v>
      </c>
      <c r="E1670" s="64" t="s">
        <v>389</v>
      </c>
      <c r="F1670" s="63">
        <v>2000.0</v>
      </c>
      <c r="G1670" s="63">
        <v>20.47</v>
      </c>
      <c r="H1670" s="66">
        <f t="shared" si="1"/>
        <v>57.16</v>
      </c>
      <c r="I1670" s="81">
        <f>IFERROR(__xludf.DUMMYFUNCTION("IF(G1670="""", """", ROUND(G1670 / MAX(FILTER($G$2:$G5067, $D$2:$D5067=$D1670)) * 100, 2))"),66.03)</f>
        <v>66.03</v>
      </c>
      <c r="J1670" s="81">
        <f>IFERROR(__xludf.DUMMYFUNCTION("IF(H1670="""", """", ROUND(H1670 / MAX(FILTER($H$2:$H5067, $D$2:$D5067=$D1670)) * 100, 2))"),22.47)</f>
        <v>22.47</v>
      </c>
      <c r="K1670" s="2"/>
      <c r="L1670" s="49"/>
      <c r="M1670" s="49"/>
      <c r="N1670" s="49"/>
      <c r="O1670" s="49" t="str">
        <f t="shared" si="2"/>
        <v/>
      </c>
      <c r="P1670" s="49" t="str">
        <f t="shared" si="3"/>
        <v/>
      </c>
      <c r="Q1670" s="84"/>
      <c r="R1670" s="84"/>
      <c r="S1670" s="84"/>
      <c r="T1670" s="84"/>
      <c r="U1670" s="84"/>
      <c r="V1670" s="84"/>
      <c r="W1670" s="84"/>
      <c r="X1670" s="84"/>
      <c r="Y1670" s="84"/>
      <c r="Z1670" s="84"/>
      <c r="AA1670" s="84"/>
      <c r="AB1670" s="84"/>
    </row>
    <row r="1671">
      <c r="A1671" s="69">
        <v>113.0</v>
      </c>
      <c r="B1671" s="69">
        <v>175.0</v>
      </c>
      <c r="C1671" s="86" t="s">
        <v>387</v>
      </c>
      <c r="D1671" s="86" t="s">
        <v>388</v>
      </c>
      <c r="E1671" s="86" t="s">
        <v>389</v>
      </c>
      <c r="F1671" s="69">
        <v>2500.0</v>
      </c>
      <c r="G1671" s="69">
        <v>23.33</v>
      </c>
      <c r="H1671" s="68">
        <f t="shared" si="1"/>
        <v>81.44</v>
      </c>
      <c r="I1671" s="81">
        <f>IFERROR(__xludf.DUMMYFUNCTION("IF(G1671="""", """", ROUND(G1671 / MAX(FILTER($G$2:$G5067, $D$2:$D5067=$D1671)) * 100, 2))"),75.26)</f>
        <v>75.26</v>
      </c>
      <c r="J1671" s="81">
        <f>IFERROR(__xludf.DUMMYFUNCTION("IF(H1671="""", """", ROUND(H1671 / MAX(FILTER($H$2:$H5067, $D$2:$D5067=$D1671)) * 100, 2))"),32.01)</f>
        <v>32.01</v>
      </c>
      <c r="K1671" s="2"/>
      <c r="L1671" s="48"/>
      <c r="M1671" s="48"/>
      <c r="N1671" s="48"/>
      <c r="O1671" s="48" t="str">
        <f t="shared" si="2"/>
        <v/>
      </c>
      <c r="P1671" s="48" t="str">
        <f t="shared" si="3"/>
        <v/>
      </c>
      <c r="Q1671" s="84"/>
      <c r="R1671" s="84"/>
      <c r="S1671" s="84"/>
      <c r="T1671" s="84"/>
      <c r="U1671" s="84"/>
      <c r="V1671" s="84"/>
      <c r="W1671" s="84"/>
      <c r="X1671" s="84"/>
      <c r="Y1671" s="84"/>
      <c r="Z1671" s="84"/>
      <c r="AA1671" s="84"/>
      <c r="AB1671" s="84"/>
    </row>
    <row r="1672">
      <c r="A1672" s="63">
        <v>113.0</v>
      </c>
      <c r="B1672" s="63">
        <v>175.0</v>
      </c>
      <c r="C1672" s="64" t="s">
        <v>387</v>
      </c>
      <c r="D1672" s="64" t="s">
        <v>388</v>
      </c>
      <c r="E1672" s="64" t="s">
        <v>389</v>
      </c>
      <c r="F1672" s="63">
        <v>3000.0</v>
      </c>
      <c r="G1672" s="63">
        <v>30.04</v>
      </c>
      <c r="H1672" s="66">
        <f t="shared" si="1"/>
        <v>125.83</v>
      </c>
      <c r="I1672" s="81">
        <f>IFERROR(__xludf.DUMMYFUNCTION("IF(G1672="""", """", ROUND(G1672 / MAX(FILTER($G$2:$G5067, $D$2:$D5067=$D1672)) * 100, 2))"),96.9)</f>
        <v>96.9</v>
      </c>
      <c r="J1672" s="81">
        <f>IFERROR(__xludf.DUMMYFUNCTION("IF(H1672="""", """", ROUND(H1672 / MAX(FILTER($H$2:$H5067, $D$2:$D5067=$D1672)) * 100, 2))"),49.46)</f>
        <v>49.46</v>
      </c>
      <c r="K1672" s="2"/>
      <c r="L1672" s="49"/>
      <c r="M1672" s="49"/>
      <c r="N1672" s="49"/>
      <c r="O1672" s="49" t="str">
        <f t="shared" si="2"/>
        <v/>
      </c>
      <c r="P1672" s="49" t="str">
        <f t="shared" si="3"/>
        <v/>
      </c>
      <c r="Q1672" s="84"/>
      <c r="R1672" s="84"/>
      <c r="S1672" s="84"/>
      <c r="T1672" s="84"/>
      <c r="U1672" s="84"/>
      <c r="V1672" s="84"/>
      <c r="W1672" s="84"/>
      <c r="X1672" s="84"/>
      <c r="Y1672" s="84"/>
      <c r="Z1672" s="84"/>
      <c r="AA1672" s="84"/>
      <c r="AB1672" s="84"/>
    </row>
    <row r="1673">
      <c r="A1673" s="69">
        <v>113.0</v>
      </c>
      <c r="B1673" s="69">
        <v>175.0</v>
      </c>
      <c r="C1673" s="86" t="s">
        <v>387</v>
      </c>
      <c r="D1673" s="86" t="s">
        <v>388</v>
      </c>
      <c r="E1673" s="86" t="s">
        <v>389</v>
      </c>
      <c r="F1673" s="69">
        <v>3500.0</v>
      </c>
      <c r="G1673" s="69">
        <v>30.51</v>
      </c>
      <c r="H1673" s="68">
        <f t="shared" si="1"/>
        <v>149.1</v>
      </c>
      <c r="I1673" s="81">
        <f>IFERROR(__xludf.DUMMYFUNCTION("IF(G1673="""", """", ROUND(G1673 / MAX(FILTER($G$2:$G5067, $D$2:$D5067=$D1673)) * 100, 2))"),98.42)</f>
        <v>98.42</v>
      </c>
      <c r="J1673" s="81">
        <f>IFERROR(__xludf.DUMMYFUNCTION("IF(H1673="""", """", ROUND(H1673 / MAX(FILTER($H$2:$H5067, $D$2:$D5067=$D1673)) * 100, 2))"),58.6)</f>
        <v>58.6</v>
      </c>
      <c r="K1673" s="2"/>
      <c r="L1673" s="48"/>
      <c r="M1673" s="48"/>
      <c r="N1673" s="48"/>
      <c r="O1673" s="48" t="str">
        <f t="shared" si="2"/>
        <v/>
      </c>
      <c r="P1673" s="48" t="str">
        <f t="shared" si="3"/>
        <v/>
      </c>
      <c r="Q1673" s="84"/>
      <c r="R1673" s="84"/>
      <c r="S1673" s="84"/>
      <c r="T1673" s="84"/>
      <c r="U1673" s="84"/>
      <c r="V1673" s="84"/>
      <c r="W1673" s="84"/>
      <c r="X1673" s="84"/>
      <c r="Y1673" s="84"/>
      <c r="Z1673" s="84"/>
      <c r="AA1673" s="84"/>
      <c r="AB1673" s="84"/>
    </row>
    <row r="1674">
      <c r="A1674" s="63">
        <v>113.0</v>
      </c>
      <c r="B1674" s="63">
        <v>175.0</v>
      </c>
      <c r="C1674" s="64" t="s">
        <v>387</v>
      </c>
      <c r="D1674" s="64" t="s">
        <v>388</v>
      </c>
      <c r="E1674" s="64" t="s">
        <v>389</v>
      </c>
      <c r="F1674" s="63">
        <v>4000.0</v>
      </c>
      <c r="G1674" s="63">
        <v>31.0</v>
      </c>
      <c r="H1674" s="66">
        <f t="shared" si="1"/>
        <v>173.14</v>
      </c>
      <c r="I1674" s="81">
        <f>IFERROR(__xludf.DUMMYFUNCTION("IF(G1674="""", """", ROUND(G1674 / MAX(FILTER($G$2:$G5067, $D$2:$D5067=$D1674)) * 100, 2))"),100.0)</f>
        <v>100</v>
      </c>
      <c r="J1674" s="81">
        <f>IFERROR(__xludf.DUMMYFUNCTION("IF(H1674="""", """", ROUND(H1674 / MAX(FILTER($H$2:$H5067, $D$2:$D5067=$D1674)) * 100, 2))"),68.05)</f>
        <v>68.05</v>
      </c>
      <c r="K1674" s="2"/>
      <c r="L1674" s="49"/>
      <c r="M1674" s="49"/>
      <c r="N1674" s="49"/>
      <c r="O1674" s="49" t="str">
        <f t="shared" si="2"/>
        <v/>
      </c>
      <c r="P1674" s="49" t="str">
        <f t="shared" si="3"/>
        <v/>
      </c>
      <c r="Q1674" s="84"/>
      <c r="R1674" s="84"/>
      <c r="S1674" s="84"/>
      <c r="T1674" s="84"/>
      <c r="U1674" s="84"/>
      <c r="V1674" s="84"/>
      <c r="W1674" s="84"/>
      <c r="X1674" s="84"/>
      <c r="Y1674" s="84"/>
      <c r="Z1674" s="84"/>
      <c r="AA1674" s="84"/>
      <c r="AB1674" s="84"/>
    </row>
    <row r="1675">
      <c r="A1675" s="69">
        <v>113.0</v>
      </c>
      <c r="B1675" s="69">
        <v>175.0</v>
      </c>
      <c r="C1675" s="86" t="s">
        <v>387</v>
      </c>
      <c r="D1675" s="86" t="s">
        <v>388</v>
      </c>
      <c r="E1675" s="86" t="s">
        <v>389</v>
      </c>
      <c r="F1675" s="69">
        <v>4500.0</v>
      </c>
      <c r="G1675" s="69">
        <v>30.44</v>
      </c>
      <c r="H1675" s="68">
        <f t="shared" si="1"/>
        <v>191.26</v>
      </c>
      <c r="I1675" s="81">
        <f>IFERROR(__xludf.DUMMYFUNCTION("IF(G1675="""", """", ROUND(G1675 / MAX(FILTER($G$2:$G5067, $D$2:$D5067=$D1675)) * 100, 2))"),98.19)</f>
        <v>98.19</v>
      </c>
      <c r="J1675" s="81">
        <f>IFERROR(__xludf.DUMMYFUNCTION("IF(H1675="""", """", ROUND(H1675 / MAX(FILTER($H$2:$H5067, $D$2:$D5067=$D1675)) * 100, 2))"),75.17)</f>
        <v>75.17</v>
      </c>
      <c r="K1675" s="2"/>
      <c r="L1675" s="48"/>
      <c r="M1675" s="48"/>
      <c r="N1675" s="48"/>
      <c r="O1675" s="48" t="str">
        <f t="shared" si="2"/>
        <v/>
      </c>
      <c r="P1675" s="48" t="str">
        <f t="shared" si="3"/>
        <v/>
      </c>
      <c r="Q1675" s="84"/>
      <c r="R1675" s="84"/>
      <c r="S1675" s="84"/>
      <c r="T1675" s="84"/>
      <c r="U1675" s="84"/>
      <c r="V1675" s="84"/>
      <c r="W1675" s="84"/>
      <c r="X1675" s="84"/>
      <c r="Y1675" s="84"/>
      <c r="Z1675" s="84"/>
      <c r="AA1675" s="84"/>
      <c r="AB1675" s="84"/>
    </row>
    <row r="1676">
      <c r="A1676" s="63">
        <v>113.0</v>
      </c>
      <c r="B1676" s="63">
        <v>175.0</v>
      </c>
      <c r="C1676" s="64" t="s">
        <v>387</v>
      </c>
      <c r="D1676" s="64" t="s">
        <v>388</v>
      </c>
      <c r="E1676" s="64" t="s">
        <v>389</v>
      </c>
      <c r="F1676" s="63">
        <v>5000.0</v>
      </c>
      <c r="G1676" s="63">
        <v>30.31</v>
      </c>
      <c r="H1676" s="66">
        <f t="shared" si="1"/>
        <v>211.6</v>
      </c>
      <c r="I1676" s="81">
        <f>IFERROR(__xludf.DUMMYFUNCTION("IF(G1676="""", """", ROUND(G1676 / MAX(FILTER($G$2:$G5067, $D$2:$D5067=$D1676)) * 100, 2))"),97.77)</f>
        <v>97.77</v>
      </c>
      <c r="J1676" s="81">
        <f>IFERROR(__xludf.DUMMYFUNCTION("IF(H1676="""", """", ROUND(H1676 / MAX(FILTER($H$2:$H5067, $D$2:$D5067=$D1676)) * 100, 2))"),83.17)</f>
        <v>83.17</v>
      </c>
      <c r="K1676" s="2"/>
      <c r="L1676" s="49"/>
      <c r="M1676" s="49"/>
      <c r="N1676" s="49"/>
      <c r="O1676" s="49" t="str">
        <f t="shared" si="2"/>
        <v/>
      </c>
      <c r="P1676" s="49" t="str">
        <f t="shared" si="3"/>
        <v/>
      </c>
      <c r="Q1676" s="84"/>
      <c r="R1676" s="84"/>
      <c r="S1676" s="84"/>
      <c r="T1676" s="84"/>
      <c r="U1676" s="84"/>
      <c r="V1676" s="84"/>
      <c r="W1676" s="84"/>
      <c r="X1676" s="84"/>
      <c r="Y1676" s="84"/>
      <c r="Z1676" s="84"/>
      <c r="AA1676" s="84"/>
      <c r="AB1676" s="84"/>
    </row>
    <row r="1677">
      <c r="A1677" s="69">
        <v>113.0</v>
      </c>
      <c r="B1677" s="69">
        <v>175.0</v>
      </c>
      <c r="C1677" s="86" t="s">
        <v>387</v>
      </c>
      <c r="D1677" s="86" t="s">
        <v>388</v>
      </c>
      <c r="E1677" s="86" t="s">
        <v>389</v>
      </c>
      <c r="F1677" s="69">
        <v>5500.0</v>
      </c>
      <c r="G1677" s="69">
        <v>30.24</v>
      </c>
      <c r="H1677" s="68">
        <f t="shared" si="1"/>
        <v>232.23</v>
      </c>
      <c r="I1677" s="81">
        <f>IFERROR(__xludf.DUMMYFUNCTION("IF(G1677="""", """", ROUND(G1677 / MAX(FILTER($G$2:$G5067, $D$2:$D5067=$D1677)) * 100, 2))"),97.55)</f>
        <v>97.55</v>
      </c>
      <c r="J1677" s="81">
        <f>IFERROR(__xludf.DUMMYFUNCTION("IF(H1677="""", """", ROUND(H1677 / MAX(FILTER($H$2:$H5067, $D$2:$D5067=$D1677)) * 100, 2))"),91.27)</f>
        <v>91.27</v>
      </c>
      <c r="K1677" s="2"/>
      <c r="L1677" s="48"/>
      <c r="M1677" s="48"/>
      <c r="N1677" s="48"/>
      <c r="O1677" s="48" t="str">
        <f t="shared" si="2"/>
        <v/>
      </c>
      <c r="P1677" s="48" t="str">
        <f t="shared" si="3"/>
        <v/>
      </c>
      <c r="Q1677" s="84"/>
      <c r="R1677" s="84"/>
      <c r="S1677" s="84"/>
      <c r="T1677" s="84"/>
      <c r="U1677" s="84"/>
      <c r="V1677" s="84"/>
      <c r="W1677" s="84"/>
      <c r="X1677" s="84"/>
      <c r="Y1677" s="84"/>
      <c r="Z1677" s="84"/>
      <c r="AA1677" s="84"/>
      <c r="AB1677" s="84"/>
    </row>
    <row r="1678">
      <c r="A1678" s="63">
        <v>113.0</v>
      </c>
      <c r="B1678" s="63">
        <v>175.0</v>
      </c>
      <c r="C1678" s="64" t="s">
        <v>387</v>
      </c>
      <c r="D1678" s="64" t="s">
        <v>388</v>
      </c>
      <c r="E1678" s="64" t="s">
        <v>389</v>
      </c>
      <c r="F1678" s="63">
        <v>6000.0</v>
      </c>
      <c r="G1678" s="63">
        <v>30.37</v>
      </c>
      <c r="H1678" s="66">
        <f t="shared" si="1"/>
        <v>254.43</v>
      </c>
      <c r="I1678" s="81">
        <f>IFERROR(__xludf.DUMMYFUNCTION("IF(G1678="""", """", ROUND(G1678 / MAX(FILTER($G$2:$G5067, $D$2:$D5067=$D1678)) * 100, 2))"),97.97)</f>
        <v>97.97</v>
      </c>
      <c r="J1678" s="81">
        <f>IFERROR(__xludf.DUMMYFUNCTION("IF(H1678="""", """", ROUND(H1678 / MAX(FILTER($H$2:$H5067, $D$2:$D5067=$D1678)) * 100, 2))"),100.0)</f>
        <v>100</v>
      </c>
      <c r="K1678" s="2"/>
      <c r="L1678" s="49"/>
      <c r="M1678" s="49"/>
      <c r="N1678" s="49"/>
      <c r="O1678" s="49" t="str">
        <f t="shared" si="2"/>
        <v/>
      </c>
      <c r="P1678" s="49" t="str">
        <f t="shared" si="3"/>
        <v/>
      </c>
      <c r="Q1678" s="84"/>
      <c r="R1678" s="84"/>
      <c r="S1678" s="84"/>
      <c r="T1678" s="84"/>
      <c r="U1678" s="84"/>
      <c r="V1678" s="84"/>
      <c r="W1678" s="84"/>
      <c r="X1678" s="84"/>
      <c r="Y1678" s="84"/>
      <c r="Z1678" s="84"/>
      <c r="AA1678" s="84"/>
      <c r="AB1678" s="84"/>
    </row>
    <row r="1679">
      <c r="A1679" s="69">
        <v>113.0</v>
      </c>
      <c r="B1679" s="69">
        <v>175.0</v>
      </c>
      <c r="C1679" s="86" t="s">
        <v>387</v>
      </c>
      <c r="D1679" s="86" t="s">
        <v>388</v>
      </c>
      <c r="E1679" s="86" t="s">
        <v>389</v>
      </c>
      <c r="F1679" s="69">
        <v>6500.0</v>
      </c>
      <c r="G1679" s="69">
        <v>27.62</v>
      </c>
      <c r="H1679" s="68">
        <f t="shared" si="1"/>
        <v>250.67</v>
      </c>
      <c r="I1679" s="81">
        <f>IFERROR(__xludf.DUMMYFUNCTION("IF(G1679="""", """", ROUND(G1679 / MAX(FILTER($G$2:$G5067, $D$2:$D5067=$D1679)) * 100, 2))"),89.1)</f>
        <v>89.1</v>
      </c>
      <c r="J1679" s="81">
        <f>IFERROR(__xludf.DUMMYFUNCTION("IF(H1679="""", """", ROUND(H1679 / MAX(FILTER($H$2:$H5067, $D$2:$D5067=$D1679)) * 100, 2))"),98.52)</f>
        <v>98.52</v>
      </c>
      <c r="K1679" s="2"/>
      <c r="L1679" s="48"/>
      <c r="M1679" s="48"/>
      <c r="N1679" s="48"/>
      <c r="O1679" s="48" t="str">
        <f t="shared" si="2"/>
        <v/>
      </c>
      <c r="P1679" s="48" t="str">
        <f t="shared" si="3"/>
        <v/>
      </c>
      <c r="Q1679" s="84"/>
      <c r="R1679" s="84"/>
      <c r="S1679" s="84"/>
      <c r="T1679" s="84"/>
      <c r="U1679" s="84"/>
      <c r="V1679" s="84"/>
      <c r="W1679" s="84"/>
      <c r="X1679" s="84"/>
      <c r="Y1679" s="84"/>
      <c r="Z1679" s="84"/>
      <c r="AA1679" s="84"/>
      <c r="AB1679" s="84"/>
    </row>
    <row r="1680">
      <c r="A1680" s="63">
        <v>113.0</v>
      </c>
      <c r="B1680" s="63">
        <v>175.0</v>
      </c>
      <c r="C1680" s="64" t="s">
        <v>387</v>
      </c>
      <c r="D1680" s="64" t="s">
        <v>388</v>
      </c>
      <c r="E1680" s="64" t="s">
        <v>389</v>
      </c>
      <c r="F1680" s="63">
        <v>7000.0</v>
      </c>
      <c r="G1680" s="63">
        <v>23.1</v>
      </c>
      <c r="H1680" s="66">
        <f t="shared" si="1"/>
        <v>225.77</v>
      </c>
      <c r="I1680" s="81">
        <f>IFERROR(__xludf.DUMMYFUNCTION("IF(G1680="""", """", ROUND(G1680 / MAX(FILTER($G$2:$G5067, $D$2:$D5067=$D1680)) * 100, 2))"),74.52)</f>
        <v>74.52</v>
      </c>
      <c r="J1680" s="81">
        <f>IFERROR(__xludf.DUMMYFUNCTION("IF(H1680="""", """", ROUND(H1680 / MAX(FILTER($H$2:$H5067, $D$2:$D5067=$D1680)) * 100, 2))"),88.74)</f>
        <v>88.74</v>
      </c>
      <c r="K1680" s="2"/>
      <c r="L1680" s="49"/>
      <c r="M1680" s="49"/>
      <c r="N1680" s="49"/>
      <c r="O1680" s="49" t="str">
        <f t="shared" si="2"/>
        <v/>
      </c>
      <c r="P1680" s="49" t="str">
        <f t="shared" si="3"/>
        <v/>
      </c>
      <c r="Q1680" s="84"/>
      <c r="R1680" s="84"/>
      <c r="S1680" s="84"/>
      <c r="T1680" s="84"/>
      <c r="U1680" s="84"/>
      <c r="V1680" s="84"/>
      <c r="W1680" s="84"/>
      <c r="X1680" s="84"/>
      <c r="Y1680" s="84"/>
      <c r="Z1680" s="84"/>
      <c r="AA1680" s="84"/>
      <c r="AB1680" s="84"/>
    </row>
    <row r="1681">
      <c r="A1681" s="69">
        <v>114.0</v>
      </c>
      <c r="B1681" s="69">
        <v>176.0</v>
      </c>
      <c r="C1681" s="86" t="s">
        <v>390</v>
      </c>
      <c r="D1681" s="86" t="s">
        <v>391</v>
      </c>
      <c r="E1681" s="86" t="s">
        <v>392</v>
      </c>
      <c r="F1681" s="69">
        <v>500.0</v>
      </c>
      <c r="G1681" s="69">
        <v>14.27</v>
      </c>
      <c r="H1681" s="68">
        <f t="shared" si="1"/>
        <v>9.96</v>
      </c>
      <c r="I1681" s="81">
        <f>IFERROR(__xludf.DUMMYFUNCTION("IF(G1681="""", """", ROUND(G1681 / MAX(FILTER($G$2:$G5067, $D$2:$D5067=$D1681)) * 100, 2))"),50.96)</f>
        <v>50.96</v>
      </c>
      <c r="J1681" s="81">
        <f>IFERROR(__xludf.DUMMYFUNCTION("IF(H1681="""", """", ROUND(H1681 / MAX(FILTER($H$2:$H5067, $D$2:$D5067=$D1681)) * 100, 2))"),4.86)</f>
        <v>4.86</v>
      </c>
      <c r="K1681" s="2"/>
      <c r="L1681" s="48"/>
      <c r="M1681" s="48"/>
      <c r="N1681" s="48"/>
      <c r="O1681" s="48" t="str">
        <f t="shared" si="2"/>
        <v/>
      </c>
      <c r="P1681" s="48" t="str">
        <f t="shared" si="3"/>
        <v/>
      </c>
      <c r="Q1681" s="84"/>
      <c r="R1681" s="84"/>
      <c r="S1681" s="84"/>
      <c r="T1681" s="84"/>
      <c r="U1681" s="84"/>
      <c r="V1681" s="84"/>
      <c r="W1681" s="84"/>
      <c r="X1681" s="84"/>
      <c r="Y1681" s="84"/>
      <c r="Z1681" s="84"/>
      <c r="AA1681" s="84"/>
      <c r="AB1681" s="84"/>
    </row>
    <row r="1682">
      <c r="A1682" s="63">
        <v>114.0</v>
      </c>
      <c r="B1682" s="63">
        <v>176.0</v>
      </c>
      <c r="C1682" s="64" t="s">
        <v>390</v>
      </c>
      <c r="D1682" s="64" t="s">
        <v>391</v>
      </c>
      <c r="E1682" s="64" t="s">
        <v>392</v>
      </c>
      <c r="F1682" s="63">
        <v>1000.0</v>
      </c>
      <c r="G1682" s="63">
        <v>16.18</v>
      </c>
      <c r="H1682" s="66">
        <f t="shared" si="1"/>
        <v>22.59</v>
      </c>
      <c r="I1682" s="81">
        <f>IFERROR(__xludf.DUMMYFUNCTION("IF(G1682="""", """", ROUND(G1682 / MAX(FILTER($G$2:$G5067, $D$2:$D5067=$D1682)) * 100, 2))"),57.79)</f>
        <v>57.79</v>
      </c>
      <c r="J1682" s="81">
        <f>IFERROR(__xludf.DUMMYFUNCTION("IF(H1682="""", """", ROUND(H1682 / MAX(FILTER($H$2:$H5067, $D$2:$D5067=$D1682)) * 100, 2))"),11.02)</f>
        <v>11.02</v>
      </c>
      <c r="K1682" s="2"/>
      <c r="L1682" s="49"/>
      <c r="M1682" s="49"/>
      <c r="N1682" s="49"/>
      <c r="O1682" s="49" t="str">
        <f t="shared" si="2"/>
        <v/>
      </c>
      <c r="P1682" s="49" t="str">
        <f t="shared" si="3"/>
        <v/>
      </c>
      <c r="Q1682" s="84"/>
      <c r="R1682" s="84"/>
      <c r="S1682" s="84"/>
      <c r="T1682" s="84"/>
      <c r="U1682" s="84"/>
      <c r="V1682" s="84"/>
      <c r="W1682" s="84"/>
      <c r="X1682" s="84"/>
      <c r="Y1682" s="84"/>
      <c r="Z1682" s="84"/>
      <c r="AA1682" s="84"/>
      <c r="AB1682" s="84"/>
    </row>
    <row r="1683">
      <c r="A1683" s="69">
        <v>114.0</v>
      </c>
      <c r="B1683" s="69">
        <v>176.0</v>
      </c>
      <c r="C1683" s="86" t="s">
        <v>390</v>
      </c>
      <c r="D1683" s="86" t="s">
        <v>391</v>
      </c>
      <c r="E1683" s="86" t="s">
        <v>392</v>
      </c>
      <c r="F1683" s="69">
        <v>1500.0</v>
      </c>
      <c r="G1683" s="69">
        <v>18.18</v>
      </c>
      <c r="H1683" s="68">
        <f t="shared" si="1"/>
        <v>38.08</v>
      </c>
      <c r="I1683" s="81">
        <f>IFERROR(__xludf.DUMMYFUNCTION("IF(G1683="""", """", ROUND(G1683 / MAX(FILTER($G$2:$G5067, $D$2:$D5067=$D1683)) * 100, 2))"),64.93)</f>
        <v>64.93</v>
      </c>
      <c r="J1683" s="81">
        <f>IFERROR(__xludf.DUMMYFUNCTION("IF(H1683="""", """", ROUND(H1683 / MAX(FILTER($H$2:$H5067, $D$2:$D5067=$D1683)) * 100, 2))"),18.57)</f>
        <v>18.57</v>
      </c>
      <c r="K1683" s="2"/>
      <c r="L1683" s="48"/>
      <c r="M1683" s="48"/>
      <c r="N1683" s="48"/>
      <c r="O1683" s="48" t="str">
        <f t="shared" si="2"/>
        <v/>
      </c>
      <c r="P1683" s="48" t="str">
        <f t="shared" si="3"/>
        <v/>
      </c>
      <c r="Q1683" s="84"/>
      <c r="R1683" s="84"/>
      <c r="S1683" s="84"/>
      <c r="T1683" s="84"/>
      <c r="U1683" s="84"/>
      <c r="V1683" s="84"/>
      <c r="W1683" s="84"/>
      <c r="X1683" s="84"/>
      <c r="Y1683" s="84"/>
      <c r="Z1683" s="84"/>
      <c r="AA1683" s="84"/>
      <c r="AB1683" s="84"/>
    </row>
    <row r="1684">
      <c r="A1684" s="63">
        <v>114.0</v>
      </c>
      <c r="B1684" s="63">
        <v>176.0</v>
      </c>
      <c r="C1684" s="64" t="s">
        <v>390</v>
      </c>
      <c r="D1684" s="64" t="s">
        <v>391</v>
      </c>
      <c r="E1684" s="64" t="s">
        <v>392</v>
      </c>
      <c r="F1684" s="63">
        <v>2000.0</v>
      </c>
      <c r="G1684" s="63">
        <v>20.72</v>
      </c>
      <c r="H1684" s="66">
        <f t="shared" si="1"/>
        <v>57.86</v>
      </c>
      <c r="I1684" s="81">
        <f>IFERROR(__xludf.DUMMYFUNCTION("IF(G1684="""", """", ROUND(G1684 / MAX(FILTER($G$2:$G5067, $D$2:$D5067=$D1684)) * 100, 2))"),74.0)</f>
        <v>74</v>
      </c>
      <c r="J1684" s="81">
        <f>IFERROR(__xludf.DUMMYFUNCTION("IF(H1684="""", """", ROUND(H1684 / MAX(FILTER($H$2:$H5067, $D$2:$D5067=$D1684)) * 100, 2))"),28.21)</f>
        <v>28.21</v>
      </c>
      <c r="K1684" s="2"/>
      <c r="L1684" s="49"/>
      <c r="M1684" s="49"/>
      <c r="N1684" s="49"/>
      <c r="O1684" s="49" t="str">
        <f t="shared" si="2"/>
        <v/>
      </c>
      <c r="P1684" s="49" t="str">
        <f t="shared" si="3"/>
        <v/>
      </c>
      <c r="Q1684" s="84"/>
      <c r="R1684" s="84"/>
      <c r="S1684" s="84"/>
      <c r="T1684" s="84"/>
      <c r="U1684" s="84"/>
      <c r="V1684" s="84"/>
      <c r="W1684" s="84"/>
      <c r="X1684" s="84"/>
      <c r="Y1684" s="84"/>
      <c r="Z1684" s="84"/>
      <c r="AA1684" s="84"/>
      <c r="AB1684" s="84"/>
    </row>
    <row r="1685">
      <c r="A1685" s="69">
        <v>114.0</v>
      </c>
      <c r="B1685" s="69">
        <v>176.0</v>
      </c>
      <c r="C1685" s="86" t="s">
        <v>390</v>
      </c>
      <c r="D1685" s="86" t="s">
        <v>391</v>
      </c>
      <c r="E1685" s="86" t="s">
        <v>392</v>
      </c>
      <c r="F1685" s="69">
        <v>2500.0</v>
      </c>
      <c r="G1685" s="69">
        <v>24.3</v>
      </c>
      <c r="H1685" s="68">
        <f t="shared" si="1"/>
        <v>84.82</v>
      </c>
      <c r="I1685" s="81">
        <f>IFERROR(__xludf.DUMMYFUNCTION("IF(G1685="""", """", ROUND(G1685 / MAX(FILTER($G$2:$G5067, $D$2:$D5067=$D1685)) * 100, 2))"),86.79)</f>
        <v>86.79</v>
      </c>
      <c r="J1685" s="81">
        <f>IFERROR(__xludf.DUMMYFUNCTION("IF(H1685="""", """", ROUND(H1685 / MAX(FILTER($H$2:$H5067, $D$2:$D5067=$D1685)) * 100, 2))"),41.36)</f>
        <v>41.36</v>
      </c>
      <c r="K1685" s="2"/>
      <c r="L1685" s="48"/>
      <c r="M1685" s="48"/>
      <c r="N1685" s="48"/>
      <c r="O1685" s="48" t="str">
        <f t="shared" si="2"/>
        <v/>
      </c>
      <c r="P1685" s="48" t="str">
        <f t="shared" si="3"/>
        <v/>
      </c>
      <c r="Q1685" s="84"/>
      <c r="R1685" s="84"/>
      <c r="S1685" s="84"/>
      <c r="T1685" s="84"/>
      <c r="U1685" s="84"/>
      <c r="V1685" s="84"/>
      <c r="W1685" s="84"/>
      <c r="X1685" s="84"/>
      <c r="Y1685" s="84"/>
      <c r="Z1685" s="84"/>
      <c r="AA1685" s="84"/>
      <c r="AB1685" s="84"/>
    </row>
    <row r="1686">
      <c r="A1686" s="63">
        <v>114.0</v>
      </c>
      <c r="B1686" s="63">
        <v>176.0</v>
      </c>
      <c r="C1686" s="64" t="s">
        <v>390</v>
      </c>
      <c r="D1686" s="64" t="s">
        <v>391</v>
      </c>
      <c r="E1686" s="64" t="s">
        <v>392</v>
      </c>
      <c r="F1686" s="63">
        <v>3000.0</v>
      </c>
      <c r="G1686" s="63">
        <v>26.2</v>
      </c>
      <c r="H1686" s="66">
        <f t="shared" si="1"/>
        <v>109.75</v>
      </c>
      <c r="I1686" s="81">
        <f>IFERROR(__xludf.DUMMYFUNCTION("IF(G1686="""", """", ROUND(G1686 / MAX(FILTER($G$2:$G5067, $D$2:$D5067=$D1686)) * 100, 2))"),93.57)</f>
        <v>93.57</v>
      </c>
      <c r="J1686" s="81">
        <f>IFERROR(__xludf.DUMMYFUNCTION("IF(H1686="""", """", ROUND(H1686 / MAX(FILTER($H$2:$H5067, $D$2:$D5067=$D1686)) * 100, 2))"),53.52)</f>
        <v>53.52</v>
      </c>
      <c r="K1686" s="2"/>
      <c r="L1686" s="49"/>
      <c r="M1686" s="49"/>
      <c r="N1686" s="49"/>
      <c r="O1686" s="49" t="str">
        <f t="shared" si="2"/>
        <v/>
      </c>
      <c r="P1686" s="49" t="str">
        <f t="shared" si="3"/>
        <v/>
      </c>
      <c r="Q1686" s="84"/>
      <c r="R1686" s="84"/>
      <c r="S1686" s="84"/>
      <c r="T1686" s="84"/>
      <c r="U1686" s="84"/>
      <c r="V1686" s="84"/>
      <c r="W1686" s="84"/>
      <c r="X1686" s="84"/>
      <c r="Y1686" s="84"/>
      <c r="Z1686" s="84"/>
      <c r="AA1686" s="84"/>
      <c r="AB1686" s="84"/>
    </row>
    <row r="1687">
      <c r="A1687" s="69">
        <v>114.0</v>
      </c>
      <c r="B1687" s="69">
        <v>176.0</v>
      </c>
      <c r="C1687" s="86" t="s">
        <v>390</v>
      </c>
      <c r="D1687" s="86" t="s">
        <v>391</v>
      </c>
      <c r="E1687" s="86" t="s">
        <v>392</v>
      </c>
      <c r="F1687" s="69">
        <v>3500.0</v>
      </c>
      <c r="G1687" s="69">
        <v>27.09</v>
      </c>
      <c r="H1687" s="68">
        <f t="shared" si="1"/>
        <v>132.39</v>
      </c>
      <c r="I1687" s="81">
        <f>IFERROR(__xludf.DUMMYFUNCTION("IF(G1687="""", """", ROUND(G1687 / MAX(FILTER($G$2:$G5067, $D$2:$D5067=$D1687)) * 100, 2))"),96.75)</f>
        <v>96.75</v>
      </c>
      <c r="J1687" s="81">
        <f>IFERROR(__xludf.DUMMYFUNCTION("IF(H1687="""", """", ROUND(H1687 / MAX(FILTER($H$2:$H5067, $D$2:$D5067=$D1687)) * 100, 2))"),64.56)</f>
        <v>64.56</v>
      </c>
      <c r="K1687" s="2"/>
      <c r="L1687" s="48"/>
      <c r="M1687" s="48"/>
      <c r="N1687" s="48"/>
      <c r="O1687" s="48" t="str">
        <f t="shared" si="2"/>
        <v/>
      </c>
      <c r="P1687" s="48" t="str">
        <f t="shared" si="3"/>
        <v/>
      </c>
      <c r="Q1687" s="84"/>
      <c r="R1687" s="84"/>
      <c r="S1687" s="84"/>
      <c r="T1687" s="84"/>
      <c r="U1687" s="84"/>
      <c r="V1687" s="84"/>
      <c r="W1687" s="84"/>
      <c r="X1687" s="84"/>
      <c r="Y1687" s="84"/>
      <c r="Z1687" s="84"/>
      <c r="AA1687" s="84"/>
      <c r="AB1687" s="84"/>
    </row>
    <row r="1688">
      <c r="A1688" s="63">
        <v>114.0</v>
      </c>
      <c r="B1688" s="63">
        <v>176.0</v>
      </c>
      <c r="C1688" s="64" t="s">
        <v>390</v>
      </c>
      <c r="D1688" s="64" t="s">
        <v>391</v>
      </c>
      <c r="E1688" s="64" t="s">
        <v>392</v>
      </c>
      <c r="F1688" s="63">
        <v>4000.0</v>
      </c>
      <c r="G1688" s="63">
        <v>28.0</v>
      </c>
      <c r="H1688" s="66">
        <f t="shared" si="1"/>
        <v>156.38</v>
      </c>
      <c r="I1688" s="81">
        <f>IFERROR(__xludf.DUMMYFUNCTION("IF(G1688="""", """", ROUND(G1688 / MAX(FILTER($G$2:$G5067, $D$2:$D5067=$D1688)) * 100, 2))"),100.0)</f>
        <v>100</v>
      </c>
      <c r="J1688" s="81">
        <f>IFERROR(__xludf.DUMMYFUNCTION("IF(H1688="""", """", ROUND(H1688 / MAX(FILTER($H$2:$H5067, $D$2:$D5067=$D1688)) * 100, 2))"),76.25)</f>
        <v>76.25</v>
      </c>
      <c r="K1688" s="2"/>
      <c r="L1688" s="49"/>
      <c r="M1688" s="49"/>
      <c r="N1688" s="49"/>
      <c r="O1688" s="49" t="str">
        <f t="shared" si="2"/>
        <v/>
      </c>
      <c r="P1688" s="49" t="str">
        <f t="shared" si="3"/>
        <v/>
      </c>
      <c r="Q1688" s="84"/>
      <c r="R1688" s="84"/>
      <c r="S1688" s="84"/>
      <c r="T1688" s="84"/>
      <c r="U1688" s="84"/>
      <c r="V1688" s="84"/>
      <c r="W1688" s="84"/>
      <c r="X1688" s="84"/>
      <c r="Y1688" s="84"/>
      <c r="Z1688" s="84"/>
      <c r="AA1688" s="84"/>
      <c r="AB1688" s="84"/>
    </row>
    <row r="1689">
      <c r="A1689" s="69">
        <v>114.0</v>
      </c>
      <c r="B1689" s="69">
        <v>176.0</v>
      </c>
      <c r="C1689" s="86" t="s">
        <v>390</v>
      </c>
      <c r="D1689" s="86" t="s">
        <v>391</v>
      </c>
      <c r="E1689" s="86" t="s">
        <v>392</v>
      </c>
      <c r="F1689" s="69">
        <v>4500.0</v>
      </c>
      <c r="G1689" s="69">
        <v>27.1</v>
      </c>
      <c r="H1689" s="68">
        <f t="shared" si="1"/>
        <v>170.27</v>
      </c>
      <c r="I1689" s="81">
        <f>IFERROR(__xludf.DUMMYFUNCTION("IF(G1689="""", """", ROUND(G1689 / MAX(FILTER($G$2:$G5067, $D$2:$D5067=$D1689)) * 100, 2))"),96.79)</f>
        <v>96.79</v>
      </c>
      <c r="J1689" s="81">
        <f>IFERROR(__xludf.DUMMYFUNCTION("IF(H1689="""", """", ROUND(H1689 / MAX(FILTER($H$2:$H5067, $D$2:$D5067=$D1689)) * 100, 2))"),83.03)</f>
        <v>83.03</v>
      </c>
      <c r="K1689" s="2"/>
      <c r="L1689" s="48"/>
      <c r="M1689" s="48"/>
      <c r="N1689" s="48"/>
      <c r="O1689" s="48" t="str">
        <f t="shared" si="2"/>
        <v/>
      </c>
      <c r="P1689" s="48" t="str">
        <f t="shared" si="3"/>
        <v/>
      </c>
      <c r="Q1689" s="84"/>
      <c r="R1689" s="84"/>
      <c r="S1689" s="84"/>
      <c r="T1689" s="84"/>
      <c r="U1689" s="84"/>
      <c r="V1689" s="84"/>
      <c r="W1689" s="84"/>
      <c r="X1689" s="84"/>
      <c r="Y1689" s="84"/>
      <c r="Z1689" s="84"/>
      <c r="AA1689" s="84"/>
      <c r="AB1689" s="84"/>
    </row>
    <row r="1690">
      <c r="A1690" s="63">
        <v>114.0</v>
      </c>
      <c r="B1690" s="63">
        <v>176.0</v>
      </c>
      <c r="C1690" s="64" t="s">
        <v>390</v>
      </c>
      <c r="D1690" s="64" t="s">
        <v>391</v>
      </c>
      <c r="E1690" s="64" t="s">
        <v>392</v>
      </c>
      <c r="F1690" s="63">
        <v>5000.0</v>
      </c>
      <c r="G1690" s="63">
        <v>26.2</v>
      </c>
      <c r="H1690" s="66">
        <f t="shared" si="1"/>
        <v>182.91</v>
      </c>
      <c r="I1690" s="81">
        <f>IFERROR(__xludf.DUMMYFUNCTION("IF(G1690="""", """", ROUND(G1690 / MAX(FILTER($G$2:$G5067, $D$2:$D5067=$D1690)) * 100, 2))"),93.57)</f>
        <v>93.57</v>
      </c>
      <c r="J1690" s="81">
        <f>IFERROR(__xludf.DUMMYFUNCTION("IF(H1690="""", """", ROUND(H1690 / MAX(FILTER($H$2:$H5067, $D$2:$D5067=$D1690)) * 100, 2))"),89.19)</f>
        <v>89.19</v>
      </c>
      <c r="K1690" s="2"/>
      <c r="L1690" s="49"/>
      <c r="M1690" s="49"/>
      <c r="N1690" s="49"/>
      <c r="O1690" s="49" t="str">
        <f t="shared" si="2"/>
        <v/>
      </c>
      <c r="P1690" s="49" t="str">
        <f t="shared" si="3"/>
        <v/>
      </c>
      <c r="Q1690" s="84"/>
      <c r="R1690" s="84"/>
      <c r="S1690" s="84"/>
      <c r="T1690" s="84"/>
      <c r="U1690" s="84"/>
      <c r="V1690" s="84"/>
      <c r="W1690" s="84"/>
      <c r="X1690" s="84"/>
      <c r="Y1690" s="84"/>
      <c r="Z1690" s="84"/>
      <c r="AA1690" s="84"/>
      <c r="AB1690" s="84"/>
    </row>
    <row r="1691">
      <c r="A1691" s="69">
        <v>114.0</v>
      </c>
      <c r="B1691" s="69">
        <v>176.0</v>
      </c>
      <c r="C1691" s="86" t="s">
        <v>390</v>
      </c>
      <c r="D1691" s="86" t="s">
        <v>391</v>
      </c>
      <c r="E1691" s="86" t="s">
        <v>392</v>
      </c>
      <c r="F1691" s="69">
        <v>5500.0</v>
      </c>
      <c r="G1691" s="69">
        <v>25.4</v>
      </c>
      <c r="H1691" s="68">
        <f t="shared" si="1"/>
        <v>195.06</v>
      </c>
      <c r="I1691" s="81">
        <f>IFERROR(__xludf.DUMMYFUNCTION("IF(G1691="""", """", ROUND(G1691 / MAX(FILTER($G$2:$G5067, $D$2:$D5067=$D1691)) * 100, 2))"),90.71)</f>
        <v>90.71</v>
      </c>
      <c r="J1691" s="81">
        <f>IFERROR(__xludf.DUMMYFUNCTION("IF(H1691="""", """", ROUND(H1691 / MAX(FILTER($H$2:$H5067, $D$2:$D5067=$D1691)) * 100, 2))"),95.11)</f>
        <v>95.11</v>
      </c>
      <c r="K1691" s="2"/>
      <c r="L1691" s="48"/>
      <c r="M1691" s="48"/>
      <c r="N1691" s="48"/>
      <c r="O1691" s="48" t="str">
        <f t="shared" si="2"/>
        <v/>
      </c>
      <c r="P1691" s="48" t="str">
        <f t="shared" si="3"/>
        <v/>
      </c>
      <c r="Q1691" s="84"/>
      <c r="R1691" s="84"/>
      <c r="S1691" s="84"/>
      <c r="T1691" s="84"/>
      <c r="U1691" s="84"/>
      <c r="V1691" s="84"/>
      <c r="W1691" s="84"/>
      <c r="X1691" s="84"/>
      <c r="Y1691" s="84"/>
      <c r="Z1691" s="84"/>
      <c r="AA1691" s="84"/>
      <c r="AB1691" s="84"/>
    </row>
    <row r="1692">
      <c r="A1692" s="63">
        <v>114.0</v>
      </c>
      <c r="B1692" s="63">
        <v>176.0</v>
      </c>
      <c r="C1692" s="64" t="s">
        <v>390</v>
      </c>
      <c r="D1692" s="64" t="s">
        <v>391</v>
      </c>
      <c r="E1692" s="64" t="s">
        <v>392</v>
      </c>
      <c r="F1692" s="63">
        <v>6000.0</v>
      </c>
      <c r="G1692" s="63">
        <v>24.48</v>
      </c>
      <c r="H1692" s="66">
        <f t="shared" si="1"/>
        <v>205.08</v>
      </c>
      <c r="I1692" s="81">
        <f>IFERROR(__xludf.DUMMYFUNCTION("IF(G1692="""", """", ROUND(G1692 / MAX(FILTER($G$2:$G5067, $D$2:$D5067=$D1692)) * 100, 2))"),87.43)</f>
        <v>87.43</v>
      </c>
      <c r="J1692" s="81">
        <f>IFERROR(__xludf.DUMMYFUNCTION("IF(H1692="""", """", ROUND(H1692 / MAX(FILTER($H$2:$H5067, $D$2:$D5067=$D1692)) * 100, 2))"),100.0)</f>
        <v>100</v>
      </c>
      <c r="K1692" s="2"/>
      <c r="L1692" s="49"/>
      <c r="M1692" s="49"/>
      <c r="N1692" s="49"/>
      <c r="O1692" s="49" t="str">
        <f t="shared" si="2"/>
        <v/>
      </c>
      <c r="P1692" s="49" t="str">
        <f t="shared" si="3"/>
        <v/>
      </c>
      <c r="Q1692" s="84"/>
      <c r="R1692" s="84"/>
      <c r="S1692" s="84"/>
      <c r="T1692" s="84"/>
      <c r="U1692" s="84"/>
      <c r="V1692" s="84"/>
      <c r="W1692" s="84"/>
      <c r="X1692" s="84"/>
      <c r="Y1692" s="84"/>
      <c r="Z1692" s="84"/>
      <c r="AA1692" s="84"/>
      <c r="AB1692" s="84"/>
    </row>
    <row r="1693">
      <c r="A1693" s="69">
        <v>114.0</v>
      </c>
      <c r="B1693" s="69">
        <v>176.0</v>
      </c>
      <c r="C1693" s="86" t="s">
        <v>390</v>
      </c>
      <c r="D1693" s="86" t="s">
        <v>391</v>
      </c>
      <c r="E1693" s="86" t="s">
        <v>392</v>
      </c>
      <c r="F1693" s="69">
        <v>6500.0</v>
      </c>
      <c r="G1693" s="69">
        <v>22.47</v>
      </c>
      <c r="H1693" s="68">
        <f t="shared" si="1"/>
        <v>203.93</v>
      </c>
      <c r="I1693" s="81">
        <f>IFERROR(__xludf.DUMMYFUNCTION("IF(G1693="""", """", ROUND(G1693 / MAX(FILTER($G$2:$G5067, $D$2:$D5067=$D1693)) * 100, 2))"),80.25)</f>
        <v>80.25</v>
      </c>
      <c r="J1693" s="81">
        <f>IFERROR(__xludf.DUMMYFUNCTION("IF(H1693="""", """", ROUND(H1693 / MAX(FILTER($H$2:$H5067, $D$2:$D5067=$D1693)) * 100, 2))"),99.44)</f>
        <v>99.44</v>
      </c>
      <c r="K1693" s="2"/>
      <c r="L1693" s="48"/>
      <c r="M1693" s="48"/>
      <c r="N1693" s="48"/>
      <c r="O1693" s="48" t="str">
        <f t="shared" si="2"/>
        <v/>
      </c>
      <c r="P1693" s="48" t="str">
        <f t="shared" si="3"/>
        <v/>
      </c>
      <c r="Q1693" s="84"/>
      <c r="R1693" s="84"/>
      <c r="S1693" s="84"/>
      <c r="T1693" s="84"/>
      <c r="U1693" s="84"/>
      <c r="V1693" s="84"/>
      <c r="W1693" s="84"/>
      <c r="X1693" s="84"/>
      <c r="Y1693" s="84"/>
      <c r="Z1693" s="84"/>
      <c r="AA1693" s="84"/>
      <c r="AB1693" s="84"/>
    </row>
    <row r="1694">
      <c r="A1694" s="63">
        <v>114.0</v>
      </c>
      <c r="B1694" s="63">
        <v>176.0</v>
      </c>
      <c r="C1694" s="64" t="s">
        <v>390</v>
      </c>
      <c r="D1694" s="64" t="s">
        <v>391</v>
      </c>
      <c r="E1694" s="64" t="s">
        <v>392</v>
      </c>
      <c r="F1694" s="63">
        <v>7000.0</v>
      </c>
      <c r="G1694" s="63">
        <v>20.25</v>
      </c>
      <c r="H1694" s="66">
        <f t="shared" si="1"/>
        <v>197.92</v>
      </c>
      <c r="I1694" s="81">
        <f>IFERROR(__xludf.DUMMYFUNCTION("IF(G1694="""", """", ROUND(G1694 / MAX(FILTER($G$2:$G5067, $D$2:$D5067=$D1694)) * 100, 2))"),72.32)</f>
        <v>72.32</v>
      </c>
      <c r="J1694" s="81">
        <f>IFERROR(__xludf.DUMMYFUNCTION("IF(H1694="""", """", ROUND(H1694 / MAX(FILTER($H$2:$H5067, $D$2:$D5067=$D1694)) * 100, 2))"),96.51)</f>
        <v>96.51</v>
      </c>
      <c r="K1694" s="2"/>
      <c r="L1694" s="49"/>
      <c r="M1694" s="49"/>
      <c r="N1694" s="49"/>
      <c r="O1694" s="49" t="str">
        <f t="shared" si="2"/>
        <v/>
      </c>
      <c r="P1694" s="49" t="str">
        <f t="shared" si="3"/>
        <v/>
      </c>
      <c r="Q1694" s="84"/>
      <c r="R1694" s="84"/>
      <c r="S1694" s="84"/>
      <c r="T1694" s="84"/>
      <c r="U1694" s="84"/>
      <c r="V1694" s="84"/>
      <c r="W1694" s="84"/>
      <c r="X1694" s="84"/>
      <c r="Y1694" s="84"/>
      <c r="Z1694" s="84"/>
      <c r="AA1694" s="84"/>
      <c r="AB1694" s="84"/>
    </row>
    <row r="1695">
      <c r="A1695" s="69">
        <v>114.0</v>
      </c>
      <c r="B1695" s="69">
        <v>176.0</v>
      </c>
      <c r="C1695" s="86" t="s">
        <v>390</v>
      </c>
      <c r="D1695" s="86" t="s">
        <v>391</v>
      </c>
      <c r="E1695" s="86" t="s">
        <v>392</v>
      </c>
      <c r="F1695" s="69">
        <v>7500.0</v>
      </c>
      <c r="G1695" s="69">
        <v>17.69</v>
      </c>
      <c r="H1695" s="68">
        <f t="shared" si="1"/>
        <v>185.25</v>
      </c>
      <c r="I1695" s="81">
        <f>IFERROR(__xludf.DUMMYFUNCTION("IF(G1695="""", """", ROUND(G1695 / MAX(FILTER($G$2:$G5067, $D$2:$D5067=$D1695)) * 100, 2))"),63.18)</f>
        <v>63.18</v>
      </c>
      <c r="J1695" s="81">
        <f>IFERROR(__xludf.DUMMYFUNCTION("IF(H1695="""", """", ROUND(H1695 / MAX(FILTER($H$2:$H5067, $D$2:$D5067=$D1695)) * 100, 2))"),90.33)</f>
        <v>90.33</v>
      </c>
      <c r="K1695" s="2"/>
      <c r="L1695" s="48"/>
      <c r="M1695" s="48"/>
      <c r="N1695" s="48"/>
      <c r="O1695" s="48" t="str">
        <f t="shared" si="2"/>
        <v/>
      </c>
      <c r="P1695" s="48" t="str">
        <f t="shared" si="3"/>
        <v/>
      </c>
      <c r="Q1695" s="84"/>
      <c r="R1695" s="84"/>
      <c r="S1695" s="84"/>
      <c r="T1695" s="84"/>
      <c r="U1695" s="84"/>
      <c r="V1695" s="84"/>
      <c r="W1695" s="84"/>
      <c r="X1695" s="84"/>
      <c r="Y1695" s="84"/>
      <c r="Z1695" s="84"/>
      <c r="AA1695" s="84"/>
      <c r="AB1695" s="84"/>
    </row>
    <row r="1696">
      <c r="A1696" s="63">
        <v>114.0</v>
      </c>
      <c r="B1696" s="63">
        <v>176.0</v>
      </c>
      <c r="C1696" s="64" t="s">
        <v>390</v>
      </c>
      <c r="D1696" s="64" t="s">
        <v>391</v>
      </c>
      <c r="E1696" s="64" t="s">
        <v>392</v>
      </c>
      <c r="F1696" s="63">
        <v>8000.0</v>
      </c>
      <c r="G1696" s="63">
        <v>14.85</v>
      </c>
      <c r="H1696" s="66">
        <f t="shared" si="1"/>
        <v>165.88</v>
      </c>
      <c r="I1696" s="81">
        <f>IFERROR(__xludf.DUMMYFUNCTION("IF(G1696="""", """", ROUND(G1696 / MAX(FILTER($G$2:$G5067, $D$2:$D5067=$D1696)) * 100, 2))"),53.04)</f>
        <v>53.04</v>
      </c>
      <c r="J1696" s="81">
        <f>IFERROR(__xludf.DUMMYFUNCTION("IF(H1696="""", """", ROUND(H1696 / MAX(FILTER($H$2:$H5067, $D$2:$D5067=$D1696)) * 100, 2))"),80.89)</f>
        <v>80.89</v>
      </c>
      <c r="K1696" s="2"/>
      <c r="L1696" s="49"/>
      <c r="M1696" s="49"/>
      <c r="N1696" s="49"/>
      <c r="O1696" s="49" t="str">
        <f t="shared" si="2"/>
        <v/>
      </c>
      <c r="P1696" s="49" t="str">
        <f t="shared" si="3"/>
        <v/>
      </c>
      <c r="Q1696" s="84"/>
      <c r="R1696" s="84"/>
      <c r="S1696" s="84"/>
      <c r="T1696" s="84"/>
      <c r="U1696" s="84"/>
      <c r="V1696" s="84"/>
      <c r="W1696" s="84"/>
      <c r="X1696" s="84"/>
      <c r="Y1696" s="84"/>
      <c r="Z1696" s="84"/>
      <c r="AA1696" s="84"/>
      <c r="AB1696" s="84"/>
    </row>
    <row r="1697">
      <c r="A1697" s="69">
        <v>115.0</v>
      </c>
      <c r="B1697" s="69">
        <v>177.0</v>
      </c>
      <c r="C1697" s="86" t="s">
        <v>393</v>
      </c>
      <c r="D1697" s="86" t="s">
        <v>394</v>
      </c>
      <c r="E1697" s="86" t="s">
        <v>395</v>
      </c>
      <c r="F1697" s="69">
        <v>500.0</v>
      </c>
      <c r="G1697" s="69">
        <v>15.09</v>
      </c>
      <c r="H1697" s="68">
        <f t="shared" si="1"/>
        <v>10.53</v>
      </c>
      <c r="I1697" s="81">
        <f>IFERROR(__xludf.DUMMYFUNCTION("IF(G1697="""", """", ROUND(G1697 / MAX(FILTER($G$2:$G5067, $D$2:$D5067=$D1697)) * 100, 2))"),56.77)</f>
        <v>56.77</v>
      </c>
      <c r="J1697" s="81">
        <f>IFERROR(__xludf.DUMMYFUNCTION("IF(H1697="""", """", ROUND(H1697 / MAX(FILTER($H$2:$H5067, $D$2:$D5067=$D1697)) * 100, 2))"),5.4)</f>
        <v>5.4</v>
      </c>
      <c r="K1697" s="2"/>
      <c r="L1697" s="48"/>
      <c r="M1697" s="48"/>
      <c r="N1697" s="48"/>
      <c r="O1697" s="48" t="str">
        <f t="shared" si="2"/>
        <v/>
      </c>
      <c r="P1697" s="48" t="str">
        <f t="shared" si="3"/>
        <v/>
      </c>
      <c r="Q1697" s="84"/>
      <c r="R1697" s="84"/>
      <c r="S1697" s="84"/>
      <c r="T1697" s="84"/>
      <c r="U1697" s="84"/>
      <c r="V1697" s="84"/>
      <c r="W1697" s="84"/>
      <c r="X1697" s="84"/>
      <c r="Y1697" s="84"/>
      <c r="Z1697" s="84"/>
      <c r="AA1697" s="84"/>
      <c r="AB1697" s="84"/>
    </row>
    <row r="1698">
      <c r="A1698" s="63">
        <v>115.0</v>
      </c>
      <c r="B1698" s="63">
        <v>177.0</v>
      </c>
      <c r="C1698" s="64" t="s">
        <v>393</v>
      </c>
      <c r="D1698" s="64" t="s">
        <v>394</v>
      </c>
      <c r="E1698" s="64" t="s">
        <v>395</v>
      </c>
      <c r="F1698" s="63">
        <v>1000.0</v>
      </c>
      <c r="G1698" s="63">
        <v>17.24</v>
      </c>
      <c r="H1698" s="66">
        <f t="shared" si="1"/>
        <v>24.07</v>
      </c>
      <c r="I1698" s="81">
        <f>IFERROR(__xludf.DUMMYFUNCTION("IF(G1698="""", """", ROUND(G1698 / MAX(FILTER($G$2:$G5067, $D$2:$D5067=$D1698)) * 100, 2))"),64.86)</f>
        <v>64.86</v>
      </c>
      <c r="J1698" s="81">
        <f>IFERROR(__xludf.DUMMYFUNCTION("IF(H1698="""", """", ROUND(H1698 / MAX(FILTER($H$2:$H5067, $D$2:$D5067=$D1698)) * 100, 2))"),12.34)</f>
        <v>12.34</v>
      </c>
      <c r="K1698" s="2"/>
      <c r="L1698" s="49"/>
      <c r="M1698" s="49"/>
      <c r="N1698" s="49"/>
      <c r="O1698" s="49" t="str">
        <f t="shared" si="2"/>
        <v/>
      </c>
      <c r="P1698" s="49" t="str">
        <f t="shared" si="3"/>
        <v/>
      </c>
      <c r="Q1698" s="84"/>
      <c r="R1698" s="84"/>
      <c r="S1698" s="84"/>
      <c r="T1698" s="84"/>
      <c r="U1698" s="84"/>
      <c r="V1698" s="84"/>
      <c r="W1698" s="84"/>
      <c r="X1698" s="84"/>
      <c r="Y1698" s="84"/>
      <c r="Z1698" s="84"/>
      <c r="AA1698" s="84"/>
      <c r="AB1698" s="84"/>
    </row>
    <row r="1699">
      <c r="A1699" s="69">
        <v>115.0</v>
      </c>
      <c r="B1699" s="69">
        <v>177.0</v>
      </c>
      <c r="C1699" s="86" t="s">
        <v>393</v>
      </c>
      <c r="D1699" s="86" t="s">
        <v>394</v>
      </c>
      <c r="E1699" s="86" t="s">
        <v>395</v>
      </c>
      <c r="F1699" s="69">
        <v>1500.0</v>
      </c>
      <c r="G1699" s="69">
        <v>19.99</v>
      </c>
      <c r="H1699" s="68">
        <f t="shared" si="1"/>
        <v>41.87</v>
      </c>
      <c r="I1699" s="81">
        <f>IFERROR(__xludf.DUMMYFUNCTION("IF(G1699="""", """", ROUND(G1699 / MAX(FILTER($G$2:$G5067, $D$2:$D5067=$D1699)) * 100, 2))"),75.21)</f>
        <v>75.21</v>
      </c>
      <c r="J1699" s="81">
        <f>IFERROR(__xludf.DUMMYFUNCTION("IF(H1699="""", """", ROUND(H1699 / MAX(FILTER($H$2:$H5067, $D$2:$D5067=$D1699)) * 100, 2))"),21.47)</f>
        <v>21.47</v>
      </c>
      <c r="K1699" s="2"/>
      <c r="L1699" s="48"/>
      <c r="M1699" s="48"/>
      <c r="N1699" s="48"/>
      <c r="O1699" s="48" t="str">
        <f t="shared" si="2"/>
        <v/>
      </c>
      <c r="P1699" s="48" t="str">
        <f t="shared" si="3"/>
        <v/>
      </c>
      <c r="Q1699" s="84"/>
      <c r="R1699" s="84"/>
      <c r="S1699" s="84"/>
      <c r="T1699" s="84"/>
      <c r="U1699" s="84"/>
      <c r="V1699" s="84"/>
      <c r="W1699" s="84"/>
      <c r="X1699" s="84"/>
      <c r="Y1699" s="84"/>
      <c r="Z1699" s="84"/>
      <c r="AA1699" s="84"/>
      <c r="AB1699" s="84"/>
    </row>
    <row r="1700">
      <c r="A1700" s="63">
        <v>115.0</v>
      </c>
      <c r="B1700" s="63">
        <v>177.0</v>
      </c>
      <c r="C1700" s="64" t="s">
        <v>393</v>
      </c>
      <c r="D1700" s="64" t="s">
        <v>394</v>
      </c>
      <c r="E1700" s="64" t="s">
        <v>395</v>
      </c>
      <c r="F1700" s="63">
        <v>2000.0</v>
      </c>
      <c r="G1700" s="63">
        <v>23.49</v>
      </c>
      <c r="H1700" s="66">
        <f t="shared" si="1"/>
        <v>65.6</v>
      </c>
      <c r="I1700" s="81">
        <f>IFERROR(__xludf.DUMMYFUNCTION("IF(G1700="""", """", ROUND(G1700 / MAX(FILTER($G$2:$G5067, $D$2:$D5067=$D1700)) * 100, 2))"),88.37)</f>
        <v>88.37</v>
      </c>
      <c r="J1700" s="81">
        <f>IFERROR(__xludf.DUMMYFUNCTION("IF(H1700="""", """", ROUND(H1700 / MAX(FILTER($H$2:$H5067, $D$2:$D5067=$D1700)) * 100, 2))"),33.64)</f>
        <v>33.64</v>
      </c>
      <c r="K1700" s="2"/>
      <c r="L1700" s="49"/>
      <c r="M1700" s="49"/>
      <c r="N1700" s="49"/>
      <c r="O1700" s="49" t="str">
        <f t="shared" si="2"/>
        <v/>
      </c>
      <c r="P1700" s="49" t="str">
        <f t="shared" si="3"/>
        <v/>
      </c>
      <c r="Q1700" s="84"/>
      <c r="R1700" s="84"/>
      <c r="S1700" s="84"/>
      <c r="T1700" s="84"/>
      <c r="U1700" s="84"/>
      <c r="V1700" s="84"/>
      <c r="W1700" s="84"/>
      <c r="X1700" s="84"/>
      <c r="Y1700" s="84"/>
      <c r="Z1700" s="84"/>
      <c r="AA1700" s="84"/>
      <c r="AB1700" s="84"/>
    </row>
    <row r="1701">
      <c r="A1701" s="69">
        <v>115.0</v>
      </c>
      <c r="B1701" s="69">
        <v>177.0</v>
      </c>
      <c r="C1701" s="86" t="s">
        <v>393</v>
      </c>
      <c r="D1701" s="86" t="s">
        <v>394</v>
      </c>
      <c r="E1701" s="86" t="s">
        <v>395</v>
      </c>
      <c r="F1701" s="69">
        <v>2500.0</v>
      </c>
      <c r="G1701" s="69">
        <v>25.09</v>
      </c>
      <c r="H1701" s="68">
        <f t="shared" si="1"/>
        <v>87.58</v>
      </c>
      <c r="I1701" s="81">
        <f>IFERROR(__xludf.DUMMYFUNCTION("IF(G1701="""", """", ROUND(G1701 / MAX(FILTER($G$2:$G5067, $D$2:$D5067=$D1701)) * 100, 2))"),94.39)</f>
        <v>94.39</v>
      </c>
      <c r="J1701" s="81">
        <f>IFERROR(__xludf.DUMMYFUNCTION("IF(H1701="""", """", ROUND(H1701 / MAX(FILTER($H$2:$H5067, $D$2:$D5067=$D1701)) * 100, 2))"),44.91)</f>
        <v>44.91</v>
      </c>
      <c r="K1701" s="2"/>
      <c r="L1701" s="48"/>
      <c r="M1701" s="48"/>
      <c r="N1701" s="48"/>
      <c r="O1701" s="48" t="str">
        <f t="shared" si="2"/>
        <v/>
      </c>
      <c r="P1701" s="48" t="str">
        <f t="shared" si="3"/>
        <v/>
      </c>
      <c r="Q1701" s="84"/>
      <c r="R1701" s="84"/>
      <c r="S1701" s="84"/>
      <c r="T1701" s="84"/>
      <c r="U1701" s="84"/>
      <c r="V1701" s="84"/>
      <c r="W1701" s="84"/>
      <c r="X1701" s="84"/>
      <c r="Y1701" s="84"/>
      <c r="Z1701" s="84"/>
      <c r="AA1701" s="84"/>
      <c r="AB1701" s="84"/>
    </row>
    <row r="1702">
      <c r="A1702" s="63">
        <v>115.0</v>
      </c>
      <c r="B1702" s="63">
        <v>177.0</v>
      </c>
      <c r="C1702" s="64" t="s">
        <v>393</v>
      </c>
      <c r="D1702" s="64" t="s">
        <v>394</v>
      </c>
      <c r="E1702" s="64" t="s">
        <v>395</v>
      </c>
      <c r="F1702" s="63">
        <v>3000.0</v>
      </c>
      <c r="G1702" s="63">
        <v>26.08</v>
      </c>
      <c r="H1702" s="66">
        <f t="shared" si="1"/>
        <v>109.24</v>
      </c>
      <c r="I1702" s="81">
        <f>IFERROR(__xludf.DUMMYFUNCTION("IF(G1702="""", """", ROUND(G1702 / MAX(FILTER($G$2:$G5067, $D$2:$D5067=$D1702)) * 100, 2))"),98.12)</f>
        <v>98.12</v>
      </c>
      <c r="J1702" s="81">
        <f>IFERROR(__xludf.DUMMYFUNCTION("IF(H1702="""", """", ROUND(H1702 / MAX(FILTER($H$2:$H5067, $D$2:$D5067=$D1702)) * 100, 2))"),56.01)</f>
        <v>56.01</v>
      </c>
      <c r="K1702" s="2"/>
      <c r="L1702" s="49"/>
      <c r="M1702" s="49"/>
      <c r="N1702" s="49"/>
      <c r="O1702" s="49" t="str">
        <f t="shared" si="2"/>
        <v/>
      </c>
      <c r="P1702" s="49" t="str">
        <f t="shared" si="3"/>
        <v/>
      </c>
      <c r="Q1702" s="84"/>
      <c r="R1702" s="84"/>
      <c r="S1702" s="84"/>
      <c r="T1702" s="84"/>
      <c r="U1702" s="84"/>
      <c r="V1702" s="84"/>
      <c r="W1702" s="84"/>
      <c r="X1702" s="84"/>
      <c r="Y1702" s="84"/>
      <c r="Z1702" s="84"/>
      <c r="AA1702" s="84"/>
      <c r="AB1702" s="84"/>
    </row>
    <row r="1703">
      <c r="A1703" s="69">
        <v>115.0</v>
      </c>
      <c r="B1703" s="69">
        <v>177.0</v>
      </c>
      <c r="C1703" s="86" t="s">
        <v>393</v>
      </c>
      <c r="D1703" s="86" t="s">
        <v>394</v>
      </c>
      <c r="E1703" s="86" t="s">
        <v>395</v>
      </c>
      <c r="F1703" s="69">
        <v>3500.0</v>
      </c>
      <c r="G1703" s="69">
        <v>26.58</v>
      </c>
      <c r="H1703" s="68">
        <f t="shared" si="1"/>
        <v>129.89</v>
      </c>
      <c r="I1703" s="81">
        <f>IFERROR(__xludf.DUMMYFUNCTION("IF(G1703="""", """", ROUND(G1703 / MAX(FILTER($G$2:$G5067, $D$2:$D5067=$D1703)) * 100, 2))"),100.0)</f>
        <v>100</v>
      </c>
      <c r="J1703" s="81">
        <f>IFERROR(__xludf.DUMMYFUNCTION("IF(H1703="""", """", ROUND(H1703 / MAX(FILTER($H$2:$H5067, $D$2:$D5067=$D1703)) * 100, 2))"),66.6)</f>
        <v>66.6</v>
      </c>
      <c r="K1703" s="2"/>
      <c r="L1703" s="48"/>
      <c r="M1703" s="48"/>
      <c r="N1703" s="48"/>
      <c r="O1703" s="48" t="str">
        <f t="shared" si="2"/>
        <v/>
      </c>
      <c r="P1703" s="48" t="str">
        <f t="shared" si="3"/>
        <v/>
      </c>
      <c r="Q1703" s="84"/>
      <c r="R1703" s="84"/>
      <c r="S1703" s="84"/>
      <c r="T1703" s="84"/>
      <c r="U1703" s="84"/>
      <c r="V1703" s="84"/>
      <c r="W1703" s="84"/>
      <c r="X1703" s="84"/>
      <c r="Y1703" s="84"/>
      <c r="Z1703" s="84"/>
      <c r="AA1703" s="84"/>
      <c r="AB1703" s="84"/>
    </row>
    <row r="1704">
      <c r="A1704" s="63">
        <v>115.0</v>
      </c>
      <c r="B1704" s="63">
        <v>177.0</v>
      </c>
      <c r="C1704" s="64" t="s">
        <v>393</v>
      </c>
      <c r="D1704" s="64" t="s">
        <v>394</v>
      </c>
      <c r="E1704" s="64" t="s">
        <v>395</v>
      </c>
      <c r="F1704" s="63">
        <v>4000.0</v>
      </c>
      <c r="G1704" s="63">
        <v>26.57</v>
      </c>
      <c r="H1704" s="66">
        <f t="shared" si="1"/>
        <v>148.39</v>
      </c>
      <c r="I1704" s="81">
        <f>IFERROR(__xludf.DUMMYFUNCTION("IF(G1704="""", """", ROUND(G1704 / MAX(FILTER($G$2:$G5067, $D$2:$D5067=$D1704)) * 100, 2))"),99.96)</f>
        <v>99.96</v>
      </c>
      <c r="J1704" s="81">
        <f>IFERROR(__xludf.DUMMYFUNCTION("IF(H1704="""", """", ROUND(H1704 / MAX(FILTER($H$2:$H5067, $D$2:$D5067=$D1704)) * 100, 2))"),76.09)</f>
        <v>76.09</v>
      </c>
      <c r="K1704" s="2"/>
      <c r="L1704" s="49"/>
      <c r="M1704" s="49"/>
      <c r="N1704" s="49"/>
      <c r="O1704" s="49" t="str">
        <f t="shared" si="2"/>
        <v/>
      </c>
      <c r="P1704" s="49" t="str">
        <f t="shared" si="3"/>
        <v/>
      </c>
      <c r="Q1704" s="84"/>
      <c r="R1704" s="84"/>
      <c r="S1704" s="84"/>
      <c r="T1704" s="84"/>
      <c r="U1704" s="84"/>
      <c r="V1704" s="84"/>
      <c r="W1704" s="84"/>
      <c r="X1704" s="84"/>
      <c r="Y1704" s="84"/>
      <c r="Z1704" s="84"/>
      <c r="AA1704" s="84"/>
      <c r="AB1704" s="84"/>
    </row>
    <row r="1705">
      <c r="A1705" s="69">
        <v>115.0</v>
      </c>
      <c r="B1705" s="69">
        <v>177.0</v>
      </c>
      <c r="C1705" s="86" t="s">
        <v>393</v>
      </c>
      <c r="D1705" s="86" t="s">
        <v>394</v>
      </c>
      <c r="E1705" s="86" t="s">
        <v>395</v>
      </c>
      <c r="F1705" s="69">
        <v>4500.0</v>
      </c>
      <c r="G1705" s="69">
        <v>26.44</v>
      </c>
      <c r="H1705" s="68">
        <f t="shared" si="1"/>
        <v>166.13</v>
      </c>
      <c r="I1705" s="81">
        <f>IFERROR(__xludf.DUMMYFUNCTION("IF(G1705="""", """", ROUND(G1705 / MAX(FILTER($G$2:$G5067, $D$2:$D5067=$D1705)) * 100, 2))"),99.47)</f>
        <v>99.47</v>
      </c>
      <c r="J1705" s="81">
        <f>IFERROR(__xludf.DUMMYFUNCTION("IF(H1705="""", """", ROUND(H1705 / MAX(FILTER($H$2:$H5067, $D$2:$D5067=$D1705)) * 100, 2))"),85.18)</f>
        <v>85.18</v>
      </c>
      <c r="K1705" s="2"/>
      <c r="L1705" s="48"/>
      <c r="M1705" s="48"/>
      <c r="N1705" s="48"/>
      <c r="O1705" s="48" t="str">
        <f t="shared" si="2"/>
        <v/>
      </c>
      <c r="P1705" s="48" t="str">
        <f t="shared" si="3"/>
        <v/>
      </c>
      <c r="Q1705" s="84"/>
      <c r="R1705" s="84"/>
      <c r="S1705" s="84"/>
      <c r="T1705" s="84"/>
      <c r="U1705" s="84"/>
      <c r="V1705" s="84"/>
      <c r="W1705" s="84"/>
      <c r="X1705" s="84"/>
      <c r="Y1705" s="84"/>
      <c r="Z1705" s="84"/>
      <c r="AA1705" s="84"/>
      <c r="AB1705" s="84"/>
    </row>
    <row r="1706">
      <c r="A1706" s="63">
        <v>115.0</v>
      </c>
      <c r="B1706" s="63">
        <v>177.0</v>
      </c>
      <c r="C1706" s="64" t="s">
        <v>393</v>
      </c>
      <c r="D1706" s="64" t="s">
        <v>394</v>
      </c>
      <c r="E1706" s="64" t="s">
        <v>395</v>
      </c>
      <c r="F1706" s="63">
        <v>5000.0</v>
      </c>
      <c r="G1706" s="63">
        <v>26.11</v>
      </c>
      <c r="H1706" s="66">
        <f t="shared" si="1"/>
        <v>182.28</v>
      </c>
      <c r="I1706" s="81">
        <f>IFERROR(__xludf.DUMMYFUNCTION("IF(G1706="""", """", ROUND(G1706 / MAX(FILTER($G$2:$G5067, $D$2:$D5067=$D1706)) * 100, 2))"),98.23)</f>
        <v>98.23</v>
      </c>
      <c r="J1706" s="81">
        <f>IFERROR(__xludf.DUMMYFUNCTION("IF(H1706="""", """", ROUND(H1706 / MAX(FILTER($H$2:$H5067, $D$2:$D5067=$D1706)) * 100, 2))"),93.46)</f>
        <v>93.46</v>
      </c>
      <c r="K1706" s="2"/>
      <c r="L1706" s="49"/>
      <c r="M1706" s="49"/>
      <c r="N1706" s="49"/>
      <c r="O1706" s="49" t="str">
        <f t="shared" si="2"/>
        <v/>
      </c>
      <c r="P1706" s="49" t="str">
        <f t="shared" si="3"/>
        <v/>
      </c>
      <c r="Q1706" s="84"/>
      <c r="R1706" s="84"/>
      <c r="S1706" s="84"/>
      <c r="T1706" s="84"/>
      <c r="U1706" s="84"/>
      <c r="V1706" s="84"/>
      <c r="W1706" s="84"/>
      <c r="X1706" s="84"/>
      <c r="Y1706" s="84"/>
      <c r="Z1706" s="84"/>
      <c r="AA1706" s="84"/>
      <c r="AB1706" s="84"/>
    </row>
    <row r="1707">
      <c r="A1707" s="69">
        <v>115.0</v>
      </c>
      <c r="B1707" s="69">
        <v>177.0</v>
      </c>
      <c r="C1707" s="86" t="s">
        <v>393</v>
      </c>
      <c r="D1707" s="86" t="s">
        <v>394</v>
      </c>
      <c r="E1707" s="86" t="s">
        <v>395</v>
      </c>
      <c r="F1707" s="69">
        <v>5500.0</v>
      </c>
      <c r="G1707" s="69">
        <v>24.88</v>
      </c>
      <c r="H1707" s="68">
        <f t="shared" si="1"/>
        <v>191.06</v>
      </c>
      <c r="I1707" s="81">
        <f>IFERROR(__xludf.DUMMYFUNCTION("IF(G1707="""", """", ROUND(G1707 / MAX(FILTER($G$2:$G5067, $D$2:$D5067=$D1707)) * 100, 2))"),93.6)</f>
        <v>93.6</v>
      </c>
      <c r="J1707" s="81">
        <f>IFERROR(__xludf.DUMMYFUNCTION("IF(H1707="""", """", ROUND(H1707 / MAX(FILTER($H$2:$H5067, $D$2:$D5067=$D1707)) * 100, 2))"),97.96)</f>
        <v>97.96</v>
      </c>
      <c r="K1707" s="2"/>
      <c r="L1707" s="48"/>
      <c r="M1707" s="48"/>
      <c r="N1707" s="48"/>
      <c r="O1707" s="48" t="str">
        <f t="shared" si="2"/>
        <v/>
      </c>
      <c r="P1707" s="48" t="str">
        <f t="shared" si="3"/>
        <v/>
      </c>
      <c r="Q1707" s="84"/>
      <c r="R1707" s="84"/>
      <c r="S1707" s="84"/>
      <c r="T1707" s="84"/>
      <c r="U1707" s="84"/>
      <c r="V1707" s="84"/>
      <c r="W1707" s="84"/>
      <c r="X1707" s="84"/>
      <c r="Y1707" s="84"/>
      <c r="Z1707" s="84"/>
      <c r="AA1707" s="84"/>
      <c r="AB1707" s="84"/>
    </row>
    <row r="1708">
      <c r="A1708" s="63">
        <v>115.0</v>
      </c>
      <c r="B1708" s="63">
        <v>177.0</v>
      </c>
      <c r="C1708" s="64" t="s">
        <v>393</v>
      </c>
      <c r="D1708" s="64" t="s">
        <v>394</v>
      </c>
      <c r="E1708" s="64" t="s">
        <v>395</v>
      </c>
      <c r="F1708" s="63">
        <v>6000.0</v>
      </c>
      <c r="G1708" s="63">
        <v>23.28</v>
      </c>
      <c r="H1708" s="66">
        <f t="shared" si="1"/>
        <v>195.03</v>
      </c>
      <c r="I1708" s="81">
        <f>IFERROR(__xludf.DUMMYFUNCTION("IF(G1708="""", """", ROUND(G1708 / MAX(FILTER($G$2:$G5067, $D$2:$D5067=$D1708)) * 100, 2))"),87.58)</f>
        <v>87.58</v>
      </c>
      <c r="J1708" s="81">
        <f>IFERROR(__xludf.DUMMYFUNCTION("IF(H1708="""", """", ROUND(H1708 / MAX(FILTER($H$2:$H5067, $D$2:$D5067=$D1708)) * 100, 2))"),100.0)</f>
        <v>100</v>
      </c>
      <c r="K1708" s="2"/>
      <c r="L1708" s="49"/>
      <c r="M1708" s="49"/>
      <c r="N1708" s="49"/>
      <c r="O1708" s="49" t="str">
        <f t="shared" si="2"/>
        <v/>
      </c>
      <c r="P1708" s="49" t="str">
        <f t="shared" si="3"/>
        <v/>
      </c>
      <c r="Q1708" s="84"/>
      <c r="R1708" s="84"/>
      <c r="S1708" s="84"/>
      <c r="T1708" s="84"/>
      <c r="U1708" s="84"/>
      <c r="V1708" s="84"/>
      <c r="W1708" s="84"/>
      <c r="X1708" s="84"/>
      <c r="Y1708" s="84"/>
      <c r="Z1708" s="84"/>
      <c r="AA1708" s="84"/>
      <c r="AB1708" s="84"/>
    </row>
    <row r="1709">
      <c r="A1709" s="69">
        <v>115.0</v>
      </c>
      <c r="B1709" s="69">
        <v>177.0</v>
      </c>
      <c r="C1709" s="86" t="s">
        <v>393</v>
      </c>
      <c r="D1709" s="86" t="s">
        <v>394</v>
      </c>
      <c r="E1709" s="86" t="s">
        <v>395</v>
      </c>
      <c r="F1709" s="69">
        <v>6500.0</v>
      </c>
      <c r="G1709" s="69">
        <v>21.35</v>
      </c>
      <c r="H1709" s="68">
        <f t="shared" si="1"/>
        <v>193.77</v>
      </c>
      <c r="I1709" s="81">
        <f>IFERROR(__xludf.DUMMYFUNCTION("IF(G1709="""", """", ROUND(G1709 / MAX(FILTER($G$2:$G5067, $D$2:$D5067=$D1709)) * 100, 2))"),80.32)</f>
        <v>80.32</v>
      </c>
      <c r="J1709" s="81">
        <f>IFERROR(__xludf.DUMMYFUNCTION("IF(H1709="""", """", ROUND(H1709 / MAX(FILTER($H$2:$H5067, $D$2:$D5067=$D1709)) * 100, 2))"),99.35)</f>
        <v>99.35</v>
      </c>
      <c r="K1709" s="2"/>
      <c r="L1709" s="48"/>
      <c r="M1709" s="48"/>
      <c r="N1709" s="48"/>
      <c r="O1709" s="48" t="str">
        <f t="shared" si="2"/>
        <v/>
      </c>
      <c r="P1709" s="48" t="str">
        <f t="shared" si="3"/>
        <v/>
      </c>
      <c r="Q1709" s="84"/>
      <c r="R1709" s="84"/>
      <c r="S1709" s="84"/>
      <c r="T1709" s="84"/>
      <c r="U1709" s="84"/>
      <c r="V1709" s="84"/>
      <c r="W1709" s="84"/>
      <c r="X1709" s="84"/>
      <c r="Y1709" s="84"/>
      <c r="Z1709" s="84"/>
      <c r="AA1709" s="84"/>
      <c r="AB1709" s="84"/>
    </row>
    <row r="1710">
      <c r="A1710" s="63">
        <v>115.0</v>
      </c>
      <c r="B1710" s="63">
        <v>177.0</v>
      </c>
      <c r="C1710" s="64" t="s">
        <v>393</v>
      </c>
      <c r="D1710" s="64" t="s">
        <v>394</v>
      </c>
      <c r="E1710" s="64" t="s">
        <v>395</v>
      </c>
      <c r="F1710" s="63">
        <v>7000.0</v>
      </c>
      <c r="G1710" s="63">
        <v>18.77</v>
      </c>
      <c r="H1710" s="66">
        <f t="shared" si="1"/>
        <v>183.45</v>
      </c>
      <c r="I1710" s="81">
        <f>IFERROR(__xludf.DUMMYFUNCTION("IF(G1710="""", """", ROUND(G1710 / MAX(FILTER($G$2:$G5067, $D$2:$D5067=$D1710)) * 100, 2))"),70.62)</f>
        <v>70.62</v>
      </c>
      <c r="J1710" s="81">
        <f>IFERROR(__xludf.DUMMYFUNCTION("IF(H1710="""", """", ROUND(H1710 / MAX(FILTER($H$2:$H5067, $D$2:$D5067=$D1710)) * 100, 2))"),94.06)</f>
        <v>94.06</v>
      </c>
      <c r="K1710" s="2"/>
      <c r="L1710" s="49"/>
      <c r="M1710" s="49"/>
      <c r="N1710" s="49"/>
      <c r="O1710" s="49" t="str">
        <f t="shared" si="2"/>
        <v/>
      </c>
      <c r="P1710" s="49" t="str">
        <f t="shared" si="3"/>
        <v/>
      </c>
      <c r="Q1710" s="84"/>
      <c r="R1710" s="84"/>
      <c r="S1710" s="84"/>
      <c r="T1710" s="84"/>
      <c r="U1710" s="84"/>
      <c r="V1710" s="84"/>
      <c r="W1710" s="84"/>
      <c r="X1710" s="84"/>
      <c r="Y1710" s="84"/>
      <c r="Z1710" s="84"/>
      <c r="AA1710" s="84"/>
      <c r="AB1710" s="84"/>
    </row>
    <row r="1711">
      <c r="A1711" s="69">
        <v>115.0</v>
      </c>
      <c r="B1711" s="69">
        <v>177.0</v>
      </c>
      <c r="C1711" s="86" t="s">
        <v>393</v>
      </c>
      <c r="D1711" s="86" t="s">
        <v>394</v>
      </c>
      <c r="E1711" s="86" t="s">
        <v>395</v>
      </c>
      <c r="F1711" s="69">
        <v>7500.0</v>
      </c>
      <c r="G1711" s="69">
        <v>16.18</v>
      </c>
      <c r="H1711" s="68">
        <f t="shared" si="1"/>
        <v>169.44</v>
      </c>
      <c r="I1711" s="81">
        <f>IFERROR(__xludf.DUMMYFUNCTION("IF(G1711="""", """", ROUND(G1711 / MAX(FILTER($G$2:$G5067, $D$2:$D5067=$D1711)) * 100, 2))"),60.87)</f>
        <v>60.87</v>
      </c>
      <c r="J1711" s="81">
        <f>IFERROR(__xludf.DUMMYFUNCTION("IF(H1711="""", """", ROUND(H1711 / MAX(FILTER($H$2:$H5067, $D$2:$D5067=$D1711)) * 100, 2))"),86.88)</f>
        <v>86.88</v>
      </c>
      <c r="K1711" s="2"/>
      <c r="L1711" s="48"/>
      <c r="M1711" s="48"/>
      <c r="N1711" s="48"/>
      <c r="O1711" s="48" t="str">
        <f t="shared" si="2"/>
        <v/>
      </c>
      <c r="P1711" s="48" t="str">
        <f t="shared" si="3"/>
        <v/>
      </c>
      <c r="Q1711" s="84"/>
      <c r="R1711" s="84"/>
      <c r="S1711" s="84"/>
      <c r="T1711" s="84"/>
      <c r="U1711" s="84"/>
      <c r="V1711" s="84"/>
      <c r="W1711" s="84"/>
      <c r="X1711" s="84"/>
      <c r="Y1711" s="84"/>
      <c r="Z1711" s="84"/>
      <c r="AA1711" s="84"/>
      <c r="AB1711" s="84"/>
    </row>
    <row r="1712">
      <c r="A1712" s="63">
        <v>115.0</v>
      </c>
      <c r="B1712" s="63">
        <v>177.0</v>
      </c>
      <c r="C1712" s="64" t="s">
        <v>393</v>
      </c>
      <c r="D1712" s="64" t="s">
        <v>394</v>
      </c>
      <c r="E1712" s="64" t="s">
        <v>395</v>
      </c>
      <c r="F1712" s="63">
        <v>8000.0</v>
      </c>
      <c r="G1712" s="63">
        <v>12.75</v>
      </c>
      <c r="H1712" s="66">
        <f t="shared" si="1"/>
        <v>142.42</v>
      </c>
      <c r="I1712" s="81">
        <f>IFERROR(__xludf.DUMMYFUNCTION("IF(G1712="""", """", ROUND(G1712 / MAX(FILTER($G$2:$G5067, $D$2:$D5067=$D1712)) * 100, 2))"),47.97)</f>
        <v>47.97</v>
      </c>
      <c r="J1712" s="81">
        <f>IFERROR(__xludf.DUMMYFUNCTION("IF(H1712="""", """", ROUND(H1712 / MAX(FILTER($H$2:$H5067, $D$2:$D5067=$D1712)) * 100, 2))"),73.02)</f>
        <v>73.02</v>
      </c>
      <c r="K1712" s="2"/>
      <c r="L1712" s="49"/>
      <c r="M1712" s="49"/>
      <c r="N1712" s="49"/>
      <c r="O1712" s="49" t="str">
        <f t="shared" si="2"/>
        <v/>
      </c>
      <c r="P1712" s="49" t="str">
        <f t="shared" si="3"/>
        <v/>
      </c>
      <c r="Q1712" s="84"/>
      <c r="R1712" s="84"/>
      <c r="S1712" s="84"/>
      <c r="T1712" s="84"/>
      <c r="U1712" s="84"/>
      <c r="V1712" s="84"/>
      <c r="W1712" s="84"/>
      <c r="X1712" s="84"/>
      <c r="Y1712" s="84"/>
      <c r="Z1712" s="84"/>
      <c r="AA1712" s="84"/>
      <c r="AB1712" s="84"/>
    </row>
    <row r="1713">
      <c r="A1713" s="69">
        <v>116.0</v>
      </c>
      <c r="B1713" s="69">
        <v>179.0</v>
      </c>
      <c r="C1713" s="86" t="s">
        <v>396</v>
      </c>
      <c r="D1713" s="86" t="s">
        <v>397</v>
      </c>
      <c r="E1713" s="86" t="s">
        <v>398</v>
      </c>
      <c r="F1713" s="69">
        <v>500.0</v>
      </c>
      <c r="G1713" s="69">
        <v>20.77</v>
      </c>
      <c r="H1713" s="68">
        <f t="shared" si="1"/>
        <v>14.5</v>
      </c>
      <c r="I1713" s="81">
        <f>IFERROR(__xludf.DUMMYFUNCTION("IF(G1713="""", """", ROUND(G1713 / MAX(FILTER($G$2:$G5067, $D$2:$D5067=$D1713)) * 100, 2))"),57.49)</f>
        <v>57.49</v>
      </c>
      <c r="J1713" s="81">
        <f>IFERROR(__xludf.DUMMYFUNCTION("IF(H1713="""", """", ROUND(H1713 / MAX(FILTER($H$2:$H5067, $D$2:$D5067=$D1713)) * 100, 2))"),4.84)</f>
        <v>4.84</v>
      </c>
      <c r="K1713" s="2"/>
      <c r="L1713" s="48"/>
      <c r="M1713" s="48"/>
      <c r="N1713" s="48"/>
      <c r="O1713" s="48" t="str">
        <f t="shared" si="2"/>
        <v/>
      </c>
      <c r="P1713" s="48" t="str">
        <f t="shared" si="3"/>
        <v/>
      </c>
      <c r="Q1713" s="84"/>
      <c r="R1713" s="84"/>
      <c r="S1713" s="84"/>
      <c r="T1713" s="84"/>
      <c r="U1713" s="84"/>
      <c r="V1713" s="84"/>
      <c r="W1713" s="84"/>
      <c r="X1713" s="84"/>
      <c r="Y1713" s="84"/>
      <c r="Z1713" s="84"/>
      <c r="AA1713" s="84"/>
      <c r="AB1713" s="84"/>
    </row>
    <row r="1714">
      <c r="A1714" s="63">
        <v>116.0</v>
      </c>
      <c r="B1714" s="63">
        <v>179.0</v>
      </c>
      <c r="C1714" s="64" t="s">
        <v>396</v>
      </c>
      <c r="D1714" s="64" t="s">
        <v>397</v>
      </c>
      <c r="E1714" s="64" t="s">
        <v>398</v>
      </c>
      <c r="F1714" s="63">
        <v>1000.0</v>
      </c>
      <c r="G1714" s="63">
        <v>23.83</v>
      </c>
      <c r="H1714" s="66">
        <f t="shared" si="1"/>
        <v>33.27</v>
      </c>
      <c r="I1714" s="81">
        <f>IFERROR(__xludf.DUMMYFUNCTION("IF(G1714="""", """", ROUND(G1714 / MAX(FILTER($G$2:$G5067, $D$2:$D5067=$D1714)) * 100, 2))"),65.96)</f>
        <v>65.96</v>
      </c>
      <c r="J1714" s="81">
        <f>IFERROR(__xludf.DUMMYFUNCTION("IF(H1714="""", """", ROUND(H1714 / MAX(FILTER($H$2:$H5067, $D$2:$D5067=$D1714)) * 100, 2))"),11.11)</f>
        <v>11.11</v>
      </c>
      <c r="K1714" s="2"/>
      <c r="L1714" s="49"/>
      <c r="M1714" s="49"/>
      <c r="N1714" s="49"/>
      <c r="O1714" s="49" t="str">
        <f t="shared" si="2"/>
        <v/>
      </c>
      <c r="P1714" s="49" t="str">
        <f t="shared" si="3"/>
        <v/>
      </c>
      <c r="Q1714" s="84"/>
      <c r="R1714" s="84"/>
      <c r="S1714" s="84"/>
      <c r="T1714" s="84"/>
      <c r="U1714" s="84"/>
      <c r="V1714" s="84"/>
      <c r="W1714" s="84"/>
      <c r="X1714" s="84"/>
      <c r="Y1714" s="84"/>
      <c r="Z1714" s="84"/>
      <c r="AA1714" s="84"/>
      <c r="AB1714" s="84"/>
    </row>
    <row r="1715">
      <c r="A1715" s="69">
        <v>116.0</v>
      </c>
      <c r="B1715" s="69">
        <v>179.0</v>
      </c>
      <c r="C1715" s="86" t="s">
        <v>396</v>
      </c>
      <c r="D1715" s="86" t="s">
        <v>397</v>
      </c>
      <c r="E1715" s="86" t="s">
        <v>398</v>
      </c>
      <c r="F1715" s="69">
        <v>1500.0</v>
      </c>
      <c r="G1715" s="69">
        <v>25.2</v>
      </c>
      <c r="H1715" s="68">
        <f t="shared" si="1"/>
        <v>52.78</v>
      </c>
      <c r="I1715" s="81">
        <f>IFERROR(__xludf.DUMMYFUNCTION("IF(G1715="""", """", ROUND(G1715 / MAX(FILTER($G$2:$G5067, $D$2:$D5067=$D1715)) * 100, 2))"),69.75)</f>
        <v>69.75</v>
      </c>
      <c r="J1715" s="81">
        <f>IFERROR(__xludf.DUMMYFUNCTION("IF(H1715="""", """", ROUND(H1715 / MAX(FILTER($H$2:$H5067, $D$2:$D5067=$D1715)) * 100, 2))"),17.63)</f>
        <v>17.63</v>
      </c>
      <c r="K1715" s="2"/>
      <c r="L1715" s="48"/>
      <c r="M1715" s="48"/>
      <c r="N1715" s="48"/>
      <c r="O1715" s="48" t="str">
        <f t="shared" si="2"/>
        <v/>
      </c>
      <c r="P1715" s="48" t="str">
        <f t="shared" si="3"/>
        <v/>
      </c>
      <c r="Q1715" s="84"/>
      <c r="R1715" s="84"/>
      <c r="S1715" s="84"/>
      <c r="T1715" s="84"/>
      <c r="U1715" s="84"/>
      <c r="V1715" s="84"/>
      <c r="W1715" s="84"/>
      <c r="X1715" s="84"/>
      <c r="Y1715" s="84"/>
      <c r="Z1715" s="84"/>
      <c r="AA1715" s="84"/>
      <c r="AB1715" s="84"/>
    </row>
    <row r="1716">
      <c r="A1716" s="63">
        <v>116.0</v>
      </c>
      <c r="B1716" s="63">
        <v>179.0</v>
      </c>
      <c r="C1716" s="64" t="s">
        <v>396</v>
      </c>
      <c r="D1716" s="64" t="s">
        <v>397</v>
      </c>
      <c r="E1716" s="64" t="s">
        <v>398</v>
      </c>
      <c r="F1716" s="63">
        <v>2000.0</v>
      </c>
      <c r="G1716" s="63">
        <v>26.81</v>
      </c>
      <c r="H1716" s="66">
        <f t="shared" si="1"/>
        <v>74.87</v>
      </c>
      <c r="I1716" s="81">
        <f>IFERROR(__xludf.DUMMYFUNCTION("IF(G1716="""", """", ROUND(G1716 / MAX(FILTER($G$2:$G5067, $D$2:$D5067=$D1716)) * 100, 2))"),74.2)</f>
        <v>74.2</v>
      </c>
      <c r="J1716" s="81">
        <f>IFERROR(__xludf.DUMMYFUNCTION("IF(H1716="""", """", ROUND(H1716 / MAX(FILTER($H$2:$H5067, $D$2:$D5067=$D1716)) * 100, 2))"),25.01)</f>
        <v>25.01</v>
      </c>
      <c r="K1716" s="2"/>
      <c r="L1716" s="49"/>
      <c r="M1716" s="49"/>
      <c r="N1716" s="49"/>
      <c r="O1716" s="49" t="str">
        <f t="shared" si="2"/>
        <v/>
      </c>
      <c r="P1716" s="49" t="str">
        <f t="shared" si="3"/>
        <v/>
      </c>
      <c r="Q1716" s="84"/>
      <c r="R1716" s="84"/>
      <c r="S1716" s="84"/>
      <c r="T1716" s="84"/>
      <c r="U1716" s="84"/>
      <c r="V1716" s="84"/>
      <c r="W1716" s="84"/>
      <c r="X1716" s="84"/>
      <c r="Y1716" s="84"/>
      <c r="Z1716" s="84"/>
      <c r="AA1716" s="84"/>
      <c r="AB1716" s="84"/>
    </row>
    <row r="1717">
      <c r="A1717" s="69">
        <v>116.0</v>
      </c>
      <c r="B1717" s="69">
        <v>179.0</v>
      </c>
      <c r="C1717" s="86" t="s">
        <v>396</v>
      </c>
      <c r="D1717" s="86" t="s">
        <v>397</v>
      </c>
      <c r="E1717" s="86" t="s">
        <v>398</v>
      </c>
      <c r="F1717" s="69">
        <v>2500.0</v>
      </c>
      <c r="G1717" s="69">
        <v>27.73</v>
      </c>
      <c r="H1717" s="68">
        <f t="shared" si="1"/>
        <v>96.8</v>
      </c>
      <c r="I1717" s="81">
        <f>IFERROR(__xludf.DUMMYFUNCTION("IF(G1717="""", """", ROUND(G1717 / MAX(FILTER($G$2:$G5067, $D$2:$D5067=$D1717)) * 100, 2))"),76.75)</f>
        <v>76.75</v>
      </c>
      <c r="J1717" s="81">
        <f>IFERROR(__xludf.DUMMYFUNCTION("IF(H1717="""", """", ROUND(H1717 / MAX(FILTER($H$2:$H5067, $D$2:$D5067=$D1717)) * 100, 2))"),32.33)</f>
        <v>32.33</v>
      </c>
      <c r="K1717" s="2"/>
      <c r="L1717" s="48"/>
      <c r="M1717" s="48"/>
      <c r="N1717" s="48"/>
      <c r="O1717" s="48" t="str">
        <f t="shared" si="2"/>
        <v/>
      </c>
      <c r="P1717" s="48" t="str">
        <f t="shared" si="3"/>
        <v/>
      </c>
      <c r="Q1717" s="84"/>
      <c r="R1717" s="84"/>
      <c r="S1717" s="84"/>
      <c r="T1717" s="84"/>
      <c r="U1717" s="84"/>
      <c r="V1717" s="84"/>
      <c r="W1717" s="84"/>
      <c r="X1717" s="84"/>
      <c r="Y1717" s="84"/>
      <c r="Z1717" s="84"/>
      <c r="AA1717" s="84"/>
      <c r="AB1717" s="84"/>
    </row>
    <row r="1718">
      <c r="A1718" s="63">
        <v>116.0</v>
      </c>
      <c r="B1718" s="63">
        <v>179.0</v>
      </c>
      <c r="C1718" s="64" t="s">
        <v>396</v>
      </c>
      <c r="D1718" s="64" t="s">
        <v>397</v>
      </c>
      <c r="E1718" s="64" t="s">
        <v>398</v>
      </c>
      <c r="F1718" s="63">
        <v>3000.0</v>
      </c>
      <c r="G1718" s="63">
        <v>29.67</v>
      </c>
      <c r="H1718" s="66">
        <f t="shared" si="1"/>
        <v>124.28</v>
      </c>
      <c r="I1718" s="81">
        <f>IFERROR(__xludf.DUMMYFUNCTION("IF(G1718="""", """", ROUND(G1718 / MAX(FILTER($G$2:$G5067, $D$2:$D5067=$D1718)) * 100, 2))"),82.12)</f>
        <v>82.12</v>
      </c>
      <c r="J1718" s="81">
        <f>IFERROR(__xludf.DUMMYFUNCTION("IF(H1718="""", """", ROUND(H1718 / MAX(FILTER($H$2:$H5067, $D$2:$D5067=$D1718)) * 100, 2))"),41.51)</f>
        <v>41.51</v>
      </c>
      <c r="K1718" s="2"/>
      <c r="L1718" s="49"/>
      <c r="M1718" s="49"/>
      <c r="N1718" s="49"/>
      <c r="O1718" s="49" t="str">
        <f t="shared" si="2"/>
        <v/>
      </c>
      <c r="P1718" s="49" t="str">
        <f t="shared" si="3"/>
        <v/>
      </c>
      <c r="Q1718" s="84"/>
      <c r="R1718" s="84"/>
      <c r="S1718" s="84"/>
      <c r="T1718" s="84"/>
      <c r="U1718" s="84"/>
      <c r="V1718" s="84"/>
      <c r="W1718" s="84"/>
      <c r="X1718" s="84"/>
      <c r="Y1718" s="84"/>
      <c r="Z1718" s="84"/>
      <c r="AA1718" s="84"/>
      <c r="AB1718" s="84"/>
    </row>
    <row r="1719">
      <c r="A1719" s="69">
        <v>116.0</v>
      </c>
      <c r="B1719" s="69">
        <v>179.0</v>
      </c>
      <c r="C1719" s="86" t="s">
        <v>396</v>
      </c>
      <c r="D1719" s="86" t="s">
        <v>397</v>
      </c>
      <c r="E1719" s="86" t="s">
        <v>398</v>
      </c>
      <c r="F1719" s="69">
        <v>3500.0</v>
      </c>
      <c r="G1719" s="69">
        <v>32.48</v>
      </c>
      <c r="H1719" s="68">
        <f t="shared" si="1"/>
        <v>158.73</v>
      </c>
      <c r="I1719" s="81">
        <f>IFERROR(__xludf.DUMMYFUNCTION("IF(G1719="""", """", ROUND(G1719 / MAX(FILTER($G$2:$G5067, $D$2:$D5067=$D1719)) * 100, 2))"),89.9)</f>
        <v>89.9</v>
      </c>
      <c r="J1719" s="81">
        <f>IFERROR(__xludf.DUMMYFUNCTION("IF(H1719="""", """", ROUND(H1719 / MAX(FILTER($H$2:$H5067, $D$2:$D5067=$D1719)) * 100, 2))"),53.01)</f>
        <v>53.01</v>
      </c>
      <c r="K1719" s="2"/>
      <c r="L1719" s="48"/>
      <c r="M1719" s="48"/>
      <c r="N1719" s="48"/>
      <c r="O1719" s="48" t="str">
        <f t="shared" si="2"/>
        <v/>
      </c>
      <c r="P1719" s="48" t="str">
        <f t="shared" si="3"/>
        <v/>
      </c>
      <c r="Q1719" s="84"/>
      <c r="R1719" s="84"/>
      <c r="S1719" s="84"/>
      <c r="T1719" s="84"/>
      <c r="U1719" s="84"/>
      <c r="V1719" s="84"/>
      <c r="W1719" s="84"/>
      <c r="X1719" s="84"/>
      <c r="Y1719" s="84"/>
      <c r="Z1719" s="84"/>
      <c r="AA1719" s="84"/>
      <c r="AB1719" s="84"/>
    </row>
    <row r="1720">
      <c r="A1720" s="63">
        <v>116.0</v>
      </c>
      <c r="B1720" s="63">
        <v>179.0</v>
      </c>
      <c r="C1720" s="64" t="s">
        <v>396</v>
      </c>
      <c r="D1720" s="64" t="s">
        <v>397</v>
      </c>
      <c r="E1720" s="64" t="s">
        <v>398</v>
      </c>
      <c r="F1720" s="63">
        <v>4000.0</v>
      </c>
      <c r="G1720" s="63">
        <v>35.14</v>
      </c>
      <c r="H1720" s="66">
        <f t="shared" si="1"/>
        <v>196.26</v>
      </c>
      <c r="I1720" s="81">
        <f>IFERROR(__xludf.DUMMYFUNCTION("IF(G1720="""", """", ROUND(G1720 / MAX(FILTER($G$2:$G5067, $D$2:$D5067=$D1720)) * 100, 2))"),97.26)</f>
        <v>97.26</v>
      </c>
      <c r="J1720" s="81">
        <f>IFERROR(__xludf.DUMMYFUNCTION("IF(H1720="""", """", ROUND(H1720 / MAX(FILTER($H$2:$H5067, $D$2:$D5067=$D1720)) * 100, 2))"),65.55)</f>
        <v>65.55</v>
      </c>
      <c r="K1720" s="2"/>
      <c r="L1720" s="49"/>
      <c r="M1720" s="49"/>
      <c r="N1720" s="49"/>
      <c r="O1720" s="49" t="str">
        <f t="shared" si="2"/>
        <v/>
      </c>
      <c r="P1720" s="49" t="str">
        <f t="shared" si="3"/>
        <v/>
      </c>
      <c r="Q1720" s="84"/>
      <c r="R1720" s="84"/>
      <c r="S1720" s="84"/>
      <c r="T1720" s="84"/>
      <c r="U1720" s="84"/>
      <c r="V1720" s="84"/>
      <c r="W1720" s="84"/>
      <c r="X1720" s="84"/>
      <c r="Y1720" s="84"/>
      <c r="Z1720" s="84"/>
      <c r="AA1720" s="84"/>
      <c r="AB1720" s="84"/>
    </row>
    <row r="1721">
      <c r="A1721" s="69">
        <v>116.0</v>
      </c>
      <c r="B1721" s="69">
        <v>179.0</v>
      </c>
      <c r="C1721" s="86" t="s">
        <v>396</v>
      </c>
      <c r="D1721" s="86" t="s">
        <v>397</v>
      </c>
      <c r="E1721" s="86" t="s">
        <v>398</v>
      </c>
      <c r="F1721" s="69">
        <v>4500.0</v>
      </c>
      <c r="G1721" s="69">
        <v>36.0</v>
      </c>
      <c r="H1721" s="68">
        <f t="shared" si="1"/>
        <v>226.19</v>
      </c>
      <c r="I1721" s="81">
        <f>IFERROR(__xludf.DUMMYFUNCTION("IF(G1721="""", """", ROUND(G1721 / MAX(FILTER($G$2:$G5067, $D$2:$D5067=$D1721)) * 100, 2))"),99.64)</f>
        <v>99.64</v>
      </c>
      <c r="J1721" s="81">
        <f>IFERROR(__xludf.DUMMYFUNCTION("IF(H1721="""", """", ROUND(H1721 / MAX(FILTER($H$2:$H5067, $D$2:$D5067=$D1721)) * 100, 2))"),75.55)</f>
        <v>75.55</v>
      </c>
      <c r="K1721" s="2"/>
      <c r="L1721" s="48"/>
      <c r="M1721" s="48"/>
      <c r="N1721" s="48"/>
      <c r="O1721" s="48" t="str">
        <f t="shared" si="2"/>
        <v/>
      </c>
      <c r="P1721" s="48" t="str">
        <f t="shared" si="3"/>
        <v/>
      </c>
      <c r="Q1721" s="84"/>
      <c r="R1721" s="84"/>
      <c r="S1721" s="84"/>
      <c r="T1721" s="84"/>
      <c r="U1721" s="84"/>
      <c r="V1721" s="84"/>
      <c r="W1721" s="84"/>
      <c r="X1721" s="84"/>
      <c r="Y1721" s="84"/>
      <c r="Z1721" s="84"/>
      <c r="AA1721" s="84"/>
      <c r="AB1721" s="84"/>
    </row>
    <row r="1722">
      <c r="A1722" s="63">
        <v>116.0</v>
      </c>
      <c r="B1722" s="63">
        <v>179.0</v>
      </c>
      <c r="C1722" s="64" t="s">
        <v>396</v>
      </c>
      <c r="D1722" s="64" t="s">
        <v>397</v>
      </c>
      <c r="E1722" s="64" t="s">
        <v>398</v>
      </c>
      <c r="F1722" s="63">
        <v>5000.0</v>
      </c>
      <c r="G1722" s="63">
        <v>36.13</v>
      </c>
      <c r="H1722" s="66">
        <f t="shared" si="1"/>
        <v>252.23</v>
      </c>
      <c r="I1722" s="81">
        <f>IFERROR(__xludf.DUMMYFUNCTION("IF(G1722="""", """", ROUND(G1722 / MAX(FILTER($G$2:$G5067, $D$2:$D5067=$D1722)) * 100, 2))"),100.0)</f>
        <v>100</v>
      </c>
      <c r="J1722" s="81">
        <f>IFERROR(__xludf.DUMMYFUNCTION("IF(H1722="""", """", ROUND(H1722 / MAX(FILTER($H$2:$H5067, $D$2:$D5067=$D1722)) * 100, 2))"),84.24)</f>
        <v>84.24</v>
      </c>
      <c r="K1722" s="2"/>
      <c r="L1722" s="49"/>
      <c r="M1722" s="49"/>
      <c r="N1722" s="49"/>
      <c r="O1722" s="49" t="str">
        <f t="shared" si="2"/>
        <v/>
      </c>
      <c r="P1722" s="49" t="str">
        <f t="shared" si="3"/>
        <v/>
      </c>
      <c r="Q1722" s="84"/>
      <c r="R1722" s="84"/>
      <c r="S1722" s="84"/>
      <c r="T1722" s="84"/>
      <c r="U1722" s="84"/>
      <c r="V1722" s="84"/>
      <c r="W1722" s="84"/>
      <c r="X1722" s="84"/>
      <c r="Y1722" s="84"/>
      <c r="Z1722" s="84"/>
      <c r="AA1722" s="84"/>
      <c r="AB1722" s="84"/>
    </row>
    <row r="1723">
      <c r="A1723" s="69">
        <v>116.0</v>
      </c>
      <c r="B1723" s="69">
        <v>179.0</v>
      </c>
      <c r="C1723" s="86" t="s">
        <v>396</v>
      </c>
      <c r="D1723" s="86" t="s">
        <v>397</v>
      </c>
      <c r="E1723" s="86" t="s">
        <v>398</v>
      </c>
      <c r="F1723" s="69">
        <v>5500.0</v>
      </c>
      <c r="G1723" s="69">
        <v>35.83</v>
      </c>
      <c r="H1723" s="68">
        <f t="shared" si="1"/>
        <v>275.15</v>
      </c>
      <c r="I1723" s="81">
        <f>IFERROR(__xludf.DUMMYFUNCTION("IF(G1723="""", """", ROUND(G1723 / MAX(FILTER($G$2:$G5067, $D$2:$D5067=$D1723)) * 100, 2))"),99.17)</f>
        <v>99.17</v>
      </c>
      <c r="J1723" s="81">
        <f>IFERROR(__xludf.DUMMYFUNCTION("IF(H1723="""", """", ROUND(H1723 / MAX(FILTER($H$2:$H5067, $D$2:$D5067=$D1723)) * 100, 2))"),91.9)</f>
        <v>91.9</v>
      </c>
      <c r="K1723" s="2"/>
      <c r="L1723" s="48"/>
      <c r="M1723" s="48"/>
      <c r="N1723" s="48"/>
      <c r="O1723" s="48" t="str">
        <f t="shared" si="2"/>
        <v/>
      </c>
      <c r="P1723" s="48" t="str">
        <f t="shared" si="3"/>
        <v/>
      </c>
      <c r="Q1723" s="84"/>
      <c r="R1723" s="84"/>
      <c r="S1723" s="84"/>
      <c r="T1723" s="84"/>
      <c r="U1723" s="84"/>
      <c r="V1723" s="84"/>
      <c r="W1723" s="84"/>
      <c r="X1723" s="84"/>
      <c r="Y1723" s="84"/>
      <c r="Z1723" s="84"/>
      <c r="AA1723" s="84"/>
      <c r="AB1723" s="84"/>
    </row>
    <row r="1724">
      <c r="A1724" s="63">
        <v>116.0</v>
      </c>
      <c r="B1724" s="63">
        <v>179.0</v>
      </c>
      <c r="C1724" s="64" t="s">
        <v>396</v>
      </c>
      <c r="D1724" s="64" t="s">
        <v>397</v>
      </c>
      <c r="E1724" s="64" t="s">
        <v>398</v>
      </c>
      <c r="F1724" s="63">
        <v>6000.0</v>
      </c>
      <c r="G1724" s="63">
        <v>35.12</v>
      </c>
      <c r="H1724" s="66">
        <f t="shared" si="1"/>
        <v>294.22</v>
      </c>
      <c r="I1724" s="81">
        <f>IFERROR(__xludf.DUMMYFUNCTION("IF(G1724="""", """", ROUND(G1724 / MAX(FILTER($G$2:$G5067, $D$2:$D5067=$D1724)) * 100, 2))"),97.2)</f>
        <v>97.2</v>
      </c>
      <c r="J1724" s="81">
        <f>IFERROR(__xludf.DUMMYFUNCTION("IF(H1724="""", """", ROUND(H1724 / MAX(FILTER($H$2:$H5067, $D$2:$D5067=$D1724)) * 100, 2))"),98.27)</f>
        <v>98.27</v>
      </c>
      <c r="K1724" s="2"/>
      <c r="L1724" s="49"/>
      <c r="M1724" s="49"/>
      <c r="N1724" s="49"/>
      <c r="O1724" s="49" t="str">
        <f t="shared" si="2"/>
        <v/>
      </c>
      <c r="P1724" s="49" t="str">
        <f t="shared" si="3"/>
        <v/>
      </c>
      <c r="Q1724" s="84"/>
      <c r="R1724" s="84"/>
      <c r="S1724" s="84"/>
      <c r="T1724" s="84"/>
      <c r="U1724" s="84"/>
      <c r="V1724" s="84"/>
      <c r="W1724" s="84"/>
      <c r="X1724" s="84"/>
      <c r="Y1724" s="84"/>
      <c r="Z1724" s="84"/>
      <c r="AA1724" s="84"/>
      <c r="AB1724" s="84"/>
    </row>
    <row r="1725">
      <c r="A1725" s="69">
        <v>116.0</v>
      </c>
      <c r="B1725" s="69">
        <v>179.0</v>
      </c>
      <c r="C1725" s="86" t="s">
        <v>396</v>
      </c>
      <c r="D1725" s="86" t="s">
        <v>397</v>
      </c>
      <c r="E1725" s="86" t="s">
        <v>398</v>
      </c>
      <c r="F1725" s="69">
        <v>6500.0</v>
      </c>
      <c r="G1725" s="69">
        <v>32.99</v>
      </c>
      <c r="H1725" s="68">
        <f t="shared" si="1"/>
        <v>299.41</v>
      </c>
      <c r="I1725" s="81">
        <f>IFERROR(__xludf.DUMMYFUNCTION("IF(G1725="""", """", ROUND(G1725 / MAX(FILTER($G$2:$G5067, $D$2:$D5067=$D1725)) * 100, 2))"),91.31)</f>
        <v>91.31</v>
      </c>
      <c r="J1725" s="81">
        <f>IFERROR(__xludf.DUMMYFUNCTION("IF(H1725="""", """", ROUND(H1725 / MAX(FILTER($H$2:$H5067, $D$2:$D5067=$D1725)) * 100, 2))"),100.0)</f>
        <v>100</v>
      </c>
      <c r="K1725" s="2"/>
      <c r="L1725" s="48"/>
      <c r="M1725" s="48"/>
      <c r="N1725" s="48"/>
      <c r="O1725" s="48" t="str">
        <f t="shared" si="2"/>
        <v/>
      </c>
      <c r="P1725" s="48" t="str">
        <f t="shared" si="3"/>
        <v/>
      </c>
      <c r="Q1725" s="84"/>
      <c r="R1725" s="84"/>
      <c r="S1725" s="84"/>
      <c r="T1725" s="84"/>
      <c r="U1725" s="84"/>
      <c r="V1725" s="84"/>
      <c r="W1725" s="84"/>
      <c r="X1725" s="84"/>
      <c r="Y1725" s="84"/>
      <c r="Z1725" s="84"/>
      <c r="AA1725" s="84"/>
      <c r="AB1725" s="84"/>
    </row>
    <row r="1726">
      <c r="A1726" s="63">
        <v>116.0</v>
      </c>
      <c r="B1726" s="63">
        <v>179.0</v>
      </c>
      <c r="C1726" s="64" t="s">
        <v>396</v>
      </c>
      <c r="D1726" s="64" t="s">
        <v>397</v>
      </c>
      <c r="E1726" s="64" t="s">
        <v>398</v>
      </c>
      <c r="F1726" s="63">
        <v>6800.0</v>
      </c>
      <c r="G1726" s="63">
        <v>31.48</v>
      </c>
      <c r="H1726" s="66">
        <f t="shared" si="1"/>
        <v>298.89</v>
      </c>
      <c r="I1726" s="81">
        <f>IFERROR(__xludf.DUMMYFUNCTION("IF(G1726="""", """", ROUND(G1726 / MAX(FILTER($G$2:$G5067, $D$2:$D5067=$D1726)) * 100, 2))"),87.13)</f>
        <v>87.13</v>
      </c>
      <c r="J1726" s="81">
        <f>IFERROR(__xludf.DUMMYFUNCTION("IF(H1726="""", """", ROUND(H1726 / MAX(FILTER($H$2:$H5067, $D$2:$D5067=$D1726)) * 100, 2))"),99.83)</f>
        <v>99.83</v>
      </c>
      <c r="K1726" s="2"/>
      <c r="L1726" s="49"/>
      <c r="M1726" s="49"/>
      <c r="N1726" s="49"/>
      <c r="O1726" s="49" t="str">
        <f t="shared" si="2"/>
        <v/>
      </c>
      <c r="P1726" s="49" t="str">
        <f t="shared" si="3"/>
        <v/>
      </c>
      <c r="Q1726" s="84"/>
      <c r="R1726" s="84"/>
      <c r="S1726" s="84"/>
      <c r="T1726" s="84"/>
      <c r="U1726" s="84"/>
      <c r="V1726" s="84"/>
      <c r="W1726" s="84"/>
      <c r="X1726" s="84"/>
      <c r="Y1726" s="84"/>
      <c r="Z1726" s="84"/>
      <c r="AA1726" s="84"/>
      <c r="AB1726" s="84"/>
    </row>
    <row r="1727">
      <c r="A1727" s="69">
        <v>116.0</v>
      </c>
      <c r="B1727" s="69">
        <v>179.0</v>
      </c>
      <c r="C1727" s="86" t="s">
        <v>396</v>
      </c>
      <c r="D1727" s="86" t="s">
        <v>397</v>
      </c>
      <c r="E1727" s="86" t="s">
        <v>398</v>
      </c>
      <c r="F1727" s="69">
        <v>7500.0</v>
      </c>
      <c r="G1727" s="69">
        <v>28.2</v>
      </c>
      <c r="H1727" s="68">
        <f t="shared" si="1"/>
        <v>295.31</v>
      </c>
      <c r="I1727" s="81">
        <f>IFERROR(__xludf.DUMMYFUNCTION("IF(G1727="""", """", ROUND(G1727 / MAX(FILTER($G$2:$G5067, $D$2:$D5067=$D1727)) * 100, 2))"),78.05)</f>
        <v>78.05</v>
      </c>
      <c r="J1727" s="81">
        <f>IFERROR(__xludf.DUMMYFUNCTION("IF(H1727="""", """", ROUND(H1727 / MAX(FILTER($H$2:$H5067, $D$2:$D5067=$D1727)) * 100, 2))"),98.63)</f>
        <v>98.63</v>
      </c>
      <c r="K1727" s="2"/>
      <c r="L1727" s="48"/>
      <c r="M1727" s="48"/>
      <c r="N1727" s="48"/>
      <c r="O1727" s="48" t="str">
        <f t="shared" si="2"/>
        <v/>
      </c>
      <c r="P1727" s="48" t="str">
        <f t="shared" si="3"/>
        <v/>
      </c>
      <c r="Q1727" s="84"/>
      <c r="R1727" s="84"/>
      <c r="S1727" s="84"/>
      <c r="T1727" s="84"/>
      <c r="U1727" s="84"/>
      <c r="V1727" s="84"/>
      <c r="W1727" s="84"/>
      <c r="X1727" s="84"/>
      <c r="Y1727" s="84"/>
      <c r="Z1727" s="84"/>
      <c r="AA1727" s="84"/>
      <c r="AB1727" s="84"/>
    </row>
    <row r="1728">
      <c r="A1728" s="63">
        <v>116.0</v>
      </c>
      <c r="B1728" s="63">
        <v>179.0</v>
      </c>
      <c r="C1728" s="64" t="s">
        <v>396</v>
      </c>
      <c r="D1728" s="64" t="s">
        <v>397</v>
      </c>
      <c r="E1728" s="64" t="s">
        <v>398</v>
      </c>
      <c r="F1728" s="63">
        <v>8000.0</v>
      </c>
      <c r="G1728" s="63">
        <v>25.47</v>
      </c>
      <c r="H1728" s="66">
        <f t="shared" si="1"/>
        <v>284.5</v>
      </c>
      <c r="I1728" s="81">
        <f>IFERROR(__xludf.DUMMYFUNCTION("IF(G1728="""", """", ROUND(G1728 / MAX(FILTER($G$2:$G5067, $D$2:$D5067=$D1728)) * 100, 2))"),70.5)</f>
        <v>70.5</v>
      </c>
      <c r="J1728" s="81">
        <f>IFERROR(__xludf.DUMMYFUNCTION("IF(H1728="""", """", ROUND(H1728 / MAX(FILTER($H$2:$H5067, $D$2:$D5067=$D1728)) * 100, 2))"),95.02)</f>
        <v>95.02</v>
      </c>
      <c r="K1728" s="2"/>
      <c r="L1728" s="49"/>
      <c r="M1728" s="49"/>
      <c r="N1728" s="49"/>
      <c r="O1728" s="49" t="str">
        <f t="shared" si="2"/>
        <v/>
      </c>
      <c r="P1728" s="49" t="str">
        <f t="shared" si="3"/>
        <v/>
      </c>
      <c r="Q1728" s="84"/>
      <c r="R1728" s="84"/>
      <c r="S1728" s="84"/>
      <c r="T1728" s="84"/>
      <c r="U1728" s="84"/>
      <c r="V1728" s="84"/>
      <c r="W1728" s="84"/>
      <c r="X1728" s="84"/>
      <c r="Y1728" s="84"/>
      <c r="Z1728" s="84"/>
      <c r="AA1728" s="84"/>
      <c r="AB1728" s="84"/>
    </row>
    <row r="1729">
      <c r="A1729" s="69">
        <v>117.0</v>
      </c>
      <c r="B1729" s="69">
        <v>180.0</v>
      </c>
      <c r="C1729" s="86" t="s">
        <v>399</v>
      </c>
      <c r="D1729" s="86" t="s">
        <v>400</v>
      </c>
      <c r="E1729" s="86" t="s">
        <v>401</v>
      </c>
      <c r="F1729" s="69">
        <v>500.0</v>
      </c>
      <c r="G1729" s="69">
        <v>15.81</v>
      </c>
      <c r="H1729" s="68">
        <f t="shared" si="1"/>
        <v>11.04</v>
      </c>
      <c r="I1729" s="81">
        <f>IFERROR(__xludf.DUMMYFUNCTION("IF(G1729="""", """", ROUND(G1729 / MAX(FILTER($G$2:$G5067, $D$2:$D5067=$D1729)) * 100, 2))"),36.87)</f>
        <v>36.87</v>
      </c>
      <c r="J1729" s="81">
        <f>IFERROR(__xludf.DUMMYFUNCTION("IF(H1729="""", """", ROUND(H1729 / MAX(FILTER($H$2:$H5067, $D$2:$D5067=$D1729)) * 100, 2))"),3.35)</f>
        <v>3.35</v>
      </c>
      <c r="K1729" s="2"/>
      <c r="L1729" s="48"/>
      <c r="M1729" s="48"/>
      <c r="N1729" s="48"/>
      <c r="O1729" s="48" t="str">
        <f t="shared" si="2"/>
        <v/>
      </c>
      <c r="P1729" s="48" t="str">
        <f t="shared" si="3"/>
        <v/>
      </c>
      <c r="Q1729" s="84"/>
      <c r="R1729" s="84"/>
      <c r="S1729" s="84"/>
      <c r="T1729" s="84"/>
      <c r="U1729" s="84"/>
      <c r="V1729" s="84"/>
      <c r="W1729" s="84"/>
      <c r="X1729" s="84"/>
      <c r="Y1729" s="84"/>
      <c r="Z1729" s="84"/>
      <c r="AA1729" s="84"/>
      <c r="AB1729" s="84"/>
    </row>
    <row r="1730">
      <c r="A1730" s="63">
        <v>117.0</v>
      </c>
      <c r="B1730" s="63">
        <v>180.0</v>
      </c>
      <c r="C1730" s="64" t="s">
        <v>399</v>
      </c>
      <c r="D1730" s="64" t="s">
        <v>400</v>
      </c>
      <c r="E1730" s="64" t="s">
        <v>401</v>
      </c>
      <c r="F1730" s="63">
        <v>1000.0</v>
      </c>
      <c r="G1730" s="63">
        <v>20.65</v>
      </c>
      <c r="H1730" s="66">
        <f t="shared" si="1"/>
        <v>28.83</v>
      </c>
      <c r="I1730" s="81">
        <f>IFERROR(__xludf.DUMMYFUNCTION("IF(G1730="""", """", ROUND(G1730 / MAX(FILTER($G$2:$G5067, $D$2:$D5067=$D1730)) * 100, 2))"),48.16)</f>
        <v>48.16</v>
      </c>
      <c r="J1730" s="81">
        <f>IFERROR(__xludf.DUMMYFUNCTION("IF(H1730="""", """", ROUND(H1730 / MAX(FILTER($H$2:$H5067, $D$2:$D5067=$D1730)) * 100, 2))"),8.76)</f>
        <v>8.76</v>
      </c>
      <c r="K1730" s="2"/>
      <c r="L1730" s="49"/>
      <c r="M1730" s="49"/>
      <c r="N1730" s="49"/>
      <c r="O1730" s="49" t="str">
        <f t="shared" si="2"/>
        <v/>
      </c>
      <c r="P1730" s="49" t="str">
        <f t="shared" si="3"/>
        <v/>
      </c>
      <c r="Q1730" s="84"/>
      <c r="R1730" s="84"/>
      <c r="S1730" s="84"/>
      <c r="T1730" s="84"/>
      <c r="U1730" s="84"/>
      <c r="V1730" s="84"/>
      <c r="W1730" s="84"/>
      <c r="X1730" s="84"/>
      <c r="Y1730" s="84"/>
      <c r="Z1730" s="84"/>
      <c r="AA1730" s="84"/>
      <c r="AB1730" s="84"/>
    </row>
    <row r="1731">
      <c r="A1731" s="69">
        <v>117.0</v>
      </c>
      <c r="B1731" s="69">
        <v>180.0</v>
      </c>
      <c r="C1731" s="86" t="s">
        <v>399</v>
      </c>
      <c r="D1731" s="86" t="s">
        <v>400</v>
      </c>
      <c r="E1731" s="86" t="s">
        <v>401</v>
      </c>
      <c r="F1731" s="69">
        <v>1500.0</v>
      </c>
      <c r="G1731" s="69">
        <v>24.82</v>
      </c>
      <c r="H1731" s="68">
        <f t="shared" si="1"/>
        <v>51.98</v>
      </c>
      <c r="I1731" s="81">
        <f>IFERROR(__xludf.DUMMYFUNCTION("IF(G1731="""", """", ROUND(G1731 / MAX(FILTER($G$2:$G5067, $D$2:$D5067=$D1731)) * 100, 2))"),57.88)</f>
        <v>57.88</v>
      </c>
      <c r="J1731" s="81">
        <f>IFERROR(__xludf.DUMMYFUNCTION("IF(H1731="""", """", ROUND(H1731 / MAX(FILTER($H$2:$H5067, $D$2:$D5067=$D1731)) * 100, 2))"),15.79)</f>
        <v>15.79</v>
      </c>
      <c r="K1731" s="2"/>
      <c r="L1731" s="48"/>
      <c r="M1731" s="48"/>
      <c r="N1731" s="48"/>
      <c r="O1731" s="48" t="str">
        <f t="shared" si="2"/>
        <v/>
      </c>
      <c r="P1731" s="48" t="str">
        <f t="shared" si="3"/>
        <v/>
      </c>
      <c r="Q1731" s="84"/>
      <c r="R1731" s="84"/>
      <c r="S1731" s="84"/>
      <c r="T1731" s="84"/>
      <c r="U1731" s="84"/>
      <c r="V1731" s="84"/>
      <c r="W1731" s="84"/>
      <c r="X1731" s="84"/>
      <c r="Y1731" s="84"/>
      <c r="Z1731" s="84"/>
      <c r="AA1731" s="84"/>
      <c r="AB1731" s="84"/>
    </row>
    <row r="1732">
      <c r="A1732" s="63">
        <v>117.0</v>
      </c>
      <c r="B1732" s="63">
        <v>180.0</v>
      </c>
      <c r="C1732" s="64" t="s">
        <v>399</v>
      </c>
      <c r="D1732" s="64" t="s">
        <v>400</v>
      </c>
      <c r="E1732" s="64" t="s">
        <v>401</v>
      </c>
      <c r="F1732" s="63">
        <v>2000.0</v>
      </c>
      <c r="G1732" s="63">
        <v>28.26</v>
      </c>
      <c r="H1732" s="66">
        <f t="shared" si="1"/>
        <v>78.92</v>
      </c>
      <c r="I1732" s="81">
        <f>IFERROR(__xludf.DUMMYFUNCTION("IF(G1732="""", """", ROUND(G1732 / MAX(FILTER($G$2:$G5067, $D$2:$D5067=$D1732)) * 100, 2))"),65.9)</f>
        <v>65.9</v>
      </c>
      <c r="J1732" s="81">
        <f>IFERROR(__xludf.DUMMYFUNCTION("IF(H1732="""", """", ROUND(H1732 / MAX(FILTER($H$2:$H5067, $D$2:$D5067=$D1732)) * 100, 2))"),23.97)</f>
        <v>23.97</v>
      </c>
      <c r="K1732" s="2"/>
      <c r="L1732" s="49"/>
      <c r="M1732" s="49"/>
      <c r="N1732" s="49"/>
      <c r="O1732" s="49" t="str">
        <f t="shared" si="2"/>
        <v/>
      </c>
      <c r="P1732" s="49" t="str">
        <f t="shared" si="3"/>
        <v/>
      </c>
      <c r="Q1732" s="84"/>
      <c r="R1732" s="84"/>
      <c r="S1732" s="84"/>
      <c r="T1732" s="84"/>
      <c r="U1732" s="84"/>
      <c r="V1732" s="84"/>
      <c r="W1732" s="84"/>
      <c r="X1732" s="84"/>
      <c r="Y1732" s="84"/>
      <c r="Z1732" s="84"/>
      <c r="AA1732" s="84"/>
      <c r="AB1732" s="84"/>
    </row>
    <row r="1733">
      <c r="A1733" s="69">
        <v>117.0</v>
      </c>
      <c r="B1733" s="69">
        <v>180.0</v>
      </c>
      <c r="C1733" s="86" t="s">
        <v>399</v>
      </c>
      <c r="D1733" s="86" t="s">
        <v>400</v>
      </c>
      <c r="E1733" s="86" t="s">
        <v>401</v>
      </c>
      <c r="F1733" s="69">
        <v>2500.0</v>
      </c>
      <c r="G1733" s="69">
        <v>32.22</v>
      </c>
      <c r="H1733" s="68">
        <f t="shared" si="1"/>
        <v>112.47</v>
      </c>
      <c r="I1733" s="81">
        <f>IFERROR(__xludf.DUMMYFUNCTION("IF(G1733="""", """", ROUND(G1733 / MAX(FILTER($G$2:$G5067, $D$2:$D5067=$D1733)) * 100, 2))"),75.14)</f>
        <v>75.14</v>
      </c>
      <c r="J1733" s="81">
        <f>IFERROR(__xludf.DUMMYFUNCTION("IF(H1733="""", """", ROUND(H1733 / MAX(FILTER($H$2:$H5067, $D$2:$D5067=$D1733)) * 100, 2))"),34.16)</f>
        <v>34.16</v>
      </c>
      <c r="K1733" s="2"/>
      <c r="L1733" s="48"/>
      <c r="M1733" s="48"/>
      <c r="N1733" s="48"/>
      <c r="O1733" s="48" t="str">
        <f t="shared" si="2"/>
        <v/>
      </c>
      <c r="P1733" s="48" t="str">
        <f t="shared" si="3"/>
        <v/>
      </c>
      <c r="Q1733" s="84"/>
      <c r="R1733" s="84"/>
      <c r="S1733" s="84"/>
      <c r="T1733" s="84"/>
      <c r="U1733" s="84"/>
      <c r="V1733" s="84"/>
      <c r="W1733" s="84"/>
      <c r="X1733" s="84"/>
      <c r="Y1733" s="84"/>
      <c r="Z1733" s="84"/>
      <c r="AA1733" s="84"/>
      <c r="AB1733" s="84"/>
    </row>
    <row r="1734">
      <c r="A1734" s="63">
        <v>117.0</v>
      </c>
      <c r="B1734" s="63">
        <v>180.0</v>
      </c>
      <c r="C1734" s="64" t="s">
        <v>399</v>
      </c>
      <c r="D1734" s="64" t="s">
        <v>400</v>
      </c>
      <c r="E1734" s="64" t="s">
        <v>401</v>
      </c>
      <c r="F1734" s="63">
        <v>3000.0</v>
      </c>
      <c r="G1734" s="63">
        <v>37.16</v>
      </c>
      <c r="H1734" s="66">
        <f t="shared" si="1"/>
        <v>155.65</v>
      </c>
      <c r="I1734" s="81">
        <f>IFERROR(__xludf.DUMMYFUNCTION("IF(G1734="""", """", ROUND(G1734 / MAX(FILTER($G$2:$G5067, $D$2:$D5067=$D1734)) * 100, 2))"),86.66)</f>
        <v>86.66</v>
      </c>
      <c r="J1734" s="81">
        <f>IFERROR(__xludf.DUMMYFUNCTION("IF(H1734="""", """", ROUND(H1734 / MAX(FILTER($H$2:$H5067, $D$2:$D5067=$D1734)) * 100, 2))"),47.27)</f>
        <v>47.27</v>
      </c>
      <c r="K1734" s="2"/>
      <c r="L1734" s="49"/>
      <c r="M1734" s="49"/>
      <c r="N1734" s="49"/>
      <c r="O1734" s="49" t="str">
        <f t="shared" si="2"/>
        <v/>
      </c>
      <c r="P1734" s="49" t="str">
        <f t="shared" si="3"/>
        <v/>
      </c>
      <c r="Q1734" s="84"/>
      <c r="R1734" s="84"/>
      <c r="S1734" s="84"/>
      <c r="T1734" s="84"/>
      <c r="U1734" s="84"/>
      <c r="V1734" s="84"/>
      <c r="W1734" s="84"/>
      <c r="X1734" s="84"/>
      <c r="Y1734" s="84"/>
      <c r="Z1734" s="84"/>
      <c r="AA1734" s="84"/>
      <c r="AB1734" s="84"/>
    </row>
    <row r="1735">
      <c r="A1735" s="69">
        <v>117.0</v>
      </c>
      <c r="B1735" s="69">
        <v>180.0</v>
      </c>
      <c r="C1735" s="86" t="s">
        <v>399</v>
      </c>
      <c r="D1735" s="86" t="s">
        <v>400</v>
      </c>
      <c r="E1735" s="86" t="s">
        <v>401</v>
      </c>
      <c r="F1735" s="69">
        <v>3500.0</v>
      </c>
      <c r="G1735" s="69">
        <v>39.96</v>
      </c>
      <c r="H1735" s="68">
        <f t="shared" si="1"/>
        <v>195.28</v>
      </c>
      <c r="I1735" s="81">
        <f>IFERROR(__xludf.DUMMYFUNCTION("IF(G1735="""", """", ROUND(G1735 / MAX(FILTER($G$2:$G5067, $D$2:$D5067=$D1735)) * 100, 2))"),93.19)</f>
        <v>93.19</v>
      </c>
      <c r="J1735" s="81">
        <f>IFERROR(__xludf.DUMMYFUNCTION("IF(H1735="""", """", ROUND(H1735 / MAX(FILTER($H$2:$H5067, $D$2:$D5067=$D1735)) * 100, 2))"),59.31)</f>
        <v>59.31</v>
      </c>
      <c r="K1735" s="2"/>
      <c r="L1735" s="48"/>
      <c r="M1735" s="48"/>
      <c r="N1735" s="48"/>
      <c r="O1735" s="48" t="str">
        <f t="shared" si="2"/>
        <v/>
      </c>
      <c r="P1735" s="48" t="str">
        <f t="shared" si="3"/>
        <v/>
      </c>
      <c r="Q1735" s="84"/>
      <c r="R1735" s="84"/>
      <c r="S1735" s="84"/>
      <c r="T1735" s="84"/>
      <c r="U1735" s="84"/>
      <c r="V1735" s="84"/>
      <c r="W1735" s="84"/>
      <c r="X1735" s="84"/>
      <c r="Y1735" s="84"/>
      <c r="Z1735" s="84"/>
      <c r="AA1735" s="84"/>
      <c r="AB1735" s="84"/>
    </row>
    <row r="1736">
      <c r="A1736" s="63">
        <v>117.0</v>
      </c>
      <c r="B1736" s="63">
        <v>180.0</v>
      </c>
      <c r="C1736" s="64" t="s">
        <v>399</v>
      </c>
      <c r="D1736" s="64" t="s">
        <v>400</v>
      </c>
      <c r="E1736" s="64" t="s">
        <v>401</v>
      </c>
      <c r="F1736" s="63">
        <v>4000.0</v>
      </c>
      <c r="G1736" s="63">
        <v>42.1</v>
      </c>
      <c r="H1736" s="66">
        <f t="shared" si="1"/>
        <v>235.13</v>
      </c>
      <c r="I1736" s="81">
        <f>IFERROR(__xludf.DUMMYFUNCTION("IF(G1736="""", """", ROUND(G1736 / MAX(FILTER($G$2:$G5067, $D$2:$D5067=$D1736)) * 100, 2))"),98.18)</f>
        <v>98.18</v>
      </c>
      <c r="J1736" s="81">
        <f>IFERROR(__xludf.DUMMYFUNCTION("IF(H1736="""", """", ROUND(H1736 / MAX(FILTER($H$2:$H5067, $D$2:$D5067=$D1736)) * 100, 2))"),71.41)</f>
        <v>71.41</v>
      </c>
      <c r="K1736" s="2"/>
      <c r="L1736" s="49"/>
      <c r="M1736" s="49"/>
      <c r="N1736" s="49"/>
      <c r="O1736" s="49" t="str">
        <f t="shared" si="2"/>
        <v/>
      </c>
      <c r="P1736" s="49" t="str">
        <f t="shared" si="3"/>
        <v/>
      </c>
      <c r="Q1736" s="84"/>
      <c r="R1736" s="84"/>
      <c r="S1736" s="84"/>
      <c r="T1736" s="84"/>
      <c r="U1736" s="84"/>
      <c r="V1736" s="84"/>
      <c r="W1736" s="84"/>
      <c r="X1736" s="84"/>
      <c r="Y1736" s="84"/>
      <c r="Z1736" s="84"/>
      <c r="AA1736" s="84"/>
      <c r="AB1736" s="84"/>
    </row>
    <row r="1737">
      <c r="A1737" s="69">
        <v>117.0</v>
      </c>
      <c r="B1737" s="69">
        <v>180.0</v>
      </c>
      <c r="C1737" s="86" t="s">
        <v>399</v>
      </c>
      <c r="D1737" s="86" t="s">
        <v>400</v>
      </c>
      <c r="E1737" s="86" t="s">
        <v>401</v>
      </c>
      <c r="F1737" s="69">
        <v>4500.0</v>
      </c>
      <c r="G1737" s="69">
        <v>42.88</v>
      </c>
      <c r="H1737" s="68">
        <f t="shared" si="1"/>
        <v>269.42</v>
      </c>
      <c r="I1737" s="81">
        <f>IFERROR(__xludf.DUMMYFUNCTION("IF(G1737="""", """", ROUND(G1737 / MAX(FILTER($G$2:$G5067, $D$2:$D5067=$D1737)) * 100, 2))"),100.0)</f>
        <v>100</v>
      </c>
      <c r="J1737" s="81">
        <f>IFERROR(__xludf.DUMMYFUNCTION("IF(H1737="""", """", ROUND(H1737 / MAX(FILTER($H$2:$H5067, $D$2:$D5067=$D1737)) * 100, 2))"),81.82)</f>
        <v>81.82</v>
      </c>
      <c r="K1737" s="2"/>
      <c r="L1737" s="48"/>
      <c r="M1737" s="48"/>
      <c r="N1737" s="48"/>
      <c r="O1737" s="48" t="str">
        <f t="shared" si="2"/>
        <v/>
      </c>
      <c r="P1737" s="48" t="str">
        <f t="shared" si="3"/>
        <v/>
      </c>
      <c r="Q1737" s="84"/>
      <c r="R1737" s="84"/>
      <c r="S1737" s="84"/>
      <c r="T1737" s="84"/>
      <c r="U1737" s="84"/>
      <c r="V1737" s="84"/>
      <c r="W1737" s="84"/>
      <c r="X1737" s="84"/>
      <c r="Y1737" s="84"/>
      <c r="Z1737" s="84"/>
      <c r="AA1737" s="84"/>
      <c r="AB1737" s="84"/>
    </row>
    <row r="1738">
      <c r="A1738" s="63">
        <v>117.0</v>
      </c>
      <c r="B1738" s="63">
        <v>180.0</v>
      </c>
      <c r="C1738" s="64" t="s">
        <v>399</v>
      </c>
      <c r="D1738" s="64" t="s">
        <v>400</v>
      </c>
      <c r="E1738" s="64" t="s">
        <v>401</v>
      </c>
      <c r="F1738" s="63">
        <v>5000.0</v>
      </c>
      <c r="G1738" s="63">
        <v>42.63</v>
      </c>
      <c r="H1738" s="66">
        <f t="shared" si="1"/>
        <v>297.61</v>
      </c>
      <c r="I1738" s="81">
        <f>IFERROR(__xludf.DUMMYFUNCTION("IF(G1738="""", """", ROUND(G1738 / MAX(FILTER($G$2:$G5067, $D$2:$D5067=$D1738)) * 100, 2))"),99.42)</f>
        <v>99.42</v>
      </c>
      <c r="J1738" s="81">
        <f>IFERROR(__xludf.DUMMYFUNCTION("IF(H1738="""", """", ROUND(H1738 / MAX(FILTER($H$2:$H5067, $D$2:$D5067=$D1738)) * 100, 2))"),90.38)</f>
        <v>90.38</v>
      </c>
      <c r="K1738" s="2"/>
      <c r="L1738" s="49"/>
      <c r="M1738" s="49"/>
      <c r="N1738" s="49"/>
      <c r="O1738" s="49" t="str">
        <f t="shared" si="2"/>
        <v/>
      </c>
      <c r="P1738" s="49" t="str">
        <f t="shared" si="3"/>
        <v/>
      </c>
      <c r="Q1738" s="84"/>
      <c r="R1738" s="84"/>
      <c r="S1738" s="84"/>
      <c r="T1738" s="84"/>
      <c r="U1738" s="84"/>
      <c r="V1738" s="84"/>
      <c r="W1738" s="84"/>
      <c r="X1738" s="84"/>
      <c r="Y1738" s="84"/>
      <c r="Z1738" s="84"/>
      <c r="AA1738" s="84"/>
      <c r="AB1738" s="84"/>
    </row>
    <row r="1739">
      <c r="A1739" s="69">
        <v>117.0</v>
      </c>
      <c r="B1739" s="69">
        <v>180.0</v>
      </c>
      <c r="C1739" s="86" t="s">
        <v>399</v>
      </c>
      <c r="D1739" s="86" t="s">
        <v>400</v>
      </c>
      <c r="E1739" s="86" t="s">
        <v>401</v>
      </c>
      <c r="F1739" s="69">
        <v>5500.0</v>
      </c>
      <c r="G1739" s="69">
        <v>41.67</v>
      </c>
      <c r="H1739" s="68">
        <f t="shared" si="1"/>
        <v>320</v>
      </c>
      <c r="I1739" s="81">
        <f>IFERROR(__xludf.DUMMYFUNCTION("IF(G1739="""", """", ROUND(G1739 / MAX(FILTER($G$2:$G5067, $D$2:$D5067=$D1739)) * 100, 2))"),97.18)</f>
        <v>97.18</v>
      </c>
      <c r="J1739" s="81">
        <f>IFERROR(__xludf.DUMMYFUNCTION("IF(H1739="""", """", ROUND(H1739 / MAX(FILTER($H$2:$H5067, $D$2:$D5067=$D1739)) * 100, 2))"),97.18)</f>
        <v>97.18</v>
      </c>
      <c r="K1739" s="2"/>
      <c r="L1739" s="48"/>
      <c r="M1739" s="48"/>
      <c r="N1739" s="48"/>
      <c r="O1739" s="48" t="str">
        <f t="shared" si="2"/>
        <v/>
      </c>
      <c r="P1739" s="48" t="str">
        <f t="shared" si="3"/>
        <v/>
      </c>
      <c r="Q1739" s="84"/>
      <c r="R1739" s="84"/>
      <c r="S1739" s="84"/>
      <c r="T1739" s="84"/>
      <c r="U1739" s="84"/>
      <c r="V1739" s="84"/>
      <c r="W1739" s="84"/>
      <c r="X1739" s="84"/>
      <c r="Y1739" s="84"/>
      <c r="Z1739" s="84"/>
      <c r="AA1739" s="84"/>
      <c r="AB1739" s="84"/>
    </row>
    <row r="1740">
      <c r="A1740" s="63">
        <v>117.0</v>
      </c>
      <c r="B1740" s="63">
        <v>180.0</v>
      </c>
      <c r="C1740" s="64" t="s">
        <v>399</v>
      </c>
      <c r="D1740" s="64" t="s">
        <v>400</v>
      </c>
      <c r="E1740" s="64" t="s">
        <v>401</v>
      </c>
      <c r="F1740" s="63">
        <v>6000.0</v>
      </c>
      <c r="G1740" s="63">
        <v>39.01</v>
      </c>
      <c r="H1740" s="66">
        <f t="shared" si="1"/>
        <v>326.81</v>
      </c>
      <c r="I1740" s="81">
        <f>IFERROR(__xludf.DUMMYFUNCTION("IF(G1740="""", """", ROUND(G1740 / MAX(FILTER($G$2:$G5067, $D$2:$D5067=$D1740)) * 100, 2))"),90.97)</f>
        <v>90.97</v>
      </c>
      <c r="J1740" s="81">
        <f>IFERROR(__xludf.DUMMYFUNCTION("IF(H1740="""", """", ROUND(H1740 / MAX(FILTER($H$2:$H5067, $D$2:$D5067=$D1740)) * 100, 2))"),99.25)</f>
        <v>99.25</v>
      </c>
      <c r="K1740" s="2"/>
      <c r="L1740" s="49"/>
      <c r="M1740" s="49"/>
      <c r="N1740" s="49"/>
      <c r="O1740" s="49" t="str">
        <f t="shared" si="2"/>
        <v/>
      </c>
      <c r="P1740" s="49" t="str">
        <f t="shared" si="3"/>
        <v/>
      </c>
      <c r="Q1740" s="84"/>
      <c r="R1740" s="84"/>
      <c r="S1740" s="84"/>
      <c r="T1740" s="84"/>
      <c r="U1740" s="84"/>
      <c r="V1740" s="84"/>
      <c r="W1740" s="84"/>
      <c r="X1740" s="84"/>
      <c r="Y1740" s="84"/>
      <c r="Z1740" s="84"/>
      <c r="AA1740" s="84"/>
      <c r="AB1740" s="84"/>
    </row>
    <row r="1741">
      <c r="A1741" s="69">
        <v>117.0</v>
      </c>
      <c r="B1741" s="69">
        <v>180.0</v>
      </c>
      <c r="C1741" s="86" t="s">
        <v>399</v>
      </c>
      <c r="D1741" s="86" t="s">
        <v>400</v>
      </c>
      <c r="E1741" s="86" t="s">
        <v>401</v>
      </c>
      <c r="F1741" s="69">
        <v>6500.0</v>
      </c>
      <c r="G1741" s="69">
        <v>36.15</v>
      </c>
      <c r="H1741" s="68">
        <f t="shared" si="1"/>
        <v>328.09</v>
      </c>
      <c r="I1741" s="81">
        <f>IFERROR(__xludf.DUMMYFUNCTION("IF(G1741="""", """", ROUND(G1741 / MAX(FILTER($G$2:$G5067, $D$2:$D5067=$D1741)) * 100, 2))"),84.31)</f>
        <v>84.31</v>
      </c>
      <c r="J1741" s="81">
        <f>IFERROR(__xludf.DUMMYFUNCTION("IF(H1741="""", """", ROUND(H1741 / MAX(FILTER($H$2:$H5067, $D$2:$D5067=$D1741)) * 100, 2))"),99.64)</f>
        <v>99.64</v>
      </c>
      <c r="K1741" s="2"/>
      <c r="L1741" s="48"/>
      <c r="M1741" s="48"/>
      <c r="N1741" s="48"/>
      <c r="O1741" s="48" t="str">
        <f t="shared" si="2"/>
        <v/>
      </c>
      <c r="P1741" s="48" t="str">
        <f t="shared" si="3"/>
        <v/>
      </c>
      <c r="Q1741" s="84"/>
      <c r="R1741" s="84"/>
      <c r="S1741" s="84"/>
      <c r="T1741" s="84"/>
      <c r="U1741" s="84"/>
      <c r="V1741" s="84"/>
      <c r="W1741" s="84"/>
      <c r="X1741" s="84"/>
      <c r="Y1741" s="84"/>
      <c r="Z1741" s="84"/>
      <c r="AA1741" s="84"/>
      <c r="AB1741" s="84"/>
    </row>
    <row r="1742">
      <c r="A1742" s="63">
        <v>117.0</v>
      </c>
      <c r="B1742" s="63">
        <v>180.0</v>
      </c>
      <c r="C1742" s="64" t="s">
        <v>399</v>
      </c>
      <c r="D1742" s="64" t="s">
        <v>400</v>
      </c>
      <c r="E1742" s="64" t="s">
        <v>401</v>
      </c>
      <c r="F1742" s="63">
        <v>6800.0</v>
      </c>
      <c r="G1742" s="63">
        <v>34.68</v>
      </c>
      <c r="H1742" s="66">
        <f t="shared" si="1"/>
        <v>329.27</v>
      </c>
      <c r="I1742" s="81">
        <f>IFERROR(__xludf.DUMMYFUNCTION("IF(G1742="""", """", ROUND(G1742 / MAX(FILTER($G$2:$G5067, $D$2:$D5067=$D1742)) * 100, 2))"),80.88)</f>
        <v>80.88</v>
      </c>
      <c r="J1742" s="81">
        <f>IFERROR(__xludf.DUMMYFUNCTION("IF(H1742="""", """", ROUND(H1742 / MAX(FILTER($H$2:$H5067, $D$2:$D5067=$D1742)) * 100, 2))"),100.0)</f>
        <v>100</v>
      </c>
      <c r="K1742" s="2"/>
      <c r="L1742" s="49"/>
      <c r="M1742" s="49"/>
      <c r="N1742" s="49"/>
      <c r="O1742" s="49" t="str">
        <f t="shared" si="2"/>
        <v/>
      </c>
      <c r="P1742" s="49" t="str">
        <f t="shared" si="3"/>
        <v/>
      </c>
      <c r="Q1742" s="84"/>
      <c r="R1742" s="84"/>
      <c r="S1742" s="84"/>
      <c r="T1742" s="84"/>
      <c r="U1742" s="84"/>
      <c r="V1742" s="84"/>
      <c r="W1742" s="84"/>
      <c r="X1742" s="84"/>
      <c r="Y1742" s="84"/>
      <c r="Z1742" s="84"/>
      <c r="AA1742" s="84"/>
      <c r="AB1742" s="84"/>
    </row>
    <row r="1743">
      <c r="A1743" s="69">
        <v>117.0</v>
      </c>
      <c r="B1743" s="69">
        <v>180.0</v>
      </c>
      <c r="C1743" s="86" t="s">
        <v>399</v>
      </c>
      <c r="D1743" s="86" t="s">
        <v>400</v>
      </c>
      <c r="E1743" s="86" t="s">
        <v>401</v>
      </c>
      <c r="F1743" s="69">
        <v>7300.0</v>
      </c>
      <c r="G1743" s="69">
        <v>32.3</v>
      </c>
      <c r="H1743" s="68">
        <f t="shared" si="1"/>
        <v>329.22</v>
      </c>
      <c r="I1743" s="81">
        <f>IFERROR(__xludf.DUMMYFUNCTION("IF(G1743="""", """", ROUND(G1743 / MAX(FILTER($G$2:$G5067, $D$2:$D5067=$D1743)) * 100, 2))"),75.33)</f>
        <v>75.33</v>
      </c>
      <c r="J1743" s="81">
        <f>IFERROR(__xludf.DUMMYFUNCTION("IF(H1743="""", """", ROUND(H1743 / MAX(FILTER($H$2:$H5067, $D$2:$D5067=$D1743)) * 100, 2))"),99.98)</f>
        <v>99.98</v>
      </c>
      <c r="K1743" s="2"/>
      <c r="L1743" s="48"/>
      <c r="M1743" s="48"/>
      <c r="N1743" s="48"/>
      <c r="O1743" s="48" t="str">
        <f t="shared" si="2"/>
        <v/>
      </c>
      <c r="P1743" s="48" t="str">
        <f t="shared" si="3"/>
        <v/>
      </c>
      <c r="Q1743" s="84"/>
      <c r="R1743" s="84"/>
      <c r="S1743" s="84"/>
      <c r="T1743" s="84"/>
      <c r="U1743" s="84"/>
      <c r="V1743" s="84"/>
      <c r="W1743" s="84"/>
      <c r="X1743" s="84"/>
      <c r="Y1743" s="84"/>
      <c r="Z1743" s="84"/>
      <c r="AA1743" s="84"/>
      <c r="AB1743" s="84"/>
    </row>
    <row r="1744">
      <c r="A1744" s="63">
        <v>117.0</v>
      </c>
      <c r="B1744" s="63">
        <v>180.0</v>
      </c>
      <c r="C1744" s="64" t="s">
        <v>399</v>
      </c>
      <c r="D1744" s="64" t="s">
        <v>400</v>
      </c>
      <c r="E1744" s="64" t="s">
        <v>401</v>
      </c>
      <c r="F1744" s="63">
        <v>8000.0</v>
      </c>
      <c r="G1744" s="63">
        <v>29.25</v>
      </c>
      <c r="H1744" s="66">
        <f t="shared" si="1"/>
        <v>326.72</v>
      </c>
      <c r="I1744" s="81">
        <f>IFERROR(__xludf.DUMMYFUNCTION("IF(G1744="""", """", ROUND(G1744 / MAX(FILTER($G$2:$G5067, $D$2:$D5067=$D1744)) * 100, 2))"),68.21)</f>
        <v>68.21</v>
      </c>
      <c r="J1744" s="81">
        <f>IFERROR(__xludf.DUMMYFUNCTION("IF(H1744="""", """", ROUND(H1744 / MAX(FILTER($H$2:$H5067, $D$2:$D5067=$D1744)) * 100, 2))"),99.23)</f>
        <v>99.23</v>
      </c>
      <c r="K1744" s="2"/>
      <c r="L1744" s="49"/>
      <c r="M1744" s="49"/>
      <c r="N1744" s="49"/>
      <c r="O1744" s="49" t="str">
        <f t="shared" si="2"/>
        <v/>
      </c>
      <c r="P1744" s="49" t="str">
        <f t="shared" si="3"/>
        <v/>
      </c>
      <c r="Q1744" s="84"/>
      <c r="R1744" s="84"/>
      <c r="S1744" s="84"/>
      <c r="T1744" s="84"/>
      <c r="U1744" s="84"/>
      <c r="V1744" s="84"/>
      <c r="W1744" s="84"/>
      <c r="X1744" s="84"/>
      <c r="Y1744" s="84"/>
      <c r="Z1744" s="84"/>
      <c r="AA1744" s="84"/>
      <c r="AB1744" s="84"/>
    </row>
    <row r="1745">
      <c r="A1745" s="69">
        <v>117.0</v>
      </c>
      <c r="B1745" s="69">
        <v>180.0</v>
      </c>
      <c r="C1745" s="86" t="s">
        <v>399</v>
      </c>
      <c r="D1745" s="86" t="s">
        <v>400</v>
      </c>
      <c r="E1745" s="86" t="s">
        <v>401</v>
      </c>
      <c r="F1745" s="69">
        <v>8500.0</v>
      </c>
      <c r="G1745" s="69">
        <v>27.0</v>
      </c>
      <c r="H1745" s="68">
        <f t="shared" si="1"/>
        <v>320.44</v>
      </c>
      <c r="I1745" s="81">
        <f>IFERROR(__xludf.DUMMYFUNCTION("IF(G1745="""", """", ROUND(G1745 / MAX(FILTER($G$2:$G5067, $D$2:$D5067=$D1745)) * 100, 2))"),62.97)</f>
        <v>62.97</v>
      </c>
      <c r="J1745" s="81">
        <f>IFERROR(__xludf.DUMMYFUNCTION("IF(H1745="""", """", ROUND(H1745 / MAX(FILTER($H$2:$H5067, $D$2:$D5067=$D1745)) * 100, 2))"),97.32)</f>
        <v>97.32</v>
      </c>
      <c r="K1745" s="2"/>
      <c r="L1745" s="48"/>
      <c r="M1745" s="48"/>
      <c r="N1745" s="48"/>
      <c r="O1745" s="48" t="str">
        <f t="shared" si="2"/>
        <v/>
      </c>
      <c r="P1745" s="48" t="str">
        <f t="shared" si="3"/>
        <v/>
      </c>
      <c r="Q1745" s="84"/>
      <c r="R1745" s="84"/>
      <c r="S1745" s="84"/>
      <c r="T1745" s="84"/>
      <c r="U1745" s="84"/>
      <c r="V1745" s="84"/>
      <c r="W1745" s="84"/>
      <c r="X1745" s="84"/>
      <c r="Y1745" s="84"/>
      <c r="Z1745" s="84"/>
      <c r="AA1745" s="84"/>
      <c r="AB1745" s="84"/>
    </row>
    <row r="1746">
      <c r="A1746" s="63">
        <v>117.0</v>
      </c>
      <c r="B1746" s="63">
        <v>180.0</v>
      </c>
      <c r="C1746" s="64" t="s">
        <v>399</v>
      </c>
      <c r="D1746" s="64" t="s">
        <v>400</v>
      </c>
      <c r="E1746" s="64" t="s">
        <v>401</v>
      </c>
      <c r="F1746" s="63">
        <v>9000.0</v>
      </c>
      <c r="G1746" s="63">
        <v>22.38</v>
      </c>
      <c r="H1746" s="66">
        <f t="shared" si="1"/>
        <v>281.23</v>
      </c>
      <c r="I1746" s="81">
        <f>IFERROR(__xludf.DUMMYFUNCTION("IF(G1746="""", """", ROUND(G1746 / MAX(FILTER($G$2:$G5067, $D$2:$D5067=$D1746)) * 100, 2))"),52.19)</f>
        <v>52.19</v>
      </c>
      <c r="J1746" s="81">
        <f>IFERROR(__xludf.DUMMYFUNCTION("IF(H1746="""", """", ROUND(H1746 / MAX(FILTER($H$2:$H5067, $D$2:$D5067=$D1746)) * 100, 2))"),85.41)</f>
        <v>85.41</v>
      </c>
      <c r="K1746" s="2"/>
      <c r="L1746" s="49"/>
      <c r="M1746" s="49"/>
      <c r="N1746" s="49"/>
      <c r="O1746" s="49" t="str">
        <f t="shared" si="2"/>
        <v/>
      </c>
      <c r="P1746" s="49" t="str">
        <f t="shared" si="3"/>
        <v/>
      </c>
      <c r="Q1746" s="84"/>
      <c r="R1746" s="84"/>
      <c r="S1746" s="84"/>
      <c r="T1746" s="84"/>
      <c r="U1746" s="84"/>
      <c r="V1746" s="84"/>
      <c r="W1746" s="84"/>
      <c r="X1746" s="84"/>
      <c r="Y1746" s="84"/>
      <c r="Z1746" s="84"/>
      <c r="AA1746" s="84"/>
      <c r="AB1746" s="84"/>
    </row>
    <row r="1747">
      <c r="A1747" s="69">
        <v>118.0</v>
      </c>
      <c r="B1747" s="69">
        <v>181.0</v>
      </c>
      <c r="C1747" s="86" t="s">
        <v>402</v>
      </c>
      <c r="D1747" s="86" t="s">
        <v>403</v>
      </c>
      <c r="E1747" s="86" t="s">
        <v>404</v>
      </c>
      <c r="F1747" s="69">
        <v>500.0</v>
      </c>
      <c r="G1747" s="69">
        <v>15.6</v>
      </c>
      <c r="H1747" s="68">
        <f t="shared" si="1"/>
        <v>10.89</v>
      </c>
      <c r="I1747" s="81">
        <f>IFERROR(__xludf.DUMMYFUNCTION("IF(G1747="""", """", ROUND(G1747 / MAX(FILTER($G$2:$G5067, $D$2:$D5067=$D1747)) * 100, 2))"),20.8)</f>
        <v>20.8</v>
      </c>
      <c r="J1747" s="81">
        <f>IFERROR(__xludf.DUMMYFUNCTION("IF(H1747="""", """", ROUND(H1747 / MAX(FILTER($H$2:$H5067, $D$2:$D5067=$D1747)) * 100, 2))"),2.22)</f>
        <v>2.22</v>
      </c>
      <c r="K1747" s="2"/>
      <c r="L1747" s="48"/>
      <c r="M1747" s="48"/>
      <c r="N1747" s="48"/>
      <c r="O1747" s="48" t="str">
        <f t="shared" si="2"/>
        <v/>
      </c>
      <c r="P1747" s="48" t="str">
        <f t="shared" si="3"/>
        <v/>
      </c>
      <c r="Q1747" s="84"/>
      <c r="R1747" s="84"/>
      <c r="S1747" s="84"/>
      <c r="T1747" s="84"/>
      <c r="U1747" s="84"/>
      <c r="V1747" s="84"/>
      <c r="W1747" s="84"/>
      <c r="X1747" s="84"/>
      <c r="Y1747" s="84"/>
      <c r="Z1747" s="84"/>
      <c r="AA1747" s="84"/>
      <c r="AB1747" s="84"/>
    </row>
    <row r="1748">
      <c r="A1748" s="63">
        <v>118.0</v>
      </c>
      <c r="B1748" s="63">
        <v>181.0</v>
      </c>
      <c r="C1748" s="64" t="s">
        <v>402</v>
      </c>
      <c r="D1748" s="64" t="s">
        <v>403</v>
      </c>
      <c r="E1748" s="64" t="s">
        <v>404</v>
      </c>
      <c r="F1748" s="63">
        <v>1000.0</v>
      </c>
      <c r="G1748" s="63">
        <v>18.0</v>
      </c>
      <c r="H1748" s="66">
        <f t="shared" si="1"/>
        <v>25.13</v>
      </c>
      <c r="I1748" s="81">
        <f>IFERROR(__xludf.DUMMYFUNCTION("IF(G1748="""", """", ROUND(G1748 / MAX(FILTER($G$2:$G5067, $D$2:$D5067=$D1748)) * 100, 2))"),24.0)</f>
        <v>24</v>
      </c>
      <c r="J1748" s="81">
        <f>IFERROR(__xludf.DUMMYFUNCTION("IF(H1748="""", """", ROUND(H1748 / MAX(FILTER($H$2:$H5067, $D$2:$D5067=$D1748)) * 100, 2))"),5.13)</f>
        <v>5.13</v>
      </c>
      <c r="K1748" s="2"/>
      <c r="L1748" s="49"/>
      <c r="M1748" s="49"/>
      <c r="N1748" s="49"/>
      <c r="O1748" s="49" t="str">
        <f t="shared" si="2"/>
        <v/>
      </c>
      <c r="P1748" s="49" t="str">
        <f t="shared" si="3"/>
        <v/>
      </c>
      <c r="Q1748" s="84"/>
      <c r="R1748" s="84"/>
      <c r="S1748" s="84"/>
      <c r="T1748" s="84"/>
      <c r="U1748" s="84"/>
      <c r="V1748" s="84"/>
      <c r="W1748" s="84"/>
      <c r="X1748" s="84"/>
      <c r="Y1748" s="84"/>
      <c r="Z1748" s="84"/>
      <c r="AA1748" s="84"/>
      <c r="AB1748" s="84"/>
    </row>
    <row r="1749">
      <c r="A1749" s="69">
        <v>118.0</v>
      </c>
      <c r="B1749" s="69">
        <v>181.0</v>
      </c>
      <c r="C1749" s="86" t="s">
        <v>402</v>
      </c>
      <c r="D1749" s="86" t="s">
        <v>403</v>
      </c>
      <c r="E1749" s="86" t="s">
        <v>404</v>
      </c>
      <c r="F1749" s="69">
        <v>1500.0</v>
      </c>
      <c r="G1749" s="69">
        <v>23.0</v>
      </c>
      <c r="H1749" s="68">
        <f t="shared" si="1"/>
        <v>48.17</v>
      </c>
      <c r="I1749" s="81">
        <f>IFERROR(__xludf.DUMMYFUNCTION("IF(G1749="""", """", ROUND(G1749 / MAX(FILTER($G$2:$G5067, $D$2:$D5067=$D1749)) * 100, 2))"),30.67)</f>
        <v>30.67</v>
      </c>
      <c r="J1749" s="81">
        <f>IFERROR(__xludf.DUMMYFUNCTION("IF(H1749="""", """", ROUND(H1749 / MAX(FILTER($H$2:$H5067, $D$2:$D5067=$D1749)) * 100, 2))"),9.84)</f>
        <v>9.84</v>
      </c>
      <c r="K1749" s="2"/>
      <c r="L1749" s="48"/>
      <c r="M1749" s="48"/>
      <c r="N1749" s="48"/>
      <c r="O1749" s="48" t="str">
        <f t="shared" si="2"/>
        <v/>
      </c>
      <c r="P1749" s="48" t="str">
        <f t="shared" si="3"/>
        <v/>
      </c>
      <c r="Q1749" s="84"/>
      <c r="R1749" s="84"/>
      <c r="S1749" s="84"/>
      <c r="T1749" s="84"/>
      <c r="U1749" s="84"/>
      <c r="V1749" s="84"/>
      <c r="W1749" s="84"/>
      <c r="X1749" s="84"/>
      <c r="Y1749" s="84"/>
      <c r="Z1749" s="84"/>
      <c r="AA1749" s="84"/>
      <c r="AB1749" s="84"/>
    </row>
    <row r="1750">
      <c r="A1750" s="63">
        <v>118.0</v>
      </c>
      <c r="B1750" s="63">
        <v>181.0</v>
      </c>
      <c r="C1750" s="64" t="s">
        <v>402</v>
      </c>
      <c r="D1750" s="64" t="s">
        <v>403</v>
      </c>
      <c r="E1750" s="64" t="s">
        <v>404</v>
      </c>
      <c r="F1750" s="63">
        <v>2000.0</v>
      </c>
      <c r="G1750" s="63">
        <v>39.6</v>
      </c>
      <c r="H1750" s="66">
        <f t="shared" si="1"/>
        <v>110.58</v>
      </c>
      <c r="I1750" s="81">
        <f>IFERROR(__xludf.DUMMYFUNCTION("IF(G1750="""", """", ROUND(G1750 / MAX(FILTER($G$2:$G5067, $D$2:$D5067=$D1750)) * 100, 2))"),52.8)</f>
        <v>52.8</v>
      </c>
      <c r="J1750" s="81">
        <f>IFERROR(__xludf.DUMMYFUNCTION("IF(H1750="""", """", ROUND(H1750 / MAX(FILTER($H$2:$H5067, $D$2:$D5067=$D1750)) * 100, 2))"),22.59)</f>
        <v>22.59</v>
      </c>
      <c r="K1750" s="2"/>
      <c r="L1750" s="49"/>
      <c r="M1750" s="49"/>
      <c r="N1750" s="49"/>
      <c r="O1750" s="49" t="str">
        <f t="shared" si="2"/>
        <v/>
      </c>
      <c r="P1750" s="49" t="str">
        <f t="shared" si="3"/>
        <v/>
      </c>
      <c r="Q1750" s="84"/>
      <c r="R1750" s="84"/>
      <c r="S1750" s="84"/>
      <c r="T1750" s="84"/>
      <c r="U1750" s="84"/>
      <c r="V1750" s="84"/>
      <c r="W1750" s="84"/>
      <c r="X1750" s="84"/>
      <c r="Y1750" s="84"/>
      <c r="Z1750" s="84"/>
      <c r="AA1750" s="84"/>
      <c r="AB1750" s="84"/>
    </row>
    <row r="1751">
      <c r="A1751" s="69">
        <v>118.0</v>
      </c>
      <c r="B1751" s="69">
        <v>181.0</v>
      </c>
      <c r="C1751" s="86" t="s">
        <v>402</v>
      </c>
      <c r="D1751" s="86" t="s">
        <v>403</v>
      </c>
      <c r="E1751" s="86" t="s">
        <v>404</v>
      </c>
      <c r="F1751" s="69">
        <v>2500.0</v>
      </c>
      <c r="G1751" s="69">
        <v>61.2</v>
      </c>
      <c r="H1751" s="68">
        <f t="shared" si="1"/>
        <v>213.63</v>
      </c>
      <c r="I1751" s="81">
        <f>IFERROR(__xludf.DUMMYFUNCTION("IF(G1751="""", """", ROUND(G1751 / MAX(FILTER($G$2:$G5067, $D$2:$D5067=$D1751)) * 100, 2))"),81.6)</f>
        <v>81.6</v>
      </c>
      <c r="J1751" s="81">
        <f>IFERROR(__xludf.DUMMYFUNCTION("IF(H1751="""", """", ROUND(H1751 / MAX(FILTER($H$2:$H5067, $D$2:$D5067=$D1751)) * 100, 2))"),43.65)</f>
        <v>43.65</v>
      </c>
      <c r="K1751" s="2"/>
      <c r="L1751" s="48"/>
      <c r="M1751" s="48"/>
      <c r="N1751" s="48"/>
      <c r="O1751" s="48" t="str">
        <f t="shared" si="2"/>
        <v/>
      </c>
      <c r="P1751" s="48" t="str">
        <f t="shared" si="3"/>
        <v/>
      </c>
      <c r="Q1751" s="84"/>
      <c r="R1751" s="84"/>
      <c r="S1751" s="84"/>
      <c r="T1751" s="84"/>
      <c r="U1751" s="84"/>
      <c r="V1751" s="84"/>
      <c r="W1751" s="84"/>
      <c r="X1751" s="84"/>
      <c r="Y1751" s="84"/>
      <c r="Z1751" s="84"/>
      <c r="AA1751" s="84"/>
      <c r="AB1751" s="84"/>
    </row>
    <row r="1752">
      <c r="A1752" s="63">
        <v>118.0</v>
      </c>
      <c r="B1752" s="63">
        <v>181.0</v>
      </c>
      <c r="C1752" s="64" t="s">
        <v>402</v>
      </c>
      <c r="D1752" s="64" t="s">
        <v>403</v>
      </c>
      <c r="E1752" s="64" t="s">
        <v>404</v>
      </c>
      <c r="F1752" s="63">
        <v>3000.0</v>
      </c>
      <c r="G1752" s="63">
        <v>71.8</v>
      </c>
      <c r="H1752" s="66">
        <f t="shared" si="1"/>
        <v>300.75</v>
      </c>
      <c r="I1752" s="81">
        <f>IFERROR(__xludf.DUMMYFUNCTION("IF(G1752="""", """", ROUND(G1752 / MAX(FILTER($G$2:$G5067, $D$2:$D5067=$D1752)) * 100, 2))"),95.73)</f>
        <v>95.73</v>
      </c>
      <c r="J1752" s="81">
        <f>IFERROR(__xludf.DUMMYFUNCTION("IF(H1752="""", """", ROUND(H1752 / MAX(FILTER($H$2:$H5067, $D$2:$D5067=$D1752)) * 100, 2))"),61.44)</f>
        <v>61.44</v>
      </c>
      <c r="K1752" s="2"/>
      <c r="L1752" s="49"/>
      <c r="M1752" s="49"/>
      <c r="N1752" s="49"/>
      <c r="O1752" s="49" t="str">
        <f t="shared" si="2"/>
        <v/>
      </c>
      <c r="P1752" s="49" t="str">
        <f t="shared" si="3"/>
        <v/>
      </c>
      <c r="Q1752" s="84"/>
      <c r="R1752" s="84"/>
      <c r="S1752" s="84"/>
      <c r="T1752" s="84"/>
      <c r="U1752" s="84"/>
      <c r="V1752" s="84"/>
      <c r="W1752" s="84"/>
      <c r="X1752" s="84"/>
      <c r="Y1752" s="84"/>
      <c r="Z1752" s="84"/>
      <c r="AA1752" s="84"/>
      <c r="AB1752" s="84"/>
    </row>
    <row r="1753">
      <c r="A1753" s="69">
        <v>118.0</v>
      </c>
      <c r="B1753" s="69">
        <v>181.0</v>
      </c>
      <c r="C1753" s="86" t="s">
        <v>402</v>
      </c>
      <c r="D1753" s="86" t="s">
        <v>403</v>
      </c>
      <c r="E1753" s="86" t="s">
        <v>404</v>
      </c>
      <c r="F1753" s="69">
        <v>3500.0</v>
      </c>
      <c r="G1753" s="69">
        <v>75.0</v>
      </c>
      <c r="H1753" s="68">
        <f t="shared" si="1"/>
        <v>366.52</v>
      </c>
      <c r="I1753" s="81">
        <f>IFERROR(__xludf.DUMMYFUNCTION("IF(G1753="""", """", ROUND(G1753 / MAX(FILTER($G$2:$G5067, $D$2:$D5067=$D1753)) * 100, 2))"),100.0)</f>
        <v>100</v>
      </c>
      <c r="J1753" s="81">
        <f>IFERROR(__xludf.DUMMYFUNCTION("IF(H1753="""", """", ROUND(H1753 / MAX(FILTER($H$2:$H5067, $D$2:$D5067=$D1753)) * 100, 2))"),74.88)</f>
        <v>74.88</v>
      </c>
      <c r="K1753" s="2"/>
      <c r="L1753" s="48"/>
      <c r="M1753" s="48"/>
      <c r="N1753" s="48"/>
      <c r="O1753" s="48" t="str">
        <f t="shared" si="2"/>
        <v/>
      </c>
      <c r="P1753" s="48" t="str">
        <f t="shared" si="3"/>
        <v/>
      </c>
      <c r="Q1753" s="84"/>
      <c r="R1753" s="84"/>
      <c r="S1753" s="84"/>
      <c r="T1753" s="84"/>
      <c r="U1753" s="84"/>
      <c r="V1753" s="84"/>
      <c r="W1753" s="84"/>
      <c r="X1753" s="84"/>
      <c r="Y1753" s="84"/>
      <c r="Z1753" s="84"/>
      <c r="AA1753" s="84"/>
      <c r="AB1753" s="84"/>
    </row>
    <row r="1754">
      <c r="A1754" s="63">
        <v>118.0</v>
      </c>
      <c r="B1754" s="63">
        <v>181.0</v>
      </c>
      <c r="C1754" s="64" t="s">
        <v>402</v>
      </c>
      <c r="D1754" s="64" t="s">
        <v>403</v>
      </c>
      <c r="E1754" s="64" t="s">
        <v>404</v>
      </c>
      <c r="F1754" s="63">
        <v>4000.0</v>
      </c>
      <c r="G1754" s="63">
        <v>75.0</v>
      </c>
      <c r="H1754" s="66">
        <f t="shared" si="1"/>
        <v>418.88</v>
      </c>
      <c r="I1754" s="81">
        <f>IFERROR(__xludf.DUMMYFUNCTION("IF(G1754="""", """", ROUND(G1754 / MAX(FILTER($G$2:$G5067, $D$2:$D5067=$D1754)) * 100, 2))"),100.0)</f>
        <v>100</v>
      </c>
      <c r="J1754" s="81">
        <f>IFERROR(__xludf.DUMMYFUNCTION("IF(H1754="""", """", ROUND(H1754 / MAX(FILTER($H$2:$H5067, $D$2:$D5067=$D1754)) * 100, 2))"),85.58)</f>
        <v>85.58</v>
      </c>
      <c r="K1754" s="2"/>
      <c r="L1754" s="49"/>
      <c r="M1754" s="49"/>
      <c r="N1754" s="49"/>
      <c r="O1754" s="49" t="str">
        <f t="shared" si="2"/>
        <v/>
      </c>
      <c r="P1754" s="49" t="str">
        <f t="shared" si="3"/>
        <v/>
      </c>
      <c r="Q1754" s="84"/>
      <c r="R1754" s="84"/>
      <c r="S1754" s="84"/>
      <c r="T1754" s="84"/>
      <c r="U1754" s="84"/>
      <c r="V1754" s="84"/>
      <c r="W1754" s="84"/>
      <c r="X1754" s="84"/>
      <c r="Y1754" s="84"/>
      <c r="Z1754" s="84"/>
      <c r="AA1754" s="84"/>
      <c r="AB1754" s="84"/>
    </row>
    <row r="1755">
      <c r="A1755" s="69">
        <v>118.0</v>
      </c>
      <c r="B1755" s="69">
        <v>181.0</v>
      </c>
      <c r="C1755" s="86" t="s">
        <v>402</v>
      </c>
      <c r="D1755" s="86" t="s">
        <v>403</v>
      </c>
      <c r="E1755" s="86" t="s">
        <v>404</v>
      </c>
      <c r="F1755" s="69">
        <v>4500.0</v>
      </c>
      <c r="G1755" s="69">
        <v>74.6</v>
      </c>
      <c r="H1755" s="68">
        <f t="shared" si="1"/>
        <v>468.72</v>
      </c>
      <c r="I1755" s="81">
        <f>IFERROR(__xludf.DUMMYFUNCTION("IF(G1755="""", """", ROUND(G1755 / MAX(FILTER($G$2:$G5067, $D$2:$D5067=$D1755)) * 100, 2))"),99.47)</f>
        <v>99.47</v>
      </c>
      <c r="J1755" s="81">
        <f>IFERROR(__xludf.DUMMYFUNCTION("IF(H1755="""", """", ROUND(H1755 / MAX(FILTER($H$2:$H5067, $D$2:$D5067=$D1755)) * 100, 2))"),95.76)</f>
        <v>95.76</v>
      </c>
      <c r="K1755" s="2"/>
      <c r="L1755" s="48"/>
      <c r="M1755" s="48"/>
      <c r="N1755" s="48"/>
      <c r="O1755" s="48" t="str">
        <f t="shared" si="2"/>
        <v/>
      </c>
      <c r="P1755" s="48" t="str">
        <f t="shared" si="3"/>
        <v/>
      </c>
      <c r="Q1755" s="84"/>
      <c r="R1755" s="84"/>
      <c r="S1755" s="84"/>
      <c r="T1755" s="84"/>
      <c r="U1755" s="84"/>
      <c r="V1755" s="84"/>
      <c r="W1755" s="84"/>
      <c r="X1755" s="84"/>
      <c r="Y1755" s="84"/>
      <c r="Z1755" s="84"/>
      <c r="AA1755" s="84"/>
      <c r="AB1755" s="84"/>
    </row>
    <row r="1756">
      <c r="A1756" s="63">
        <v>118.0</v>
      </c>
      <c r="B1756" s="63">
        <v>181.0</v>
      </c>
      <c r="C1756" s="64" t="s">
        <v>402</v>
      </c>
      <c r="D1756" s="64" t="s">
        <v>403</v>
      </c>
      <c r="E1756" s="64" t="s">
        <v>404</v>
      </c>
      <c r="F1756" s="63">
        <v>5000.0</v>
      </c>
      <c r="G1756" s="63">
        <v>69.6</v>
      </c>
      <c r="H1756" s="66">
        <f t="shared" si="1"/>
        <v>485.9</v>
      </c>
      <c r="I1756" s="81">
        <f>IFERROR(__xludf.DUMMYFUNCTION("IF(G1756="""", """", ROUND(G1756 / MAX(FILTER($G$2:$G5067, $D$2:$D5067=$D1756)) * 100, 2))"),92.8)</f>
        <v>92.8</v>
      </c>
      <c r="J1756" s="81">
        <f>IFERROR(__xludf.DUMMYFUNCTION("IF(H1756="""", """", ROUND(H1756 / MAX(FILTER($H$2:$H5067, $D$2:$D5067=$D1756)) * 100, 2))"),99.27)</f>
        <v>99.27</v>
      </c>
      <c r="K1756" s="2"/>
      <c r="L1756" s="49"/>
      <c r="M1756" s="49"/>
      <c r="N1756" s="49"/>
      <c r="O1756" s="49" t="str">
        <f t="shared" si="2"/>
        <v/>
      </c>
      <c r="P1756" s="49" t="str">
        <f t="shared" si="3"/>
        <v/>
      </c>
      <c r="Q1756" s="84"/>
      <c r="R1756" s="84"/>
      <c r="S1756" s="84"/>
      <c r="T1756" s="84"/>
      <c r="U1756" s="84"/>
      <c r="V1756" s="84"/>
      <c r="W1756" s="84"/>
      <c r="X1756" s="84"/>
      <c r="Y1756" s="84"/>
      <c r="Z1756" s="84"/>
      <c r="AA1756" s="84"/>
      <c r="AB1756" s="84"/>
    </row>
    <row r="1757">
      <c r="A1757" s="69">
        <v>118.0</v>
      </c>
      <c r="B1757" s="69">
        <v>181.0</v>
      </c>
      <c r="C1757" s="86" t="s">
        <v>402</v>
      </c>
      <c r="D1757" s="86" t="s">
        <v>403</v>
      </c>
      <c r="E1757" s="86" t="s">
        <v>404</v>
      </c>
      <c r="F1757" s="69">
        <v>5600.0</v>
      </c>
      <c r="G1757" s="69">
        <v>62.6</v>
      </c>
      <c r="H1757" s="68">
        <f t="shared" si="1"/>
        <v>489.47</v>
      </c>
      <c r="I1757" s="81">
        <f>IFERROR(__xludf.DUMMYFUNCTION("IF(G1757="""", """", ROUND(G1757 / MAX(FILTER($G$2:$G5067, $D$2:$D5067=$D1757)) * 100, 2))"),83.47)</f>
        <v>83.47</v>
      </c>
      <c r="J1757" s="81">
        <f>IFERROR(__xludf.DUMMYFUNCTION("IF(H1757="""", """", ROUND(H1757 / MAX(FILTER($H$2:$H5067, $D$2:$D5067=$D1757)) * 100, 2))"),100.0)</f>
        <v>100</v>
      </c>
      <c r="K1757" s="2"/>
      <c r="L1757" s="48"/>
      <c r="M1757" s="48"/>
      <c r="N1757" s="48"/>
      <c r="O1757" s="48" t="str">
        <f t="shared" si="2"/>
        <v/>
      </c>
      <c r="P1757" s="48" t="str">
        <f t="shared" si="3"/>
        <v/>
      </c>
      <c r="Q1757" s="84"/>
      <c r="R1757" s="84"/>
      <c r="S1757" s="84"/>
      <c r="T1757" s="84"/>
      <c r="U1757" s="84"/>
      <c r="V1757" s="84"/>
      <c r="W1757" s="84"/>
      <c r="X1757" s="84"/>
      <c r="Y1757" s="84"/>
      <c r="Z1757" s="84"/>
      <c r="AA1757" s="84"/>
      <c r="AB1757" s="84"/>
    </row>
    <row r="1758">
      <c r="A1758" s="63">
        <v>118.0</v>
      </c>
      <c r="B1758" s="63">
        <v>181.0</v>
      </c>
      <c r="C1758" s="64" t="s">
        <v>402</v>
      </c>
      <c r="D1758" s="64" t="s">
        <v>403</v>
      </c>
      <c r="E1758" s="64" t="s">
        <v>404</v>
      </c>
      <c r="F1758" s="63">
        <v>6000.0</v>
      </c>
      <c r="G1758" s="63">
        <v>58.4</v>
      </c>
      <c r="H1758" s="66">
        <f t="shared" si="1"/>
        <v>489.25</v>
      </c>
      <c r="I1758" s="81">
        <f>IFERROR(__xludf.DUMMYFUNCTION("IF(G1758="""", """", ROUND(G1758 / MAX(FILTER($G$2:$G5067, $D$2:$D5067=$D1758)) * 100, 2))"),77.87)</f>
        <v>77.87</v>
      </c>
      <c r="J1758" s="81">
        <f>IFERROR(__xludf.DUMMYFUNCTION("IF(H1758="""", """", ROUND(H1758 / MAX(FILTER($H$2:$H5067, $D$2:$D5067=$D1758)) * 100, 2))"),99.96)</f>
        <v>99.96</v>
      </c>
      <c r="K1758" s="2"/>
      <c r="L1758" s="49"/>
      <c r="M1758" s="49"/>
      <c r="N1758" s="49"/>
      <c r="O1758" s="49" t="str">
        <f t="shared" si="2"/>
        <v/>
      </c>
      <c r="P1758" s="49" t="str">
        <f t="shared" si="3"/>
        <v/>
      </c>
      <c r="Q1758" s="84"/>
      <c r="R1758" s="84"/>
      <c r="S1758" s="84"/>
      <c r="T1758" s="84"/>
      <c r="U1758" s="84"/>
      <c r="V1758" s="84"/>
      <c r="W1758" s="84"/>
      <c r="X1758" s="84"/>
      <c r="Y1758" s="84"/>
      <c r="Z1758" s="84"/>
      <c r="AA1758" s="84"/>
      <c r="AB1758" s="84"/>
    </row>
    <row r="1759">
      <c r="A1759" s="69">
        <v>118.0</v>
      </c>
      <c r="B1759" s="69">
        <v>181.0</v>
      </c>
      <c r="C1759" s="86" t="s">
        <v>402</v>
      </c>
      <c r="D1759" s="86" t="s">
        <v>403</v>
      </c>
      <c r="E1759" s="86" t="s">
        <v>404</v>
      </c>
      <c r="F1759" s="69">
        <v>6500.0</v>
      </c>
      <c r="G1759" s="69">
        <v>53.6</v>
      </c>
      <c r="H1759" s="68">
        <f t="shared" si="1"/>
        <v>486.46</v>
      </c>
      <c r="I1759" s="81">
        <f>IFERROR(__xludf.DUMMYFUNCTION("IF(G1759="""", """", ROUND(G1759 / MAX(FILTER($G$2:$G5067, $D$2:$D5067=$D1759)) * 100, 2))"),71.47)</f>
        <v>71.47</v>
      </c>
      <c r="J1759" s="81">
        <f>IFERROR(__xludf.DUMMYFUNCTION("IF(H1759="""", """", ROUND(H1759 / MAX(FILTER($H$2:$H5067, $D$2:$D5067=$D1759)) * 100, 2))"),99.39)</f>
        <v>99.39</v>
      </c>
      <c r="K1759" s="2"/>
      <c r="L1759" s="48"/>
      <c r="M1759" s="48"/>
      <c r="N1759" s="48"/>
      <c r="O1759" s="48" t="str">
        <f t="shared" si="2"/>
        <v/>
      </c>
      <c r="P1759" s="48" t="str">
        <f t="shared" si="3"/>
        <v/>
      </c>
      <c r="Q1759" s="84"/>
      <c r="R1759" s="84"/>
      <c r="S1759" s="84"/>
      <c r="T1759" s="84"/>
      <c r="U1759" s="84"/>
      <c r="V1759" s="84"/>
      <c r="W1759" s="84"/>
      <c r="X1759" s="84"/>
      <c r="Y1759" s="84"/>
      <c r="Z1759" s="84"/>
      <c r="AA1759" s="84"/>
      <c r="AB1759" s="84"/>
    </row>
    <row r="1760">
      <c r="A1760" s="63">
        <v>118.0</v>
      </c>
      <c r="B1760" s="63">
        <v>181.0</v>
      </c>
      <c r="C1760" s="64" t="s">
        <v>402</v>
      </c>
      <c r="D1760" s="64" t="s">
        <v>403</v>
      </c>
      <c r="E1760" s="64" t="s">
        <v>404</v>
      </c>
      <c r="F1760" s="63">
        <v>7000.0</v>
      </c>
      <c r="G1760" s="63">
        <v>48.8</v>
      </c>
      <c r="H1760" s="66">
        <f t="shared" si="1"/>
        <v>476.96</v>
      </c>
      <c r="I1760" s="81">
        <f>IFERROR(__xludf.DUMMYFUNCTION("IF(G1760="""", """", ROUND(G1760 / MAX(FILTER($G$2:$G5067, $D$2:$D5067=$D1760)) * 100, 2))"),65.07)</f>
        <v>65.07</v>
      </c>
      <c r="J1760" s="81">
        <f>IFERROR(__xludf.DUMMYFUNCTION("IF(H1760="""", """", ROUND(H1760 / MAX(FILTER($H$2:$H5067, $D$2:$D5067=$D1760)) * 100, 2))"),97.44)</f>
        <v>97.44</v>
      </c>
      <c r="K1760" s="2"/>
      <c r="L1760" s="49"/>
      <c r="M1760" s="49"/>
      <c r="N1760" s="49"/>
      <c r="O1760" s="49" t="str">
        <f t="shared" si="2"/>
        <v/>
      </c>
      <c r="P1760" s="49" t="str">
        <f t="shared" si="3"/>
        <v/>
      </c>
      <c r="Q1760" s="84"/>
      <c r="R1760" s="84"/>
      <c r="S1760" s="84"/>
      <c r="T1760" s="84"/>
      <c r="U1760" s="84"/>
      <c r="V1760" s="84"/>
      <c r="W1760" s="84"/>
      <c r="X1760" s="84"/>
      <c r="Y1760" s="84"/>
      <c r="Z1760" s="84"/>
      <c r="AA1760" s="84"/>
      <c r="AB1760" s="84"/>
    </row>
    <row r="1761">
      <c r="A1761" s="69">
        <v>118.0</v>
      </c>
      <c r="B1761" s="69">
        <v>181.0</v>
      </c>
      <c r="C1761" s="86" t="s">
        <v>402</v>
      </c>
      <c r="D1761" s="86" t="s">
        <v>403</v>
      </c>
      <c r="E1761" s="86" t="s">
        <v>404</v>
      </c>
      <c r="F1761" s="69">
        <v>7500.0</v>
      </c>
      <c r="G1761" s="69">
        <v>43.2</v>
      </c>
      <c r="H1761" s="68">
        <f t="shared" si="1"/>
        <v>452.39</v>
      </c>
      <c r="I1761" s="81">
        <f>IFERROR(__xludf.DUMMYFUNCTION("IF(G1761="""", """", ROUND(G1761 / MAX(FILTER($G$2:$G5067, $D$2:$D5067=$D1761)) * 100, 2))"),57.6)</f>
        <v>57.6</v>
      </c>
      <c r="J1761" s="81">
        <f>IFERROR(__xludf.DUMMYFUNCTION("IF(H1761="""", """", ROUND(H1761 / MAX(FILTER($H$2:$H5067, $D$2:$D5067=$D1761)) * 100, 2))"),92.42)</f>
        <v>92.42</v>
      </c>
      <c r="K1761" s="2"/>
      <c r="L1761" s="48"/>
      <c r="M1761" s="48"/>
      <c r="N1761" s="48"/>
      <c r="O1761" s="48" t="str">
        <f t="shared" si="2"/>
        <v/>
      </c>
      <c r="P1761" s="48" t="str">
        <f t="shared" si="3"/>
        <v/>
      </c>
      <c r="Q1761" s="84"/>
      <c r="R1761" s="84"/>
      <c r="S1761" s="84"/>
      <c r="T1761" s="84"/>
      <c r="U1761" s="84"/>
      <c r="V1761" s="84"/>
      <c r="W1761" s="84"/>
      <c r="X1761" s="84"/>
      <c r="Y1761" s="84"/>
      <c r="Z1761" s="84"/>
      <c r="AA1761" s="84"/>
      <c r="AB1761" s="84"/>
    </row>
    <row r="1762">
      <c r="A1762" s="63">
        <v>118.0</v>
      </c>
      <c r="B1762" s="63">
        <v>181.0</v>
      </c>
      <c r="C1762" s="64" t="s">
        <v>402</v>
      </c>
      <c r="D1762" s="64" t="s">
        <v>403</v>
      </c>
      <c r="E1762" s="64" t="s">
        <v>404</v>
      </c>
      <c r="F1762" s="63">
        <v>8000.0</v>
      </c>
      <c r="G1762" s="63">
        <v>37.4</v>
      </c>
      <c r="H1762" s="66">
        <f t="shared" si="1"/>
        <v>417.76</v>
      </c>
      <c r="I1762" s="81">
        <f>IFERROR(__xludf.DUMMYFUNCTION("IF(G1762="""", """", ROUND(G1762 / MAX(FILTER($G$2:$G5067, $D$2:$D5067=$D1762)) * 100, 2))"),49.87)</f>
        <v>49.87</v>
      </c>
      <c r="J1762" s="81">
        <f>IFERROR(__xludf.DUMMYFUNCTION("IF(H1762="""", """", ROUND(H1762 / MAX(FILTER($H$2:$H5067, $D$2:$D5067=$D1762)) * 100, 2))"),85.35)</f>
        <v>85.35</v>
      </c>
      <c r="K1762" s="2"/>
      <c r="L1762" s="49"/>
      <c r="M1762" s="49"/>
      <c r="N1762" s="49"/>
      <c r="O1762" s="49" t="str">
        <f t="shared" si="2"/>
        <v/>
      </c>
      <c r="P1762" s="49" t="str">
        <f t="shared" si="3"/>
        <v/>
      </c>
      <c r="Q1762" s="84"/>
      <c r="R1762" s="84"/>
      <c r="S1762" s="84"/>
      <c r="T1762" s="84"/>
      <c r="U1762" s="84"/>
      <c r="V1762" s="84"/>
      <c r="W1762" s="84"/>
      <c r="X1762" s="84"/>
      <c r="Y1762" s="84"/>
      <c r="Z1762" s="84"/>
      <c r="AA1762" s="84"/>
      <c r="AB1762" s="84"/>
    </row>
    <row r="1763">
      <c r="A1763" s="69">
        <v>119.0</v>
      </c>
      <c r="B1763" s="69">
        <v>183.0</v>
      </c>
      <c r="C1763" s="86" t="s">
        <v>405</v>
      </c>
      <c r="D1763" s="86" t="s">
        <v>406</v>
      </c>
      <c r="E1763" s="86" t="s">
        <v>407</v>
      </c>
      <c r="F1763" s="69">
        <v>500.0</v>
      </c>
      <c r="G1763" s="69">
        <v>19.78</v>
      </c>
      <c r="H1763" s="68">
        <f t="shared" si="1"/>
        <v>13.81</v>
      </c>
      <c r="I1763" s="81">
        <f>IFERROR(__xludf.DUMMYFUNCTION("IF(G1763="""", """", ROUND(G1763 / MAX(FILTER($G$2:$G5067, $D$2:$D5067=$D1763)) * 100, 2))"),35.9)</f>
        <v>35.9</v>
      </c>
      <c r="J1763" s="81">
        <f>IFERROR(__xludf.DUMMYFUNCTION("IF(H1763="""", """", ROUND(H1763 / MAX(FILTER($H$2:$H5067, $D$2:$D5067=$D1763)) * 100, 2))"),4.57)</f>
        <v>4.57</v>
      </c>
      <c r="K1763" s="2"/>
      <c r="L1763" s="48"/>
      <c r="M1763" s="48"/>
      <c r="N1763" s="48"/>
      <c r="O1763" s="48" t="str">
        <f t="shared" si="2"/>
        <v/>
      </c>
      <c r="P1763" s="48" t="str">
        <f t="shared" si="3"/>
        <v/>
      </c>
      <c r="Q1763" s="84"/>
      <c r="R1763" s="84"/>
      <c r="S1763" s="84"/>
      <c r="T1763" s="84"/>
      <c r="U1763" s="84"/>
      <c r="V1763" s="84"/>
      <c r="W1763" s="84"/>
      <c r="X1763" s="84"/>
      <c r="Y1763" s="84"/>
      <c r="Z1763" s="84"/>
      <c r="AA1763" s="84"/>
      <c r="AB1763" s="84"/>
    </row>
    <row r="1764">
      <c r="A1764" s="63">
        <v>119.0</v>
      </c>
      <c r="B1764" s="63">
        <v>183.0</v>
      </c>
      <c r="C1764" s="64" t="s">
        <v>405</v>
      </c>
      <c r="D1764" s="64" t="s">
        <v>406</v>
      </c>
      <c r="E1764" s="64" t="s">
        <v>407</v>
      </c>
      <c r="F1764" s="63">
        <v>1000.0</v>
      </c>
      <c r="G1764" s="63">
        <v>25.38</v>
      </c>
      <c r="H1764" s="66">
        <f t="shared" si="1"/>
        <v>35.44</v>
      </c>
      <c r="I1764" s="81">
        <f>IFERROR(__xludf.DUMMYFUNCTION("IF(G1764="""", """", ROUND(G1764 / MAX(FILTER($G$2:$G5067, $D$2:$D5067=$D1764)) * 100, 2))"),46.06)</f>
        <v>46.06</v>
      </c>
      <c r="J1764" s="81">
        <f>IFERROR(__xludf.DUMMYFUNCTION("IF(H1764="""", """", ROUND(H1764 / MAX(FILTER($H$2:$H5067, $D$2:$D5067=$D1764)) * 100, 2))"),11.72)</f>
        <v>11.72</v>
      </c>
      <c r="K1764" s="2"/>
      <c r="L1764" s="49"/>
      <c r="M1764" s="49"/>
      <c r="N1764" s="49"/>
      <c r="O1764" s="49" t="str">
        <f t="shared" si="2"/>
        <v/>
      </c>
      <c r="P1764" s="49" t="str">
        <f t="shared" si="3"/>
        <v/>
      </c>
      <c r="Q1764" s="84"/>
      <c r="R1764" s="84"/>
      <c r="S1764" s="84"/>
      <c r="T1764" s="84"/>
      <c r="U1764" s="84"/>
      <c r="V1764" s="84"/>
      <c r="W1764" s="84"/>
      <c r="X1764" s="84"/>
      <c r="Y1764" s="84"/>
      <c r="Z1764" s="84"/>
      <c r="AA1764" s="84"/>
      <c r="AB1764" s="84"/>
    </row>
    <row r="1765">
      <c r="A1765" s="69">
        <v>119.0</v>
      </c>
      <c r="B1765" s="69">
        <v>183.0</v>
      </c>
      <c r="C1765" s="86" t="s">
        <v>405</v>
      </c>
      <c r="D1765" s="86" t="s">
        <v>406</v>
      </c>
      <c r="E1765" s="86" t="s">
        <v>407</v>
      </c>
      <c r="F1765" s="69">
        <v>1500.0</v>
      </c>
      <c r="G1765" s="69">
        <v>35.35</v>
      </c>
      <c r="H1765" s="68">
        <f t="shared" si="1"/>
        <v>74.04</v>
      </c>
      <c r="I1765" s="81">
        <f>IFERROR(__xludf.DUMMYFUNCTION("IF(G1765="""", """", ROUND(G1765 / MAX(FILTER($G$2:$G5067, $D$2:$D5067=$D1765)) * 100, 2))"),64.16)</f>
        <v>64.16</v>
      </c>
      <c r="J1765" s="81">
        <f>IFERROR(__xludf.DUMMYFUNCTION("IF(H1765="""", """", ROUND(H1765 / MAX(FILTER($H$2:$H5067, $D$2:$D5067=$D1765)) * 100, 2))"),24.48)</f>
        <v>24.48</v>
      </c>
      <c r="K1765" s="2"/>
      <c r="L1765" s="48"/>
      <c r="M1765" s="48"/>
      <c r="N1765" s="48"/>
      <c r="O1765" s="48" t="str">
        <f t="shared" si="2"/>
        <v/>
      </c>
      <c r="P1765" s="48" t="str">
        <f t="shared" si="3"/>
        <v/>
      </c>
      <c r="Q1765" s="84"/>
      <c r="R1765" s="84"/>
      <c r="S1765" s="84"/>
      <c r="T1765" s="84"/>
      <c r="U1765" s="84"/>
      <c r="V1765" s="84"/>
      <c r="W1765" s="84"/>
      <c r="X1765" s="84"/>
      <c r="Y1765" s="84"/>
      <c r="Z1765" s="84"/>
      <c r="AA1765" s="84"/>
      <c r="AB1765" s="84"/>
    </row>
    <row r="1766">
      <c r="A1766" s="63">
        <v>119.0</v>
      </c>
      <c r="B1766" s="63">
        <v>183.0</v>
      </c>
      <c r="C1766" s="64" t="s">
        <v>405</v>
      </c>
      <c r="D1766" s="64" t="s">
        <v>406</v>
      </c>
      <c r="E1766" s="64" t="s">
        <v>407</v>
      </c>
      <c r="F1766" s="63">
        <v>2000.0</v>
      </c>
      <c r="G1766" s="63">
        <v>48.31</v>
      </c>
      <c r="H1766" s="66">
        <f t="shared" si="1"/>
        <v>134.91</v>
      </c>
      <c r="I1766" s="81">
        <f>IFERROR(__xludf.DUMMYFUNCTION("IF(G1766="""", """", ROUND(G1766 / MAX(FILTER($G$2:$G5067, $D$2:$D5067=$D1766)) * 100, 2))"),87.68)</f>
        <v>87.68</v>
      </c>
      <c r="J1766" s="81">
        <f>IFERROR(__xludf.DUMMYFUNCTION("IF(H1766="""", """", ROUND(H1766 / MAX(FILTER($H$2:$H5067, $D$2:$D5067=$D1766)) * 100, 2))"),44.6)</f>
        <v>44.6</v>
      </c>
      <c r="K1766" s="2"/>
      <c r="L1766" s="49"/>
      <c r="M1766" s="49"/>
      <c r="N1766" s="49"/>
      <c r="O1766" s="49" t="str">
        <f t="shared" si="2"/>
        <v/>
      </c>
      <c r="P1766" s="49" t="str">
        <f t="shared" si="3"/>
        <v/>
      </c>
      <c r="Q1766" s="84"/>
      <c r="R1766" s="84"/>
      <c r="S1766" s="84"/>
      <c r="T1766" s="84"/>
      <c r="U1766" s="84"/>
      <c r="V1766" s="84"/>
      <c r="W1766" s="84"/>
      <c r="X1766" s="84"/>
      <c r="Y1766" s="84"/>
      <c r="Z1766" s="84"/>
      <c r="AA1766" s="84"/>
      <c r="AB1766" s="84"/>
    </row>
    <row r="1767">
      <c r="A1767" s="69">
        <v>119.0</v>
      </c>
      <c r="B1767" s="69">
        <v>183.0</v>
      </c>
      <c r="C1767" s="86" t="s">
        <v>405</v>
      </c>
      <c r="D1767" s="86" t="s">
        <v>406</v>
      </c>
      <c r="E1767" s="86" t="s">
        <v>407</v>
      </c>
      <c r="F1767" s="69">
        <v>2500.0</v>
      </c>
      <c r="G1767" s="69">
        <v>54.15</v>
      </c>
      <c r="H1767" s="68">
        <f t="shared" si="1"/>
        <v>189.02</v>
      </c>
      <c r="I1767" s="81">
        <f>IFERROR(__xludf.DUMMYFUNCTION("IF(G1767="""", """", ROUND(G1767 / MAX(FILTER($G$2:$G5067, $D$2:$D5067=$D1767)) * 100, 2))"),98.28)</f>
        <v>98.28</v>
      </c>
      <c r="J1767" s="81">
        <f>IFERROR(__xludf.DUMMYFUNCTION("IF(H1767="""", """", ROUND(H1767 / MAX(FILTER($H$2:$H5067, $D$2:$D5067=$D1767)) * 100, 2))"),62.49)</f>
        <v>62.49</v>
      </c>
      <c r="K1767" s="2"/>
      <c r="L1767" s="48"/>
      <c r="M1767" s="48"/>
      <c r="N1767" s="48"/>
      <c r="O1767" s="48" t="str">
        <f t="shared" si="2"/>
        <v/>
      </c>
      <c r="P1767" s="48" t="str">
        <f t="shared" si="3"/>
        <v/>
      </c>
      <c r="Q1767" s="84"/>
      <c r="R1767" s="84"/>
      <c r="S1767" s="84"/>
      <c r="T1767" s="84"/>
      <c r="U1767" s="84"/>
      <c r="V1767" s="84"/>
      <c r="W1767" s="84"/>
      <c r="X1767" s="84"/>
      <c r="Y1767" s="84"/>
      <c r="Z1767" s="84"/>
      <c r="AA1767" s="84"/>
      <c r="AB1767" s="84"/>
    </row>
    <row r="1768">
      <c r="A1768" s="63">
        <v>119.0</v>
      </c>
      <c r="B1768" s="63">
        <v>183.0</v>
      </c>
      <c r="C1768" s="64" t="s">
        <v>405</v>
      </c>
      <c r="D1768" s="64" t="s">
        <v>406</v>
      </c>
      <c r="E1768" s="64" t="s">
        <v>407</v>
      </c>
      <c r="F1768" s="63">
        <v>3000.0</v>
      </c>
      <c r="G1768" s="63">
        <v>54.98</v>
      </c>
      <c r="H1768" s="66">
        <f t="shared" si="1"/>
        <v>230.3</v>
      </c>
      <c r="I1768" s="81">
        <f>IFERROR(__xludf.DUMMYFUNCTION("IF(G1768="""", """", ROUND(G1768 / MAX(FILTER($G$2:$G5067, $D$2:$D5067=$D1768)) * 100, 2))"),99.78)</f>
        <v>99.78</v>
      </c>
      <c r="J1768" s="81">
        <f>IFERROR(__xludf.DUMMYFUNCTION("IF(H1768="""", """", ROUND(H1768 / MAX(FILTER($H$2:$H5067, $D$2:$D5067=$D1768)) * 100, 2))"),76.14)</f>
        <v>76.14</v>
      </c>
      <c r="K1768" s="2"/>
      <c r="L1768" s="49"/>
      <c r="M1768" s="49"/>
      <c r="N1768" s="49"/>
      <c r="O1768" s="49" t="str">
        <f t="shared" si="2"/>
        <v/>
      </c>
      <c r="P1768" s="49" t="str">
        <f t="shared" si="3"/>
        <v/>
      </c>
      <c r="Q1768" s="84"/>
      <c r="R1768" s="84"/>
      <c r="S1768" s="84"/>
      <c r="T1768" s="84"/>
      <c r="U1768" s="84"/>
      <c r="V1768" s="84"/>
      <c r="W1768" s="84"/>
      <c r="X1768" s="84"/>
      <c r="Y1768" s="84"/>
      <c r="Z1768" s="84"/>
      <c r="AA1768" s="84"/>
      <c r="AB1768" s="84"/>
    </row>
    <row r="1769">
      <c r="A1769" s="69">
        <v>119.0</v>
      </c>
      <c r="B1769" s="69">
        <v>183.0</v>
      </c>
      <c r="C1769" s="86" t="s">
        <v>405</v>
      </c>
      <c r="D1769" s="86" t="s">
        <v>406</v>
      </c>
      <c r="E1769" s="86" t="s">
        <v>407</v>
      </c>
      <c r="F1769" s="69">
        <v>3500.0</v>
      </c>
      <c r="G1769" s="69">
        <v>55.1</v>
      </c>
      <c r="H1769" s="68">
        <f t="shared" si="1"/>
        <v>269.27</v>
      </c>
      <c r="I1769" s="81">
        <f>IFERROR(__xludf.DUMMYFUNCTION("IF(G1769="""", """", ROUND(G1769 / MAX(FILTER($G$2:$G5067, $D$2:$D5067=$D1769)) * 100, 2))"),100.0)</f>
        <v>100</v>
      </c>
      <c r="J1769" s="81">
        <f>IFERROR(__xludf.DUMMYFUNCTION("IF(H1769="""", """", ROUND(H1769 / MAX(FILTER($H$2:$H5067, $D$2:$D5067=$D1769)) * 100, 2))"),89.02)</f>
        <v>89.02</v>
      </c>
      <c r="K1769" s="2"/>
      <c r="L1769" s="48"/>
      <c r="M1769" s="48"/>
      <c r="N1769" s="48"/>
      <c r="O1769" s="48" t="str">
        <f t="shared" si="2"/>
        <v/>
      </c>
      <c r="P1769" s="48" t="str">
        <f t="shared" si="3"/>
        <v/>
      </c>
      <c r="Q1769" s="84"/>
      <c r="R1769" s="84"/>
      <c r="S1769" s="84"/>
      <c r="T1769" s="84"/>
      <c r="U1769" s="84"/>
      <c r="V1769" s="84"/>
      <c r="W1769" s="84"/>
      <c r="X1769" s="84"/>
      <c r="Y1769" s="84"/>
      <c r="Z1769" s="84"/>
      <c r="AA1769" s="84"/>
      <c r="AB1769" s="84"/>
    </row>
    <row r="1770">
      <c r="A1770" s="63">
        <v>119.0</v>
      </c>
      <c r="B1770" s="63">
        <v>183.0</v>
      </c>
      <c r="C1770" s="64" t="s">
        <v>405</v>
      </c>
      <c r="D1770" s="64" t="s">
        <v>406</v>
      </c>
      <c r="E1770" s="64" t="s">
        <v>407</v>
      </c>
      <c r="F1770" s="63">
        <v>4000.0</v>
      </c>
      <c r="G1770" s="63">
        <v>53.7</v>
      </c>
      <c r="H1770" s="66">
        <f t="shared" si="1"/>
        <v>299.92</v>
      </c>
      <c r="I1770" s="81">
        <f>IFERROR(__xludf.DUMMYFUNCTION("IF(G1770="""", """", ROUND(G1770 / MAX(FILTER($G$2:$G5067, $D$2:$D5067=$D1770)) * 100, 2))"),97.46)</f>
        <v>97.46</v>
      </c>
      <c r="J1770" s="81">
        <f>IFERROR(__xludf.DUMMYFUNCTION("IF(H1770="""", """", ROUND(H1770 / MAX(FILTER($H$2:$H5067, $D$2:$D5067=$D1770)) * 100, 2))"),99.16)</f>
        <v>99.16</v>
      </c>
      <c r="K1770" s="2"/>
      <c r="L1770" s="49"/>
      <c r="M1770" s="49"/>
      <c r="N1770" s="49"/>
      <c r="O1770" s="49" t="str">
        <f t="shared" si="2"/>
        <v/>
      </c>
      <c r="P1770" s="49" t="str">
        <f t="shared" si="3"/>
        <v/>
      </c>
      <c r="Q1770" s="84"/>
      <c r="R1770" s="84"/>
      <c r="S1770" s="84"/>
      <c r="T1770" s="84"/>
      <c r="U1770" s="84"/>
      <c r="V1770" s="84"/>
      <c r="W1770" s="84"/>
      <c r="X1770" s="84"/>
      <c r="Y1770" s="84"/>
      <c r="Z1770" s="84"/>
      <c r="AA1770" s="84"/>
      <c r="AB1770" s="84"/>
    </row>
    <row r="1771">
      <c r="A1771" s="69">
        <v>119.0</v>
      </c>
      <c r="B1771" s="69">
        <v>183.0</v>
      </c>
      <c r="C1771" s="86" t="s">
        <v>405</v>
      </c>
      <c r="D1771" s="86" t="s">
        <v>406</v>
      </c>
      <c r="E1771" s="86" t="s">
        <v>407</v>
      </c>
      <c r="F1771" s="69">
        <v>4500.0</v>
      </c>
      <c r="G1771" s="69">
        <v>48.14</v>
      </c>
      <c r="H1771" s="68">
        <f t="shared" si="1"/>
        <v>302.47</v>
      </c>
      <c r="I1771" s="81">
        <f>IFERROR(__xludf.DUMMYFUNCTION("IF(G1771="""", """", ROUND(G1771 / MAX(FILTER($G$2:$G5067, $D$2:$D5067=$D1771)) * 100, 2))"),87.37)</f>
        <v>87.37</v>
      </c>
      <c r="J1771" s="81">
        <f>IFERROR(__xludf.DUMMYFUNCTION("IF(H1771="""", """", ROUND(H1771 / MAX(FILTER($H$2:$H5067, $D$2:$D5067=$D1771)) * 100, 2))"),100.0)</f>
        <v>100</v>
      </c>
      <c r="K1771" s="2"/>
      <c r="L1771" s="48"/>
      <c r="M1771" s="48"/>
      <c r="N1771" s="48"/>
      <c r="O1771" s="48" t="str">
        <f t="shared" si="2"/>
        <v/>
      </c>
      <c r="P1771" s="48" t="str">
        <f t="shared" si="3"/>
        <v/>
      </c>
      <c r="Q1771" s="84"/>
      <c r="R1771" s="84"/>
      <c r="S1771" s="84"/>
      <c r="T1771" s="84"/>
      <c r="U1771" s="84"/>
      <c r="V1771" s="84"/>
      <c r="W1771" s="84"/>
      <c r="X1771" s="84"/>
      <c r="Y1771" s="84"/>
      <c r="Z1771" s="84"/>
      <c r="AA1771" s="84"/>
      <c r="AB1771" s="84"/>
    </row>
    <row r="1772">
      <c r="A1772" s="63">
        <v>119.0</v>
      </c>
      <c r="B1772" s="63">
        <v>183.0</v>
      </c>
      <c r="C1772" s="64" t="s">
        <v>405</v>
      </c>
      <c r="D1772" s="64" t="s">
        <v>406</v>
      </c>
      <c r="E1772" s="64" t="s">
        <v>407</v>
      </c>
      <c r="F1772" s="63">
        <v>5000.0</v>
      </c>
      <c r="G1772" s="63">
        <v>42.88</v>
      </c>
      <c r="H1772" s="66">
        <f t="shared" si="1"/>
        <v>299.36</v>
      </c>
      <c r="I1772" s="81">
        <f>IFERROR(__xludf.DUMMYFUNCTION("IF(G1772="""", """", ROUND(G1772 / MAX(FILTER($G$2:$G5067, $D$2:$D5067=$D1772)) * 100, 2))"),77.82)</f>
        <v>77.82</v>
      </c>
      <c r="J1772" s="81">
        <f>IFERROR(__xludf.DUMMYFUNCTION("IF(H1772="""", """", ROUND(H1772 / MAX(FILTER($H$2:$H5067, $D$2:$D5067=$D1772)) * 100, 2))"),98.97)</f>
        <v>98.97</v>
      </c>
      <c r="K1772" s="2"/>
      <c r="L1772" s="49"/>
      <c r="M1772" s="49"/>
      <c r="N1772" s="49"/>
      <c r="O1772" s="49" t="str">
        <f t="shared" si="2"/>
        <v/>
      </c>
      <c r="P1772" s="49" t="str">
        <f t="shared" si="3"/>
        <v/>
      </c>
      <c r="Q1772" s="84"/>
      <c r="R1772" s="84"/>
      <c r="S1772" s="84"/>
      <c r="T1772" s="84"/>
      <c r="U1772" s="84"/>
      <c r="V1772" s="84"/>
      <c r="W1772" s="84"/>
      <c r="X1772" s="84"/>
      <c r="Y1772" s="84"/>
      <c r="Z1772" s="84"/>
      <c r="AA1772" s="84"/>
      <c r="AB1772" s="84"/>
    </row>
    <row r="1773">
      <c r="A1773" s="69">
        <v>119.0</v>
      </c>
      <c r="B1773" s="69">
        <v>183.0</v>
      </c>
      <c r="C1773" s="86" t="s">
        <v>405</v>
      </c>
      <c r="D1773" s="86" t="s">
        <v>406</v>
      </c>
      <c r="E1773" s="86" t="s">
        <v>407</v>
      </c>
      <c r="F1773" s="69">
        <v>5500.0</v>
      </c>
      <c r="G1773" s="69">
        <v>37.15</v>
      </c>
      <c r="H1773" s="68">
        <f t="shared" si="1"/>
        <v>285.29</v>
      </c>
      <c r="I1773" s="81">
        <f>IFERROR(__xludf.DUMMYFUNCTION("IF(G1773="""", """", ROUND(G1773 / MAX(FILTER($G$2:$G5067, $D$2:$D5067=$D1773)) * 100, 2))"),67.42)</f>
        <v>67.42</v>
      </c>
      <c r="J1773" s="81">
        <f>IFERROR(__xludf.DUMMYFUNCTION("IF(H1773="""", """", ROUND(H1773 / MAX(FILTER($H$2:$H5067, $D$2:$D5067=$D1773)) * 100, 2))"),94.32)</f>
        <v>94.32</v>
      </c>
      <c r="K1773" s="2"/>
      <c r="L1773" s="48"/>
      <c r="M1773" s="48"/>
      <c r="N1773" s="48"/>
      <c r="O1773" s="48" t="str">
        <f t="shared" si="2"/>
        <v/>
      </c>
      <c r="P1773" s="48" t="str">
        <f t="shared" si="3"/>
        <v/>
      </c>
      <c r="Q1773" s="84"/>
      <c r="R1773" s="84"/>
      <c r="S1773" s="84"/>
      <c r="T1773" s="84"/>
      <c r="U1773" s="84"/>
      <c r="V1773" s="84"/>
      <c r="W1773" s="84"/>
      <c r="X1773" s="84"/>
      <c r="Y1773" s="84"/>
      <c r="Z1773" s="84"/>
      <c r="AA1773" s="84"/>
      <c r="AB1773" s="84"/>
    </row>
    <row r="1774">
      <c r="A1774" s="63">
        <v>119.0</v>
      </c>
      <c r="B1774" s="63">
        <v>183.0</v>
      </c>
      <c r="C1774" s="64" t="s">
        <v>405</v>
      </c>
      <c r="D1774" s="64" t="s">
        <v>406</v>
      </c>
      <c r="E1774" s="64" t="s">
        <v>407</v>
      </c>
      <c r="F1774" s="63">
        <v>6000.0</v>
      </c>
      <c r="G1774" s="63">
        <v>30.45</v>
      </c>
      <c r="H1774" s="66">
        <f t="shared" si="1"/>
        <v>255.1</v>
      </c>
      <c r="I1774" s="81">
        <f>IFERROR(__xludf.DUMMYFUNCTION("IF(G1774="""", """", ROUND(G1774 / MAX(FILTER($G$2:$G5067, $D$2:$D5067=$D1774)) * 100, 2))"),55.26)</f>
        <v>55.26</v>
      </c>
      <c r="J1774" s="81">
        <f>IFERROR(__xludf.DUMMYFUNCTION("IF(H1774="""", """", ROUND(H1774 / MAX(FILTER($H$2:$H5067, $D$2:$D5067=$D1774)) * 100, 2))"),84.34)</f>
        <v>84.34</v>
      </c>
      <c r="K1774" s="2"/>
      <c r="L1774" s="49"/>
      <c r="M1774" s="49"/>
      <c r="N1774" s="49"/>
      <c r="O1774" s="49" t="str">
        <f t="shared" si="2"/>
        <v/>
      </c>
      <c r="P1774" s="49" t="str">
        <f t="shared" si="3"/>
        <v/>
      </c>
      <c r="Q1774" s="84"/>
      <c r="R1774" s="84"/>
      <c r="S1774" s="84"/>
      <c r="T1774" s="84"/>
      <c r="U1774" s="84"/>
      <c r="V1774" s="84"/>
      <c r="W1774" s="84"/>
      <c r="X1774" s="84"/>
      <c r="Y1774" s="84"/>
      <c r="Z1774" s="84"/>
      <c r="AA1774" s="84"/>
      <c r="AB1774" s="84"/>
    </row>
    <row r="1775">
      <c r="A1775" s="69">
        <v>119.0</v>
      </c>
      <c r="B1775" s="69">
        <v>183.0</v>
      </c>
      <c r="C1775" s="86" t="s">
        <v>405</v>
      </c>
      <c r="D1775" s="86" t="s">
        <v>406</v>
      </c>
      <c r="E1775" s="86" t="s">
        <v>407</v>
      </c>
      <c r="F1775" s="69">
        <v>6500.0</v>
      </c>
      <c r="G1775" s="69">
        <v>20.83</v>
      </c>
      <c r="H1775" s="68">
        <f t="shared" si="1"/>
        <v>189.05</v>
      </c>
      <c r="I1775" s="81">
        <f>IFERROR(__xludf.DUMMYFUNCTION("IF(G1775="""", """", ROUND(G1775 / MAX(FILTER($G$2:$G5067, $D$2:$D5067=$D1775)) * 100, 2))"),37.8)</f>
        <v>37.8</v>
      </c>
      <c r="J1775" s="81">
        <f>IFERROR(__xludf.DUMMYFUNCTION("IF(H1775="""", """", ROUND(H1775 / MAX(FILTER($H$2:$H5067, $D$2:$D5067=$D1775)) * 100, 2))"),62.5)</f>
        <v>62.5</v>
      </c>
      <c r="K1775" s="2"/>
      <c r="L1775" s="48"/>
      <c r="M1775" s="48"/>
      <c r="N1775" s="48"/>
      <c r="O1775" s="48" t="str">
        <f t="shared" si="2"/>
        <v/>
      </c>
      <c r="P1775" s="48" t="str">
        <f t="shared" si="3"/>
        <v/>
      </c>
      <c r="Q1775" s="84"/>
      <c r="R1775" s="84"/>
      <c r="S1775" s="84"/>
      <c r="T1775" s="84"/>
      <c r="U1775" s="84"/>
      <c r="V1775" s="84"/>
      <c r="W1775" s="84"/>
      <c r="X1775" s="84"/>
      <c r="Y1775" s="84"/>
      <c r="Z1775" s="84"/>
      <c r="AA1775" s="84"/>
      <c r="AB1775" s="84"/>
    </row>
    <row r="1776">
      <c r="A1776" s="63">
        <v>120.0</v>
      </c>
      <c r="B1776" s="63">
        <v>184.0</v>
      </c>
      <c r="C1776" s="64" t="s">
        <v>408</v>
      </c>
      <c r="D1776" s="64" t="s">
        <v>409</v>
      </c>
      <c r="E1776" s="64" t="s">
        <v>410</v>
      </c>
      <c r="F1776" s="63">
        <v>500.0</v>
      </c>
      <c r="G1776" s="63">
        <v>20.0</v>
      </c>
      <c r="H1776" s="66">
        <f t="shared" si="1"/>
        <v>13.96</v>
      </c>
      <c r="I1776" s="81">
        <f>IFERROR(__xludf.DUMMYFUNCTION("IF(G1776="""", """", ROUND(G1776 / MAX(FILTER($G$2:$G5067, $D$2:$D5067=$D1776)) * 100, 2))"),64.52)</f>
        <v>64.52</v>
      </c>
      <c r="J1776" s="81">
        <f>IFERROR(__xludf.DUMMYFUNCTION("IF(H1776="""", """", ROUND(H1776 / MAX(FILTER($H$2:$H5067, $D$2:$D5067=$D1776)) * 100, 2))"),4.99)</f>
        <v>4.99</v>
      </c>
      <c r="K1776" s="2"/>
      <c r="L1776" s="49"/>
      <c r="M1776" s="49"/>
      <c r="N1776" s="49"/>
      <c r="O1776" s="49" t="str">
        <f t="shared" si="2"/>
        <v/>
      </c>
      <c r="P1776" s="49" t="str">
        <f t="shared" si="3"/>
        <v/>
      </c>
      <c r="Q1776" s="84"/>
      <c r="R1776" s="84"/>
      <c r="S1776" s="84"/>
      <c r="T1776" s="84"/>
      <c r="U1776" s="84"/>
      <c r="V1776" s="84"/>
      <c r="W1776" s="84"/>
      <c r="X1776" s="84"/>
      <c r="Y1776" s="84"/>
      <c r="Z1776" s="84"/>
      <c r="AA1776" s="84"/>
      <c r="AB1776" s="84"/>
    </row>
    <row r="1777">
      <c r="A1777" s="69">
        <v>120.0</v>
      </c>
      <c r="B1777" s="69">
        <v>184.0</v>
      </c>
      <c r="C1777" s="86" t="s">
        <v>408</v>
      </c>
      <c r="D1777" s="86" t="s">
        <v>409</v>
      </c>
      <c r="E1777" s="86" t="s">
        <v>410</v>
      </c>
      <c r="F1777" s="69">
        <v>1000.0</v>
      </c>
      <c r="G1777" s="69">
        <v>23.3</v>
      </c>
      <c r="H1777" s="68">
        <f t="shared" si="1"/>
        <v>32.53</v>
      </c>
      <c r="I1777" s="81">
        <f>IFERROR(__xludf.DUMMYFUNCTION("IF(G1777="""", """", ROUND(G1777 / MAX(FILTER($G$2:$G5067, $D$2:$D5067=$D1777)) * 100, 2))"),75.16)</f>
        <v>75.16</v>
      </c>
      <c r="J1777" s="81">
        <f>IFERROR(__xludf.DUMMYFUNCTION("IF(H1777="""", """", ROUND(H1777 / MAX(FILTER($H$2:$H5067, $D$2:$D5067=$D1777)) * 100, 2))"),11.64)</f>
        <v>11.64</v>
      </c>
      <c r="K1777" s="2"/>
      <c r="L1777" s="48"/>
      <c r="M1777" s="48"/>
      <c r="N1777" s="48"/>
      <c r="O1777" s="48" t="str">
        <f t="shared" si="2"/>
        <v/>
      </c>
      <c r="P1777" s="48" t="str">
        <f t="shared" si="3"/>
        <v/>
      </c>
      <c r="Q1777" s="84"/>
      <c r="R1777" s="84"/>
      <c r="S1777" s="84"/>
      <c r="T1777" s="84"/>
      <c r="U1777" s="84"/>
      <c r="V1777" s="84"/>
      <c r="W1777" s="84"/>
      <c r="X1777" s="84"/>
      <c r="Y1777" s="84"/>
      <c r="Z1777" s="84"/>
      <c r="AA1777" s="84"/>
      <c r="AB1777" s="84"/>
    </row>
    <row r="1778">
      <c r="A1778" s="63">
        <v>120.0</v>
      </c>
      <c r="B1778" s="63">
        <v>184.0</v>
      </c>
      <c r="C1778" s="64" t="s">
        <v>408</v>
      </c>
      <c r="D1778" s="64" t="s">
        <v>409</v>
      </c>
      <c r="E1778" s="64" t="s">
        <v>410</v>
      </c>
      <c r="F1778" s="63">
        <v>1500.0</v>
      </c>
      <c r="G1778" s="63">
        <v>25.3</v>
      </c>
      <c r="H1778" s="66">
        <f t="shared" si="1"/>
        <v>52.99</v>
      </c>
      <c r="I1778" s="81">
        <f>IFERROR(__xludf.DUMMYFUNCTION("IF(G1778="""", """", ROUND(G1778 / MAX(FILTER($G$2:$G5067, $D$2:$D5067=$D1778)) * 100, 2))"),81.61)</f>
        <v>81.61</v>
      </c>
      <c r="J1778" s="81">
        <f>IFERROR(__xludf.DUMMYFUNCTION("IF(H1778="""", """", ROUND(H1778 / MAX(FILTER($H$2:$H5067, $D$2:$D5067=$D1778)) * 100, 2))"),18.96)</f>
        <v>18.96</v>
      </c>
      <c r="K1778" s="2"/>
      <c r="L1778" s="49"/>
      <c r="M1778" s="49"/>
      <c r="N1778" s="49"/>
      <c r="O1778" s="49" t="str">
        <f t="shared" si="2"/>
        <v/>
      </c>
      <c r="P1778" s="49" t="str">
        <f t="shared" si="3"/>
        <v/>
      </c>
      <c r="Q1778" s="84"/>
      <c r="R1778" s="84"/>
      <c r="S1778" s="84"/>
      <c r="T1778" s="84"/>
      <c r="U1778" s="84"/>
      <c r="V1778" s="84"/>
      <c r="W1778" s="84"/>
      <c r="X1778" s="84"/>
      <c r="Y1778" s="84"/>
      <c r="Z1778" s="84"/>
      <c r="AA1778" s="84"/>
      <c r="AB1778" s="84"/>
    </row>
    <row r="1779">
      <c r="A1779" s="69">
        <v>120.0</v>
      </c>
      <c r="B1779" s="69">
        <v>184.0</v>
      </c>
      <c r="C1779" s="86" t="s">
        <v>408</v>
      </c>
      <c r="D1779" s="86" t="s">
        <v>409</v>
      </c>
      <c r="E1779" s="86" t="s">
        <v>410</v>
      </c>
      <c r="F1779" s="69">
        <v>2000.0</v>
      </c>
      <c r="G1779" s="69">
        <v>26.4</v>
      </c>
      <c r="H1779" s="68">
        <f t="shared" si="1"/>
        <v>73.72</v>
      </c>
      <c r="I1779" s="81">
        <f>IFERROR(__xludf.DUMMYFUNCTION("IF(G1779="""", """", ROUND(G1779 / MAX(FILTER($G$2:$G5067, $D$2:$D5067=$D1779)) * 100, 2))"),85.16)</f>
        <v>85.16</v>
      </c>
      <c r="J1779" s="81">
        <f>IFERROR(__xludf.DUMMYFUNCTION("IF(H1779="""", """", ROUND(H1779 / MAX(FILTER($H$2:$H5067, $D$2:$D5067=$D1779)) * 100, 2))"),26.37)</f>
        <v>26.37</v>
      </c>
      <c r="K1779" s="2"/>
      <c r="L1779" s="48"/>
      <c r="M1779" s="48"/>
      <c r="N1779" s="48"/>
      <c r="O1779" s="48" t="str">
        <f t="shared" si="2"/>
        <v/>
      </c>
      <c r="P1779" s="48" t="str">
        <f t="shared" si="3"/>
        <v/>
      </c>
      <c r="Q1779" s="84"/>
      <c r="R1779" s="84"/>
      <c r="S1779" s="84"/>
      <c r="T1779" s="84"/>
      <c r="U1779" s="84"/>
      <c r="V1779" s="84"/>
      <c r="W1779" s="84"/>
      <c r="X1779" s="84"/>
      <c r="Y1779" s="84"/>
      <c r="Z1779" s="84"/>
      <c r="AA1779" s="84"/>
      <c r="AB1779" s="84"/>
    </row>
    <row r="1780">
      <c r="A1780" s="63">
        <v>120.0</v>
      </c>
      <c r="B1780" s="63">
        <v>184.0</v>
      </c>
      <c r="C1780" s="64" t="s">
        <v>408</v>
      </c>
      <c r="D1780" s="64" t="s">
        <v>409</v>
      </c>
      <c r="E1780" s="64" t="s">
        <v>410</v>
      </c>
      <c r="F1780" s="63">
        <v>2500.0</v>
      </c>
      <c r="G1780" s="63">
        <v>27.1</v>
      </c>
      <c r="H1780" s="66">
        <f t="shared" si="1"/>
        <v>94.6</v>
      </c>
      <c r="I1780" s="81">
        <f>IFERROR(__xludf.DUMMYFUNCTION("IF(G1780="""", """", ROUND(G1780 / MAX(FILTER($G$2:$G5067, $D$2:$D5067=$D1780)) * 100, 2))"),87.42)</f>
        <v>87.42</v>
      </c>
      <c r="J1780" s="81">
        <f>IFERROR(__xludf.DUMMYFUNCTION("IF(H1780="""", """", ROUND(H1780 / MAX(FILTER($H$2:$H5067, $D$2:$D5067=$D1780)) * 100, 2))"),33.84)</f>
        <v>33.84</v>
      </c>
      <c r="K1780" s="2"/>
      <c r="L1780" s="49"/>
      <c r="M1780" s="49"/>
      <c r="N1780" s="49"/>
      <c r="O1780" s="49" t="str">
        <f t="shared" si="2"/>
        <v/>
      </c>
      <c r="P1780" s="49" t="str">
        <f t="shared" si="3"/>
        <v/>
      </c>
      <c r="Q1780" s="84"/>
      <c r="R1780" s="84"/>
      <c r="S1780" s="84"/>
      <c r="T1780" s="84"/>
      <c r="U1780" s="84"/>
      <c r="V1780" s="84"/>
      <c r="W1780" s="84"/>
      <c r="X1780" s="84"/>
      <c r="Y1780" s="84"/>
      <c r="Z1780" s="84"/>
      <c r="AA1780" s="84"/>
      <c r="AB1780" s="84"/>
    </row>
    <row r="1781">
      <c r="A1781" s="69">
        <v>120.0</v>
      </c>
      <c r="B1781" s="69">
        <v>184.0</v>
      </c>
      <c r="C1781" s="86" t="s">
        <v>408</v>
      </c>
      <c r="D1781" s="86" t="s">
        <v>409</v>
      </c>
      <c r="E1781" s="86" t="s">
        <v>410</v>
      </c>
      <c r="F1781" s="69">
        <v>3000.0</v>
      </c>
      <c r="G1781" s="69">
        <v>28.0</v>
      </c>
      <c r="H1781" s="68">
        <f t="shared" si="1"/>
        <v>117.29</v>
      </c>
      <c r="I1781" s="81">
        <f>IFERROR(__xludf.DUMMYFUNCTION("IF(G1781="""", """", ROUND(G1781 / MAX(FILTER($G$2:$G5067, $D$2:$D5067=$D1781)) * 100, 2))"),90.32)</f>
        <v>90.32</v>
      </c>
      <c r="J1781" s="81">
        <f>IFERROR(__xludf.DUMMYFUNCTION("IF(H1781="""", """", ROUND(H1781 / MAX(FILTER($H$2:$H5067, $D$2:$D5067=$D1781)) * 100, 2))"),41.96)</f>
        <v>41.96</v>
      </c>
      <c r="K1781" s="2"/>
      <c r="L1781" s="48"/>
      <c r="M1781" s="48"/>
      <c r="N1781" s="48"/>
      <c r="O1781" s="48" t="str">
        <f t="shared" si="2"/>
        <v/>
      </c>
      <c r="P1781" s="48" t="str">
        <f t="shared" si="3"/>
        <v/>
      </c>
      <c r="Q1781" s="84"/>
      <c r="R1781" s="84"/>
      <c r="S1781" s="84"/>
      <c r="T1781" s="84"/>
      <c r="U1781" s="84"/>
      <c r="V1781" s="84"/>
      <c r="W1781" s="84"/>
      <c r="X1781" s="84"/>
      <c r="Y1781" s="84"/>
      <c r="Z1781" s="84"/>
      <c r="AA1781" s="84"/>
      <c r="AB1781" s="84"/>
    </row>
    <row r="1782">
      <c r="A1782" s="63">
        <v>120.0</v>
      </c>
      <c r="B1782" s="63">
        <v>184.0</v>
      </c>
      <c r="C1782" s="64" t="s">
        <v>408</v>
      </c>
      <c r="D1782" s="64" t="s">
        <v>409</v>
      </c>
      <c r="E1782" s="64" t="s">
        <v>410</v>
      </c>
      <c r="F1782" s="63">
        <v>3500.0</v>
      </c>
      <c r="G1782" s="63">
        <v>29.87</v>
      </c>
      <c r="H1782" s="66">
        <f t="shared" si="1"/>
        <v>145.97</v>
      </c>
      <c r="I1782" s="81">
        <f>IFERROR(__xludf.DUMMYFUNCTION("IF(G1782="""", """", ROUND(G1782 / MAX(FILTER($G$2:$G5067, $D$2:$D5067=$D1782)) * 100, 2))"),96.35)</f>
        <v>96.35</v>
      </c>
      <c r="J1782" s="81">
        <f>IFERROR(__xludf.DUMMYFUNCTION("IF(H1782="""", """", ROUND(H1782 / MAX(FILTER($H$2:$H5067, $D$2:$D5067=$D1782)) * 100, 2))"),52.22)</f>
        <v>52.22</v>
      </c>
      <c r="K1782" s="2"/>
      <c r="L1782" s="49"/>
      <c r="M1782" s="49"/>
      <c r="N1782" s="49"/>
      <c r="O1782" s="49" t="str">
        <f t="shared" si="2"/>
        <v/>
      </c>
      <c r="P1782" s="49" t="str">
        <f t="shared" si="3"/>
        <v/>
      </c>
      <c r="Q1782" s="84"/>
      <c r="R1782" s="84"/>
      <c r="S1782" s="84"/>
      <c r="T1782" s="84"/>
      <c r="U1782" s="84"/>
      <c r="V1782" s="84"/>
      <c r="W1782" s="84"/>
      <c r="X1782" s="84"/>
      <c r="Y1782" s="84"/>
      <c r="Z1782" s="84"/>
      <c r="AA1782" s="84"/>
      <c r="AB1782" s="84"/>
    </row>
    <row r="1783">
      <c r="A1783" s="69">
        <v>120.0</v>
      </c>
      <c r="B1783" s="69">
        <v>184.0</v>
      </c>
      <c r="C1783" s="86" t="s">
        <v>408</v>
      </c>
      <c r="D1783" s="86" t="s">
        <v>409</v>
      </c>
      <c r="E1783" s="86" t="s">
        <v>410</v>
      </c>
      <c r="F1783" s="69">
        <v>4000.0</v>
      </c>
      <c r="G1783" s="69">
        <v>29.97</v>
      </c>
      <c r="H1783" s="68">
        <f t="shared" si="1"/>
        <v>167.38</v>
      </c>
      <c r="I1783" s="81">
        <f>IFERROR(__xludf.DUMMYFUNCTION("IF(G1783="""", """", ROUND(G1783 / MAX(FILTER($G$2:$G5067, $D$2:$D5067=$D1783)) * 100, 2))"),96.68)</f>
        <v>96.68</v>
      </c>
      <c r="J1783" s="81">
        <f>IFERROR(__xludf.DUMMYFUNCTION("IF(H1783="""", """", ROUND(H1783 / MAX(FILTER($H$2:$H5067, $D$2:$D5067=$D1783)) * 100, 2))"),59.88)</f>
        <v>59.88</v>
      </c>
      <c r="K1783" s="2"/>
      <c r="L1783" s="48"/>
      <c r="M1783" s="48"/>
      <c r="N1783" s="48"/>
      <c r="O1783" s="48" t="str">
        <f t="shared" si="2"/>
        <v/>
      </c>
      <c r="P1783" s="48" t="str">
        <f t="shared" si="3"/>
        <v/>
      </c>
      <c r="Q1783" s="84"/>
      <c r="R1783" s="84"/>
      <c r="S1783" s="84"/>
      <c r="T1783" s="84"/>
      <c r="U1783" s="84"/>
      <c r="V1783" s="84"/>
      <c r="W1783" s="84"/>
      <c r="X1783" s="84"/>
      <c r="Y1783" s="84"/>
      <c r="Z1783" s="84"/>
      <c r="AA1783" s="84"/>
      <c r="AB1783" s="84"/>
    </row>
    <row r="1784">
      <c r="A1784" s="63">
        <v>120.0</v>
      </c>
      <c r="B1784" s="63">
        <v>184.0</v>
      </c>
      <c r="C1784" s="64" t="s">
        <v>408</v>
      </c>
      <c r="D1784" s="64" t="s">
        <v>409</v>
      </c>
      <c r="E1784" s="64" t="s">
        <v>410</v>
      </c>
      <c r="F1784" s="63">
        <v>4500.0</v>
      </c>
      <c r="G1784" s="63">
        <v>30.0</v>
      </c>
      <c r="H1784" s="66">
        <f t="shared" si="1"/>
        <v>188.49</v>
      </c>
      <c r="I1784" s="81">
        <f>IFERROR(__xludf.DUMMYFUNCTION("IF(G1784="""", """", ROUND(G1784 / MAX(FILTER($G$2:$G5067, $D$2:$D5067=$D1784)) * 100, 2))"),96.77)</f>
        <v>96.77</v>
      </c>
      <c r="J1784" s="81">
        <f>IFERROR(__xludf.DUMMYFUNCTION("IF(H1784="""", """", ROUND(H1784 / MAX(FILTER($H$2:$H5067, $D$2:$D5067=$D1784)) * 100, 2))"),67.43)</f>
        <v>67.43</v>
      </c>
      <c r="K1784" s="2"/>
      <c r="L1784" s="49"/>
      <c r="M1784" s="49"/>
      <c r="N1784" s="49"/>
      <c r="O1784" s="49" t="str">
        <f t="shared" si="2"/>
        <v/>
      </c>
      <c r="P1784" s="49" t="str">
        <f t="shared" si="3"/>
        <v/>
      </c>
      <c r="Q1784" s="84"/>
      <c r="R1784" s="84"/>
      <c r="S1784" s="84"/>
      <c r="T1784" s="84"/>
      <c r="U1784" s="84"/>
      <c r="V1784" s="84"/>
      <c r="W1784" s="84"/>
      <c r="X1784" s="84"/>
      <c r="Y1784" s="84"/>
      <c r="Z1784" s="84"/>
      <c r="AA1784" s="84"/>
      <c r="AB1784" s="84"/>
    </row>
    <row r="1785">
      <c r="A1785" s="69">
        <v>120.0</v>
      </c>
      <c r="B1785" s="69">
        <v>184.0</v>
      </c>
      <c r="C1785" s="86" t="s">
        <v>408</v>
      </c>
      <c r="D1785" s="86" t="s">
        <v>409</v>
      </c>
      <c r="E1785" s="86" t="s">
        <v>410</v>
      </c>
      <c r="F1785" s="69">
        <v>5000.0</v>
      </c>
      <c r="G1785" s="69">
        <v>30.82</v>
      </c>
      <c r="H1785" s="68">
        <f t="shared" si="1"/>
        <v>215.16</v>
      </c>
      <c r="I1785" s="81">
        <f>IFERROR(__xludf.DUMMYFUNCTION("IF(G1785="""", """", ROUND(G1785 / MAX(FILTER($G$2:$G5067, $D$2:$D5067=$D1785)) * 100, 2))"),99.42)</f>
        <v>99.42</v>
      </c>
      <c r="J1785" s="81">
        <f>IFERROR(__xludf.DUMMYFUNCTION("IF(H1785="""", """", ROUND(H1785 / MAX(FILTER($H$2:$H5067, $D$2:$D5067=$D1785)) * 100, 2))"),76.97)</f>
        <v>76.97</v>
      </c>
      <c r="K1785" s="2"/>
      <c r="L1785" s="48"/>
      <c r="M1785" s="48"/>
      <c r="N1785" s="48"/>
      <c r="O1785" s="48" t="str">
        <f t="shared" si="2"/>
        <v/>
      </c>
      <c r="P1785" s="48" t="str">
        <f t="shared" si="3"/>
        <v/>
      </c>
      <c r="Q1785" s="84"/>
      <c r="R1785" s="84"/>
      <c r="S1785" s="84"/>
      <c r="T1785" s="84"/>
      <c r="U1785" s="84"/>
      <c r="V1785" s="84"/>
      <c r="W1785" s="84"/>
      <c r="X1785" s="84"/>
      <c r="Y1785" s="84"/>
      <c r="Z1785" s="84"/>
      <c r="AA1785" s="84"/>
      <c r="AB1785" s="84"/>
    </row>
    <row r="1786">
      <c r="A1786" s="63">
        <v>120.0</v>
      </c>
      <c r="B1786" s="63">
        <v>184.0</v>
      </c>
      <c r="C1786" s="64" t="s">
        <v>408</v>
      </c>
      <c r="D1786" s="64" t="s">
        <v>409</v>
      </c>
      <c r="E1786" s="64" t="s">
        <v>410</v>
      </c>
      <c r="F1786" s="63">
        <v>5500.0</v>
      </c>
      <c r="G1786" s="63">
        <v>31.0</v>
      </c>
      <c r="H1786" s="66">
        <f t="shared" si="1"/>
        <v>238.06</v>
      </c>
      <c r="I1786" s="81">
        <f>IFERROR(__xludf.DUMMYFUNCTION("IF(G1786="""", """", ROUND(G1786 / MAX(FILTER($G$2:$G5067, $D$2:$D5067=$D1786)) * 100, 2))"),100.0)</f>
        <v>100</v>
      </c>
      <c r="J1786" s="81">
        <f>IFERROR(__xludf.DUMMYFUNCTION("IF(H1786="""", """", ROUND(H1786 / MAX(FILTER($H$2:$H5067, $D$2:$D5067=$D1786)) * 100, 2))"),85.16)</f>
        <v>85.16</v>
      </c>
      <c r="K1786" s="2"/>
      <c r="L1786" s="49"/>
      <c r="M1786" s="49"/>
      <c r="N1786" s="49"/>
      <c r="O1786" s="49" t="str">
        <f t="shared" si="2"/>
        <v/>
      </c>
      <c r="P1786" s="49" t="str">
        <f t="shared" si="3"/>
        <v/>
      </c>
      <c r="Q1786" s="84"/>
      <c r="R1786" s="84"/>
      <c r="S1786" s="84"/>
      <c r="T1786" s="84"/>
      <c r="U1786" s="84"/>
      <c r="V1786" s="84"/>
      <c r="W1786" s="84"/>
      <c r="X1786" s="84"/>
      <c r="Y1786" s="84"/>
      <c r="Z1786" s="84"/>
      <c r="AA1786" s="84"/>
      <c r="AB1786" s="84"/>
    </row>
    <row r="1787">
      <c r="A1787" s="69">
        <v>120.0</v>
      </c>
      <c r="B1787" s="69">
        <v>184.0</v>
      </c>
      <c r="C1787" s="86" t="s">
        <v>408</v>
      </c>
      <c r="D1787" s="86" t="s">
        <v>409</v>
      </c>
      <c r="E1787" s="86" t="s">
        <v>410</v>
      </c>
      <c r="F1787" s="69">
        <v>6000.0</v>
      </c>
      <c r="G1787" s="69">
        <v>30.4</v>
      </c>
      <c r="H1787" s="68">
        <f t="shared" si="1"/>
        <v>254.68</v>
      </c>
      <c r="I1787" s="81">
        <f>IFERROR(__xludf.DUMMYFUNCTION("IF(G1787="""", """", ROUND(G1787 / MAX(FILTER($G$2:$G5067, $D$2:$D5067=$D1787)) * 100, 2))"),98.06)</f>
        <v>98.06</v>
      </c>
      <c r="J1787" s="81">
        <f>IFERROR(__xludf.DUMMYFUNCTION("IF(H1787="""", """", ROUND(H1787 / MAX(FILTER($H$2:$H5067, $D$2:$D5067=$D1787)) * 100, 2))"),91.11)</f>
        <v>91.11</v>
      </c>
      <c r="K1787" s="2"/>
      <c r="L1787" s="48"/>
      <c r="M1787" s="48"/>
      <c r="N1787" s="48"/>
      <c r="O1787" s="48" t="str">
        <f t="shared" si="2"/>
        <v/>
      </c>
      <c r="P1787" s="48" t="str">
        <f t="shared" si="3"/>
        <v/>
      </c>
      <c r="Q1787" s="84"/>
      <c r="R1787" s="84"/>
      <c r="S1787" s="84"/>
      <c r="T1787" s="84"/>
      <c r="U1787" s="84"/>
      <c r="V1787" s="84"/>
      <c r="W1787" s="84"/>
      <c r="X1787" s="84"/>
      <c r="Y1787" s="84"/>
      <c r="Z1787" s="84"/>
      <c r="AA1787" s="84"/>
      <c r="AB1787" s="84"/>
    </row>
    <row r="1788">
      <c r="A1788" s="63">
        <v>120.0</v>
      </c>
      <c r="B1788" s="63">
        <v>184.0</v>
      </c>
      <c r="C1788" s="64" t="s">
        <v>408</v>
      </c>
      <c r="D1788" s="64" t="s">
        <v>409</v>
      </c>
      <c r="E1788" s="64" t="s">
        <v>410</v>
      </c>
      <c r="F1788" s="63">
        <v>6500.0</v>
      </c>
      <c r="G1788" s="63">
        <v>30.1</v>
      </c>
      <c r="H1788" s="66">
        <f t="shared" si="1"/>
        <v>273.18</v>
      </c>
      <c r="I1788" s="81">
        <f>IFERROR(__xludf.DUMMYFUNCTION("IF(G1788="""", """", ROUND(G1788 / MAX(FILTER($G$2:$G5067, $D$2:$D5067=$D1788)) * 100, 2))"),97.1)</f>
        <v>97.1</v>
      </c>
      <c r="J1788" s="81">
        <f>IFERROR(__xludf.DUMMYFUNCTION("IF(H1788="""", """", ROUND(H1788 / MAX(FILTER($H$2:$H5067, $D$2:$D5067=$D1788)) * 100, 2))"),97.73)</f>
        <v>97.73</v>
      </c>
      <c r="K1788" s="2"/>
      <c r="L1788" s="49"/>
      <c r="M1788" s="49"/>
      <c r="N1788" s="49"/>
      <c r="O1788" s="49" t="str">
        <f t="shared" si="2"/>
        <v/>
      </c>
      <c r="P1788" s="49" t="str">
        <f t="shared" si="3"/>
        <v/>
      </c>
      <c r="Q1788" s="84"/>
      <c r="R1788" s="84"/>
      <c r="S1788" s="84"/>
      <c r="T1788" s="84"/>
      <c r="U1788" s="84"/>
      <c r="V1788" s="84"/>
      <c r="W1788" s="84"/>
      <c r="X1788" s="84"/>
      <c r="Y1788" s="84"/>
      <c r="Z1788" s="84"/>
      <c r="AA1788" s="84"/>
      <c r="AB1788" s="84"/>
    </row>
    <row r="1789">
      <c r="A1789" s="69">
        <v>120.0</v>
      </c>
      <c r="B1789" s="69">
        <v>184.0</v>
      </c>
      <c r="C1789" s="86" t="s">
        <v>408</v>
      </c>
      <c r="D1789" s="86" t="s">
        <v>409</v>
      </c>
      <c r="E1789" s="86" t="s">
        <v>410</v>
      </c>
      <c r="F1789" s="69">
        <v>7000.0</v>
      </c>
      <c r="G1789" s="69">
        <v>28.6</v>
      </c>
      <c r="H1789" s="68">
        <f t="shared" si="1"/>
        <v>279.53</v>
      </c>
      <c r="I1789" s="81">
        <f>IFERROR(__xludf.DUMMYFUNCTION("IF(G1789="""", """", ROUND(G1789 / MAX(FILTER($G$2:$G5067, $D$2:$D5067=$D1789)) * 100, 2))"),92.26)</f>
        <v>92.26</v>
      </c>
      <c r="J1789" s="81">
        <f>IFERROR(__xludf.DUMMYFUNCTION("IF(H1789="""", """", ROUND(H1789 / MAX(FILTER($H$2:$H5067, $D$2:$D5067=$D1789)) * 100, 2))"),100.0)</f>
        <v>100</v>
      </c>
      <c r="K1789" s="2"/>
      <c r="L1789" s="48"/>
      <c r="M1789" s="48"/>
      <c r="N1789" s="48"/>
      <c r="O1789" s="48" t="str">
        <f t="shared" si="2"/>
        <v/>
      </c>
      <c r="P1789" s="48" t="str">
        <f t="shared" si="3"/>
        <v/>
      </c>
      <c r="Q1789" s="84"/>
      <c r="R1789" s="84"/>
      <c r="S1789" s="84"/>
      <c r="T1789" s="84"/>
      <c r="U1789" s="84"/>
      <c r="V1789" s="84"/>
      <c r="W1789" s="84"/>
      <c r="X1789" s="84"/>
      <c r="Y1789" s="84"/>
      <c r="Z1789" s="84"/>
      <c r="AA1789" s="84"/>
      <c r="AB1789" s="84"/>
    </row>
    <row r="1790">
      <c r="A1790" s="63">
        <v>120.0</v>
      </c>
      <c r="B1790" s="63">
        <v>184.0</v>
      </c>
      <c r="C1790" s="64" t="s">
        <v>408</v>
      </c>
      <c r="D1790" s="64" t="s">
        <v>409</v>
      </c>
      <c r="E1790" s="64" t="s">
        <v>410</v>
      </c>
      <c r="F1790" s="63">
        <v>7500.0</v>
      </c>
      <c r="G1790" s="63">
        <v>26.2</v>
      </c>
      <c r="H1790" s="66">
        <f t="shared" si="1"/>
        <v>274.36</v>
      </c>
      <c r="I1790" s="81">
        <f>IFERROR(__xludf.DUMMYFUNCTION("IF(G1790="""", """", ROUND(G1790 / MAX(FILTER($G$2:$G5067, $D$2:$D5067=$D1790)) * 100, 2))"),84.52)</f>
        <v>84.52</v>
      </c>
      <c r="J1790" s="81">
        <f>IFERROR(__xludf.DUMMYFUNCTION("IF(H1790="""", """", ROUND(H1790 / MAX(FILTER($H$2:$H5067, $D$2:$D5067=$D1790)) * 100, 2))"),98.15)</f>
        <v>98.15</v>
      </c>
      <c r="K1790" s="2"/>
      <c r="L1790" s="49"/>
      <c r="M1790" s="49"/>
      <c r="N1790" s="49"/>
      <c r="O1790" s="49" t="str">
        <f t="shared" si="2"/>
        <v/>
      </c>
      <c r="P1790" s="49" t="str">
        <f t="shared" si="3"/>
        <v/>
      </c>
      <c r="Q1790" s="84"/>
      <c r="R1790" s="84"/>
      <c r="S1790" s="84"/>
      <c r="T1790" s="84"/>
      <c r="U1790" s="84"/>
      <c r="V1790" s="84"/>
      <c r="W1790" s="84"/>
      <c r="X1790" s="84"/>
      <c r="Y1790" s="84"/>
      <c r="Z1790" s="84"/>
      <c r="AA1790" s="84"/>
      <c r="AB1790" s="84"/>
    </row>
    <row r="1791">
      <c r="A1791" s="69">
        <v>120.0</v>
      </c>
      <c r="B1791" s="69">
        <v>184.0</v>
      </c>
      <c r="C1791" s="86" t="s">
        <v>408</v>
      </c>
      <c r="D1791" s="86" t="s">
        <v>409</v>
      </c>
      <c r="E1791" s="86" t="s">
        <v>410</v>
      </c>
      <c r="F1791" s="69">
        <v>8000.0</v>
      </c>
      <c r="G1791" s="69">
        <v>23.8</v>
      </c>
      <c r="H1791" s="68">
        <f t="shared" si="1"/>
        <v>265.85</v>
      </c>
      <c r="I1791" s="81">
        <f>IFERROR(__xludf.DUMMYFUNCTION("IF(G1791="""", """", ROUND(G1791 / MAX(FILTER($G$2:$G5067, $D$2:$D5067=$D1791)) * 100, 2))"),76.77)</f>
        <v>76.77</v>
      </c>
      <c r="J1791" s="81">
        <f>IFERROR(__xludf.DUMMYFUNCTION("IF(H1791="""", """", ROUND(H1791 / MAX(FILTER($H$2:$H5067, $D$2:$D5067=$D1791)) * 100, 2))"),95.11)</f>
        <v>95.11</v>
      </c>
      <c r="K1791" s="2"/>
      <c r="L1791" s="48"/>
      <c r="M1791" s="48"/>
      <c r="N1791" s="48"/>
      <c r="O1791" s="48" t="str">
        <f t="shared" si="2"/>
        <v/>
      </c>
      <c r="P1791" s="48" t="str">
        <f t="shared" si="3"/>
        <v/>
      </c>
      <c r="Q1791" s="84"/>
      <c r="R1791" s="84"/>
      <c r="S1791" s="84"/>
      <c r="T1791" s="84"/>
      <c r="U1791" s="84"/>
      <c r="V1791" s="84"/>
      <c r="W1791" s="84"/>
      <c r="X1791" s="84"/>
      <c r="Y1791" s="84"/>
      <c r="Z1791" s="84"/>
      <c r="AA1791" s="84"/>
      <c r="AB1791" s="84"/>
    </row>
    <row r="1792">
      <c r="A1792" s="63">
        <v>120.0</v>
      </c>
      <c r="B1792" s="63">
        <v>184.0</v>
      </c>
      <c r="C1792" s="64" t="s">
        <v>408</v>
      </c>
      <c r="D1792" s="64" t="s">
        <v>409</v>
      </c>
      <c r="E1792" s="64" t="s">
        <v>410</v>
      </c>
      <c r="F1792" s="63">
        <v>8500.0</v>
      </c>
      <c r="G1792" s="63">
        <v>21.1</v>
      </c>
      <c r="H1792" s="66">
        <f t="shared" si="1"/>
        <v>250.42</v>
      </c>
      <c r="I1792" s="81">
        <f>IFERROR(__xludf.DUMMYFUNCTION("IF(G1792="""", """", ROUND(G1792 / MAX(FILTER($G$2:$G5067, $D$2:$D5067=$D1792)) * 100, 2))"),68.06)</f>
        <v>68.06</v>
      </c>
      <c r="J1792" s="81">
        <f>IFERROR(__xludf.DUMMYFUNCTION("IF(H1792="""", """", ROUND(H1792 / MAX(FILTER($H$2:$H5067, $D$2:$D5067=$D1792)) * 100, 2))"),89.59)</f>
        <v>89.59</v>
      </c>
      <c r="K1792" s="2"/>
      <c r="L1792" s="49"/>
      <c r="M1792" s="49"/>
      <c r="N1792" s="49"/>
      <c r="O1792" s="49" t="str">
        <f t="shared" si="2"/>
        <v/>
      </c>
      <c r="P1792" s="49" t="str">
        <f t="shared" si="3"/>
        <v/>
      </c>
      <c r="Q1792" s="84"/>
      <c r="R1792" s="84"/>
      <c r="S1792" s="84"/>
      <c r="T1792" s="84"/>
      <c r="U1792" s="84"/>
      <c r="V1792" s="84"/>
      <c r="W1792" s="84"/>
      <c r="X1792" s="84"/>
      <c r="Y1792" s="84"/>
      <c r="Z1792" s="84"/>
      <c r="AA1792" s="84"/>
      <c r="AB1792" s="84"/>
    </row>
    <row r="1793">
      <c r="A1793" s="69">
        <v>120.0</v>
      </c>
      <c r="B1793" s="69">
        <v>184.0</v>
      </c>
      <c r="C1793" s="86" t="s">
        <v>408</v>
      </c>
      <c r="D1793" s="86" t="s">
        <v>409</v>
      </c>
      <c r="E1793" s="86" t="s">
        <v>410</v>
      </c>
      <c r="F1793" s="69">
        <v>9000.0</v>
      </c>
      <c r="G1793" s="69">
        <v>17.7</v>
      </c>
      <c r="H1793" s="68">
        <f t="shared" si="1"/>
        <v>222.42</v>
      </c>
      <c r="I1793" s="81">
        <f>IFERROR(__xludf.DUMMYFUNCTION("IF(G1793="""", """", ROUND(G1793 / MAX(FILTER($G$2:$G5067, $D$2:$D5067=$D1793)) * 100, 2))"),57.1)</f>
        <v>57.1</v>
      </c>
      <c r="J1793" s="81">
        <f>IFERROR(__xludf.DUMMYFUNCTION("IF(H1793="""", """", ROUND(H1793 / MAX(FILTER($H$2:$H5067, $D$2:$D5067=$D1793)) * 100, 2))"),79.57)</f>
        <v>79.57</v>
      </c>
      <c r="K1793" s="2"/>
      <c r="L1793" s="48"/>
      <c r="M1793" s="48"/>
      <c r="N1793" s="48"/>
      <c r="O1793" s="48" t="str">
        <f t="shared" si="2"/>
        <v/>
      </c>
      <c r="P1793" s="48" t="str">
        <f t="shared" si="3"/>
        <v/>
      </c>
      <c r="Q1793" s="84"/>
      <c r="R1793" s="84"/>
      <c r="S1793" s="84"/>
      <c r="T1793" s="84"/>
      <c r="U1793" s="84"/>
      <c r="V1793" s="84"/>
      <c r="W1793" s="84"/>
      <c r="X1793" s="84"/>
      <c r="Y1793" s="84"/>
      <c r="Z1793" s="84"/>
      <c r="AA1793" s="84"/>
      <c r="AB1793" s="84"/>
    </row>
    <row r="1794">
      <c r="A1794" s="63">
        <v>121.0</v>
      </c>
      <c r="B1794" s="63">
        <v>186.0</v>
      </c>
      <c r="C1794" s="64" t="s">
        <v>411</v>
      </c>
      <c r="D1794" s="64" t="s">
        <v>412</v>
      </c>
      <c r="E1794" s="64" t="s">
        <v>413</v>
      </c>
      <c r="F1794" s="63">
        <v>500.0</v>
      </c>
      <c r="G1794" s="63">
        <v>23.0</v>
      </c>
      <c r="H1794" s="66">
        <f t="shared" si="1"/>
        <v>16.06</v>
      </c>
      <c r="I1794" s="81">
        <f>IFERROR(__xludf.DUMMYFUNCTION("IF(G1794="""", """", ROUND(G1794 / MAX(FILTER($G$2:$G5067, $D$2:$D5067=$D1794)) * 100, 2))"),56.78)</f>
        <v>56.78</v>
      </c>
      <c r="J1794" s="81">
        <f>IFERROR(__xludf.DUMMYFUNCTION("IF(H1794="""", """", ROUND(H1794 / MAX(FILTER($H$2:$H5067, $D$2:$D5067=$D1794)) * 100, 2))"),3.21)</f>
        <v>3.21</v>
      </c>
      <c r="K1794" s="2"/>
      <c r="L1794" s="49"/>
      <c r="M1794" s="49"/>
      <c r="N1794" s="49"/>
      <c r="O1794" s="49" t="str">
        <f t="shared" si="2"/>
        <v/>
      </c>
      <c r="P1794" s="49" t="str">
        <f t="shared" si="3"/>
        <v/>
      </c>
      <c r="Q1794" s="84"/>
      <c r="R1794" s="84"/>
      <c r="S1794" s="84"/>
      <c r="T1794" s="84"/>
      <c r="U1794" s="84"/>
      <c r="V1794" s="84"/>
      <c r="W1794" s="84"/>
      <c r="X1794" s="84"/>
      <c r="Y1794" s="84"/>
      <c r="Z1794" s="84"/>
      <c r="AA1794" s="84"/>
      <c r="AB1794" s="84"/>
    </row>
    <row r="1795">
      <c r="A1795" s="69">
        <v>121.0</v>
      </c>
      <c r="B1795" s="69">
        <v>186.0</v>
      </c>
      <c r="C1795" s="86" t="s">
        <v>411</v>
      </c>
      <c r="D1795" s="86" t="s">
        <v>412</v>
      </c>
      <c r="E1795" s="86" t="s">
        <v>413</v>
      </c>
      <c r="F1795" s="69">
        <v>1000.0</v>
      </c>
      <c r="G1795" s="69">
        <v>25.75</v>
      </c>
      <c r="H1795" s="68">
        <f t="shared" si="1"/>
        <v>35.95</v>
      </c>
      <c r="I1795" s="81">
        <f>IFERROR(__xludf.DUMMYFUNCTION("IF(G1795="""", """", ROUND(G1795 / MAX(FILTER($G$2:$G5067, $D$2:$D5067=$D1795)) * 100, 2))"),63.56)</f>
        <v>63.56</v>
      </c>
      <c r="J1795" s="81">
        <f>IFERROR(__xludf.DUMMYFUNCTION("IF(H1795="""", """", ROUND(H1795 / MAX(FILTER($H$2:$H5067, $D$2:$D5067=$D1795)) * 100, 2))"),7.18)</f>
        <v>7.18</v>
      </c>
      <c r="K1795" s="2"/>
      <c r="L1795" s="48"/>
      <c r="M1795" s="48"/>
      <c r="N1795" s="48"/>
      <c r="O1795" s="48" t="str">
        <f t="shared" si="2"/>
        <v/>
      </c>
      <c r="P1795" s="48" t="str">
        <f t="shared" si="3"/>
        <v/>
      </c>
      <c r="Q1795" s="84"/>
      <c r="R1795" s="84"/>
      <c r="S1795" s="84"/>
      <c r="T1795" s="84"/>
      <c r="U1795" s="84"/>
      <c r="V1795" s="84"/>
      <c r="W1795" s="84"/>
      <c r="X1795" s="84"/>
      <c r="Y1795" s="84"/>
      <c r="Z1795" s="84"/>
      <c r="AA1795" s="84"/>
      <c r="AB1795" s="84"/>
    </row>
    <row r="1796">
      <c r="A1796" s="63">
        <v>121.0</v>
      </c>
      <c r="B1796" s="63">
        <v>186.0</v>
      </c>
      <c r="C1796" s="64" t="s">
        <v>411</v>
      </c>
      <c r="D1796" s="64" t="s">
        <v>412</v>
      </c>
      <c r="E1796" s="64" t="s">
        <v>413</v>
      </c>
      <c r="F1796" s="63">
        <v>1500.0</v>
      </c>
      <c r="G1796" s="63">
        <v>27.75</v>
      </c>
      <c r="H1796" s="66">
        <f t="shared" si="1"/>
        <v>58.12</v>
      </c>
      <c r="I1796" s="81">
        <f>IFERROR(__xludf.DUMMYFUNCTION("IF(G1796="""", """", ROUND(G1796 / MAX(FILTER($G$2:$G5067, $D$2:$D5067=$D1796)) * 100, 2))"),68.5)</f>
        <v>68.5</v>
      </c>
      <c r="J1796" s="81">
        <f>IFERROR(__xludf.DUMMYFUNCTION("IF(H1796="""", """", ROUND(H1796 / MAX(FILTER($H$2:$H5067, $D$2:$D5067=$D1796)) * 100, 2))"),11.6)</f>
        <v>11.6</v>
      </c>
      <c r="K1796" s="2"/>
      <c r="L1796" s="49"/>
      <c r="M1796" s="49"/>
      <c r="N1796" s="49"/>
      <c r="O1796" s="49" t="str">
        <f t="shared" si="2"/>
        <v/>
      </c>
      <c r="P1796" s="49" t="str">
        <f t="shared" si="3"/>
        <v/>
      </c>
      <c r="Q1796" s="84"/>
      <c r="R1796" s="84"/>
      <c r="S1796" s="84"/>
      <c r="T1796" s="84"/>
      <c r="U1796" s="84"/>
      <c r="V1796" s="84"/>
      <c r="W1796" s="84"/>
      <c r="X1796" s="84"/>
      <c r="Y1796" s="84"/>
      <c r="Z1796" s="84"/>
      <c r="AA1796" s="84"/>
      <c r="AB1796" s="84"/>
    </row>
    <row r="1797">
      <c r="A1797" s="69">
        <v>121.0</v>
      </c>
      <c r="B1797" s="69">
        <v>186.0</v>
      </c>
      <c r="C1797" s="86" t="s">
        <v>411</v>
      </c>
      <c r="D1797" s="86" t="s">
        <v>412</v>
      </c>
      <c r="E1797" s="86" t="s">
        <v>413</v>
      </c>
      <c r="F1797" s="69">
        <v>2000.0</v>
      </c>
      <c r="G1797" s="69">
        <v>29.38</v>
      </c>
      <c r="H1797" s="68">
        <f t="shared" si="1"/>
        <v>82.04</v>
      </c>
      <c r="I1797" s="81">
        <f>IFERROR(__xludf.DUMMYFUNCTION("IF(G1797="""", """", ROUND(G1797 / MAX(FILTER($G$2:$G5067, $D$2:$D5067=$D1797)) * 100, 2))"),72.53)</f>
        <v>72.53</v>
      </c>
      <c r="J1797" s="81">
        <f>IFERROR(__xludf.DUMMYFUNCTION("IF(H1797="""", """", ROUND(H1797 / MAX(FILTER($H$2:$H5067, $D$2:$D5067=$D1797)) * 100, 2))"),16.38)</f>
        <v>16.38</v>
      </c>
      <c r="K1797" s="2"/>
      <c r="L1797" s="48"/>
      <c r="M1797" s="48"/>
      <c r="N1797" s="48"/>
      <c r="O1797" s="48" t="str">
        <f t="shared" si="2"/>
        <v/>
      </c>
      <c r="P1797" s="48" t="str">
        <f t="shared" si="3"/>
        <v/>
      </c>
      <c r="Q1797" s="84"/>
      <c r="R1797" s="84"/>
      <c r="S1797" s="84"/>
      <c r="T1797" s="84"/>
      <c r="U1797" s="84"/>
      <c r="V1797" s="84"/>
      <c r="W1797" s="84"/>
      <c r="X1797" s="84"/>
      <c r="Y1797" s="84"/>
      <c r="Z1797" s="84"/>
      <c r="AA1797" s="84"/>
      <c r="AB1797" s="84"/>
    </row>
    <row r="1798">
      <c r="A1798" s="63">
        <v>121.0</v>
      </c>
      <c r="B1798" s="63">
        <v>186.0</v>
      </c>
      <c r="C1798" s="64" t="s">
        <v>411</v>
      </c>
      <c r="D1798" s="64" t="s">
        <v>412</v>
      </c>
      <c r="E1798" s="64" t="s">
        <v>413</v>
      </c>
      <c r="F1798" s="63">
        <v>2500.0</v>
      </c>
      <c r="G1798" s="63">
        <v>30.5</v>
      </c>
      <c r="H1798" s="66">
        <f t="shared" si="1"/>
        <v>106.46</v>
      </c>
      <c r="I1798" s="81">
        <f>IFERROR(__xludf.DUMMYFUNCTION("IF(G1798="""", """", ROUND(G1798 / MAX(FILTER($G$2:$G5067, $D$2:$D5067=$D1798)) * 100, 2))"),75.29)</f>
        <v>75.29</v>
      </c>
      <c r="J1798" s="81">
        <f>IFERROR(__xludf.DUMMYFUNCTION("IF(H1798="""", """", ROUND(H1798 / MAX(FILTER($H$2:$H5067, $D$2:$D5067=$D1798)) * 100, 2))"),21.26)</f>
        <v>21.26</v>
      </c>
      <c r="K1798" s="2"/>
      <c r="L1798" s="49"/>
      <c r="M1798" s="49"/>
      <c r="N1798" s="49"/>
      <c r="O1798" s="49" t="str">
        <f t="shared" si="2"/>
        <v/>
      </c>
      <c r="P1798" s="49" t="str">
        <f t="shared" si="3"/>
        <v/>
      </c>
      <c r="Q1798" s="84"/>
      <c r="R1798" s="84"/>
      <c r="S1798" s="84"/>
      <c r="T1798" s="84"/>
      <c r="U1798" s="84"/>
      <c r="V1798" s="84"/>
      <c r="W1798" s="84"/>
      <c r="X1798" s="84"/>
      <c r="Y1798" s="84"/>
      <c r="Z1798" s="84"/>
      <c r="AA1798" s="84"/>
      <c r="AB1798" s="84"/>
    </row>
    <row r="1799">
      <c r="A1799" s="69">
        <v>121.0</v>
      </c>
      <c r="B1799" s="69">
        <v>186.0</v>
      </c>
      <c r="C1799" s="86" t="s">
        <v>411</v>
      </c>
      <c r="D1799" s="86" t="s">
        <v>412</v>
      </c>
      <c r="E1799" s="86" t="s">
        <v>413</v>
      </c>
      <c r="F1799" s="69">
        <v>3000.0</v>
      </c>
      <c r="G1799" s="69">
        <v>31.25</v>
      </c>
      <c r="H1799" s="68">
        <f t="shared" si="1"/>
        <v>130.9</v>
      </c>
      <c r="I1799" s="81">
        <f>IFERROR(__xludf.DUMMYFUNCTION("IF(G1799="""", """", ROUND(G1799 / MAX(FILTER($G$2:$G5067, $D$2:$D5067=$D1799)) * 100, 2))"),77.14)</f>
        <v>77.14</v>
      </c>
      <c r="J1799" s="81">
        <f>IFERROR(__xludf.DUMMYFUNCTION("IF(H1799="""", """", ROUND(H1799 / MAX(FILTER($H$2:$H5067, $D$2:$D5067=$D1799)) * 100, 2))"),26.13)</f>
        <v>26.13</v>
      </c>
      <c r="K1799" s="2"/>
      <c r="L1799" s="48"/>
      <c r="M1799" s="48"/>
      <c r="N1799" s="48"/>
      <c r="O1799" s="48" t="str">
        <f t="shared" si="2"/>
        <v/>
      </c>
      <c r="P1799" s="48" t="str">
        <f t="shared" si="3"/>
        <v/>
      </c>
      <c r="Q1799" s="84"/>
      <c r="R1799" s="84"/>
      <c r="S1799" s="84"/>
      <c r="T1799" s="84"/>
      <c r="U1799" s="84"/>
      <c r="V1799" s="84"/>
      <c r="W1799" s="84"/>
      <c r="X1799" s="84"/>
      <c r="Y1799" s="84"/>
      <c r="Z1799" s="84"/>
      <c r="AA1799" s="84"/>
      <c r="AB1799" s="84"/>
    </row>
    <row r="1800">
      <c r="A1800" s="63">
        <v>121.0</v>
      </c>
      <c r="B1800" s="63">
        <v>186.0</v>
      </c>
      <c r="C1800" s="64" t="s">
        <v>411</v>
      </c>
      <c r="D1800" s="64" t="s">
        <v>412</v>
      </c>
      <c r="E1800" s="64" t="s">
        <v>413</v>
      </c>
      <c r="F1800" s="63">
        <v>3500.0</v>
      </c>
      <c r="G1800" s="63">
        <v>31.88</v>
      </c>
      <c r="H1800" s="66">
        <f t="shared" si="1"/>
        <v>155.79</v>
      </c>
      <c r="I1800" s="81">
        <f>IFERROR(__xludf.DUMMYFUNCTION("IF(G1800="""", """", ROUND(G1800 / MAX(FILTER($G$2:$G5067, $D$2:$D5067=$D1800)) * 100, 2))"),78.7)</f>
        <v>78.7</v>
      </c>
      <c r="J1800" s="81">
        <f>IFERROR(__xludf.DUMMYFUNCTION("IF(H1800="""", """", ROUND(H1800 / MAX(FILTER($H$2:$H5067, $D$2:$D5067=$D1800)) * 100, 2))"),31.1)</f>
        <v>31.1</v>
      </c>
      <c r="K1800" s="2"/>
      <c r="L1800" s="49"/>
      <c r="M1800" s="49"/>
      <c r="N1800" s="49"/>
      <c r="O1800" s="49" t="str">
        <f t="shared" si="2"/>
        <v/>
      </c>
      <c r="P1800" s="49" t="str">
        <f t="shared" si="3"/>
        <v/>
      </c>
      <c r="Q1800" s="84"/>
      <c r="R1800" s="84"/>
      <c r="S1800" s="84"/>
      <c r="T1800" s="84"/>
      <c r="U1800" s="84"/>
      <c r="V1800" s="84"/>
      <c r="W1800" s="84"/>
      <c r="X1800" s="84"/>
      <c r="Y1800" s="84"/>
      <c r="Z1800" s="84"/>
      <c r="AA1800" s="84"/>
      <c r="AB1800" s="84"/>
    </row>
    <row r="1801">
      <c r="A1801" s="69">
        <v>121.0</v>
      </c>
      <c r="B1801" s="69">
        <v>186.0</v>
      </c>
      <c r="C1801" s="86" t="s">
        <v>411</v>
      </c>
      <c r="D1801" s="86" t="s">
        <v>412</v>
      </c>
      <c r="E1801" s="86" t="s">
        <v>413</v>
      </c>
      <c r="F1801" s="69">
        <v>4000.0</v>
      </c>
      <c r="G1801" s="69">
        <v>32.38</v>
      </c>
      <c r="H1801" s="68">
        <f t="shared" si="1"/>
        <v>180.84</v>
      </c>
      <c r="I1801" s="81">
        <f>IFERROR(__xludf.DUMMYFUNCTION("IF(G1801="""", """", ROUND(G1801 / MAX(FILTER($G$2:$G5067, $D$2:$D5067=$D1801)) * 100, 2))"),79.93)</f>
        <v>79.93</v>
      </c>
      <c r="J1801" s="81">
        <f>IFERROR(__xludf.DUMMYFUNCTION("IF(H1801="""", """", ROUND(H1801 / MAX(FILTER($H$2:$H5067, $D$2:$D5067=$D1801)) * 100, 2))"),36.11)</f>
        <v>36.11</v>
      </c>
      <c r="K1801" s="2"/>
      <c r="L1801" s="48"/>
      <c r="M1801" s="48"/>
      <c r="N1801" s="48"/>
      <c r="O1801" s="48" t="str">
        <f t="shared" si="2"/>
        <v/>
      </c>
      <c r="P1801" s="48" t="str">
        <f t="shared" si="3"/>
        <v/>
      </c>
      <c r="Q1801" s="84"/>
      <c r="R1801" s="84"/>
      <c r="S1801" s="84"/>
      <c r="T1801" s="84"/>
      <c r="U1801" s="84"/>
      <c r="V1801" s="84"/>
      <c r="W1801" s="84"/>
      <c r="X1801" s="84"/>
      <c r="Y1801" s="84"/>
      <c r="Z1801" s="84"/>
      <c r="AA1801" s="84"/>
      <c r="AB1801" s="84"/>
    </row>
    <row r="1802">
      <c r="A1802" s="63">
        <v>121.0</v>
      </c>
      <c r="B1802" s="63">
        <v>186.0</v>
      </c>
      <c r="C1802" s="64" t="s">
        <v>411</v>
      </c>
      <c r="D1802" s="64" t="s">
        <v>412</v>
      </c>
      <c r="E1802" s="64" t="s">
        <v>413</v>
      </c>
      <c r="F1802" s="63">
        <v>4500.0</v>
      </c>
      <c r="G1802" s="63">
        <v>34.01</v>
      </c>
      <c r="H1802" s="66">
        <f t="shared" si="1"/>
        <v>213.69</v>
      </c>
      <c r="I1802" s="81">
        <f>IFERROR(__xludf.DUMMYFUNCTION("IF(G1802="""", """", ROUND(G1802 / MAX(FILTER($G$2:$G5067, $D$2:$D5067=$D1802)) * 100, 2))"),83.95)</f>
        <v>83.95</v>
      </c>
      <c r="J1802" s="81">
        <f>IFERROR(__xludf.DUMMYFUNCTION("IF(H1802="""", """", ROUND(H1802 / MAX(FILTER($H$2:$H5067, $D$2:$D5067=$D1802)) * 100, 2))"),42.66)</f>
        <v>42.66</v>
      </c>
      <c r="K1802" s="2"/>
      <c r="L1802" s="49"/>
      <c r="M1802" s="49"/>
      <c r="N1802" s="49"/>
      <c r="O1802" s="49" t="str">
        <f t="shared" si="2"/>
        <v/>
      </c>
      <c r="P1802" s="49" t="str">
        <f t="shared" si="3"/>
        <v/>
      </c>
      <c r="Q1802" s="84"/>
      <c r="R1802" s="84"/>
      <c r="S1802" s="84"/>
      <c r="T1802" s="84"/>
      <c r="U1802" s="84"/>
      <c r="V1802" s="84"/>
      <c r="W1802" s="84"/>
      <c r="X1802" s="84"/>
      <c r="Y1802" s="84"/>
      <c r="Z1802" s="84"/>
      <c r="AA1802" s="84"/>
      <c r="AB1802" s="84"/>
    </row>
    <row r="1803">
      <c r="A1803" s="69">
        <v>121.0</v>
      </c>
      <c r="B1803" s="69">
        <v>186.0</v>
      </c>
      <c r="C1803" s="86" t="s">
        <v>411</v>
      </c>
      <c r="D1803" s="86" t="s">
        <v>412</v>
      </c>
      <c r="E1803" s="86" t="s">
        <v>413</v>
      </c>
      <c r="F1803" s="69">
        <v>5000.0</v>
      </c>
      <c r="G1803" s="69">
        <v>36.01</v>
      </c>
      <c r="H1803" s="68">
        <f t="shared" si="1"/>
        <v>251.4</v>
      </c>
      <c r="I1803" s="81">
        <f>IFERROR(__xludf.DUMMYFUNCTION("IF(G1803="""", """", ROUND(G1803 / MAX(FILTER($G$2:$G5067, $D$2:$D5067=$D1803)) * 100, 2))"),88.89)</f>
        <v>88.89</v>
      </c>
      <c r="J1803" s="81">
        <f>IFERROR(__xludf.DUMMYFUNCTION("IF(H1803="""", """", ROUND(H1803 / MAX(FILTER($H$2:$H5067, $D$2:$D5067=$D1803)) * 100, 2))"),50.19)</f>
        <v>50.19</v>
      </c>
      <c r="K1803" s="2"/>
      <c r="L1803" s="48"/>
      <c r="M1803" s="48"/>
      <c r="N1803" s="48"/>
      <c r="O1803" s="48" t="str">
        <f t="shared" si="2"/>
        <v/>
      </c>
      <c r="P1803" s="48" t="str">
        <f t="shared" si="3"/>
        <v/>
      </c>
      <c r="Q1803" s="84"/>
      <c r="R1803" s="84"/>
      <c r="S1803" s="84"/>
      <c r="T1803" s="84"/>
      <c r="U1803" s="84"/>
      <c r="V1803" s="84"/>
      <c r="W1803" s="84"/>
      <c r="X1803" s="84"/>
      <c r="Y1803" s="84"/>
      <c r="Z1803" s="84"/>
      <c r="AA1803" s="84"/>
      <c r="AB1803" s="84"/>
    </row>
    <row r="1804">
      <c r="A1804" s="63">
        <v>121.0</v>
      </c>
      <c r="B1804" s="63">
        <v>186.0</v>
      </c>
      <c r="C1804" s="64" t="s">
        <v>411</v>
      </c>
      <c r="D1804" s="64" t="s">
        <v>412</v>
      </c>
      <c r="E1804" s="64" t="s">
        <v>413</v>
      </c>
      <c r="F1804" s="63">
        <v>5500.0</v>
      </c>
      <c r="G1804" s="63">
        <v>38.26</v>
      </c>
      <c r="H1804" s="66">
        <f t="shared" si="1"/>
        <v>293.81</v>
      </c>
      <c r="I1804" s="81">
        <f>IFERROR(__xludf.DUMMYFUNCTION("IF(G1804="""", """", ROUND(G1804 / MAX(FILTER($G$2:$G5067, $D$2:$D5067=$D1804)) * 100, 2))"),94.45)</f>
        <v>94.45</v>
      </c>
      <c r="J1804" s="81">
        <f>IFERROR(__xludf.DUMMYFUNCTION("IF(H1804="""", """", ROUND(H1804 / MAX(FILTER($H$2:$H5067, $D$2:$D5067=$D1804)) * 100, 2))"),58.66)</f>
        <v>58.66</v>
      </c>
      <c r="K1804" s="2"/>
      <c r="L1804" s="49"/>
      <c r="M1804" s="49"/>
      <c r="N1804" s="49"/>
      <c r="O1804" s="49" t="str">
        <f t="shared" si="2"/>
        <v/>
      </c>
      <c r="P1804" s="49" t="str">
        <f t="shared" si="3"/>
        <v/>
      </c>
      <c r="Q1804" s="84"/>
      <c r="R1804" s="84"/>
      <c r="S1804" s="84"/>
      <c r="T1804" s="84"/>
      <c r="U1804" s="84"/>
      <c r="V1804" s="84"/>
      <c r="W1804" s="84"/>
      <c r="X1804" s="84"/>
      <c r="Y1804" s="84"/>
      <c r="Z1804" s="84"/>
      <c r="AA1804" s="84"/>
      <c r="AB1804" s="84"/>
    </row>
    <row r="1805">
      <c r="A1805" s="69">
        <v>121.0</v>
      </c>
      <c r="B1805" s="69">
        <v>186.0</v>
      </c>
      <c r="C1805" s="86" t="s">
        <v>411</v>
      </c>
      <c r="D1805" s="86" t="s">
        <v>412</v>
      </c>
      <c r="E1805" s="86" t="s">
        <v>413</v>
      </c>
      <c r="F1805" s="69">
        <v>6000.0</v>
      </c>
      <c r="G1805" s="69">
        <v>39.13</v>
      </c>
      <c r="H1805" s="68">
        <f t="shared" si="1"/>
        <v>327.81</v>
      </c>
      <c r="I1805" s="81">
        <f>IFERROR(__xludf.DUMMYFUNCTION("IF(G1805="""", """", ROUND(G1805 / MAX(FILTER($G$2:$G5067, $D$2:$D5067=$D1805)) * 100, 2))"),96.59)</f>
        <v>96.59</v>
      </c>
      <c r="J1805" s="81">
        <f>IFERROR(__xludf.DUMMYFUNCTION("IF(H1805="""", """", ROUND(H1805 / MAX(FILTER($H$2:$H5067, $D$2:$D5067=$D1805)) * 100, 2))"),65.45)</f>
        <v>65.45</v>
      </c>
      <c r="K1805" s="2"/>
      <c r="L1805" s="48"/>
      <c r="M1805" s="48"/>
      <c r="N1805" s="48"/>
      <c r="O1805" s="48" t="str">
        <f t="shared" si="2"/>
        <v/>
      </c>
      <c r="P1805" s="48" t="str">
        <f t="shared" si="3"/>
        <v/>
      </c>
      <c r="Q1805" s="84"/>
      <c r="R1805" s="84"/>
      <c r="S1805" s="84"/>
      <c r="T1805" s="84"/>
      <c r="U1805" s="84"/>
      <c r="V1805" s="84"/>
      <c r="W1805" s="84"/>
      <c r="X1805" s="84"/>
      <c r="Y1805" s="84"/>
      <c r="Z1805" s="84"/>
      <c r="AA1805" s="84"/>
      <c r="AB1805" s="84"/>
    </row>
    <row r="1806">
      <c r="A1806" s="63">
        <v>121.0</v>
      </c>
      <c r="B1806" s="63">
        <v>186.0</v>
      </c>
      <c r="C1806" s="64" t="s">
        <v>411</v>
      </c>
      <c r="D1806" s="64" t="s">
        <v>412</v>
      </c>
      <c r="E1806" s="64" t="s">
        <v>413</v>
      </c>
      <c r="F1806" s="63">
        <v>6500.0</v>
      </c>
      <c r="G1806" s="63">
        <v>39.63</v>
      </c>
      <c r="H1806" s="66">
        <f t="shared" si="1"/>
        <v>359.67</v>
      </c>
      <c r="I1806" s="81">
        <f>IFERROR(__xludf.DUMMYFUNCTION("IF(G1806="""", """", ROUND(G1806 / MAX(FILTER($G$2:$G5067, $D$2:$D5067=$D1806)) * 100, 2))"),97.83)</f>
        <v>97.83</v>
      </c>
      <c r="J1806" s="81">
        <f>IFERROR(__xludf.DUMMYFUNCTION("IF(H1806="""", """", ROUND(H1806 / MAX(FILTER($H$2:$H5067, $D$2:$D5067=$D1806)) * 100, 2))"),71.81)</f>
        <v>71.81</v>
      </c>
      <c r="K1806" s="2"/>
      <c r="L1806" s="49"/>
      <c r="M1806" s="49"/>
      <c r="N1806" s="49"/>
      <c r="O1806" s="49" t="str">
        <f t="shared" si="2"/>
        <v/>
      </c>
      <c r="P1806" s="49" t="str">
        <f t="shared" si="3"/>
        <v/>
      </c>
      <c r="Q1806" s="84"/>
      <c r="R1806" s="84"/>
      <c r="S1806" s="84"/>
      <c r="T1806" s="84"/>
      <c r="U1806" s="84"/>
      <c r="V1806" s="84"/>
      <c r="W1806" s="84"/>
      <c r="X1806" s="84"/>
      <c r="Y1806" s="84"/>
      <c r="Z1806" s="84"/>
      <c r="AA1806" s="84"/>
      <c r="AB1806" s="84"/>
    </row>
    <row r="1807">
      <c r="A1807" s="69">
        <v>121.0</v>
      </c>
      <c r="B1807" s="69">
        <v>186.0</v>
      </c>
      <c r="C1807" s="86" t="s">
        <v>411</v>
      </c>
      <c r="D1807" s="86" t="s">
        <v>412</v>
      </c>
      <c r="E1807" s="86" t="s">
        <v>413</v>
      </c>
      <c r="F1807" s="69">
        <v>7000.0</v>
      </c>
      <c r="G1807" s="69">
        <v>40.01</v>
      </c>
      <c r="H1807" s="68">
        <f t="shared" si="1"/>
        <v>391.05</v>
      </c>
      <c r="I1807" s="81">
        <f>IFERROR(__xludf.DUMMYFUNCTION("IF(G1807="""", """", ROUND(G1807 / MAX(FILTER($G$2:$G5067, $D$2:$D5067=$D1807)) * 100, 2))"),98.77)</f>
        <v>98.77</v>
      </c>
      <c r="J1807" s="81">
        <f>IFERROR(__xludf.DUMMYFUNCTION("IF(H1807="""", """", ROUND(H1807 / MAX(FILTER($H$2:$H5067, $D$2:$D5067=$D1807)) * 100, 2))"),78.07)</f>
        <v>78.07</v>
      </c>
      <c r="K1807" s="2"/>
      <c r="L1807" s="48"/>
      <c r="M1807" s="48"/>
      <c r="N1807" s="48"/>
      <c r="O1807" s="48" t="str">
        <f t="shared" si="2"/>
        <v/>
      </c>
      <c r="P1807" s="48" t="str">
        <f t="shared" si="3"/>
        <v/>
      </c>
      <c r="Q1807" s="84"/>
      <c r="R1807" s="84"/>
      <c r="S1807" s="84"/>
      <c r="T1807" s="84"/>
      <c r="U1807" s="84"/>
      <c r="V1807" s="84"/>
      <c r="W1807" s="84"/>
      <c r="X1807" s="84"/>
      <c r="Y1807" s="84"/>
      <c r="Z1807" s="84"/>
      <c r="AA1807" s="84"/>
      <c r="AB1807" s="84"/>
    </row>
    <row r="1808">
      <c r="A1808" s="63">
        <v>121.0</v>
      </c>
      <c r="B1808" s="63">
        <v>186.0</v>
      </c>
      <c r="C1808" s="64" t="s">
        <v>411</v>
      </c>
      <c r="D1808" s="64" t="s">
        <v>412</v>
      </c>
      <c r="E1808" s="64" t="s">
        <v>413</v>
      </c>
      <c r="F1808" s="63">
        <v>7500.0</v>
      </c>
      <c r="G1808" s="63">
        <v>40.51</v>
      </c>
      <c r="H1808" s="66">
        <f t="shared" si="1"/>
        <v>424.22</v>
      </c>
      <c r="I1808" s="81">
        <f>IFERROR(__xludf.DUMMYFUNCTION("IF(G1808="""", """", ROUND(G1808 / MAX(FILTER($G$2:$G5067, $D$2:$D5067=$D1808)) * 100, 2))"),100.0)</f>
        <v>100</v>
      </c>
      <c r="J1808" s="81">
        <f>IFERROR(__xludf.DUMMYFUNCTION("IF(H1808="""", """", ROUND(H1808 / MAX(FILTER($H$2:$H5067, $D$2:$D5067=$D1808)) * 100, 2))"),84.7)</f>
        <v>84.7</v>
      </c>
      <c r="K1808" s="2"/>
      <c r="L1808" s="49"/>
      <c r="M1808" s="49"/>
      <c r="N1808" s="49"/>
      <c r="O1808" s="49" t="str">
        <f t="shared" si="2"/>
        <v/>
      </c>
      <c r="P1808" s="49" t="str">
        <f t="shared" si="3"/>
        <v/>
      </c>
      <c r="Q1808" s="84"/>
      <c r="R1808" s="84"/>
      <c r="S1808" s="84"/>
      <c r="T1808" s="84"/>
      <c r="U1808" s="84"/>
      <c r="V1808" s="84"/>
      <c r="W1808" s="84"/>
      <c r="X1808" s="84"/>
      <c r="Y1808" s="84"/>
      <c r="Z1808" s="84"/>
      <c r="AA1808" s="84"/>
      <c r="AB1808" s="84"/>
    </row>
    <row r="1809">
      <c r="A1809" s="69">
        <v>121.0</v>
      </c>
      <c r="B1809" s="69">
        <v>186.0</v>
      </c>
      <c r="C1809" s="86" t="s">
        <v>411</v>
      </c>
      <c r="D1809" s="86" t="s">
        <v>412</v>
      </c>
      <c r="E1809" s="86" t="s">
        <v>413</v>
      </c>
      <c r="F1809" s="69">
        <v>8000.0</v>
      </c>
      <c r="G1809" s="69">
        <v>40.5</v>
      </c>
      <c r="H1809" s="68">
        <f t="shared" si="1"/>
        <v>452.39</v>
      </c>
      <c r="I1809" s="81">
        <f>IFERROR(__xludf.DUMMYFUNCTION("IF(G1809="""", """", ROUND(G1809 / MAX(FILTER($G$2:$G5067, $D$2:$D5067=$D1809)) * 100, 2))"),99.98)</f>
        <v>99.98</v>
      </c>
      <c r="J1809" s="81">
        <f>IFERROR(__xludf.DUMMYFUNCTION("IF(H1809="""", """", ROUND(H1809 / MAX(FILTER($H$2:$H5067, $D$2:$D5067=$D1809)) * 100, 2))"),90.32)</f>
        <v>90.32</v>
      </c>
      <c r="K1809" s="2"/>
      <c r="L1809" s="48"/>
      <c r="M1809" s="48"/>
      <c r="N1809" s="48"/>
      <c r="O1809" s="48" t="str">
        <f t="shared" si="2"/>
        <v/>
      </c>
      <c r="P1809" s="48" t="str">
        <f t="shared" si="3"/>
        <v/>
      </c>
      <c r="Q1809" s="84"/>
      <c r="R1809" s="84"/>
      <c r="S1809" s="84"/>
      <c r="T1809" s="84"/>
      <c r="U1809" s="84"/>
      <c r="V1809" s="84"/>
      <c r="W1809" s="84"/>
      <c r="X1809" s="84"/>
      <c r="Y1809" s="84"/>
      <c r="Z1809" s="84"/>
      <c r="AA1809" s="84"/>
      <c r="AB1809" s="84"/>
    </row>
    <row r="1810">
      <c r="A1810" s="63">
        <v>121.0</v>
      </c>
      <c r="B1810" s="63">
        <v>186.0</v>
      </c>
      <c r="C1810" s="64" t="s">
        <v>411</v>
      </c>
      <c r="D1810" s="64" t="s">
        <v>412</v>
      </c>
      <c r="E1810" s="64" t="s">
        <v>413</v>
      </c>
      <c r="F1810" s="63">
        <v>8500.0</v>
      </c>
      <c r="G1810" s="63">
        <v>40.25</v>
      </c>
      <c r="H1810" s="66">
        <f t="shared" si="1"/>
        <v>477.69</v>
      </c>
      <c r="I1810" s="81">
        <f>IFERROR(__xludf.DUMMYFUNCTION("IF(G1810="""", """", ROUND(G1810 / MAX(FILTER($G$2:$G5067, $D$2:$D5067=$D1810)) * 100, 2))"),99.36)</f>
        <v>99.36</v>
      </c>
      <c r="J1810" s="81">
        <f>IFERROR(__xludf.DUMMYFUNCTION("IF(H1810="""", """", ROUND(H1810 / MAX(FILTER($H$2:$H5067, $D$2:$D5067=$D1810)) * 100, 2))"),95.37)</f>
        <v>95.37</v>
      </c>
      <c r="K1810" s="2"/>
      <c r="L1810" s="49"/>
      <c r="M1810" s="49"/>
      <c r="N1810" s="49"/>
      <c r="O1810" s="49" t="str">
        <f t="shared" si="2"/>
        <v/>
      </c>
      <c r="P1810" s="49" t="str">
        <f t="shared" si="3"/>
        <v/>
      </c>
      <c r="Q1810" s="84"/>
      <c r="R1810" s="84"/>
      <c r="S1810" s="84"/>
      <c r="T1810" s="84"/>
      <c r="U1810" s="84"/>
      <c r="V1810" s="84"/>
      <c r="W1810" s="84"/>
      <c r="X1810" s="84"/>
      <c r="Y1810" s="84"/>
      <c r="Z1810" s="84"/>
      <c r="AA1810" s="84"/>
      <c r="AB1810" s="84"/>
    </row>
    <row r="1811">
      <c r="A1811" s="69">
        <v>121.0</v>
      </c>
      <c r="B1811" s="69">
        <v>186.0</v>
      </c>
      <c r="C1811" s="86" t="s">
        <v>411</v>
      </c>
      <c r="D1811" s="86" t="s">
        <v>412</v>
      </c>
      <c r="E1811" s="86" t="s">
        <v>413</v>
      </c>
      <c r="F1811" s="69">
        <v>9000.0</v>
      </c>
      <c r="G1811" s="69">
        <v>39.51</v>
      </c>
      <c r="H1811" s="68">
        <f t="shared" si="1"/>
        <v>496.5</v>
      </c>
      <c r="I1811" s="81">
        <f>IFERROR(__xludf.DUMMYFUNCTION("IF(G1811="""", """", ROUND(G1811 / MAX(FILTER($G$2:$G5067, $D$2:$D5067=$D1811)) * 100, 2))"),97.53)</f>
        <v>97.53</v>
      </c>
      <c r="J1811" s="81">
        <f>IFERROR(__xludf.DUMMYFUNCTION("IF(H1811="""", """", ROUND(H1811 / MAX(FILTER($H$2:$H5067, $D$2:$D5067=$D1811)) * 100, 2))"),99.13)</f>
        <v>99.13</v>
      </c>
      <c r="K1811" s="2"/>
      <c r="L1811" s="48"/>
      <c r="M1811" s="48"/>
      <c r="N1811" s="48"/>
      <c r="O1811" s="48" t="str">
        <f t="shared" si="2"/>
        <v/>
      </c>
      <c r="P1811" s="48" t="str">
        <f t="shared" si="3"/>
        <v/>
      </c>
      <c r="Q1811" s="84"/>
      <c r="R1811" s="84"/>
      <c r="S1811" s="84"/>
      <c r="T1811" s="84"/>
      <c r="U1811" s="84"/>
      <c r="V1811" s="84"/>
      <c r="W1811" s="84"/>
      <c r="X1811" s="84"/>
      <c r="Y1811" s="84"/>
      <c r="Z1811" s="84"/>
      <c r="AA1811" s="84"/>
      <c r="AB1811" s="84"/>
    </row>
    <row r="1812">
      <c r="A1812" s="63">
        <v>121.0</v>
      </c>
      <c r="B1812" s="63">
        <v>186.0</v>
      </c>
      <c r="C1812" s="64" t="s">
        <v>411</v>
      </c>
      <c r="D1812" s="64" t="s">
        <v>412</v>
      </c>
      <c r="E1812" s="64" t="s">
        <v>413</v>
      </c>
      <c r="F1812" s="63">
        <v>9500.0</v>
      </c>
      <c r="G1812" s="63">
        <v>37.76</v>
      </c>
      <c r="H1812" s="66">
        <f t="shared" si="1"/>
        <v>500.87</v>
      </c>
      <c r="I1812" s="81">
        <f>IFERROR(__xludf.DUMMYFUNCTION("IF(G1812="""", """", ROUND(G1812 / MAX(FILTER($G$2:$G5067, $D$2:$D5067=$D1812)) * 100, 2))"),93.21)</f>
        <v>93.21</v>
      </c>
      <c r="J1812" s="81">
        <f>IFERROR(__xludf.DUMMYFUNCTION("IF(H1812="""", """", ROUND(H1812 / MAX(FILTER($H$2:$H5067, $D$2:$D5067=$D1812)) * 100, 2))"),100.0)</f>
        <v>100</v>
      </c>
      <c r="K1812" s="2"/>
      <c r="L1812" s="49"/>
      <c r="M1812" s="49"/>
      <c r="N1812" s="49"/>
      <c r="O1812" s="49" t="str">
        <f t="shared" si="2"/>
        <v/>
      </c>
      <c r="P1812" s="49" t="str">
        <f t="shared" si="3"/>
        <v/>
      </c>
      <c r="Q1812" s="84"/>
      <c r="R1812" s="84"/>
      <c r="S1812" s="84"/>
      <c r="T1812" s="84"/>
      <c r="U1812" s="84"/>
      <c r="V1812" s="84"/>
      <c r="W1812" s="84"/>
      <c r="X1812" s="84"/>
      <c r="Y1812" s="84"/>
      <c r="Z1812" s="84"/>
      <c r="AA1812" s="84"/>
      <c r="AB1812" s="84"/>
    </row>
    <row r="1813">
      <c r="A1813" s="69">
        <v>121.0</v>
      </c>
      <c r="B1813" s="69">
        <v>186.0</v>
      </c>
      <c r="C1813" s="86" t="s">
        <v>411</v>
      </c>
      <c r="D1813" s="86" t="s">
        <v>412</v>
      </c>
      <c r="E1813" s="86" t="s">
        <v>413</v>
      </c>
      <c r="F1813" s="69">
        <v>10000.0</v>
      </c>
      <c r="G1813" s="69">
        <v>35.38</v>
      </c>
      <c r="H1813" s="68">
        <f t="shared" si="1"/>
        <v>494</v>
      </c>
      <c r="I1813" s="81">
        <f>IFERROR(__xludf.DUMMYFUNCTION("IF(G1813="""", """", ROUND(G1813 / MAX(FILTER($G$2:$G5067, $D$2:$D5067=$D1813)) * 100, 2))"),87.34)</f>
        <v>87.34</v>
      </c>
      <c r="J1813" s="81">
        <f>IFERROR(__xludf.DUMMYFUNCTION("IF(H1813="""", """", ROUND(H1813 / MAX(FILTER($H$2:$H5067, $D$2:$D5067=$D1813)) * 100, 2))"),98.63)</f>
        <v>98.63</v>
      </c>
      <c r="K1813" s="2"/>
      <c r="L1813" s="48"/>
      <c r="M1813" s="48"/>
      <c r="N1813" s="48"/>
      <c r="O1813" s="48" t="str">
        <f t="shared" si="2"/>
        <v/>
      </c>
      <c r="P1813" s="48" t="str">
        <f t="shared" si="3"/>
        <v/>
      </c>
      <c r="Q1813" s="84"/>
      <c r="R1813" s="84"/>
      <c r="S1813" s="84"/>
      <c r="T1813" s="84"/>
      <c r="U1813" s="84"/>
      <c r="V1813" s="84"/>
      <c r="W1813" s="84"/>
      <c r="X1813" s="84"/>
      <c r="Y1813" s="84"/>
      <c r="Z1813" s="84"/>
      <c r="AA1813" s="84"/>
      <c r="AB1813" s="84"/>
    </row>
    <row r="1814">
      <c r="A1814" s="63">
        <v>121.0</v>
      </c>
      <c r="B1814" s="63">
        <v>186.0</v>
      </c>
      <c r="C1814" s="64" t="s">
        <v>411</v>
      </c>
      <c r="D1814" s="64" t="s">
        <v>412</v>
      </c>
      <c r="E1814" s="64" t="s">
        <v>413</v>
      </c>
      <c r="F1814" s="63">
        <v>10500.0</v>
      </c>
      <c r="G1814" s="63">
        <v>31.88</v>
      </c>
      <c r="H1814" s="66">
        <f t="shared" si="1"/>
        <v>467.38</v>
      </c>
      <c r="I1814" s="81">
        <f>IFERROR(__xludf.DUMMYFUNCTION("IF(G1814="""", """", ROUND(G1814 / MAX(FILTER($G$2:$G5067, $D$2:$D5067=$D1814)) * 100, 2))"),78.7)</f>
        <v>78.7</v>
      </c>
      <c r="J1814" s="81">
        <f>IFERROR(__xludf.DUMMYFUNCTION("IF(H1814="""", """", ROUND(H1814 / MAX(FILTER($H$2:$H5067, $D$2:$D5067=$D1814)) * 100, 2))"),93.31)</f>
        <v>93.31</v>
      </c>
      <c r="K1814" s="2"/>
      <c r="L1814" s="49"/>
      <c r="M1814" s="49"/>
      <c r="N1814" s="49"/>
      <c r="O1814" s="49" t="str">
        <f t="shared" si="2"/>
        <v/>
      </c>
      <c r="P1814" s="49" t="str">
        <f t="shared" si="3"/>
        <v/>
      </c>
      <c r="Q1814" s="84"/>
      <c r="R1814" s="84"/>
      <c r="S1814" s="84"/>
      <c r="T1814" s="84"/>
      <c r="U1814" s="84"/>
      <c r="V1814" s="84"/>
      <c r="W1814" s="84"/>
      <c r="X1814" s="84"/>
      <c r="Y1814" s="84"/>
      <c r="Z1814" s="84"/>
      <c r="AA1814" s="84"/>
      <c r="AB1814" s="84"/>
    </row>
    <row r="1815">
      <c r="A1815" s="69">
        <v>122.0</v>
      </c>
      <c r="B1815" s="69">
        <v>187.0</v>
      </c>
      <c r="C1815" s="86" t="s">
        <v>414</v>
      </c>
      <c r="D1815" s="86" t="s">
        <v>415</v>
      </c>
      <c r="E1815" s="86" t="s">
        <v>416</v>
      </c>
      <c r="F1815" s="69">
        <v>500.0</v>
      </c>
      <c r="G1815" s="69">
        <v>10.8</v>
      </c>
      <c r="H1815" s="68">
        <f t="shared" si="1"/>
        <v>7.54</v>
      </c>
      <c r="I1815" s="81">
        <f>IFERROR(__xludf.DUMMYFUNCTION("IF(G1815="""", """", ROUND(G1815 / MAX(FILTER($G$2:$G5067, $D$2:$D5067=$D1815)) * 100, 2))"),65.38)</f>
        <v>65.38</v>
      </c>
      <c r="J1815" s="81">
        <f>IFERROR(__xludf.DUMMYFUNCTION("IF(H1815="""", """", ROUND(H1815 / MAX(FILTER($H$2:$H5067, $D$2:$D5067=$D1815)) * 100, 2))"),4.09)</f>
        <v>4.09</v>
      </c>
      <c r="K1815" s="2"/>
      <c r="L1815" s="48"/>
      <c r="M1815" s="48"/>
      <c r="N1815" s="48"/>
      <c r="O1815" s="48" t="str">
        <f t="shared" si="2"/>
        <v/>
      </c>
      <c r="P1815" s="48" t="str">
        <f t="shared" si="3"/>
        <v/>
      </c>
      <c r="Q1815" s="84"/>
      <c r="R1815" s="84"/>
      <c r="S1815" s="84"/>
      <c r="T1815" s="84"/>
      <c r="U1815" s="84"/>
      <c r="V1815" s="84"/>
      <c r="W1815" s="84"/>
      <c r="X1815" s="84"/>
      <c r="Y1815" s="84"/>
      <c r="Z1815" s="84"/>
      <c r="AA1815" s="84"/>
      <c r="AB1815" s="84"/>
    </row>
    <row r="1816">
      <c r="A1816" s="63">
        <v>122.0</v>
      </c>
      <c r="B1816" s="63">
        <v>187.0</v>
      </c>
      <c r="C1816" s="64" t="s">
        <v>414</v>
      </c>
      <c r="D1816" s="64" t="s">
        <v>415</v>
      </c>
      <c r="E1816" s="64" t="s">
        <v>416</v>
      </c>
      <c r="F1816" s="63">
        <v>1000.0</v>
      </c>
      <c r="G1816" s="63">
        <v>12.0</v>
      </c>
      <c r="H1816" s="66">
        <f t="shared" si="1"/>
        <v>16.76</v>
      </c>
      <c r="I1816" s="81">
        <f>IFERROR(__xludf.DUMMYFUNCTION("IF(G1816="""", """", ROUND(G1816 / MAX(FILTER($G$2:$G5067, $D$2:$D5067=$D1816)) * 100, 2))"),72.64)</f>
        <v>72.64</v>
      </c>
      <c r="J1816" s="81">
        <f>IFERROR(__xludf.DUMMYFUNCTION("IF(H1816="""", """", ROUND(H1816 / MAX(FILTER($H$2:$H5067, $D$2:$D5067=$D1816)) * 100, 2))"),9.08)</f>
        <v>9.08</v>
      </c>
      <c r="K1816" s="2"/>
      <c r="L1816" s="49"/>
      <c r="M1816" s="49"/>
      <c r="N1816" s="49"/>
      <c r="O1816" s="49" t="str">
        <f t="shared" si="2"/>
        <v/>
      </c>
      <c r="P1816" s="49" t="str">
        <f t="shared" si="3"/>
        <v/>
      </c>
      <c r="Q1816" s="84"/>
      <c r="R1816" s="84"/>
      <c r="S1816" s="84"/>
      <c r="T1816" s="84"/>
      <c r="U1816" s="84"/>
      <c r="V1816" s="84"/>
      <c r="W1816" s="84"/>
      <c r="X1816" s="84"/>
      <c r="Y1816" s="84"/>
      <c r="Z1816" s="84"/>
      <c r="AA1816" s="84"/>
      <c r="AB1816" s="84"/>
    </row>
    <row r="1817">
      <c r="A1817" s="69">
        <v>122.0</v>
      </c>
      <c r="B1817" s="69">
        <v>187.0</v>
      </c>
      <c r="C1817" s="86" t="s">
        <v>414</v>
      </c>
      <c r="D1817" s="86" t="s">
        <v>415</v>
      </c>
      <c r="E1817" s="86" t="s">
        <v>416</v>
      </c>
      <c r="F1817" s="69">
        <v>1500.0</v>
      </c>
      <c r="G1817" s="69">
        <v>12.6</v>
      </c>
      <c r="H1817" s="68">
        <f t="shared" si="1"/>
        <v>26.39</v>
      </c>
      <c r="I1817" s="81">
        <f>IFERROR(__xludf.DUMMYFUNCTION("IF(G1817="""", """", ROUND(G1817 / MAX(FILTER($G$2:$G5067, $D$2:$D5067=$D1817)) * 100, 2))"),76.27)</f>
        <v>76.27</v>
      </c>
      <c r="J1817" s="81">
        <f>IFERROR(__xludf.DUMMYFUNCTION("IF(H1817="""", """", ROUND(H1817 / MAX(FILTER($H$2:$H5067, $D$2:$D5067=$D1817)) * 100, 2))"),14.3)</f>
        <v>14.3</v>
      </c>
      <c r="K1817" s="2"/>
      <c r="L1817" s="48"/>
      <c r="M1817" s="48"/>
      <c r="N1817" s="48"/>
      <c r="O1817" s="48" t="str">
        <f t="shared" si="2"/>
        <v/>
      </c>
      <c r="P1817" s="48" t="str">
        <f t="shared" si="3"/>
        <v/>
      </c>
      <c r="Q1817" s="84"/>
      <c r="R1817" s="84"/>
      <c r="S1817" s="84"/>
      <c r="T1817" s="84"/>
      <c r="U1817" s="84"/>
      <c r="V1817" s="84"/>
      <c r="W1817" s="84"/>
      <c r="X1817" s="84"/>
      <c r="Y1817" s="84"/>
      <c r="Z1817" s="84"/>
      <c r="AA1817" s="84"/>
      <c r="AB1817" s="84"/>
    </row>
    <row r="1818">
      <c r="A1818" s="63">
        <v>122.0</v>
      </c>
      <c r="B1818" s="63">
        <v>187.0</v>
      </c>
      <c r="C1818" s="64" t="s">
        <v>414</v>
      </c>
      <c r="D1818" s="64" t="s">
        <v>415</v>
      </c>
      <c r="E1818" s="64" t="s">
        <v>416</v>
      </c>
      <c r="F1818" s="63">
        <v>2000.0</v>
      </c>
      <c r="G1818" s="63">
        <v>13.2</v>
      </c>
      <c r="H1818" s="66">
        <f t="shared" si="1"/>
        <v>36.86</v>
      </c>
      <c r="I1818" s="81">
        <f>IFERROR(__xludf.DUMMYFUNCTION("IF(G1818="""", """", ROUND(G1818 / MAX(FILTER($G$2:$G5067, $D$2:$D5067=$D1818)) * 100, 2))"),79.9)</f>
        <v>79.9</v>
      </c>
      <c r="J1818" s="81">
        <f>IFERROR(__xludf.DUMMYFUNCTION("IF(H1818="""", """", ROUND(H1818 / MAX(FILTER($H$2:$H5067, $D$2:$D5067=$D1818)) * 100, 2))"),19.97)</f>
        <v>19.97</v>
      </c>
      <c r="K1818" s="2"/>
      <c r="L1818" s="49"/>
      <c r="M1818" s="49"/>
      <c r="N1818" s="49"/>
      <c r="O1818" s="49" t="str">
        <f t="shared" si="2"/>
        <v/>
      </c>
      <c r="P1818" s="49" t="str">
        <f t="shared" si="3"/>
        <v/>
      </c>
      <c r="Q1818" s="84"/>
      <c r="R1818" s="84"/>
      <c r="S1818" s="84"/>
      <c r="T1818" s="84"/>
      <c r="U1818" s="84"/>
      <c r="V1818" s="84"/>
      <c r="W1818" s="84"/>
      <c r="X1818" s="84"/>
      <c r="Y1818" s="84"/>
      <c r="Z1818" s="84"/>
      <c r="AA1818" s="84"/>
      <c r="AB1818" s="84"/>
    </row>
    <row r="1819">
      <c r="A1819" s="69">
        <v>122.0</v>
      </c>
      <c r="B1819" s="69">
        <v>187.0</v>
      </c>
      <c r="C1819" s="86" t="s">
        <v>414</v>
      </c>
      <c r="D1819" s="86" t="s">
        <v>415</v>
      </c>
      <c r="E1819" s="86" t="s">
        <v>416</v>
      </c>
      <c r="F1819" s="69">
        <v>2500.0</v>
      </c>
      <c r="G1819" s="69">
        <v>13.65</v>
      </c>
      <c r="H1819" s="68">
        <f t="shared" si="1"/>
        <v>47.65</v>
      </c>
      <c r="I1819" s="81">
        <f>IFERROR(__xludf.DUMMYFUNCTION("IF(G1819="""", """", ROUND(G1819 / MAX(FILTER($G$2:$G5067, $D$2:$D5067=$D1819)) * 100, 2))"),82.63)</f>
        <v>82.63</v>
      </c>
      <c r="J1819" s="81">
        <f>IFERROR(__xludf.DUMMYFUNCTION("IF(H1819="""", """", ROUND(H1819 / MAX(FILTER($H$2:$H5067, $D$2:$D5067=$D1819)) * 100, 2))"),25.82)</f>
        <v>25.82</v>
      </c>
      <c r="K1819" s="2"/>
      <c r="L1819" s="48"/>
      <c r="M1819" s="48"/>
      <c r="N1819" s="48"/>
      <c r="O1819" s="48" t="str">
        <f t="shared" si="2"/>
        <v/>
      </c>
      <c r="P1819" s="48" t="str">
        <f t="shared" si="3"/>
        <v/>
      </c>
      <c r="Q1819" s="84"/>
      <c r="R1819" s="84"/>
      <c r="S1819" s="84"/>
      <c r="T1819" s="84"/>
      <c r="U1819" s="84"/>
      <c r="V1819" s="84"/>
      <c r="W1819" s="84"/>
      <c r="X1819" s="84"/>
      <c r="Y1819" s="84"/>
      <c r="Z1819" s="84"/>
      <c r="AA1819" s="84"/>
      <c r="AB1819" s="84"/>
    </row>
    <row r="1820">
      <c r="A1820" s="63">
        <v>122.0</v>
      </c>
      <c r="B1820" s="63">
        <v>187.0</v>
      </c>
      <c r="C1820" s="64" t="s">
        <v>414</v>
      </c>
      <c r="D1820" s="64" t="s">
        <v>415</v>
      </c>
      <c r="E1820" s="64" t="s">
        <v>416</v>
      </c>
      <c r="F1820" s="63">
        <v>3000.0</v>
      </c>
      <c r="G1820" s="63">
        <v>14.3</v>
      </c>
      <c r="H1820" s="66">
        <f t="shared" si="1"/>
        <v>59.9</v>
      </c>
      <c r="I1820" s="81">
        <f>IFERROR(__xludf.DUMMYFUNCTION("IF(G1820="""", """", ROUND(G1820 / MAX(FILTER($G$2:$G5067, $D$2:$D5067=$D1820)) * 100, 2))"),86.56)</f>
        <v>86.56</v>
      </c>
      <c r="J1820" s="81">
        <f>IFERROR(__xludf.DUMMYFUNCTION("IF(H1820="""", """", ROUND(H1820 / MAX(FILTER($H$2:$H5067, $D$2:$D5067=$D1820)) * 100, 2))"),32.46)</f>
        <v>32.46</v>
      </c>
      <c r="K1820" s="2"/>
      <c r="L1820" s="49"/>
      <c r="M1820" s="49"/>
      <c r="N1820" s="49"/>
      <c r="O1820" s="49" t="str">
        <f t="shared" si="2"/>
        <v/>
      </c>
      <c r="P1820" s="49" t="str">
        <f t="shared" si="3"/>
        <v/>
      </c>
      <c r="Q1820" s="84"/>
      <c r="R1820" s="84"/>
      <c r="S1820" s="84"/>
      <c r="T1820" s="84"/>
      <c r="U1820" s="84"/>
      <c r="V1820" s="84"/>
      <c r="W1820" s="84"/>
      <c r="X1820" s="84"/>
      <c r="Y1820" s="84"/>
      <c r="Z1820" s="84"/>
      <c r="AA1820" s="84"/>
      <c r="AB1820" s="84"/>
    </row>
    <row r="1821">
      <c r="A1821" s="69">
        <v>122.0</v>
      </c>
      <c r="B1821" s="69">
        <v>187.0</v>
      </c>
      <c r="C1821" s="86" t="s">
        <v>414</v>
      </c>
      <c r="D1821" s="86" t="s">
        <v>415</v>
      </c>
      <c r="E1821" s="86" t="s">
        <v>416</v>
      </c>
      <c r="F1821" s="69">
        <v>3500.0</v>
      </c>
      <c r="G1821" s="69">
        <v>14.0</v>
      </c>
      <c r="H1821" s="68">
        <f t="shared" si="1"/>
        <v>68.42</v>
      </c>
      <c r="I1821" s="81">
        <f>IFERROR(__xludf.DUMMYFUNCTION("IF(G1821="""", """", ROUND(G1821 / MAX(FILTER($G$2:$G5067, $D$2:$D5067=$D1821)) * 100, 2))"),84.75)</f>
        <v>84.75</v>
      </c>
      <c r="J1821" s="81">
        <f>IFERROR(__xludf.DUMMYFUNCTION("IF(H1821="""", """", ROUND(H1821 / MAX(FILTER($H$2:$H5067, $D$2:$D5067=$D1821)) * 100, 2))"),37.07)</f>
        <v>37.07</v>
      </c>
      <c r="K1821" s="2"/>
      <c r="L1821" s="48"/>
      <c r="M1821" s="48"/>
      <c r="N1821" s="48"/>
      <c r="O1821" s="48" t="str">
        <f t="shared" si="2"/>
        <v/>
      </c>
      <c r="P1821" s="48" t="str">
        <f t="shared" si="3"/>
        <v/>
      </c>
      <c r="Q1821" s="84"/>
      <c r="R1821" s="84"/>
      <c r="S1821" s="84"/>
      <c r="T1821" s="84"/>
      <c r="U1821" s="84"/>
      <c r="V1821" s="84"/>
      <c r="W1821" s="84"/>
      <c r="X1821" s="84"/>
      <c r="Y1821" s="84"/>
      <c r="Z1821" s="84"/>
      <c r="AA1821" s="84"/>
      <c r="AB1821" s="84"/>
    </row>
    <row r="1822">
      <c r="A1822" s="63">
        <v>122.0</v>
      </c>
      <c r="B1822" s="63">
        <v>187.0</v>
      </c>
      <c r="C1822" s="64" t="s">
        <v>414</v>
      </c>
      <c r="D1822" s="64" t="s">
        <v>415</v>
      </c>
      <c r="E1822" s="64" t="s">
        <v>416</v>
      </c>
      <c r="F1822" s="63">
        <v>4000.0</v>
      </c>
      <c r="G1822" s="63">
        <v>14.0</v>
      </c>
      <c r="H1822" s="66">
        <f t="shared" si="1"/>
        <v>78.19</v>
      </c>
      <c r="I1822" s="81">
        <f>IFERROR(__xludf.DUMMYFUNCTION("IF(G1822="""", """", ROUND(G1822 / MAX(FILTER($G$2:$G5067, $D$2:$D5067=$D1822)) * 100, 2))"),84.75)</f>
        <v>84.75</v>
      </c>
      <c r="J1822" s="81">
        <f>IFERROR(__xludf.DUMMYFUNCTION("IF(H1822="""", """", ROUND(H1822 / MAX(FILTER($H$2:$H5067, $D$2:$D5067=$D1822)) * 100, 2))"),42.37)</f>
        <v>42.37</v>
      </c>
      <c r="K1822" s="2"/>
      <c r="L1822" s="49"/>
      <c r="M1822" s="49"/>
      <c r="N1822" s="49"/>
      <c r="O1822" s="49" t="str">
        <f t="shared" si="2"/>
        <v/>
      </c>
      <c r="P1822" s="49" t="str">
        <f t="shared" si="3"/>
        <v/>
      </c>
      <c r="Q1822" s="84"/>
      <c r="R1822" s="84"/>
      <c r="S1822" s="84"/>
      <c r="T1822" s="84"/>
      <c r="U1822" s="84"/>
      <c r="V1822" s="84"/>
      <c r="W1822" s="84"/>
      <c r="X1822" s="84"/>
      <c r="Y1822" s="84"/>
      <c r="Z1822" s="84"/>
      <c r="AA1822" s="84"/>
      <c r="AB1822" s="84"/>
    </row>
    <row r="1823">
      <c r="A1823" s="69">
        <v>122.0</v>
      </c>
      <c r="B1823" s="69">
        <v>187.0</v>
      </c>
      <c r="C1823" s="86" t="s">
        <v>414</v>
      </c>
      <c r="D1823" s="86" t="s">
        <v>415</v>
      </c>
      <c r="E1823" s="86" t="s">
        <v>416</v>
      </c>
      <c r="F1823" s="69">
        <v>4500.0</v>
      </c>
      <c r="G1823" s="69">
        <v>14.15</v>
      </c>
      <c r="H1823" s="68">
        <f t="shared" si="1"/>
        <v>88.91</v>
      </c>
      <c r="I1823" s="81">
        <f>IFERROR(__xludf.DUMMYFUNCTION("IF(G1823="""", """", ROUND(G1823 / MAX(FILTER($G$2:$G5067, $D$2:$D5067=$D1823)) * 100, 2))"),85.65)</f>
        <v>85.65</v>
      </c>
      <c r="J1823" s="81">
        <f>IFERROR(__xludf.DUMMYFUNCTION("IF(H1823="""", """", ROUND(H1823 / MAX(FILTER($H$2:$H5067, $D$2:$D5067=$D1823)) * 100, 2))"),48.17)</f>
        <v>48.17</v>
      </c>
      <c r="K1823" s="2"/>
      <c r="L1823" s="48"/>
      <c r="M1823" s="48"/>
      <c r="N1823" s="48"/>
      <c r="O1823" s="48" t="str">
        <f t="shared" si="2"/>
        <v/>
      </c>
      <c r="P1823" s="48" t="str">
        <f t="shared" si="3"/>
        <v/>
      </c>
      <c r="Q1823" s="84"/>
      <c r="R1823" s="84"/>
      <c r="S1823" s="84"/>
      <c r="T1823" s="84"/>
      <c r="U1823" s="84"/>
      <c r="V1823" s="84"/>
      <c r="W1823" s="84"/>
      <c r="X1823" s="84"/>
      <c r="Y1823" s="84"/>
      <c r="Z1823" s="84"/>
      <c r="AA1823" s="84"/>
      <c r="AB1823" s="84"/>
    </row>
    <row r="1824">
      <c r="A1824" s="63">
        <v>122.0</v>
      </c>
      <c r="B1824" s="63">
        <v>187.0</v>
      </c>
      <c r="C1824" s="64" t="s">
        <v>414</v>
      </c>
      <c r="D1824" s="64" t="s">
        <v>415</v>
      </c>
      <c r="E1824" s="64" t="s">
        <v>416</v>
      </c>
      <c r="F1824" s="63">
        <v>5000.0</v>
      </c>
      <c r="G1824" s="63">
        <v>14.3</v>
      </c>
      <c r="H1824" s="66">
        <f t="shared" si="1"/>
        <v>99.83</v>
      </c>
      <c r="I1824" s="81">
        <f>IFERROR(__xludf.DUMMYFUNCTION("IF(G1824="""", """", ROUND(G1824 / MAX(FILTER($G$2:$G5067, $D$2:$D5067=$D1824)) * 100, 2))"),86.56)</f>
        <v>86.56</v>
      </c>
      <c r="J1824" s="81">
        <f>IFERROR(__xludf.DUMMYFUNCTION("IF(H1824="""", """", ROUND(H1824 / MAX(FILTER($H$2:$H5067, $D$2:$D5067=$D1824)) * 100, 2))"),54.09)</f>
        <v>54.09</v>
      </c>
      <c r="K1824" s="2"/>
      <c r="L1824" s="49"/>
      <c r="M1824" s="49"/>
      <c r="N1824" s="49"/>
      <c r="O1824" s="49" t="str">
        <f t="shared" si="2"/>
        <v/>
      </c>
      <c r="P1824" s="49" t="str">
        <f t="shared" si="3"/>
        <v/>
      </c>
      <c r="Q1824" s="84"/>
      <c r="R1824" s="84"/>
      <c r="S1824" s="84"/>
      <c r="T1824" s="84"/>
      <c r="U1824" s="84"/>
      <c r="V1824" s="84"/>
      <c r="W1824" s="84"/>
      <c r="X1824" s="84"/>
      <c r="Y1824" s="84"/>
      <c r="Z1824" s="84"/>
      <c r="AA1824" s="84"/>
      <c r="AB1824" s="84"/>
    </row>
    <row r="1825">
      <c r="A1825" s="69">
        <v>122.0</v>
      </c>
      <c r="B1825" s="69">
        <v>187.0</v>
      </c>
      <c r="C1825" s="86" t="s">
        <v>414</v>
      </c>
      <c r="D1825" s="86" t="s">
        <v>415</v>
      </c>
      <c r="E1825" s="86" t="s">
        <v>416</v>
      </c>
      <c r="F1825" s="69">
        <v>5500.0</v>
      </c>
      <c r="G1825" s="69">
        <v>14.5</v>
      </c>
      <c r="H1825" s="68">
        <f t="shared" si="1"/>
        <v>111.35</v>
      </c>
      <c r="I1825" s="81">
        <f>IFERROR(__xludf.DUMMYFUNCTION("IF(G1825="""", """", ROUND(G1825 / MAX(FILTER($G$2:$G5067, $D$2:$D5067=$D1825)) * 100, 2))"),87.77)</f>
        <v>87.77</v>
      </c>
      <c r="J1825" s="81">
        <f>IFERROR(__xludf.DUMMYFUNCTION("IF(H1825="""", """", ROUND(H1825 / MAX(FILTER($H$2:$H5067, $D$2:$D5067=$D1825)) * 100, 2))"),60.33)</f>
        <v>60.33</v>
      </c>
      <c r="K1825" s="2"/>
      <c r="L1825" s="48"/>
      <c r="M1825" s="48"/>
      <c r="N1825" s="48"/>
      <c r="O1825" s="48" t="str">
        <f t="shared" si="2"/>
        <v/>
      </c>
      <c r="P1825" s="48" t="str">
        <f t="shared" si="3"/>
        <v/>
      </c>
      <c r="Q1825" s="84"/>
      <c r="R1825" s="84"/>
      <c r="S1825" s="84"/>
      <c r="T1825" s="84"/>
      <c r="U1825" s="84"/>
      <c r="V1825" s="84"/>
      <c r="W1825" s="84"/>
      <c r="X1825" s="84"/>
      <c r="Y1825" s="84"/>
      <c r="Z1825" s="84"/>
      <c r="AA1825" s="84"/>
      <c r="AB1825" s="84"/>
    </row>
    <row r="1826">
      <c r="A1826" s="63">
        <v>122.0</v>
      </c>
      <c r="B1826" s="63">
        <v>187.0</v>
      </c>
      <c r="C1826" s="64" t="s">
        <v>414</v>
      </c>
      <c r="D1826" s="64" t="s">
        <v>415</v>
      </c>
      <c r="E1826" s="64" t="s">
        <v>416</v>
      </c>
      <c r="F1826" s="63">
        <v>6000.0</v>
      </c>
      <c r="G1826" s="63">
        <v>15.0</v>
      </c>
      <c r="H1826" s="66">
        <f t="shared" si="1"/>
        <v>125.66</v>
      </c>
      <c r="I1826" s="81">
        <f>IFERROR(__xludf.DUMMYFUNCTION("IF(G1826="""", """", ROUND(G1826 / MAX(FILTER($G$2:$G5067, $D$2:$D5067=$D1826)) * 100, 2))"),90.8)</f>
        <v>90.8</v>
      </c>
      <c r="J1826" s="81">
        <f>IFERROR(__xludf.DUMMYFUNCTION("IF(H1826="""", """", ROUND(H1826 / MAX(FILTER($H$2:$H5067, $D$2:$D5067=$D1826)) * 100, 2))"),68.09)</f>
        <v>68.09</v>
      </c>
      <c r="K1826" s="2"/>
      <c r="L1826" s="49"/>
      <c r="M1826" s="49"/>
      <c r="N1826" s="49"/>
      <c r="O1826" s="49" t="str">
        <f t="shared" si="2"/>
        <v/>
      </c>
      <c r="P1826" s="49" t="str">
        <f t="shared" si="3"/>
        <v/>
      </c>
      <c r="Q1826" s="84"/>
      <c r="R1826" s="84"/>
      <c r="S1826" s="84"/>
      <c r="T1826" s="84"/>
      <c r="U1826" s="84"/>
      <c r="V1826" s="84"/>
      <c r="W1826" s="84"/>
      <c r="X1826" s="84"/>
      <c r="Y1826" s="84"/>
      <c r="Z1826" s="84"/>
      <c r="AA1826" s="84"/>
      <c r="AB1826" s="84"/>
    </row>
    <row r="1827">
      <c r="A1827" s="69">
        <v>122.0</v>
      </c>
      <c r="B1827" s="69">
        <v>187.0</v>
      </c>
      <c r="C1827" s="86" t="s">
        <v>414</v>
      </c>
      <c r="D1827" s="86" t="s">
        <v>415</v>
      </c>
      <c r="E1827" s="86" t="s">
        <v>416</v>
      </c>
      <c r="F1827" s="69">
        <v>6500.0</v>
      </c>
      <c r="G1827" s="69">
        <v>15.4</v>
      </c>
      <c r="H1827" s="68">
        <f t="shared" si="1"/>
        <v>139.77</v>
      </c>
      <c r="I1827" s="81">
        <f>IFERROR(__xludf.DUMMYFUNCTION("IF(G1827="""", """", ROUND(G1827 / MAX(FILTER($G$2:$G5067, $D$2:$D5067=$D1827)) * 100, 2))"),93.22)</f>
        <v>93.22</v>
      </c>
      <c r="J1827" s="81">
        <f>IFERROR(__xludf.DUMMYFUNCTION("IF(H1827="""", """", ROUND(H1827 / MAX(FILTER($H$2:$H5067, $D$2:$D5067=$D1827)) * 100, 2))"),75.73)</f>
        <v>75.73</v>
      </c>
      <c r="K1827" s="2"/>
      <c r="L1827" s="48"/>
      <c r="M1827" s="48"/>
      <c r="N1827" s="48"/>
      <c r="O1827" s="48" t="str">
        <f t="shared" si="2"/>
        <v/>
      </c>
      <c r="P1827" s="48" t="str">
        <f t="shared" si="3"/>
        <v/>
      </c>
      <c r="Q1827" s="84"/>
      <c r="R1827" s="84"/>
      <c r="S1827" s="84"/>
      <c r="T1827" s="84"/>
      <c r="U1827" s="84"/>
      <c r="V1827" s="84"/>
      <c r="W1827" s="84"/>
      <c r="X1827" s="84"/>
      <c r="Y1827" s="84"/>
      <c r="Z1827" s="84"/>
      <c r="AA1827" s="84"/>
      <c r="AB1827" s="84"/>
    </row>
    <row r="1828">
      <c r="A1828" s="63">
        <v>122.0</v>
      </c>
      <c r="B1828" s="63">
        <v>187.0</v>
      </c>
      <c r="C1828" s="64" t="s">
        <v>414</v>
      </c>
      <c r="D1828" s="64" t="s">
        <v>415</v>
      </c>
      <c r="E1828" s="64" t="s">
        <v>416</v>
      </c>
      <c r="F1828" s="63">
        <v>7000.0</v>
      </c>
      <c r="G1828" s="63">
        <v>15.8</v>
      </c>
      <c r="H1828" s="66">
        <f t="shared" si="1"/>
        <v>154.43</v>
      </c>
      <c r="I1828" s="81">
        <f>IFERROR(__xludf.DUMMYFUNCTION("IF(G1828="""", """", ROUND(G1828 / MAX(FILTER($G$2:$G5067, $D$2:$D5067=$D1828)) * 100, 2))"),95.64)</f>
        <v>95.64</v>
      </c>
      <c r="J1828" s="81">
        <f>IFERROR(__xludf.DUMMYFUNCTION("IF(H1828="""", """", ROUND(H1828 / MAX(FILTER($H$2:$H5067, $D$2:$D5067=$D1828)) * 100, 2))"),83.67)</f>
        <v>83.67</v>
      </c>
      <c r="K1828" s="2"/>
      <c r="L1828" s="49"/>
      <c r="M1828" s="49"/>
      <c r="N1828" s="49"/>
      <c r="O1828" s="49" t="str">
        <f t="shared" si="2"/>
        <v/>
      </c>
      <c r="P1828" s="49" t="str">
        <f t="shared" si="3"/>
        <v/>
      </c>
      <c r="Q1828" s="84"/>
      <c r="R1828" s="84"/>
      <c r="S1828" s="84"/>
      <c r="T1828" s="84"/>
      <c r="U1828" s="84"/>
      <c r="V1828" s="84"/>
      <c r="W1828" s="84"/>
      <c r="X1828" s="84"/>
      <c r="Y1828" s="84"/>
      <c r="Z1828" s="84"/>
      <c r="AA1828" s="84"/>
      <c r="AB1828" s="84"/>
    </row>
    <row r="1829">
      <c r="A1829" s="69">
        <v>122.0</v>
      </c>
      <c r="B1829" s="69">
        <v>187.0</v>
      </c>
      <c r="C1829" s="86" t="s">
        <v>414</v>
      </c>
      <c r="D1829" s="86" t="s">
        <v>415</v>
      </c>
      <c r="E1829" s="86" t="s">
        <v>416</v>
      </c>
      <c r="F1829" s="69">
        <v>7500.0</v>
      </c>
      <c r="G1829" s="69">
        <v>16.3</v>
      </c>
      <c r="H1829" s="68">
        <f t="shared" si="1"/>
        <v>170.69</v>
      </c>
      <c r="I1829" s="81">
        <f>IFERROR(__xludf.DUMMYFUNCTION("IF(G1829="""", """", ROUND(G1829 / MAX(FILTER($G$2:$G5067, $D$2:$D5067=$D1829)) * 100, 2))"),98.67)</f>
        <v>98.67</v>
      </c>
      <c r="J1829" s="81">
        <f>IFERROR(__xludf.DUMMYFUNCTION("IF(H1829="""", """", ROUND(H1829 / MAX(FILTER($H$2:$H5067, $D$2:$D5067=$D1829)) * 100, 2))"),92.48)</f>
        <v>92.48</v>
      </c>
      <c r="K1829" s="2"/>
      <c r="L1829" s="48"/>
      <c r="M1829" s="48"/>
      <c r="N1829" s="48"/>
      <c r="O1829" s="48" t="str">
        <f t="shared" si="2"/>
        <v/>
      </c>
      <c r="P1829" s="48" t="str">
        <f t="shared" si="3"/>
        <v/>
      </c>
      <c r="Q1829" s="84"/>
      <c r="R1829" s="84"/>
      <c r="S1829" s="84"/>
      <c r="T1829" s="84"/>
      <c r="U1829" s="84"/>
      <c r="V1829" s="84"/>
      <c r="W1829" s="84"/>
      <c r="X1829" s="84"/>
      <c r="Y1829" s="84"/>
      <c r="Z1829" s="84"/>
      <c r="AA1829" s="84"/>
      <c r="AB1829" s="84"/>
    </row>
    <row r="1830">
      <c r="A1830" s="63">
        <v>122.0</v>
      </c>
      <c r="B1830" s="63">
        <v>187.0</v>
      </c>
      <c r="C1830" s="64" t="s">
        <v>414</v>
      </c>
      <c r="D1830" s="64" t="s">
        <v>415</v>
      </c>
      <c r="E1830" s="64" t="s">
        <v>416</v>
      </c>
      <c r="F1830" s="63">
        <v>8000.0</v>
      </c>
      <c r="G1830" s="63">
        <v>16.52</v>
      </c>
      <c r="H1830" s="66">
        <f t="shared" si="1"/>
        <v>184.53</v>
      </c>
      <c r="I1830" s="81">
        <f>IFERROR(__xludf.DUMMYFUNCTION("IF(G1830="""", """", ROUND(G1830 / MAX(FILTER($G$2:$G5067, $D$2:$D5067=$D1830)) * 100, 2))"),100.0)</f>
        <v>100</v>
      </c>
      <c r="J1830" s="81">
        <f>IFERROR(__xludf.DUMMYFUNCTION("IF(H1830="""", """", ROUND(H1830 / MAX(FILTER($H$2:$H5067, $D$2:$D5067=$D1830)) * 100, 2))"),99.98)</f>
        <v>99.98</v>
      </c>
      <c r="K1830" s="2"/>
      <c r="L1830" s="49"/>
      <c r="M1830" s="49"/>
      <c r="N1830" s="49"/>
      <c r="O1830" s="49" t="str">
        <f t="shared" si="2"/>
        <v/>
      </c>
      <c r="P1830" s="49" t="str">
        <f t="shared" si="3"/>
        <v/>
      </c>
      <c r="Q1830" s="84"/>
      <c r="R1830" s="84"/>
      <c r="S1830" s="84"/>
      <c r="T1830" s="84"/>
      <c r="U1830" s="84"/>
      <c r="V1830" s="84"/>
      <c r="W1830" s="84"/>
      <c r="X1830" s="84"/>
      <c r="Y1830" s="84"/>
      <c r="Z1830" s="84"/>
      <c r="AA1830" s="84"/>
      <c r="AB1830" s="84"/>
    </row>
    <row r="1831">
      <c r="A1831" s="69">
        <v>122.0</v>
      </c>
      <c r="B1831" s="69">
        <v>187.0</v>
      </c>
      <c r="C1831" s="86" t="s">
        <v>414</v>
      </c>
      <c r="D1831" s="86" t="s">
        <v>415</v>
      </c>
      <c r="E1831" s="86" t="s">
        <v>416</v>
      </c>
      <c r="F1831" s="69">
        <v>8200.0</v>
      </c>
      <c r="G1831" s="69">
        <v>16.12</v>
      </c>
      <c r="H1831" s="68">
        <f t="shared" si="1"/>
        <v>184.56</v>
      </c>
      <c r="I1831" s="81">
        <f>IFERROR(__xludf.DUMMYFUNCTION("IF(G1831="""", """", ROUND(G1831 / MAX(FILTER($G$2:$G5067, $D$2:$D5067=$D1831)) * 100, 2))"),97.58)</f>
        <v>97.58</v>
      </c>
      <c r="J1831" s="81">
        <f>IFERROR(__xludf.DUMMYFUNCTION("IF(H1831="""", """", ROUND(H1831 / MAX(FILTER($H$2:$H5067, $D$2:$D5067=$D1831)) * 100, 2))"),100.0)</f>
        <v>100</v>
      </c>
      <c r="K1831" s="2"/>
      <c r="L1831" s="48"/>
      <c r="M1831" s="48"/>
      <c r="N1831" s="48"/>
      <c r="O1831" s="48" t="str">
        <f t="shared" si="2"/>
        <v/>
      </c>
      <c r="P1831" s="48" t="str">
        <f t="shared" si="3"/>
        <v/>
      </c>
      <c r="Q1831" s="84"/>
      <c r="R1831" s="84"/>
      <c r="S1831" s="84"/>
      <c r="T1831" s="84"/>
      <c r="U1831" s="84"/>
      <c r="V1831" s="84"/>
      <c r="W1831" s="84"/>
      <c r="X1831" s="84"/>
      <c r="Y1831" s="84"/>
      <c r="Z1831" s="84"/>
      <c r="AA1831" s="84"/>
      <c r="AB1831" s="84"/>
    </row>
    <row r="1832">
      <c r="A1832" s="63">
        <v>122.0</v>
      </c>
      <c r="B1832" s="63">
        <v>187.0</v>
      </c>
      <c r="C1832" s="64" t="s">
        <v>414</v>
      </c>
      <c r="D1832" s="64" t="s">
        <v>415</v>
      </c>
      <c r="E1832" s="64" t="s">
        <v>416</v>
      </c>
      <c r="F1832" s="63">
        <v>9000.0</v>
      </c>
      <c r="G1832" s="63">
        <v>14.4</v>
      </c>
      <c r="H1832" s="66">
        <f t="shared" si="1"/>
        <v>180.96</v>
      </c>
      <c r="I1832" s="81">
        <f>IFERROR(__xludf.DUMMYFUNCTION("IF(G1832="""", """", ROUND(G1832 / MAX(FILTER($G$2:$G5067, $D$2:$D5067=$D1832)) * 100, 2))"),87.17)</f>
        <v>87.17</v>
      </c>
      <c r="J1832" s="81">
        <f>IFERROR(__xludf.DUMMYFUNCTION("IF(H1832="""", """", ROUND(H1832 / MAX(FILTER($H$2:$H5067, $D$2:$D5067=$D1832)) * 100, 2))"),98.05)</f>
        <v>98.05</v>
      </c>
      <c r="K1832" s="2"/>
      <c r="L1832" s="49"/>
      <c r="M1832" s="49"/>
      <c r="N1832" s="49"/>
      <c r="O1832" s="49" t="str">
        <f t="shared" si="2"/>
        <v/>
      </c>
      <c r="P1832" s="49" t="str">
        <f t="shared" si="3"/>
        <v/>
      </c>
      <c r="Q1832" s="84"/>
      <c r="R1832" s="84"/>
      <c r="S1832" s="84"/>
      <c r="T1832" s="84"/>
      <c r="U1832" s="84"/>
      <c r="V1832" s="84"/>
      <c r="W1832" s="84"/>
      <c r="X1832" s="84"/>
      <c r="Y1832" s="84"/>
      <c r="Z1832" s="84"/>
      <c r="AA1832" s="84"/>
      <c r="AB1832" s="84"/>
    </row>
    <row r="1833">
      <c r="A1833" s="69">
        <v>122.0</v>
      </c>
      <c r="B1833" s="69">
        <v>187.0</v>
      </c>
      <c r="C1833" s="86" t="s">
        <v>414</v>
      </c>
      <c r="D1833" s="86" t="s">
        <v>415</v>
      </c>
      <c r="E1833" s="86" t="s">
        <v>416</v>
      </c>
      <c r="F1833" s="69">
        <v>9500.0</v>
      </c>
      <c r="G1833" s="69">
        <v>11.85</v>
      </c>
      <c r="H1833" s="68">
        <f t="shared" si="1"/>
        <v>157.18</v>
      </c>
      <c r="I1833" s="81">
        <f>IFERROR(__xludf.DUMMYFUNCTION("IF(G1833="""", """", ROUND(G1833 / MAX(FILTER($G$2:$G5067, $D$2:$D5067=$D1833)) * 100, 2))"),71.73)</f>
        <v>71.73</v>
      </c>
      <c r="J1833" s="81">
        <f>IFERROR(__xludf.DUMMYFUNCTION("IF(H1833="""", """", ROUND(H1833 / MAX(FILTER($H$2:$H5067, $D$2:$D5067=$D1833)) * 100, 2))"),85.16)</f>
        <v>85.16</v>
      </c>
      <c r="K1833" s="2"/>
      <c r="L1833" s="48"/>
      <c r="M1833" s="48"/>
      <c r="N1833" s="48"/>
      <c r="O1833" s="48" t="str">
        <f t="shared" si="2"/>
        <v/>
      </c>
      <c r="P1833" s="48" t="str">
        <f t="shared" si="3"/>
        <v/>
      </c>
      <c r="Q1833" s="84"/>
      <c r="R1833" s="84"/>
      <c r="S1833" s="84"/>
      <c r="T1833" s="84"/>
      <c r="U1833" s="84"/>
      <c r="V1833" s="84"/>
      <c r="W1833" s="84"/>
      <c r="X1833" s="84"/>
      <c r="Y1833" s="84"/>
      <c r="Z1833" s="84"/>
      <c r="AA1833" s="84"/>
      <c r="AB1833" s="84"/>
    </row>
    <row r="1834">
      <c r="A1834" s="63">
        <v>123.0</v>
      </c>
      <c r="B1834" s="63">
        <v>188.0</v>
      </c>
      <c r="C1834" s="64" t="s">
        <v>417</v>
      </c>
      <c r="D1834" s="64" t="s">
        <v>418</v>
      </c>
      <c r="E1834" s="64" t="s">
        <v>419</v>
      </c>
      <c r="F1834" s="63">
        <v>500.0</v>
      </c>
      <c r="G1834" s="63">
        <v>11.35</v>
      </c>
      <c r="H1834" s="66">
        <f t="shared" si="1"/>
        <v>7.92</v>
      </c>
      <c r="I1834" s="81">
        <f>IFERROR(__xludf.DUMMYFUNCTION("IF(G1834="""", """", ROUND(G1834 / MAX(FILTER($G$2:$G5067, $D$2:$D5067=$D1834)) * 100, 2))"),40.45)</f>
        <v>40.45</v>
      </c>
      <c r="J1834" s="81">
        <f>IFERROR(__xludf.DUMMYFUNCTION("IF(H1834="""", """", ROUND(H1834 / MAX(FILTER($H$2:$H5067, $D$2:$D5067=$D1834)) * 100, 2))"),3.68)</f>
        <v>3.68</v>
      </c>
      <c r="K1834" s="2"/>
      <c r="L1834" s="49"/>
      <c r="M1834" s="49"/>
      <c r="N1834" s="49"/>
      <c r="O1834" s="49" t="str">
        <f t="shared" si="2"/>
        <v/>
      </c>
      <c r="P1834" s="49" t="str">
        <f t="shared" si="3"/>
        <v/>
      </c>
      <c r="Q1834" s="84"/>
      <c r="R1834" s="84"/>
      <c r="S1834" s="84"/>
      <c r="T1834" s="84"/>
      <c r="U1834" s="84"/>
      <c r="V1834" s="84"/>
      <c r="W1834" s="84"/>
      <c r="X1834" s="84"/>
      <c r="Y1834" s="84"/>
      <c r="Z1834" s="84"/>
      <c r="AA1834" s="84"/>
      <c r="AB1834" s="84"/>
    </row>
    <row r="1835">
      <c r="A1835" s="69">
        <v>123.0</v>
      </c>
      <c r="B1835" s="69">
        <v>188.0</v>
      </c>
      <c r="C1835" s="86" t="s">
        <v>417</v>
      </c>
      <c r="D1835" s="86" t="s">
        <v>418</v>
      </c>
      <c r="E1835" s="86" t="s">
        <v>419</v>
      </c>
      <c r="F1835" s="69">
        <v>1000.0</v>
      </c>
      <c r="G1835" s="69">
        <v>13.69</v>
      </c>
      <c r="H1835" s="68">
        <f t="shared" si="1"/>
        <v>19.11</v>
      </c>
      <c r="I1835" s="81">
        <f>IFERROR(__xludf.DUMMYFUNCTION("IF(G1835="""", """", ROUND(G1835 / MAX(FILTER($G$2:$G5067, $D$2:$D5067=$D1835)) * 100, 2))"),48.79)</f>
        <v>48.79</v>
      </c>
      <c r="J1835" s="81">
        <f>IFERROR(__xludf.DUMMYFUNCTION("IF(H1835="""", """", ROUND(H1835 / MAX(FILTER($H$2:$H5067, $D$2:$D5067=$D1835)) * 100, 2))"),8.88)</f>
        <v>8.88</v>
      </c>
      <c r="K1835" s="2"/>
      <c r="L1835" s="48"/>
      <c r="M1835" s="48"/>
      <c r="N1835" s="48"/>
      <c r="O1835" s="48" t="str">
        <f t="shared" si="2"/>
        <v/>
      </c>
      <c r="P1835" s="48" t="str">
        <f t="shared" si="3"/>
        <v/>
      </c>
      <c r="Q1835" s="84"/>
      <c r="R1835" s="84"/>
      <c r="S1835" s="84"/>
      <c r="T1835" s="84"/>
      <c r="U1835" s="84"/>
      <c r="V1835" s="84"/>
      <c r="W1835" s="84"/>
      <c r="X1835" s="84"/>
      <c r="Y1835" s="84"/>
      <c r="Z1835" s="84"/>
      <c r="AA1835" s="84"/>
      <c r="AB1835" s="84"/>
    </row>
    <row r="1836">
      <c r="A1836" s="63">
        <v>123.0</v>
      </c>
      <c r="B1836" s="63">
        <v>188.0</v>
      </c>
      <c r="C1836" s="64" t="s">
        <v>417</v>
      </c>
      <c r="D1836" s="64" t="s">
        <v>418</v>
      </c>
      <c r="E1836" s="64" t="s">
        <v>419</v>
      </c>
      <c r="F1836" s="63">
        <v>1500.0</v>
      </c>
      <c r="G1836" s="63">
        <v>17.74</v>
      </c>
      <c r="H1836" s="66">
        <f t="shared" si="1"/>
        <v>37.15</v>
      </c>
      <c r="I1836" s="81">
        <f>IFERROR(__xludf.DUMMYFUNCTION("IF(G1836="""", """", ROUND(G1836 / MAX(FILTER($G$2:$G5067, $D$2:$D5067=$D1836)) * 100, 2))"),63.22)</f>
        <v>63.22</v>
      </c>
      <c r="J1836" s="81">
        <f>IFERROR(__xludf.DUMMYFUNCTION("IF(H1836="""", """", ROUND(H1836 / MAX(FILTER($H$2:$H5067, $D$2:$D5067=$D1836)) * 100, 2))"),17.27)</f>
        <v>17.27</v>
      </c>
      <c r="K1836" s="2"/>
      <c r="L1836" s="49"/>
      <c r="M1836" s="49"/>
      <c r="N1836" s="49"/>
      <c r="O1836" s="49" t="str">
        <f t="shared" si="2"/>
        <v/>
      </c>
      <c r="P1836" s="49" t="str">
        <f t="shared" si="3"/>
        <v/>
      </c>
      <c r="Q1836" s="84"/>
      <c r="R1836" s="84"/>
      <c r="S1836" s="84"/>
      <c r="T1836" s="84"/>
      <c r="U1836" s="84"/>
      <c r="V1836" s="84"/>
      <c r="W1836" s="84"/>
      <c r="X1836" s="84"/>
      <c r="Y1836" s="84"/>
      <c r="Z1836" s="84"/>
      <c r="AA1836" s="84"/>
      <c r="AB1836" s="84"/>
    </row>
    <row r="1837">
      <c r="A1837" s="69">
        <v>123.0</v>
      </c>
      <c r="B1837" s="69">
        <v>188.0</v>
      </c>
      <c r="C1837" s="86" t="s">
        <v>417</v>
      </c>
      <c r="D1837" s="86" t="s">
        <v>418</v>
      </c>
      <c r="E1837" s="86" t="s">
        <v>419</v>
      </c>
      <c r="F1837" s="69">
        <v>2000.0</v>
      </c>
      <c r="G1837" s="69">
        <v>22.97</v>
      </c>
      <c r="H1837" s="68">
        <f t="shared" si="1"/>
        <v>64.14</v>
      </c>
      <c r="I1837" s="81">
        <f>IFERROR(__xludf.DUMMYFUNCTION("IF(G1837="""", """", ROUND(G1837 / MAX(FILTER($G$2:$G5067, $D$2:$D5067=$D1837)) * 100, 2))"),81.86)</f>
        <v>81.86</v>
      </c>
      <c r="J1837" s="81">
        <f>IFERROR(__xludf.DUMMYFUNCTION("IF(H1837="""", """", ROUND(H1837 / MAX(FILTER($H$2:$H5067, $D$2:$D5067=$D1837)) * 100, 2))"),29.82)</f>
        <v>29.82</v>
      </c>
      <c r="K1837" s="2"/>
      <c r="L1837" s="48"/>
      <c r="M1837" s="48"/>
      <c r="N1837" s="48"/>
      <c r="O1837" s="48" t="str">
        <f t="shared" si="2"/>
        <v/>
      </c>
      <c r="P1837" s="48" t="str">
        <f t="shared" si="3"/>
        <v/>
      </c>
      <c r="Q1837" s="84"/>
      <c r="R1837" s="84"/>
      <c r="S1837" s="84"/>
      <c r="T1837" s="84"/>
      <c r="U1837" s="84"/>
      <c r="V1837" s="84"/>
      <c r="W1837" s="84"/>
      <c r="X1837" s="84"/>
      <c r="Y1837" s="84"/>
      <c r="Z1837" s="84"/>
      <c r="AA1837" s="84"/>
      <c r="AB1837" s="84"/>
    </row>
    <row r="1838">
      <c r="A1838" s="63">
        <v>123.0</v>
      </c>
      <c r="B1838" s="63">
        <v>188.0</v>
      </c>
      <c r="C1838" s="64" t="s">
        <v>417</v>
      </c>
      <c r="D1838" s="64" t="s">
        <v>418</v>
      </c>
      <c r="E1838" s="64" t="s">
        <v>419</v>
      </c>
      <c r="F1838" s="63">
        <v>2500.0</v>
      </c>
      <c r="G1838" s="63">
        <v>26.0</v>
      </c>
      <c r="H1838" s="66">
        <f t="shared" si="1"/>
        <v>90.76</v>
      </c>
      <c r="I1838" s="81">
        <f>IFERROR(__xludf.DUMMYFUNCTION("IF(G1838="""", """", ROUND(G1838 / MAX(FILTER($G$2:$G5067, $D$2:$D5067=$D1838)) * 100, 2))"),92.66)</f>
        <v>92.66</v>
      </c>
      <c r="J1838" s="81">
        <f>IFERROR(__xludf.DUMMYFUNCTION("IF(H1838="""", """", ROUND(H1838 / MAX(FILTER($H$2:$H5067, $D$2:$D5067=$D1838)) * 100, 2))"),42.2)</f>
        <v>42.2</v>
      </c>
      <c r="K1838" s="2"/>
      <c r="L1838" s="49"/>
      <c r="M1838" s="49"/>
      <c r="N1838" s="49"/>
      <c r="O1838" s="49" t="str">
        <f t="shared" si="2"/>
        <v/>
      </c>
      <c r="P1838" s="49" t="str">
        <f t="shared" si="3"/>
        <v/>
      </c>
      <c r="Q1838" s="84"/>
      <c r="R1838" s="84"/>
      <c r="S1838" s="84"/>
      <c r="T1838" s="84"/>
      <c r="U1838" s="84"/>
      <c r="V1838" s="84"/>
      <c r="W1838" s="84"/>
      <c r="X1838" s="84"/>
      <c r="Y1838" s="84"/>
      <c r="Z1838" s="84"/>
      <c r="AA1838" s="84"/>
      <c r="AB1838" s="84"/>
    </row>
    <row r="1839">
      <c r="A1839" s="69">
        <v>123.0</v>
      </c>
      <c r="B1839" s="69">
        <v>188.0</v>
      </c>
      <c r="C1839" s="86" t="s">
        <v>417</v>
      </c>
      <c r="D1839" s="86" t="s">
        <v>418</v>
      </c>
      <c r="E1839" s="86" t="s">
        <v>419</v>
      </c>
      <c r="F1839" s="69">
        <v>3000.0</v>
      </c>
      <c r="G1839" s="69">
        <v>27.28</v>
      </c>
      <c r="H1839" s="68">
        <f t="shared" si="1"/>
        <v>114.27</v>
      </c>
      <c r="I1839" s="81">
        <f>IFERROR(__xludf.DUMMYFUNCTION("IF(G1839="""", """", ROUND(G1839 / MAX(FILTER($G$2:$G5067, $D$2:$D5067=$D1839)) * 100, 2))"),97.22)</f>
        <v>97.22</v>
      </c>
      <c r="J1839" s="81">
        <f>IFERROR(__xludf.DUMMYFUNCTION("IF(H1839="""", """", ROUND(H1839 / MAX(FILTER($H$2:$H5067, $D$2:$D5067=$D1839)) * 100, 2))"),53.13)</f>
        <v>53.13</v>
      </c>
      <c r="K1839" s="2"/>
      <c r="L1839" s="48"/>
      <c r="M1839" s="48"/>
      <c r="N1839" s="48"/>
      <c r="O1839" s="48" t="str">
        <f t="shared" si="2"/>
        <v/>
      </c>
      <c r="P1839" s="48" t="str">
        <f t="shared" si="3"/>
        <v/>
      </c>
      <c r="Q1839" s="84"/>
      <c r="R1839" s="84"/>
      <c r="S1839" s="84"/>
      <c r="T1839" s="84"/>
      <c r="U1839" s="84"/>
      <c r="V1839" s="84"/>
      <c r="W1839" s="84"/>
      <c r="X1839" s="84"/>
      <c r="Y1839" s="84"/>
      <c r="Z1839" s="84"/>
      <c r="AA1839" s="84"/>
      <c r="AB1839" s="84"/>
    </row>
    <row r="1840">
      <c r="A1840" s="63">
        <v>123.0</v>
      </c>
      <c r="B1840" s="63">
        <v>188.0</v>
      </c>
      <c r="C1840" s="64" t="s">
        <v>417</v>
      </c>
      <c r="D1840" s="64" t="s">
        <v>418</v>
      </c>
      <c r="E1840" s="64" t="s">
        <v>419</v>
      </c>
      <c r="F1840" s="63">
        <v>3500.0</v>
      </c>
      <c r="G1840" s="63">
        <v>28.03</v>
      </c>
      <c r="H1840" s="66">
        <f t="shared" si="1"/>
        <v>136.98</v>
      </c>
      <c r="I1840" s="81">
        <f>IFERROR(__xludf.DUMMYFUNCTION("IF(G1840="""", """", ROUND(G1840 / MAX(FILTER($G$2:$G5067, $D$2:$D5067=$D1840)) * 100, 2))"),99.89)</f>
        <v>99.89</v>
      </c>
      <c r="J1840" s="81">
        <f>IFERROR(__xludf.DUMMYFUNCTION("IF(H1840="""", """", ROUND(H1840 / MAX(FILTER($H$2:$H5067, $D$2:$D5067=$D1840)) * 100, 2))"),63.68)</f>
        <v>63.68</v>
      </c>
      <c r="K1840" s="2"/>
      <c r="L1840" s="49"/>
      <c r="M1840" s="49"/>
      <c r="N1840" s="49"/>
      <c r="O1840" s="49" t="str">
        <f t="shared" si="2"/>
        <v/>
      </c>
      <c r="P1840" s="49" t="str">
        <f t="shared" si="3"/>
        <v/>
      </c>
      <c r="Q1840" s="84"/>
      <c r="R1840" s="84"/>
      <c r="S1840" s="84"/>
      <c r="T1840" s="84"/>
      <c r="U1840" s="84"/>
      <c r="V1840" s="84"/>
      <c r="W1840" s="84"/>
      <c r="X1840" s="84"/>
      <c r="Y1840" s="84"/>
      <c r="Z1840" s="84"/>
      <c r="AA1840" s="84"/>
      <c r="AB1840" s="84"/>
    </row>
    <row r="1841">
      <c r="A1841" s="69">
        <v>123.0</v>
      </c>
      <c r="B1841" s="69">
        <v>188.0</v>
      </c>
      <c r="C1841" s="86" t="s">
        <v>417</v>
      </c>
      <c r="D1841" s="86" t="s">
        <v>418</v>
      </c>
      <c r="E1841" s="86" t="s">
        <v>419</v>
      </c>
      <c r="F1841" s="69">
        <v>4000.0</v>
      </c>
      <c r="G1841" s="69">
        <v>28.06</v>
      </c>
      <c r="H1841" s="68">
        <f t="shared" si="1"/>
        <v>156.72</v>
      </c>
      <c r="I1841" s="81">
        <f>IFERROR(__xludf.DUMMYFUNCTION("IF(G1841="""", """", ROUND(G1841 / MAX(FILTER($G$2:$G5067, $D$2:$D5067=$D1841)) * 100, 2))"),100.0)</f>
        <v>100</v>
      </c>
      <c r="J1841" s="81">
        <f>IFERROR(__xludf.DUMMYFUNCTION("IF(H1841="""", """", ROUND(H1841 / MAX(FILTER($H$2:$H5067, $D$2:$D5067=$D1841)) * 100, 2))"),72.86)</f>
        <v>72.86</v>
      </c>
      <c r="K1841" s="2"/>
      <c r="L1841" s="48"/>
      <c r="M1841" s="48"/>
      <c r="N1841" s="48"/>
      <c r="O1841" s="48" t="str">
        <f t="shared" si="2"/>
        <v/>
      </c>
      <c r="P1841" s="48" t="str">
        <f t="shared" si="3"/>
        <v/>
      </c>
      <c r="Q1841" s="84"/>
      <c r="R1841" s="84"/>
      <c r="S1841" s="84"/>
      <c r="T1841" s="84"/>
      <c r="U1841" s="84"/>
      <c r="V1841" s="84"/>
      <c r="W1841" s="84"/>
      <c r="X1841" s="84"/>
      <c r="Y1841" s="84"/>
      <c r="Z1841" s="84"/>
      <c r="AA1841" s="84"/>
      <c r="AB1841" s="84"/>
    </row>
    <row r="1842">
      <c r="A1842" s="63">
        <v>123.0</v>
      </c>
      <c r="B1842" s="63">
        <v>188.0</v>
      </c>
      <c r="C1842" s="64" t="s">
        <v>417</v>
      </c>
      <c r="D1842" s="64" t="s">
        <v>418</v>
      </c>
      <c r="E1842" s="64" t="s">
        <v>419</v>
      </c>
      <c r="F1842" s="63">
        <v>4500.0</v>
      </c>
      <c r="G1842" s="63">
        <v>28.03</v>
      </c>
      <c r="H1842" s="66">
        <f t="shared" si="1"/>
        <v>176.12</v>
      </c>
      <c r="I1842" s="81">
        <f>IFERROR(__xludf.DUMMYFUNCTION("IF(G1842="""", """", ROUND(G1842 / MAX(FILTER($G$2:$G5067, $D$2:$D5067=$D1842)) * 100, 2))"),99.89)</f>
        <v>99.89</v>
      </c>
      <c r="J1842" s="81">
        <f>IFERROR(__xludf.DUMMYFUNCTION("IF(H1842="""", """", ROUND(H1842 / MAX(FILTER($H$2:$H5067, $D$2:$D5067=$D1842)) * 100, 2))"),81.88)</f>
        <v>81.88</v>
      </c>
      <c r="K1842" s="2"/>
      <c r="L1842" s="49"/>
      <c r="M1842" s="49"/>
      <c r="N1842" s="49"/>
      <c r="O1842" s="49" t="str">
        <f t="shared" si="2"/>
        <v/>
      </c>
      <c r="P1842" s="49" t="str">
        <f t="shared" si="3"/>
        <v/>
      </c>
      <c r="Q1842" s="84"/>
      <c r="R1842" s="84"/>
      <c r="S1842" s="84"/>
      <c r="T1842" s="84"/>
      <c r="U1842" s="84"/>
      <c r="V1842" s="84"/>
      <c r="W1842" s="84"/>
      <c r="X1842" s="84"/>
      <c r="Y1842" s="84"/>
      <c r="Z1842" s="84"/>
      <c r="AA1842" s="84"/>
      <c r="AB1842" s="84"/>
    </row>
    <row r="1843">
      <c r="A1843" s="69">
        <v>123.0</v>
      </c>
      <c r="B1843" s="69">
        <v>188.0</v>
      </c>
      <c r="C1843" s="86" t="s">
        <v>417</v>
      </c>
      <c r="D1843" s="86" t="s">
        <v>418</v>
      </c>
      <c r="E1843" s="86" t="s">
        <v>419</v>
      </c>
      <c r="F1843" s="69">
        <v>5000.0</v>
      </c>
      <c r="G1843" s="69">
        <v>27.83</v>
      </c>
      <c r="H1843" s="68">
        <f t="shared" si="1"/>
        <v>194.29</v>
      </c>
      <c r="I1843" s="81">
        <f>IFERROR(__xludf.DUMMYFUNCTION("IF(G1843="""", """", ROUND(G1843 / MAX(FILTER($G$2:$G5067, $D$2:$D5067=$D1843)) * 100, 2))"),99.18)</f>
        <v>99.18</v>
      </c>
      <c r="J1843" s="81">
        <f>IFERROR(__xludf.DUMMYFUNCTION("IF(H1843="""", """", ROUND(H1843 / MAX(FILTER($H$2:$H5067, $D$2:$D5067=$D1843)) * 100, 2))"),90.33)</f>
        <v>90.33</v>
      </c>
      <c r="K1843" s="2"/>
      <c r="L1843" s="48"/>
      <c r="M1843" s="48"/>
      <c r="N1843" s="48"/>
      <c r="O1843" s="48" t="str">
        <f t="shared" si="2"/>
        <v/>
      </c>
      <c r="P1843" s="48" t="str">
        <f t="shared" si="3"/>
        <v/>
      </c>
      <c r="Q1843" s="84"/>
      <c r="R1843" s="84"/>
      <c r="S1843" s="84"/>
      <c r="T1843" s="84"/>
      <c r="U1843" s="84"/>
      <c r="V1843" s="84"/>
      <c r="W1843" s="84"/>
      <c r="X1843" s="84"/>
      <c r="Y1843" s="84"/>
      <c r="Z1843" s="84"/>
      <c r="AA1843" s="84"/>
      <c r="AB1843" s="84"/>
    </row>
    <row r="1844">
      <c r="A1844" s="63">
        <v>123.0</v>
      </c>
      <c r="B1844" s="63">
        <v>188.0</v>
      </c>
      <c r="C1844" s="64" t="s">
        <v>417</v>
      </c>
      <c r="D1844" s="64" t="s">
        <v>418</v>
      </c>
      <c r="E1844" s="64" t="s">
        <v>419</v>
      </c>
      <c r="F1844" s="63">
        <v>5500.0</v>
      </c>
      <c r="G1844" s="63">
        <v>26.97</v>
      </c>
      <c r="H1844" s="66">
        <f t="shared" si="1"/>
        <v>207.11</v>
      </c>
      <c r="I1844" s="81">
        <f>IFERROR(__xludf.DUMMYFUNCTION("IF(G1844="""", """", ROUND(G1844 / MAX(FILTER($G$2:$G5067, $D$2:$D5067=$D1844)) * 100, 2))"),96.12)</f>
        <v>96.12</v>
      </c>
      <c r="J1844" s="81">
        <f>IFERROR(__xludf.DUMMYFUNCTION("IF(H1844="""", """", ROUND(H1844 / MAX(FILTER($H$2:$H5067, $D$2:$D5067=$D1844)) * 100, 2))"),96.29)</f>
        <v>96.29</v>
      </c>
      <c r="K1844" s="2"/>
      <c r="L1844" s="49"/>
      <c r="M1844" s="49"/>
      <c r="N1844" s="49"/>
      <c r="O1844" s="49" t="str">
        <f t="shared" si="2"/>
        <v/>
      </c>
      <c r="P1844" s="49" t="str">
        <f t="shared" si="3"/>
        <v/>
      </c>
      <c r="Q1844" s="84"/>
      <c r="R1844" s="84"/>
      <c r="S1844" s="84"/>
      <c r="T1844" s="84"/>
      <c r="U1844" s="84"/>
      <c r="V1844" s="84"/>
      <c r="W1844" s="84"/>
      <c r="X1844" s="84"/>
      <c r="Y1844" s="84"/>
      <c r="Z1844" s="84"/>
      <c r="AA1844" s="84"/>
      <c r="AB1844" s="84"/>
    </row>
    <row r="1845">
      <c r="A1845" s="69">
        <v>123.0</v>
      </c>
      <c r="B1845" s="69">
        <v>188.0</v>
      </c>
      <c r="C1845" s="86" t="s">
        <v>417</v>
      </c>
      <c r="D1845" s="86" t="s">
        <v>418</v>
      </c>
      <c r="E1845" s="86" t="s">
        <v>419</v>
      </c>
      <c r="F1845" s="69">
        <v>6000.0</v>
      </c>
      <c r="G1845" s="69">
        <v>25.6</v>
      </c>
      <c r="H1845" s="68">
        <f t="shared" si="1"/>
        <v>214.47</v>
      </c>
      <c r="I1845" s="81">
        <f>IFERROR(__xludf.DUMMYFUNCTION("IF(G1845="""", """", ROUND(G1845 / MAX(FILTER($G$2:$G5067, $D$2:$D5067=$D1845)) * 100, 2))"),91.23)</f>
        <v>91.23</v>
      </c>
      <c r="J1845" s="81">
        <f>IFERROR(__xludf.DUMMYFUNCTION("IF(H1845="""", """", ROUND(H1845 / MAX(FILTER($H$2:$H5067, $D$2:$D5067=$D1845)) * 100, 2))"),99.71)</f>
        <v>99.71</v>
      </c>
      <c r="K1845" s="2"/>
      <c r="L1845" s="48"/>
      <c r="M1845" s="48"/>
      <c r="N1845" s="48"/>
      <c r="O1845" s="48" t="str">
        <f t="shared" si="2"/>
        <v/>
      </c>
      <c r="P1845" s="48" t="str">
        <f t="shared" si="3"/>
        <v/>
      </c>
      <c r="Q1845" s="84"/>
      <c r="R1845" s="84"/>
      <c r="S1845" s="84"/>
      <c r="T1845" s="84"/>
      <c r="U1845" s="84"/>
      <c r="V1845" s="84"/>
      <c r="W1845" s="84"/>
      <c r="X1845" s="84"/>
      <c r="Y1845" s="84"/>
      <c r="Z1845" s="84"/>
      <c r="AA1845" s="84"/>
      <c r="AB1845" s="84"/>
    </row>
    <row r="1846">
      <c r="A1846" s="63">
        <v>123.0</v>
      </c>
      <c r="B1846" s="63">
        <v>188.0</v>
      </c>
      <c r="C1846" s="64" t="s">
        <v>417</v>
      </c>
      <c r="D1846" s="64" t="s">
        <v>418</v>
      </c>
      <c r="E1846" s="64" t="s">
        <v>419</v>
      </c>
      <c r="F1846" s="63">
        <v>6500.0</v>
      </c>
      <c r="G1846" s="63">
        <v>23.7</v>
      </c>
      <c r="H1846" s="66">
        <f t="shared" si="1"/>
        <v>215.09</v>
      </c>
      <c r="I1846" s="81">
        <f>IFERROR(__xludf.DUMMYFUNCTION("IF(G1846="""", """", ROUND(G1846 / MAX(FILTER($G$2:$G5067, $D$2:$D5067=$D1846)) * 100, 2))"),84.46)</f>
        <v>84.46</v>
      </c>
      <c r="J1846" s="81">
        <f>IFERROR(__xludf.DUMMYFUNCTION("IF(H1846="""", """", ROUND(H1846 / MAX(FILTER($H$2:$H5067, $D$2:$D5067=$D1846)) * 100, 2))"),100.0)</f>
        <v>100</v>
      </c>
      <c r="K1846" s="2"/>
      <c r="L1846" s="49"/>
      <c r="M1846" s="49"/>
      <c r="N1846" s="49"/>
      <c r="O1846" s="49" t="str">
        <f t="shared" si="2"/>
        <v/>
      </c>
      <c r="P1846" s="49" t="str">
        <f t="shared" si="3"/>
        <v/>
      </c>
      <c r="Q1846" s="84"/>
      <c r="R1846" s="84"/>
      <c r="S1846" s="84"/>
      <c r="T1846" s="84"/>
      <c r="U1846" s="84"/>
      <c r="V1846" s="84"/>
      <c r="W1846" s="84"/>
      <c r="X1846" s="84"/>
      <c r="Y1846" s="84"/>
      <c r="Z1846" s="84"/>
      <c r="AA1846" s="84"/>
      <c r="AB1846" s="84"/>
    </row>
    <row r="1847">
      <c r="A1847" s="69">
        <v>123.0</v>
      </c>
      <c r="B1847" s="69">
        <v>188.0</v>
      </c>
      <c r="C1847" s="86" t="s">
        <v>417</v>
      </c>
      <c r="D1847" s="86" t="s">
        <v>418</v>
      </c>
      <c r="E1847" s="86" t="s">
        <v>419</v>
      </c>
      <c r="F1847" s="69">
        <v>7000.0</v>
      </c>
      <c r="G1847" s="69">
        <v>21.8</v>
      </c>
      <c r="H1847" s="68">
        <f t="shared" si="1"/>
        <v>213.07</v>
      </c>
      <c r="I1847" s="81">
        <f>IFERROR(__xludf.DUMMYFUNCTION("IF(G1847="""", """", ROUND(G1847 / MAX(FILTER($G$2:$G5067, $D$2:$D5067=$D1847)) * 100, 2))"),77.69)</f>
        <v>77.69</v>
      </c>
      <c r="J1847" s="81">
        <f>IFERROR(__xludf.DUMMYFUNCTION("IF(H1847="""", """", ROUND(H1847 / MAX(FILTER($H$2:$H5067, $D$2:$D5067=$D1847)) * 100, 2))"),99.06)</f>
        <v>99.06</v>
      </c>
      <c r="K1847" s="2"/>
      <c r="L1847" s="48"/>
      <c r="M1847" s="48"/>
      <c r="N1847" s="48"/>
      <c r="O1847" s="48" t="str">
        <f t="shared" si="2"/>
        <v/>
      </c>
      <c r="P1847" s="48" t="str">
        <f t="shared" si="3"/>
        <v/>
      </c>
      <c r="Q1847" s="84"/>
      <c r="R1847" s="84"/>
      <c r="S1847" s="84"/>
      <c r="T1847" s="84"/>
      <c r="U1847" s="84"/>
      <c r="V1847" s="84"/>
      <c r="W1847" s="84"/>
      <c r="X1847" s="84"/>
      <c r="Y1847" s="84"/>
      <c r="Z1847" s="84"/>
      <c r="AA1847" s="84"/>
      <c r="AB1847" s="84"/>
    </row>
    <row r="1848">
      <c r="A1848" s="63">
        <v>123.0</v>
      </c>
      <c r="B1848" s="63">
        <v>188.0</v>
      </c>
      <c r="C1848" s="64" t="s">
        <v>417</v>
      </c>
      <c r="D1848" s="64" t="s">
        <v>418</v>
      </c>
      <c r="E1848" s="64" t="s">
        <v>419</v>
      </c>
      <c r="F1848" s="63">
        <v>7500.0</v>
      </c>
      <c r="G1848" s="63">
        <v>19.53</v>
      </c>
      <c r="H1848" s="66">
        <f t="shared" si="1"/>
        <v>204.52</v>
      </c>
      <c r="I1848" s="81">
        <f>IFERROR(__xludf.DUMMYFUNCTION("IF(G1848="""", """", ROUND(G1848 / MAX(FILTER($G$2:$G5067, $D$2:$D5067=$D1848)) * 100, 2))"),69.6)</f>
        <v>69.6</v>
      </c>
      <c r="J1848" s="81">
        <f>IFERROR(__xludf.DUMMYFUNCTION("IF(H1848="""", """", ROUND(H1848 / MAX(FILTER($H$2:$H5067, $D$2:$D5067=$D1848)) * 100, 2))"),95.09)</f>
        <v>95.09</v>
      </c>
      <c r="K1848" s="2"/>
      <c r="L1848" s="49"/>
      <c r="M1848" s="49"/>
      <c r="N1848" s="49"/>
      <c r="O1848" s="49" t="str">
        <f t="shared" si="2"/>
        <v/>
      </c>
      <c r="P1848" s="49" t="str">
        <f t="shared" si="3"/>
        <v/>
      </c>
      <c r="Q1848" s="84"/>
      <c r="R1848" s="84"/>
      <c r="S1848" s="84"/>
      <c r="T1848" s="84"/>
      <c r="U1848" s="84"/>
      <c r="V1848" s="84"/>
      <c r="W1848" s="84"/>
      <c r="X1848" s="84"/>
      <c r="Y1848" s="84"/>
      <c r="Z1848" s="84"/>
      <c r="AA1848" s="84"/>
      <c r="AB1848" s="84"/>
    </row>
    <row r="1849">
      <c r="A1849" s="69">
        <v>124.0</v>
      </c>
      <c r="B1849" s="69">
        <v>189.0</v>
      </c>
      <c r="C1849" s="86" t="s">
        <v>420</v>
      </c>
      <c r="D1849" s="86" t="s">
        <v>421</v>
      </c>
      <c r="E1849" s="86" t="s">
        <v>422</v>
      </c>
      <c r="F1849" s="69">
        <v>500.0</v>
      </c>
      <c r="G1849" s="69">
        <v>19.1</v>
      </c>
      <c r="H1849" s="68">
        <f t="shared" si="1"/>
        <v>13.33</v>
      </c>
      <c r="I1849" s="81">
        <f>IFERROR(__xludf.DUMMYFUNCTION("IF(G1849="""", """", ROUND(G1849 / MAX(FILTER($G$2:$G5067, $D$2:$D5067=$D1849)) * 100, 2))"),34.73)</f>
        <v>34.73</v>
      </c>
      <c r="J1849" s="81">
        <f>IFERROR(__xludf.DUMMYFUNCTION("IF(H1849="""", """", ROUND(H1849 / MAX(FILTER($H$2:$H5067, $D$2:$D5067=$D1849)) * 100, 2))"),4.34)</f>
        <v>4.34</v>
      </c>
      <c r="K1849" s="2"/>
      <c r="L1849" s="48"/>
      <c r="M1849" s="48"/>
      <c r="N1849" s="48"/>
      <c r="O1849" s="48" t="str">
        <f t="shared" si="2"/>
        <v/>
      </c>
      <c r="P1849" s="48" t="str">
        <f t="shared" si="3"/>
        <v/>
      </c>
      <c r="Q1849" s="84"/>
      <c r="R1849" s="84"/>
      <c r="S1849" s="84"/>
      <c r="T1849" s="84"/>
      <c r="U1849" s="84"/>
      <c r="V1849" s="84"/>
      <c r="W1849" s="84"/>
      <c r="X1849" s="84"/>
      <c r="Y1849" s="84"/>
      <c r="Z1849" s="84"/>
      <c r="AA1849" s="84"/>
      <c r="AB1849" s="84"/>
    </row>
    <row r="1850">
      <c r="A1850" s="63">
        <v>124.0</v>
      </c>
      <c r="B1850" s="63">
        <v>189.0</v>
      </c>
      <c r="C1850" s="64" t="s">
        <v>420</v>
      </c>
      <c r="D1850" s="64" t="s">
        <v>421</v>
      </c>
      <c r="E1850" s="64" t="s">
        <v>422</v>
      </c>
      <c r="F1850" s="63">
        <v>1000.0</v>
      </c>
      <c r="G1850" s="63">
        <v>23.4</v>
      </c>
      <c r="H1850" s="66">
        <f t="shared" si="1"/>
        <v>32.67</v>
      </c>
      <c r="I1850" s="81">
        <f>IFERROR(__xludf.DUMMYFUNCTION("IF(G1850="""", """", ROUND(G1850 / MAX(FILTER($G$2:$G5067, $D$2:$D5067=$D1850)) * 100, 2))"),42.55)</f>
        <v>42.55</v>
      </c>
      <c r="J1850" s="81">
        <f>IFERROR(__xludf.DUMMYFUNCTION("IF(H1850="""", """", ROUND(H1850 / MAX(FILTER($H$2:$H5067, $D$2:$D5067=$D1850)) * 100, 2))"),10.64)</f>
        <v>10.64</v>
      </c>
      <c r="K1850" s="2"/>
      <c r="L1850" s="49"/>
      <c r="M1850" s="49"/>
      <c r="N1850" s="49"/>
      <c r="O1850" s="49" t="str">
        <f t="shared" si="2"/>
        <v/>
      </c>
      <c r="P1850" s="49" t="str">
        <f t="shared" si="3"/>
        <v/>
      </c>
      <c r="Q1850" s="84"/>
      <c r="R1850" s="84"/>
      <c r="S1850" s="84"/>
      <c r="T1850" s="84"/>
      <c r="U1850" s="84"/>
      <c r="V1850" s="84"/>
      <c r="W1850" s="84"/>
      <c r="X1850" s="84"/>
      <c r="Y1850" s="84"/>
      <c r="Z1850" s="84"/>
      <c r="AA1850" s="84"/>
      <c r="AB1850" s="84"/>
    </row>
    <row r="1851">
      <c r="A1851" s="69">
        <v>124.0</v>
      </c>
      <c r="B1851" s="69">
        <v>189.0</v>
      </c>
      <c r="C1851" s="86" t="s">
        <v>420</v>
      </c>
      <c r="D1851" s="86" t="s">
        <v>421</v>
      </c>
      <c r="E1851" s="86" t="s">
        <v>422</v>
      </c>
      <c r="F1851" s="69">
        <v>1500.0</v>
      </c>
      <c r="G1851" s="69">
        <v>34.55</v>
      </c>
      <c r="H1851" s="68">
        <f t="shared" si="1"/>
        <v>72.36</v>
      </c>
      <c r="I1851" s="81">
        <f>IFERROR(__xludf.DUMMYFUNCTION("IF(G1851="""", """", ROUND(G1851 / MAX(FILTER($G$2:$G5067, $D$2:$D5067=$D1851)) * 100, 2))"),62.82)</f>
        <v>62.82</v>
      </c>
      <c r="J1851" s="81">
        <f>IFERROR(__xludf.DUMMYFUNCTION("IF(H1851="""", """", ROUND(H1851 / MAX(FILTER($H$2:$H5067, $D$2:$D5067=$D1851)) * 100, 2))"),23.56)</f>
        <v>23.56</v>
      </c>
      <c r="K1851" s="2"/>
      <c r="L1851" s="48"/>
      <c r="M1851" s="48"/>
      <c r="N1851" s="48"/>
      <c r="O1851" s="48" t="str">
        <f t="shared" si="2"/>
        <v/>
      </c>
      <c r="P1851" s="48" t="str">
        <f t="shared" si="3"/>
        <v/>
      </c>
      <c r="Q1851" s="84"/>
      <c r="R1851" s="84"/>
      <c r="S1851" s="84"/>
      <c r="T1851" s="84"/>
      <c r="U1851" s="84"/>
      <c r="V1851" s="84"/>
      <c r="W1851" s="84"/>
      <c r="X1851" s="84"/>
      <c r="Y1851" s="84"/>
      <c r="Z1851" s="84"/>
      <c r="AA1851" s="84"/>
      <c r="AB1851" s="84"/>
    </row>
    <row r="1852">
      <c r="A1852" s="63">
        <v>124.0</v>
      </c>
      <c r="B1852" s="63">
        <v>189.0</v>
      </c>
      <c r="C1852" s="64" t="s">
        <v>420</v>
      </c>
      <c r="D1852" s="64" t="s">
        <v>421</v>
      </c>
      <c r="E1852" s="64" t="s">
        <v>422</v>
      </c>
      <c r="F1852" s="63">
        <v>2000.0</v>
      </c>
      <c r="G1852" s="63">
        <v>43.5</v>
      </c>
      <c r="H1852" s="66">
        <f t="shared" si="1"/>
        <v>121.47</v>
      </c>
      <c r="I1852" s="81">
        <f>IFERROR(__xludf.DUMMYFUNCTION("IF(G1852="""", """", ROUND(G1852 / MAX(FILTER($G$2:$G5067, $D$2:$D5067=$D1852)) * 100, 2))"),79.09)</f>
        <v>79.09</v>
      </c>
      <c r="J1852" s="81">
        <f>IFERROR(__xludf.DUMMYFUNCTION("IF(H1852="""", """", ROUND(H1852 / MAX(FILTER($H$2:$H5067, $D$2:$D5067=$D1852)) * 100, 2))"),39.54)</f>
        <v>39.54</v>
      </c>
      <c r="K1852" s="2"/>
      <c r="L1852" s="49"/>
      <c r="M1852" s="49"/>
      <c r="N1852" s="49"/>
      <c r="O1852" s="49" t="str">
        <f t="shared" si="2"/>
        <v/>
      </c>
      <c r="P1852" s="49" t="str">
        <f t="shared" si="3"/>
        <v/>
      </c>
      <c r="Q1852" s="84"/>
      <c r="R1852" s="84"/>
      <c r="S1852" s="84"/>
      <c r="T1852" s="84"/>
      <c r="U1852" s="84"/>
      <c r="V1852" s="84"/>
      <c r="W1852" s="84"/>
      <c r="X1852" s="84"/>
      <c r="Y1852" s="84"/>
      <c r="Z1852" s="84"/>
      <c r="AA1852" s="84"/>
      <c r="AB1852" s="84"/>
    </row>
    <row r="1853">
      <c r="A1853" s="69">
        <v>124.0</v>
      </c>
      <c r="B1853" s="69">
        <v>189.0</v>
      </c>
      <c r="C1853" s="86" t="s">
        <v>420</v>
      </c>
      <c r="D1853" s="86" t="s">
        <v>421</v>
      </c>
      <c r="E1853" s="86" t="s">
        <v>422</v>
      </c>
      <c r="F1853" s="69">
        <v>2500.0</v>
      </c>
      <c r="G1853" s="69">
        <v>51.2</v>
      </c>
      <c r="H1853" s="68">
        <f t="shared" si="1"/>
        <v>178.72</v>
      </c>
      <c r="I1853" s="81">
        <f>IFERROR(__xludf.DUMMYFUNCTION("IF(G1853="""", """", ROUND(G1853 / MAX(FILTER($G$2:$G5067, $D$2:$D5067=$D1853)) * 100, 2))"),93.09)</f>
        <v>93.09</v>
      </c>
      <c r="J1853" s="81">
        <f>IFERROR(__xludf.DUMMYFUNCTION("IF(H1853="""", """", ROUND(H1853 / MAX(FILTER($H$2:$H5067, $D$2:$D5067=$D1853)) * 100, 2))"),58.18)</f>
        <v>58.18</v>
      </c>
      <c r="K1853" s="2"/>
      <c r="L1853" s="48"/>
      <c r="M1853" s="48"/>
      <c r="N1853" s="48"/>
      <c r="O1853" s="48" t="str">
        <f t="shared" si="2"/>
        <v/>
      </c>
      <c r="P1853" s="48" t="str">
        <f t="shared" si="3"/>
        <v/>
      </c>
      <c r="Q1853" s="84"/>
      <c r="R1853" s="84"/>
      <c r="S1853" s="84"/>
      <c r="T1853" s="84"/>
      <c r="U1853" s="84"/>
      <c r="V1853" s="84"/>
      <c r="W1853" s="84"/>
      <c r="X1853" s="84"/>
      <c r="Y1853" s="84"/>
      <c r="Z1853" s="84"/>
      <c r="AA1853" s="84"/>
      <c r="AB1853" s="84"/>
    </row>
    <row r="1854">
      <c r="A1854" s="63">
        <v>124.0</v>
      </c>
      <c r="B1854" s="63">
        <v>189.0</v>
      </c>
      <c r="C1854" s="64" t="s">
        <v>420</v>
      </c>
      <c r="D1854" s="64" t="s">
        <v>421</v>
      </c>
      <c r="E1854" s="64" t="s">
        <v>422</v>
      </c>
      <c r="F1854" s="63">
        <v>3000.0</v>
      </c>
      <c r="G1854" s="63">
        <v>54.65</v>
      </c>
      <c r="H1854" s="66">
        <f t="shared" si="1"/>
        <v>228.92</v>
      </c>
      <c r="I1854" s="81">
        <f>IFERROR(__xludf.DUMMYFUNCTION("IF(G1854="""", """", ROUND(G1854 / MAX(FILTER($G$2:$G5067, $D$2:$D5067=$D1854)) * 100, 2))"),99.36)</f>
        <v>99.36</v>
      </c>
      <c r="J1854" s="81">
        <f>IFERROR(__xludf.DUMMYFUNCTION("IF(H1854="""", """", ROUND(H1854 / MAX(FILTER($H$2:$H5067, $D$2:$D5067=$D1854)) * 100, 2))"),74.52)</f>
        <v>74.52</v>
      </c>
      <c r="K1854" s="2"/>
      <c r="L1854" s="49"/>
      <c r="M1854" s="49"/>
      <c r="N1854" s="49"/>
      <c r="O1854" s="49" t="str">
        <f t="shared" si="2"/>
        <v/>
      </c>
      <c r="P1854" s="49" t="str">
        <f t="shared" si="3"/>
        <v/>
      </c>
      <c r="Q1854" s="84"/>
      <c r="R1854" s="84"/>
      <c r="S1854" s="84"/>
      <c r="T1854" s="84"/>
      <c r="U1854" s="84"/>
      <c r="V1854" s="84"/>
      <c r="W1854" s="84"/>
      <c r="X1854" s="84"/>
      <c r="Y1854" s="84"/>
      <c r="Z1854" s="84"/>
      <c r="AA1854" s="84"/>
      <c r="AB1854" s="84"/>
    </row>
    <row r="1855">
      <c r="A1855" s="69">
        <v>124.0</v>
      </c>
      <c r="B1855" s="69">
        <v>189.0</v>
      </c>
      <c r="C1855" s="86" t="s">
        <v>420</v>
      </c>
      <c r="D1855" s="86" t="s">
        <v>421</v>
      </c>
      <c r="E1855" s="86" t="s">
        <v>422</v>
      </c>
      <c r="F1855" s="69">
        <v>3500.0</v>
      </c>
      <c r="G1855" s="69">
        <v>55.0</v>
      </c>
      <c r="H1855" s="68">
        <f t="shared" si="1"/>
        <v>268.78</v>
      </c>
      <c r="I1855" s="81">
        <f>IFERROR(__xludf.DUMMYFUNCTION("IF(G1855="""", """", ROUND(G1855 / MAX(FILTER($G$2:$G5067, $D$2:$D5067=$D1855)) * 100, 2))"),100.0)</f>
        <v>100</v>
      </c>
      <c r="J1855" s="81">
        <f>IFERROR(__xludf.DUMMYFUNCTION("IF(H1855="""", """", ROUND(H1855 / MAX(FILTER($H$2:$H5067, $D$2:$D5067=$D1855)) * 100, 2))"),87.5)</f>
        <v>87.5</v>
      </c>
      <c r="K1855" s="2"/>
      <c r="L1855" s="48"/>
      <c r="M1855" s="48"/>
      <c r="N1855" s="48"/>
      <c r="O1855" s="48" t="str">
        <f t="shared" si="2"/>
        <v/>
      </c>
      <c r="P1855" s="48" t="str">
        <f t="shared" si="3"/>
        <v/>
      </c>
      <c r="Q1855" s="84"/>
      <c r="R1855" s="84"/>
      <c r="S1855" s="84"/>
      <c r="T1855" s="84"/>
      <c r="U1855" s="84"/>
      <c r="V1855" s="84"/>
      <c r="W1855" s="84"/>
      <c r="X1855" s="84"/>
      <c r="Y1855" s="84"/>
      <c r="Z1855" s="84"/>
      <c r="AA1855" s="84"/>
      <c r="AB1855" s="84"/>
    </row>
    <row r="1856">
      <c r="A1856" s="63">
        <v>124.0</v>
      </c>
      <c r="B1856" s="63">
        <v>189.0</v>
      </c>
      <c r="C1856" s="64" t="s">
        <v>420</v>
      </c>
      <c r="D1856" s="64" t="s">
        <v>421</v>
      </c>
      <c r="E1856" s="64" t="s">
        <v>422</v>
      </c>
      <c r="F1856" s="63">
        <v>4000.0</v>
      </c>
      <c r="G1856" s="63">
        <v>51.35</v>
      </c>
      <c r="H1856" s="66">
        <f t="shared" si="1"/>
        <v>286.79</v>
      </c>
      <c r="I1856" s="81">
        <f>IFERROR(__xludf.DUMMYFUNCTION("IF(G1856="""", """", ROUND(G1856 / MAX(FILTER($G$2:$G5067, $D$2:$D5067=$D1856)) * 100, 2))"),93.36)</f>
        <v>93.36</v>
      </c>
      <c r="J1856" s="81">
        <f>IFERROR(__xludf.DUMMYFUNCTION("IF(H1856="""", """", ROUND(H1856 / MAX(FILTER($H$2:$H5067, $D$2:$D5067=$D1856)) * 100, 2))"),93.36)</f>
        <v>93.36</v>
      </c>
      <c r="K1856" s="2"/>
      <c r="L1856" s="49"/>
      <c r="M1856" s="49"/>
      <c r="N1856" s="49"/>
      <c r="O1856" s="49" t="str">
        <f t="shared" si="2"/>
        <v/>
      </c>
      <c r="P1856" s="49" t="str">
        <f t="shared" si="3"/>
        <v/>
      </c>
      <c r="Q1856" s="84"/>
      <c r="R1856" s="84"/>
      <c r="S1856" s="84"/>
      <c r="T1856" s="84"/>
      <c r="U1856" s="84"/>
      <c r="V1856" s="84"/>
      <c r="W1856" s="84"/>
      <c r="X1856" s="84"/>
      <c r="Y1856" s="84"/>
      <c r="Z1856" s="84"/>
      <c r="AA1856" s="84"/>
      <c r="AB1856" s="84"/>
    </row>
    <row r="1857">
      <c r="A1857" s="69">
        <v>124.0</v>
      </c>
      <c r="B1857" s="69">
        <v>189.0</v>
      </c>
      <c r="C1857" s="86" t="s">
        <v>420</v>
      </c>
      <c r="D1857" s="86" t="s">
        <v>421</v>
      </c>
      <c r="E1857" s="86" t="s">
        <v>422</v>
      </c>
      <c r="F1857" s="69">
        <v>4500.0</v>
      </c>
      <c r="G1857" s="69">
        <v>47.65</v>
      </c>
      <c r="H1857" s="68">
        <f t="shared" si="1"/>
        <v>299.39</v>
      </c>
      <c r="I1857" s="81">
        <f>IFERROR(__xludf.DUMMYFUNCTION("IF(G1857="""", """", ROUND(G1857 / MAX(FILTER($G$2:$G5067, $D$2:$D5067=$D1857)) * 100, 2))"),86.64)</f>
        <v>86.64</v>
      </c>
      <c r="J1857" s="81">
        <f>IFERROR(__xludf.DUMMYFUNCTION("IF(H1857="""", """", ROUND(H1857 / MAX(FILTER($H$2:$H5067, $D$2:$D5067=$D1857)) * 100, 2))"),97.46)</f>
        <v>97.46</v>
      </c>
      <c r="K1857" s="2"/>
      <c r="L1857" s="48"/>
      <c r="M1857" s="48"/>
      <c r="N1857" s="48"/>
      <c r="O1857" s="48" t="str">
        <f t="shared" si="2"/>
        <v/>
      </c>
      <c r="P1857" s="48" t="str">
        <f t="shared" si="3"/>
        <v/>
      </c>
      <c r="Q1857" s="84"/>
      <c r="R1857" s="84"/>
      <c r="S1857" s="84"/>
      <c r="T1857" s="84"/>
      <c r="U1857" s="84"/>
      <c r="V1857" s="84"/>
      <c r="W1857" s="84"/>
      <c r="X1857" s="84"/>
      <c r="Y1857" s="84"/>
      <c r="Z1857" s="84"/>
      <c r="AA1857" s="84"/>
      <c r="AB1857" s="84"/>
    </row>
    <row r="1858">
      <c r="A1858" s="63">
        <v>124.0</v>
      </c>
      <c r="B1858" s="63">
        <v>189.0</v>
      </c>
      <c r="C1858" s="64" t="s">
        <v>420</v>
      </c>
      <c r="D1858" s="64" t="s">
        <v>421</v>
      </c>
      <c r="E1858" s="64" t="s">
        <v>422</v>
      </c>
      <c r="F1858" s="63">
        <v>5000.0</v>
      </c>
      <c r="G1858" s="63">
        <v>43.95</v>
      </c>
      <c r="H1858" s="66">
        <f t="shared" si="1"/>
        <v>306.83</v>
      </c>
      <c r="I1858" s="81">
        <f>IFERROR(__xludf.DUMMYFUNCTION("IF(G1858="""", """", ROUND(G1858 / MAX(FILTER($G$2:$G5067, $D$2:$D5067=$D1858)) * 100, 2))"),79.91)</f>
        <v>79.91</v>
      </c>
      <c r="J1858" s="81">
        <f>IFERROR(__xludf.DUMMYFUNCTION("IF(H1858="""", """", ROUND(H1858 / MAX(FILTER($H$2:$H5067, $D$2:$D5067=$D1858)) * 100, 2))"),99.89)</f>
        <v>99.89</v>
      </c>
      <c r="K1858" s="2"/>
      <c r="L1858" s="49"/>
      <c r="M1858" s="49"/>
      <c r="N1858" s="49"/>
      <c r="O1858" s="49" t="str">
        <f t="shared" si="2"/>
        <v/>
      </c>
      <c r="P1858" s="49" t="str">
        <f t="shared" si="3"/>
        <v/>
      </c>
      <c r="Q1858" s="84"/>
      <c r="R1858" s="84"/>
      <c r="S1858" s="84"/>
      <c r="T1858" s="84"/>
      <c r="U1858" s="84"/>
      <c r="V1858" s="84"/>
      <c r="W1858" s="84"/>
      <c r="X1858" s="84"/>
      <c r="Y1858" s="84"/>
      <c r="Z1858" s="84"/>
      <c r="AA1858" s="84"/>
      <c r="AB1858" s="84"/>
    </row>
    <row r="1859">
      <c r="A1859" s="69">
        <v>124.0</v>
      </c>
      <c r="B1859" s="69">
        <v>189.0</v>
      </c>
      <c r="C1859" s="86" t="s">
        <v>420</v>
      </c>
      <c r="D1859" s="86" t="s">
        <v>421</v>
      </c>
      <c r="E1859" s="86" t="s">
        <v>422</v>
      </c>
      <c r="F1859" s="69">
        <v>5500.0</v>
      </c>
      <c r="G1859" s="69">
        <v>40.0</v>
      </c>
      <c r="H1859" s="68">
        <f t="shared" si="1"/>
        <v>307.18</v>
      </c>
      <c r="I1859" s="81">
        <f>IFERROR(__xludf.DUMMYFUNCTION("IF(G1859="""", """", ROUND(G1859 / MAX(FILTER($G$2:$G5067, $D$2:$D5067=$D1859)) * 100, 2))"),72.73)</f>
        <v>72.73</v>
      </c>
      <c r="J1859" s="81">
        <f>IFERROR(__xludf.DUMMYFUNCTION("IF(H1859="""", """", ROUND(H1859 / MAX(FILTER($H$2:$H5067, $D$2:$D5067=$D1859)) * 100, 2))"),100.0)</f>
        <v>100</v>
      </c>
      <c r="K1859" s="2"/>
      <c r="L1859" s="48"/>
      <c r="M1859" s="48"/>
      <c r="N1859" s="48"/>
      <c r="O1859" s="48" t="str">
        <f t="shared" si="2"/>
        <v/>
      </c>
      <c r="P1859" s="48" t="str">
        <f t="shared" si="3"/>
        <v/>
      </c>
      <c r="Q1859" s="84"/>
      <c r="R1859" s="84"/>
      <c r="S1859" s="84"/>
      <c r="T1859" s="84"/>
      <c r="U1859" s="84"/>
      <c r="V1859" s="84"/>
      <c r="W1859" s="84"/>
      <c r="X1859" s="84"/>
      <c r="Y1859" s="84"/>
      <c r="Z1859" s="84"/>
      <c r="AA1859" s="84"/>
      <c r="AB1859" s="84"/>
    </row>
    <row r="1860">
      <c r="A1860" s="63">
        <v>124.0</v>
      </c>
      <c r="B1860" s="63">
        <v>189.0</v>
      </c>
      <c r="C1860" s="64" t="s">
        <v>420</v>
      </c>
      <c r="D1860" s="64" t="s">
        <v>421</v>
      </c>
      <c r="E1860" s="64" t="s">
        <v>422</v>
      </c>
      <c r="F1860" s="63">
        <v>6000.0</v>
      </c>
      <c r="G1860" s="63">
        <v>35.9</v>
      </c>
      <c r="H1860" s="66">
        <f t="shared" si="1"/>
        <v>300.75</v>
      </c>
      <c r="I1860" s="81">
        <f>IFERROR(__xludf.DUMMYFUNCTION("IF(G1860="""", """", ROUND(G1860 / MAX(FILTER($G$2:$G5067, $D$2:$D5067=$D1860)) * 100, 2))"),65.27)</f>
        <v>65.27</v>
      </c>
      <c r="J1860" s="81">
        <f>IFERROR(__xludf.DUMMYFUNCTION("IF(H1860="""", """", ROUND(H1860 / MAX(FILTER($H$2:$H5067, $D$2:$D5067=$D1860)) * 100, 2))"),97.91)</f>
        <v>97.91</v>
      </c>
      <c r="K1860" s="2"/>
      <c r="L1860" s="49"/>
      <c r="M1860" s="49"/>
      <c r="N1860" s="49"/>
      <c r="O1860" s="49" t="str">
        <f t="shared" si="2"/>
        <v/>
      </c>
      <c r="P1860" s="49" t="str">
        <f t="shared" si="3"/>
        <v/>
      </c>
      <c r="Q1860" s="84"/>
      <c r="R1860" s="84"/>
      <c r="S1860" s="84"/>
      <c r="T1860" s="84"/>
      <c r="U1860" s="84"/>
      <c r="V1860" s="84"/>
      <c r="W1860" s="84"/>
      <c r="X1860" s="84"/>
      <c r="Y1860" s="84"/>
      <c r="Z1860" s="84"/>
      <c r="AA1860" s="84"/>
      <c r="AB1860" s="84"/>
    </row>
    <row r="1861">
      <c r="A1861" s="69">
        <v>124.0</v>
      </c>
      <c r="B1861" s="69">
        <v>189.0</v>
      </c>
      <c r="C1861" s="86" t="s">
        <v>420</v>
      </c>
      <c r="D1861" s="86" t="s">
        <v>421</v>
      </c>
      <c r="E1861" s="86" t="s">
        <v>422</v>
      </c>
      <c r="F1861" s="69">
        <v>6500.0</v>
      </c>
      <c r="G1861" s="69">
        <v>31.55</v>
      </c>
      <c r="H1861" s="68">
        <f t="shared" si="1"/>
        <v>286.34</v>
      </c>
      <c r="I1861" s="81">
        <f>IFERROR(__xludf.DUMMYFUNCTION("IF(G1861="""", """", ROUND(G1861 / MAX(FILTER($G$2:$G5067, $D$2:$D5067=$D1861)) * 100, 2))"),57.36)</f>
        <v>57.36</v>
      </c>
      <c r="J1861" s="81">
        <f>IFERROR(__xludf.DUMMYFUNCTION("IF(H1861="""", """", ROUND(H1861 / MAX(FILTER($H$2:$H5067, $D$2:$D5067=$D1861)) * 100, 2))"),93.22)</f>
        <v>93.22</v>
      </c>
      <c r="K1861" s="2"/>
      <c r="L1861" s="48"/>
      <c r="M1861" s="48"/>
      <c r="N1861" s="48"/>
      <c r="O1861" s="48" t="str">
        <f t="shared" si="2"/>
        <v/>
      </c>
      <c r="P1861" s="48" t="str">
        <f t="shared" si="3"/>
        <v/>
      </c>
      <c r="Q1861" s="84"/>
      <c r="R1861" s="84"/>
      <c r="S1861" s="84"/>
      <c r="T1861" s="84"/>
      <c r="U1861" s="84"/>
      <c r="V1861" s="84"/>
      <c r="W1861" s="84"/>
      <c r="X1861" s="84"/>
      <c r="Y1861" s="84"/>
      <c r="Z1861" s="84"/>
      <c r="AA1861" s="84"/>
      <c r="AB1861" s="84"/>
    </row>
    <row r="1862">
      <c r="A1862" s="63">
        <v>124.0</v>
      </c>
      <c r="B1862" s="63">
        <v>189.0</v>
      </c>
      <c r="C1862" s="64" t="s">
        <v>420</v>
      </c>
      <c r="D1862" s="64" t="s">
        <v>421</v>
      </c>
      <c r="E1862" s="64" t="s">
        <v>422</v>
      </c>
      <c r="F1862" s="63">
        <v>7000.0</v>
      </c>
      <c r="G1862" s="63">
        <v>26.7</v>
      </c>
      <c r="H1862" s="66">
        <f t="shared" si="1"/>
        <v>260.96</v>
      </c>
      <c r="I1862" s="81">
        <f>IFERROR(__xludf.DUMMYFUNCTION("IF(G1862="""", """", ROUND(G1862 / MAX(FILTER($G$2:$G5067, $D$2:$D5067=$D1862)) * 100, 2))"),48.55)</f>
        <v>48.55</v>
      </c>
      <c r="J1862" s="81">
        <f>IFERROR(__xludf.DUMMYFUNCTION("IF(H1862="""", """", ROUND(H1862 / MAX(FILTER($H$2:$H5067, $D$2:$D5067=$D1862)) * 100, 2))"),84.95)</f>
        <v>84.95</v>
      </c>
      <c r="K1862" s="2"/>
      <c r="L1862" s="49"/>
      <c r="M1862" s="49"/>
      <c r="N1862" s="49"/>
      <c r="O1862" s="49" t="str">
        <f t="shared" si="2"/>
        <v/>
      </c>
      <c r="P1862" s="49" t="str">
        <f t="shared" si="3"/>
        <v/>
      </c>
      <c r="Q1862" s="84"/>
      <c r="R1862" s="84"/>
      <c r="S1862" s="84"/>
      <c r="T1862" s="84"/>
      <c r="U1862" s="84"/>
      <c r="V1862" s="84"/>
      <c r="W1862" s="84"/>
      <c r="X1862" s="84"/>
      <c r="Y1862" s="84"/>
      <c r="Z1862" s="84"/>
      <c r="AA1862" s="84"/>
      <c r="AB1862" s="84"/>
    </row>
    <row r="1863">
      <c r="A1863" s="69">
        <v>124.0</v>
      </c>
      <c r="B1863" s="69">
        <v>189.0</v>
      </c>
      <c r="C1863" s="86" t="s">
        <v>420</v>
      </c>
      <c r="D1863" s="86" t="s">
        <v>421</v>
      </c>
      <c r="E1863" s="86" t="s">
        <v>422</v>
      </c>
      <c r="F1863" s="69">
        <v>7500.0</v>
      </c>
      <c r="G1863" s="69">
        <v>12.0</v>
      </c>
      <c r="H1863" s="68">
        <f t="shared" si="1"/>
        <v>125.66</v>
      </c>
      <c r="I1863" s="81">
        <f>IFERROR(__xludf.DUMMYFUNCTION("IF(G1863="""", """", ROUND(G1863 / MAX(FILTER($G$2:$G5067, $D$2:$D5067=$D1863)) * 100, 2))"),21.82)</f>
        <v>21.82</v>
      </c>
      <c r="J1863" s="81">
        <f>IFERROR(__xludf.DUMMYFUNCTION("IF(H1863="""", """", ROUND(H1863 / MAX(FILTER($H$2:$H5067, $D$2:$D5067=$D1863)) * 100, 2))"),40.91)</f>
        <v>40.91</v>
      </c>
      <c r="K1863" s="2"/>
      <c r="L1863" s="48"/>
      <c r="M1863" s="48"/>
      <c r="N1863" s="48"/>
      <c r="O1863" s="48" t="str">
        <f t="shared" si="2"/>
        <v/>
      </c>
      <c r="P1863" s="48" t="str">
        <f t="shared" si="3"/>
        <v/>
      </c>
      <c r="Q1863" s="84"/>
      <c r="R1863" s="84"/>
      <c r="S1863" s="84"/>
      <c r="T1863" s="84"/>
      <c r="U1863" s="84"/>
      <c r="V1863" s="84"/>
      <c r="W1863" s="84"/>
      <c r="X1863" s="84"/>
      <c r="Y1863" s="84"/>
      <c r="Z1863" s="84"/>
      <c r="AA1863" s="84"/>
      <c r="AB1863" s="84"/>
    </row>
    <row r="1864">
      <c r="A1864" s="63">
        <v>125.0</v>
      </c>
      <c r="B1864" s="63">
        <v>190.0</v>
      </c>
      <c r="C1864" s="64" t="s">
        <v>423</v>
      </c>
      <c r="D1864" s="64" t="s">
        <v>424</v>
      </c>
      <c r="E1864" s="64" t="s">
        <v>425</v>
      </c>
      <c r="F1864" s="63">
        <v>500.0</v>
      </c>
      <c r="G1864" s="63">
        <v>16.4</v>
      </c>
      <c r="H1864" s="66">
        <f t="shared" si="1"/>
        <v>11.45</v>
      </c>
      <c r="I1864" s="81">
        <f>IFERROR(__xludf.DUMMYFUNCTION("IF(G1864="""", """", ROUND(G1864 / MAX(FILTER($G$2:$G5067, $D$2:$D5067=$D1864)) * 100, 2))"),30.37)</f>
        <v>30.37</v>
      </c>
      <c r="J1864" s="81">
        <f>IFERROR(__xludf.DUMMYFUNCTION("IF(H1864="""", """", ROUND(H1864 / MAX(FILTER($H$2:$H5067, $D$2:$D5067=$D1864)) * 100, 2))"),3.81)</f>
        <v>3.81</v>
      </c>
      <c r="K1864" s="2"/>
      <c r="L1864" s="49"/>
      <c r="M1864" s="49"/>
      <c r="N1864" s="49"/>
      <c r="O1864" s="49" t="str">
        <f t="shared" si="2"/>
        <v/>
      </c>
      <c r="P1864" s="49" t="str">
        <f t="shared" si="3"/>
        <v/>
      </c>
      <c r="Q1864" s="84"/>
      <c r="R1864" s="84"/>
      <c r="S1864" s="84"/>
      <c r="T1864" s="84"/>
      <c r="U1864" s="84"/>
      <c r="V1864" s="84"/>
      <c r="W1864" s="84"/>
      <c r="X1864" s="84"/>
      <c r="Y1864" s="84"/>
      <c r="Z1864" s="84"/>
      <c r="AA1864" s="84"/>
      <c r="AB1864" s="84"/>
    </row>
    <row r="1865">
      <c r="A1865" s="69">
        <v>125.0</v>
      </c>
      <c r="B1865" s="69">
        <v>190.0</v>
      </c>
      <c r="C1865" s="86" t="s">
        <v>423</v>
      </c>
      <c r="D1865" s="86" t="s">
        <v>424</v>
      </c>
      <c r="E1865" s="86" t="s">
        <v>425</v>
      </c>
      <c r="F1865" s="69">
        <v>1000.0</v>
      </c>
      <c r="G1865" s="69">
        <v>17.7</v>
      </c>
      <c r="H1865" s="68">
        <f t="shared" si="1"/>
        <v>24.71</v>
      </c>
      <c r="I1865" s="81">
        <f>IFERROR(__xludf.DUMMYFUNCTION("IF(G1865="""", """", ROUND(G1865 / MAX(FILTER($G$2:$G5067, $D$2:$D5067=$D1865)) * 100, 2))"),32.78)</f>
        <v>32.78</v>
      </c>
      <c r="J1865" s="81">
        <f>IFERROR(__xludf.DUMMYFUNCTION("IF(H1865="""", """", ROUND(H1865 / MAX(FILTER($H$2:$H5067, $D$2:$D5067=$D1865)) * 100, 2))"),8.22)</f>
        <v>8.22</v>
      </c>
      <c r="K1865" s="2"/>
      <c r="L1865" s="48"/>
      <c r="M1865" s="48"/>
      <c r="N1865" s="48"/>
      <c r="O1865" s="48" t="str">
        <f t="shared" si="2"/>
        <v/>
      </c>
      <c r="P1865" s="48" t="str">
        <f t="shared" si="3"/>
        <v/>
      </c>
      <c r="Q1865" s="84"/>
      <c r="R1865" s="84"/>
      <c r="S1865" s="84"/>
      <c r="T1865" s="84"/>
      <c r="U1865" s="84"/>
      <c r="V1865" s="84"/>
      <c r="W1865" s="84"/>
      <c r="X1865" s="84"/>
      <c r="Y1865" s="84"/>
      <c r="Z1865" s="84"/>
      <c r="AA1865" s="84"/>
      <c r="AB1865" s="84"/>
    </row>
    <row r="1866">
      <c r="A1866" s="63">
        <v>125.0</v>
      </c>
      <c r="B1866" s="63">
        <v>190.0</v>
      </c>
      <c r="C1866" s="64" t="s">
        <v>423</v>
      </c>
      <c r="D1866" s="64" t="s">
        <v>424</v>
      </c>
      <c r="E1866" s="64" t="s">
        <v>425</v>
      </c>
      <c r="F1866" s="63">
        <v>1500.0</v>
      </c>
      <c r="G1866" s="63">
        <v>22.85</v>
      </c>
      <c r="H1866" s="66">
        <f t="shared" si="1"/>
        <v>47.86</v>
      </c>
      <c r="I1866" s="81">
        <f>IFERROR(__xludf.DUMMYFUNCTION("IF(G1866="""", """", ROUND(G1866 / MAX(FILTER($G$2:$G5067, $D$2:$D5067=$D1866)) * 100, 2))"),42.31)</f>
        <v>42.31</v>
      </c>
      <c r="J1866" s="81">
        <f>IFERROR(__xludf.DUMMYFUNCTION("IF(H1866="""", """", ROUND(H1866 / MAX(FILTER($H$2:$H5067, $D$2:$D5067=$D1866)) * 100, 2))"),15.92)</f>
        <v>15.92</v>
      </c>
      <c r="K1866" s="2"/>
      <c r="L1866" s="49"/>
      <c r="M1866" s="49"/>
      <c r="N1866" s="49"/>
      <c r="O1866" s="49" t="str">
        <f t="shared" si="2"/>
        <v/>
      </c>
      <c r="P1866" s="49" t="str">
        <f t="shared" si="3"/>
        <v/>
      </c>
      <c r="Q1866" s="84"/>
      <c r="R1866" s="84"/>
      <c r="S1866" s="84"/>
      <c r="T1866" s="84"/>
      <c r="U1866" s="84"/>
      <c r="V1866" s="84"/>
      <c r="W1866" s="84"/>
      <c r="X1866" s="84"/>
      <c r="Y1866" s="84"/>
      <c r="Z1866" s="84"/>
      <c r="AA1866" s="84"/>
      <c r="AB1866" s="84"/>
    </row>
    <row r="1867">
      <c r="A1867" s="69">
        <v>125.0</v>
      </c>
      <c r="B1867" s="69">
        <v>190.0</v>
      </c>
      <c r="C1867" s="86" t="s">
        <v>423</v>
      </c>
      <c r="D1867" s="86" t="s">
        <v>424</v>
      </c>
      <c r="E1867" s="86" t="s">
        <v>425</v>
      </c>
      <c r="F1867" s="69">
        <v>2000.0</v>
      </c>
      <c r="G1867" s="69">
        <v>36.9</v>
      </c>
      <c r="H1867" s="68">
        <f t="shared" si="1"/>
        <v>103.04</v>
      </c>
      <c r="I1867" s="81">
        <f>IFERROR(__xludf.DUMMYFUNCTION("IF(G1867="""", """", ROUND(G1867 / MAX(FILTER($G$2:$G5067, $D$2:$D5067=$D1867)) * 100, 2))"),68.33)</f>
        <v>68.33</v>
      </c>
      <c r="J1867" s="81">
        <f>IFERROR(__xludf.DUMMYFUNCTION("IF(H1867="""", """", ROUND(H1867 / MAX(FILTER($H$2:$H5067, $D$2:$D5067=$D1867)) * 100, 2))"),34.28)</f>
        <v>34.28</v>
      </c>
      <c r="K1867" s="2"/>
      <c r="L1867" s="48"/>
      <c r="M1867" s="48"/>
      <c r="N1867" s="48"/>
      <c r="O1867" s="48" t="str">
        <f t="shared" si="2"/>
        <v/>
      </c>
      <c r="P1867" s="48" t="str">
        <f t="shared" si="3"/>
        <v/>
      </c>
      <c r="Q1867" s="84"/>
      <c r="R1867" s="84"/>
      <c r="S1867" s="84"/>
      <c r="T1867" s="84"/>
      <c r="U1867" s="84"/>
      <c r="V1867" s="84"/>
      <c r="W1867" s="84"/>
      <c r="X1867" s="84"/>
      <c r="Y1867" s="84"/>
      <c r="Z1867" s="84"/>
      <c r="AA1867" s="84"/>
      <c r="AB1867" s="84"/>
    </row>
    <row r="1868">
      <c r="A1868" s="63">
        <v>125.0</v>
      </c>
      <c r="B1868" s="63">
        <v>190.0</v>
      </c>
      <c r="C1868" s="64" t="s">
        <v>423</v>
      </c>
      <c r="D1868" s="64" t="s">
        <v>424</v>
      </c>
      <c r="E1868" s="64" t="s">
        <v>425</v>
      </c>
      <c r="F1868" s="63">
        <v>2500.0</v>
      </c>
      <c r="G1868" s="63">
        <v>44.45</v>
      </c>
      <c r="H1868" s="66">
        <f t="shared" si="1"/>
        <v>155.16</v>
      </c>
      <c r="I1868" s="81">
        <f>IFERROR(__xludf.DUMMYFUNCTION("IF(G1868="""", """", ROUND(G1868 / MAX(FILTER($G$2:$G5067, $D$2:$D5067=$D1868)) * 100, 2))"),82.31)</f>
        <v>82.31</v>
      </c>
      <c r="J1868" s="81">
        <f>IFERROR(__xludf.DUMMYFUNCTION("IF(H1868="""", """", ROUND(H1868 / MAX(FILTER($H$2:$H5067, $D$2:$D5067=$D1868)) * 100, 2))"),51.63)</f>
        <v>51.63</v>
      </c>
      <c r="K1868" s="2"/>
      <c r="L1868" s="49"/>
      <c r="M1868" s="49"/>
      <c r="N1868" s="49"/>
      <c r="O1868" s="49" t="str">
        <f t="shared" si="2"/>
        <v/>
      </c>
      <c r="P1868" s="49" t="str">
        <f t="shared" si="3"/>
        <v/>
      </c>
      <c r="Q1868" s="84"/>
      <c r="R1868" s="84"/>
      <c r="S1868" s="84"/>
      <c r="T1868" s="84"/>
      <c r="U1868" s="84"/>
      <c r="V1868" s="84"/>
      <c r="W1868" s="84"/>
      <c r="X1868" s="84"/>
      <c r="Y1868" s="84"/>
      <c r="Z1868" s="84"/>
      <c r="AA1868" s="84"/>
      <c r="AB1868" s="84"/>
    </row>
    <row r="1869">
      <c r="A1869" s="69">
        <v>125.0</v>
      </c>
      <c r="B1869" s="69">
        <v>190.0</v>
      </c>
      <c r="C1869" s="86" t="s">
        <v>423</v>
      </c>
      <c r="D1869" s="86" t="s">
        <v>424</v>
      </c>
      <c r="E1869" s="86" t="s">
        <v>425</v>
      </c>
      <c r="F1869" s="69">
        <v>3000.0</v>
      </c>
      <c r="G1869" s="69">
        <v>50.3</v>
      </c>
      <c r="H1869" s="68">
        <f t="shared" si="1"/>
        <v>210.7</v>
      </c>
      <c r="I1869" s="81">
        <f>IFERROR(__xludf.DUMMYFUNCTION("IF(G1869="""", """", ROUND(G1869 / MAX(FILTER($G$2:$G5067, $D$2:$D5067=$D1869)) * 100, 2))"),93.15)</f>
        <v>93.15</v>
      </c>
      <c r="J1869" s="81">
        <f>IFERROR(__xludf.DUMMYFUNCTION("IF(H1869="""", """", ROUND(H1869 / MAX(FILTER($H$2:$H5067, $D$2:$D5067=$D1869)) * 100, 2))"),70.11)</f>
        <v>70.11</v>
      </c>
      <c r="K1869" s="2"/>
      <c r="L1869" s="48"/>
      <c r="M1869" s="48"/>
      <c r="N1869" s="48"/>
      <c r="O1869" s="48" t="str">
        <f t="shared" si="2"/>
        <v/>
      </c>
      <c r="P1869" s="48" t="str">
        <f t="shared" si="3"/>
        <v/>
      </c>
      <c r="Q1869" s="84"/>
      <c r="R1869" s="84"/>
      <c r="S1869" s="84"/>
      <c r="T1869" s="84"/>
      <c r="U1869" s="84"/>
      <c r="V1869" s="84"/>
      <c r="W1869" s="84"/>
      <c r="X1869" s="84"/>
      <c r="Y1869" s="84"/>
      <c r="Z1869" s="84"/>
      <c r="AA1869" s="84"/>
      <c r="AB1869" s="84"/>
    </row>
    <row r="1870">
      <c r="A1870" s="63">
        <v>125.0</v>
      </c>
      <c r="B1870" s="63">
        <v>190.0</v>
      </c>
      <c r="C1870" s="64" t="s">
        <v>423</v>
      </c>
      <c r="D1870" s="64" t="s">
        <v>424</v>
      </c>
      <c r="E1870" s="64" t="s">
        <v>425</v>
      </c>
      <c r="F1870" s="63">
        <v>3500.0</v>
      </c>
      <c r="G1870" s="63">
        <v>54.0</v>
      </c>
      <c r="H1870" s="66">
        <f t="shared" si="1"/>
        <v>263.89</v>
      </c>
      <c r="I1870" s="81">
        <f>IFERROR(__xludf.DUMMYFUNCTION("IF(G1870="""", """", ROUND(G1870 / MAX(FILTER($G$2:$G5067, $D$2:$D5067=$D1870)) * 100, 2))"),100.0)</f>
        <v>100</v>
      </c>
      <c r="J1870" s="81">
        <f>IFERROR(__xludf.DUMMYFUNCTION("IF(H1870="""", """", ROUND(H1870 / MAX(FILTER($H$2:$H5067, $D$2:$D5067=$D1870)) * 100, 2))"),87.81)</f>
        <v>87.81</v>
      </c>
      <c r="K1870" s="2"/>
      <c r="L1870" s="49"/>
      <c r="M1870" s="49"/>
      <c r="N1870" s="49"/>
      <c r="O1870" s="49" t="str">
        <f t="shared" si="2"/>
        <v/>
      </c>
      <c r="P1870" s="49" t="str">
        <f t="shared" si="3"/>
        <v/>
      </c>
      <c r="Q1870" s="84"/>
      <c r="R1870" s="84"/>
      <c r="S1870" s="84"/>
      <c r="T1870" s="84"/>
      <c r="U1870" s="84"/>
      <c r="V1870" s="84"/>
      <c r="W1870" s="84"/>
      <c r="X1870" s="84"/>
      <c r="Y1870" s="84"/>
      <c r="Z1870" s="84"/>
      <c r="AA1870" s="84"/>
      <c r="AB1870" s="84"/>
    </row>
    <row r="1871">
      <c r="A1871" s="69">
        <v>125.0</v>
      </c>
      <c r="B1871" s="69">
        <v>190.0</v>
      </c>
      <c r="C1871" s="86" t="s">
        <v>423</v>
      </c>
      <c r="D1871" s="86" t="s">
        <v>424</v>
      </c>
      <c r="E1871" s="86" t="s">
        <v>425</v>
      </c>
      <c r="F1871" s="69">
        <v>4000.0</v>
      </c>
      <c r="G1871" s="69">
        <v>51.05</v>
      </c>
      <c r="H1871" s="68">
        <f t="shared" si="1"/>
        <v>285.12</v>
      </c>
      <c r="I1871" s="81">
        <f>IFERROR(__xludf.DUMMYFUNCTION("IF(G1871="""", """", ROUND(G1871 / MAX(FILTER($G$2:$G5067, $D$2:$D5067=$D1871)) * 100, 2))"),94.54)</f>
        <v>94.54</v>
      </c>
      <c r="J1871" s="81">
        <f>IFERROR(__xludf.DUMMYFUNCTION("IF(H1871="""", """", ROUND(H1871 / MAX(FILTER($H$2:$H5067, $D$2:$D5067=$D1871)) * 100, 2))"),94.87)</f>
        <v>94.87</v>
      </c>
      <c r="K1871" s="2"/>
      <c r="L1871" s="48"/>
      <c r="M1871" s="48"/>
      <c r="N1871" s="48"/>
      <c r="O1871" s="48" t="str">
        <f t="shared" si="2"/>
        <v/>
      </c>
      <c r="P1871" s="48" t="str">
        <f t="shared" si="3"/>
        <v/>
      </c>
      <c r="Q1871" s="84"/>
      <c r="R1871" s="84"/>
      <c r="S1871" s="84"/>
      <c r="T1871" s="84"/>
      <c r="U1871" s="84"/>
      <c r="V1871" s="84"/>
      <c r="W1871" s="84"/>
      <c r="X1871" s="84"/>
      <c r="Y1871" s="84"/>
      <c r="Z1871" s="84"/>
      <c r="AA1871" s="84"/>
      <c r="AB1871" s="84"/>
    </row>
    <row r="1872">
      <c r="A1872" s="63">
        <v>125.0</v>
      </c>
      <c r="B1872" s="63">
        <v>190.0</v>
      </c>
      <c r="C1872" s="64" t="s">
        <v>423</v>
      </c>
      <c r="D1872" s="64" t="s">
        <v>424</v>
      </c>
      <c r="E1872" s="64" t="s">
        <v>425</v>
      </c>
      <c r="F1872" s="63">
        <v>4500.0</v>
      </c>
      <c r="G1872" s="63">
        <v>47.05</v>
      </c>
      <c r="H1872" s="66">
        <f t="shared" si="1"/>
        <v>295.62</v>
      </c>
      <c r="I1872" s="81">
        <f>IFERROR(__xludf.DUMMYFUNCTION("IF(G1872="""", """", ROUND(G1872 / MAX(FILTER($G$2:$G5067, $D$2:$D5067=$D1872)) * 100, 2))"),87.13)</f>
        <v>87.13</v>
      </c>
      <c r="J1872" s="81">
        <f>IFERROR(__xludf.DUMMYFUNCTION("IF(H1872="""", """", ROUND(H1872 / MAX(FILTER($H$2:$H5067, $D$2:$D5067=$D1872)) * 100, 2))"),98.36)</f>
        <v>98.36</v>
      </c>
      <c r="K1872" s="2"/>
      <c r="L1872" s="49"/>
      <c r="M1872" s="49"/>
      <c r="N1872" s="49"/>
      <c r="O1872" s="49" t="str">
        <f t="shared" si="2"/>
        <v/>
      </c>
      <c r="P1872" s="49" t="str">
        <f t="shared" si="3"/>
        <v/>
      </c>
      <c r="Q1872" s="84"/>
      <c r="R1872" s="84"/>
      <c r="S1872" s="84"/>
      <c r="T1872" s="84"/>
      <c r="U1872" s="84"/>
      <c r="V1872" s="84"/>
      <c r="W1872" s="84"/>
      <c r="X1872" s="84"/>
      <c r="Y1872" s="84"/>
      <c r="Z1872" s="84"/>
      <c r="AA1872" s="84"/>
      <c r="AB1872" s="84"/>
    </row>
    <row r="1873">
      <c r="A1873" s="69">
        <v>125.0</v>
      </c>
      <c r="B1873" s="69">
        <v>190.0</v>
      </c>
      <c r="C1873" s="86" t="s">
        <v>423</v>
      </c>
      <c r="D1873" s="86" t="s">
        <v>424</v>
      </c>
      <c r="E1873" s="86" t="s">
        <v>425</v>
      </c>
      <c r="F1873" s="69">
        <v>5000.0</v>
      </c>
      <c r="G1873" s="69">
        <v>42.9</v>
      </c>
      <c r="H1873" s="68">
        <f t="shared" si="1"/>
        <v>299.5</v>
      </c>
      <c r="I1873" s="81">
        <f>IFERROR(__xludf.DUMMYFUNCTION("IF(G1873="""", """", ROUND(G1873 / MAX(FILTER($G$2:$G5067, $D$2:$D5067=$D1873)) * 100, 2))"),79.44)</f>
        <v>79.44</v>
      </c>
      <c r="J1873" s="81">
        <f>IFERROR(__xludf.DUMMYFUNCTION("IF(H1873="""", """", ROUND(H1873 / MAX(FILTER($H$2:$H5067, $D$2:$D5067=$D1873)) * 100, 2))"),99.65)</f>
        <v>99.65</v>
      </c>
      <c r="K1873" s="2"/>
      <c r="L1873" s="48"/>
      <c r="M1873" s="48"/>
      <c r="N1873" s="48"/>
      <c r="O1873" s="48" t="str">
        <f t="shared" si="2"/>
        <v/>
      </c>
      <c r="P1873" s="48" t="str">
        <f t="shared" si="3"/>
        <v/>
      </c>
      <c r="Q1873" s="84"/>
      <c r="R1873" s="84"/>
      <c r="S1873" s="84"/>
      <c r="T1873" s="84"/>
      <c r="U1873" s="84"/>
      <c r="V1873" s="84"/>
      <c r="W1873" s="84"/>
      <c r="X1873" s="84"/>
      <c r="Y1873" s="84"/>
      <c r="Z1873" s="84"/>
      <c r="AA1873" s="84"/>
      <c r="AB1873" s="84"/>
    </row>
    <row r="1874">
      <c r="A1874" s="63">
        <v>125.0</v>
      </c>
      <c r="B1874" s="63">
        <v>190.0</v>
      </c>
      <c r="C1874" s="64" t="s">
        <v>423</v>
      </c>
      <c r="D1874" s="64" t="s">
        <v>424</v>
      </c>
      <c r="E1874" s="64" t="s">
        <v>425</v>
      </c>
      <c r="F1874" s="63">
        <v>5250.0</v>
      </c>
      <c r="G1874" s="63">
        <v>41.0</v>
      </c>
      <c r="H1874" s="66">
        <f t="shared" si="1"/>
        <v>300.54</v>
      </c>
      <c r="I1874" s="81">
        <f>IFERROR(__xludf.DUMMYFUNCTION("IF(G1874="""", """", ROUND(G1874 / MAX(FILTER($G$2:$G5067, $D$2:$D5067=$D1874)) * 100, 2))"),75.93)</f>
        <v>75.93</v>
      </c>
      <c r="J1874" s="81">
        <f>IFERROR(__xludf.DUMMYFUNCTION("IF(H1874="""", """", ROUND(H1874 / MAX(FILTER($H$2:$H5067, $D$2:$D5067=$D1874)) * 100, 2))"),100.0)</f>
        <v>100</v>
      </c>
      <c r="K1874" s="2"/>
      <c r="L1874" s="49"/>
      <c r="M1874" s="49"/>
      <c r="N1874" s="49"/>
      <c r="O1874" s="49" t="str">
        <f t="shared" si="2"/>
        <v/>
      </c>
      <c r="P1874" s="49" t="str">
        <f t="shared" si="3"/>
        <v/>
      </c>
      <c r="Q1874" s="84"/>
      <c r="R1874" s="84"/>
      <c r="S1874" s="84"/>
      <c r="T1874" s="84"/>
      <c r="U1874" s="84"/>
      <c r="V1874" s="84"/>
      <c r="W1874" s="84"/>
      <c r="X1874" s="84"/>
      <c r="Y1874" s="84"/>
      <c r="Z1874" s="84"/>
      <c r="AA1874" s="84"/>
      <c r="AB1874" s="84"/>
    </row>
    <row r="1875">
      <c r="A1875" s="69">
        <v>125.0</v>
      </c>
      <c r="B1875" s="69">
        <v>190.0</v>
      </c>
      <c r="C1875" s="86" t="s">
        <v>423</v>
      </c>
      <c r="D1875" s="86" t="s">
        <v>424</v>
      </c>
      <c r="E1875" s="86" t="s">
        <v>425</v>
      </c>
      <c r="F1875" s="69">
        <v>6000.0</v>
      </c>
      <c r="G1875" s="69">
        <v>34.25</v>
      </c>
      <c r="H1875" s="68">
        <f t="shared" si="1"/>
        <v>286.93</v>
      </c>
      <c r="I1875" s="81">
        <f>IFERROR(__xludf.DUMMYFUNCTION("IF(G1875="""", """", ROUND(G1875 / MAX(FILTER($G$2:$G5067, $D$2:$D5067=$D1875)) * 100, 2))"),63.43)</f>
        <v>63.43</v>
      </c>
      <c r="J1875" s="81">
        <f>IFERROR(__xludf.DUMMYFUNCTION("IF(H1875="""", """", ROUND(H1875 / MAX(FILTER($H$2:$H5067, $D$2:$D5067=$D1875)) * 100, 2))"),95.47)</f>
        <v>95.47</v>
      </c>
      <c r="K1875" s="2"/>
      <c r="L1875" s="48"/>
      <c r="M1875" s="48"/>
      <c r="N1875" s="48"/>
      <c r="O1875" s="48" t="str">
        <f t="shared" si="2"/>
        <v/>
      </c>
      <c r="P1875" s="48" t="str">
        <f t="shared" si="3"/>
        <v/>
      </c>
      <c r="Q1875" s="84"/>
      <c r="R1875" s="84"/>
      <c r="S1875" s="84"/>
      <c r="T1875" s="84"/>
      <c r="U1875" s="84"/>
      <c r="V1875" s="84"/>
      <c r="W1875" s="84"/>
      <c r="X1875" s="84"/>
      <c r="Y1875" s="84"/>
      <c r="Z1875" s="84"/>
      <c r="AA1875" s="84"/>
      <c r="AB1875" s="84"/>
    </row>
    <row r="1876">
      <c r="A1876" s="63">
        <v>125.0</v>
      </c>
      <c r="B1876" s="63">
        <v>190.0</v>
      </c>
      <c r="C1876" s="64" t="s">
        <v>423</v>
      </c>
      <c r="D1876" s="64" t="s">
        <v>424</v>
      </c>
      <c r="E1876" s="64" t="s">
        <v>425</v>
      </c>
      <c r="F1876" s="63">
        <v>6500.0</v>
      </c>
      <c r="G1876" s="63">
        <v>29.0</v>
      </c>
      <c r="H1876" s="66">
        <f t="shared" si="1"/>
        <v>263.19</v>
      </c>
      <c r="I1876" s="81">
        <f>IFERROR(__xludf.DUMMYFUNCTION("IF(G1876="""", """", ROUND(G1876 / MAX(FILTER($G$2:$G5067, $D$2:$D5067=$D1876)) * 100, 2))"),53.7)</f>
        <v>53.7</v>
      </c>
      <c r="J1876" s="81">
        <f>IFERROR(__xludf.DUMMYFUNCTION("IF(H1876="""", """", ROUND(H1876 / MAX(FILTER($H$2:$H5067, $D$2:$D5067=$D1876)) * 100, 2))"),87.57)</f>
        <v>87.57</v>
      </c>
      <c r="K1876" s="2"/>
      <c r="L1876" s="49"/>
      <c r="M1876" s="49"/>
      <c r="N1876" s="49"/>
      <c r="O1876" s="49" t="str">
        <f t="shared" si="2"/>
        <v/>
      </c>
      <c r="P1876" s="49" t="str">
        <f t="shared" si="3"/>
        <v/>
      </c>
      <c r="Q1876" s="84"/>
      <c r="R1876" s="84"/>
      <c r="S1876" s="84"/>
      <c r="T1876" s="84"/>
      <c r="U1876" s="84"/>
      <c r="V1876" s="84"/>
      <c r="W1876" s="84"/>
      <c r="X1876" s="84"/>
      <c r="Y1876" s="84"/>
      <c r="Z1876" s="84"/>
      <c r="AA1876" s="84"/>
      <c r="AB1876" s="84"/>
    </row>
    <row r="1877">
      <c r="A1877" s="69">
        <v>125.0</v>
      </c>
      <c r="B1877" s="69">
        <v>190.0</v>
      </c>
      <c r="C1877" s="86" t="s">
        <v>423</v>
      </c>
      <c r="D1877" s="86" t="s">
        <v>424</v>
      </c>
      <c r="E1877" s="86" t="s">
        <v>425</v>
      </c>
      <c r="F1877" s="69">
        <v>7000.0</v>
      </c>
      <c r="G1877" s="69">
        <v>23.25</v>
      </c>
      <c r="H1877" s="68">
        <f t="shared" si="1"/>
        <v>227.24</v>
      </c>
      <c r="I1877" s="81">
        <f>IFERROR(__xludf.DUMMYFUNCTION("IF(G1877="""", """", ROUND(G1877 / MAX(FILTER($G$2:$G5067, $D$2:$D5067=$D1877)) * 100, 2))"),43.06)</f>
        <v>43.06</v>
      </c>
      <c r="J1877" s="81">
        <f>IFERROR(__xludf.DUMMYFUNCTION("IF(H1877="""", """", ROUND(H1877 / MAX(FILTER($H$2:$H5067, $D$2:$D5067=$D1877)) * 100, 2))"),75.61)</f>
        <v>75.61</v>
      </c>
      <c r="K1877" s="2"/>
      <c r="L1877" s="48"/>
      <c r="M1877" s="48"/>
      <c r="N1877" s="48"/>
      <c r="O1877" s="48" t="str">
        <f t="shared" si="2"/>
        <v/>
      </c>
      <c r="P1877" s="48" t="str">
        <f t="shared" si="3"/>
        <v/>
      </c>
      <c r="Q1877" s="84"/>
      <c r="R1877" s="84"/>
      <c r="S1877" s="84"/>
      <c r="T1877" s="84"/>
      <c r="U1877" s="84"/>
      <c r="V1877" s="84"/>
      <c r="W1877" s="84"/>
      <c r="X1877" s="84"/>
      <c r="Y1877" s="84"/>
      <c r="Z1877" s="84"/>
      <c r="AA1877" s="84"/>
      <c r="AB1877" s="84"/>
    </row>
    <row r="1878">
      <c r="A1878" s="63">
        <v>125.0</v>
      </c>
      <c r="B1878" s="63">
        <v>190.0</v>
      </c>
      <c r="C1878" s="64" t="s">
        <v>423</v>
      </c>
      <c r="D1878" s="64" t="s">
        <v>424</v>
      </c>
      <c r="E1878" s="64" t="s">
        <v>425</v>
      </c>
      <c r="F1878" s="63">
        <v>7500.0</v>
      </c>
      <c r="G1878" s="63">
        <v>12.0</v>
      </c>
      <c r="H1878" s="66">
        <f t="shared" si="1"/>
        <v>125.66</v>
      </c>
      <c r="I1878" s="81">
        <f>IFERROR(__xludf.DUMMYFUNCTION("IF(G1878="""", """", ROUND(G1878 / MAX(FILTER($G$2:$G5067, $D$2:$D5067=$D1878)) * 100, 2))"),22.22)</f>
        <v>22.22</v>
      </c>
      <c r="J1878" s="81">
        <f>IFERROR(__xludf.DUMMYFUNCTION("IF(H1878="""", """", ROUND(H1878 / MAX(FILTER($H$2:$H5067, $D$2:$D5067=$D1878)) * 100, 2))"),41.81)</f>
        <v>41.81</v>
      </c>
      <c r="K1878" s="2"/>
      <c r="L1878" s="49"/>
      <c r="M1878" s="49"/>
      <c r="N1878" s="49"/>
      <c r="O1878" s="49" t="str">
        <f t="shared" si="2"/>
        <v/>
      </c>
      <c r="P1878" s="49" t="str">
        <f t="shared" si="3"/>
        <v/>
      </c>
      <c r="Q1878" s="84"/>
      <c r="R1878" s="84"/>
      <c r="S1878" s="84"/>
      <c r="T1878" s="84"/>
      <c r="U1878" s="84"/>
      <c r="V1878" s="84"/>
      <c r="W1878" s="84"/>
      <c r="X1878" s="84"/>
      <c r="Y1878" s="84"/>
      <c r="Z1878" s="84"/>
      <c r="AA1878" s="84"/>
      <c r="AB1878" s="84"/>
    </row>
    <row r="1879">
      <c r="A1879" s="69">
        <v>126.0</v>
      </c>
      <c r="B1879" s="69">
        <v>193.0</v>
      </c>
      <c r="C1879" s="86" t="s">
        <v>426</v>
      </c>
      <c r="D1879" s="86" t="s">
        <v>427</v>
      </c>
      <c r="E1879" s="86" t="s">
        <v>428</v>
      </c>
      <c r="F1879" s="69">
        <v>500.0</v>
      </c>
      <c r="G1879" s="69">
        <v>29.92</v>
      </c>
      <c r="H1879" s="68">
        <f t="shared" si="1"/>
        <v>20.89</v>
      </c>
      <c r="I1879" s="81">
        <f>IFERROR(__xludf.DUMMYFUNCTION("IF(G1879="""", """", ROUND(G1879 / MAX(FILTER($G$2:$G5067, $D$2:$D5067=$D1879)) * 100, 2))"),59.66)</f>
        <v>59.66</v>
      </c>
      <c r="J1879" s="81">
        <f>IFERROR(__xludf.DUMMYFUNCTION("IF(H1879="""", """", ROUND(H1879 / MAX(FILTER($H$2:$H5067, $D$2:$D5067=$D1879)) * 100, 2))"),5.23)</f>
        <v>5.23</v>
      </c>
      <c r="K1879" s="2"/>
      <c r="L1879" s="48"/>
      <c r="M1879" s="48"/>
      <c r="N1879" s="48"/>
      <c r="O1879" s="48" t="str">
        <f t="shared" si="2"/>
        <v/>
      </c>
      <c r="P1879" s="48" t="str">
        <f t="shared" si="3"/>
        <v/>
      </c>
      <c r="Q1879" s="84"/>
      <c r="R1879" s="84"/>
      <c r="S1879" s="84"/>
      <c r="T1879" s="84"/>
      <c r="U1879" s="84"/>
      <c r="V1879" s="84"/>
      <c r="W1879" s="84"/>
      <c r="X1879" s="84"/>
      <c r="Y1879" s="84"/>
      <c r="Z1879" s="84"/>
      <c r="AA1879" s="84"/>
      <c r="AB1879" s="84"/>
    </row>
    <row r="1880">
      <c r="A1880" s="63">
        <v>126.0</v>
      </c>
      <c r="B1880" s="63">
        <v>193.0</v>
      </c>
      <c r="C1880" s="64" t="s">
        <v>426</v>
      </c>
      <c r="D1880" s="64" t="s">
        <v>427</v>
      </c>
      <c r="E1880" s="64" t="s">
        <v>428</v>
      </c>
      <c r="F1880" s="63">
        <v>1000.0</v>
      </c>
      <c r="G1880" s="63">
        <v>34.08</v>
      </c>
      <c r="H1880" s="66">
        <f t="shared" si="1"/>
        <v>47.58</v>
      </c>
      <c r="I1880" s="81">
        <f>IFERROR(__xludf.DUMMYFUNCTION("IF(G1880="""", """", ROUND(G1880 / MAX(FILTER($G$2:$G5067, $D$2:$D5067=$D1880)) * 100, 2))"),67.96)</f>
        <v>67.96</v>
      </c>
      <c r="J1880" s="81">
        <f>IFERROR(__xludf.DUMMYFUNCTION("IF(H1880="""", """", ROUND(H1880 / MAX(FILTER($H$2:$H5067, $D$2:$D5067=$D1880)) * 100, 2))"),11.91)</f>
        <v>11.91</v>
      </c>
      <c r="K1880" s="2"/>
      <c r="L1880" s="49"/>
      <c r="M1880" s="49"/>
      <c r="N1880" s="49"/>
      <c r="O1880" s="49" t="str">
        <f t="shared" si="2"/>
        <v/>
      </c>
      <c r="P1880" s="49" t="str">
        <f t="shared" si="3"/>
        <v/>
      </c>
      <c r="Q1880" s="84"/>
      <c r="R1880" s="84"/>
      <c r="S1880" s="84"/>
      <c r="T1880" s="84"/>
      <c r="U1880" s="84"/>
      <c r="V1880" s="84"/>
      <c r="W1880" s="84"/>
      <c r="X1880" s="84"/>
      <c r="Y1880" s="84"/>
      <c r="Z1880" s="84"/>
      <c r="AA1880" s="84"/>
      <c r="AB1880" s="84"/>
    </row>
    <row r="1881">
      <c r="A1881" s="69">
        <v>126.0</v>
      </c>
      <c r="B1881" s="69">
        <v>193.0</v>
      </c>
      <c r="C1881" s="86" t="s">
        <v>426</v>
      </c>
      <c r="D1881" s="86" t="s">
        <v>427</v>
      </c>
      <c r="E1881" s="86" t="s">
        <v>428</v>
      </c>
      <c r="F1881" s="69">
        <v>1500.0</v>
      </c>
      <c r="G1881" s="69">
        <v>37.82</v>
      </c>
      <c r="H1881" s="68">
        <f t="shared" si="1"/>
        <v>79.21</v>
      </c>
      <c r="I1881" s="81">
        <f>IFERROR(__xludf.DUMMYFUNCTION("IF(G1881="""", """", ROUND(G1881 / MAX(FILTER($G$2:$G5067, $D$2:$D5067=$D1881)) * 100, 2))"),75.41)</f>
        <v>75.41</v>
      </c>
      <c r="J1881" s="81">
        <f>IFERROR(__xludf.DUMMYFUNCTION("IF(H1881="""", """", ROUND(H1881 / MAX(FILTER($H$2:$H5067, $D$2:$D5067=$D1881)) * 100, 2))"),19.84)</f>
        <v>19.84</v>
      </c>
      <c r="K1881" s="2"/>
      <c r="L1881" s="48"/>
      <c r="M1881" s="48"/>
      <c r="N1881" s="48"/>
      <c r="O1881" s="48" t="str">
        <f t="shared" si="2"/>
        <v/>
      </c>
      <c r="P1881" s="48" t="str">
        <f t="shared" si="3"/>
        <v/>
      </c>
      <c r="Q1881" s="84"/>
      <c r="R1881" s="84"/>
      <c r="S1881" s="84"/>
      <c r="T1881" s="84"/>
      <c r="U1881" s="84"/>
      <c r="V1881" s="84"/>
      <c r="W1881" s="84"/>
      <c r="X1881" s="84"/>
      <c r="Y1881" s="84"/>
      <c r="Z1881" s="84"/>
      <c r="AA1881" s="84"/>
      <c r="AB1881" s="84"/>
    </row>
    <row r="1882">
      <c r="A1882" s="63">
        <v>126.0</v>
      </c>
      <c r="B1882" s="63">
        <v>193.0</v>
      </c>
      <c r="C1882" s="64" t="s">
        <v>426</v>
      </c>
      <c r="D1882" s="64" t="s">
        <v>427</v>
      </c>
      <c r="E1882" s="64" t="s">
        <v>428</v>
      </c>
      <c r="F1882" s="63">
        <v>2000.0</v>
      </c>
      <c r="G1882" s="63">
        <v>41.13</v>
      </c>
      <c r="H1882" s="66">
        <f t="shared" si="1"/>
        <v>114.86</v>
      </c>
      <c r="I1882" s="81">
        <f>IFERROR(__xludf.DUMMYFUNCTION("IF(G1882="""", """", ROUND(G1882 / MAX(FILTER($G$2:$G5067, $D$2:$D5067=$D1882)) * 100, 2))"),82.01)</f>
        <v>82.01</v>
      </c>
      <c r="J1882" s="81">
        <f>IFERROR(__xludf.DUMMYFUNCTION("IF(H1882="""", """", ROUND(H1882 / MAX(FILTER($H$2:$H5067, $D$2:$D5067=$D1882)) * 100, 2))"),28.76)</f>
        <v>28.76</v>
      </c>
      <c r="K1882" s="2"/>
      <c r="L1882" s="49"/>
      <c r="M1882" s="49"/>
      <c r="N1882" s="49"/>
      <c r="O1882" s="49" t="str">
        <f t="shared" si="2"/>
        <v/>
      </c>
      <c r="P1882" s="49" t="str">
        <f t="shared" si="3"/>
        <v/>
      </c>
      <c r="Q1882" s="84"/>
      <c r="R1882" s="84"/>
      <c r="S1882" s="84"/>
      <c r="T1882" s="84"/>
      <c r="U1882" s="84"/>
      <c r="V1882" s="84"/>
      <c r="W1882" s="84"/>
      <c r="X1882" s="84"/>
      <c r="Y1882" s="84"/>
      <c r="Z1882" s="84"/>
      <c r="AA1882" s="84"/>
      <c r="AB1882" s="84"/>
    </row>
    <row r="1883">
      <c r="A1883" s="69">
        <v>126.0</v>
      </c>
      <c r="B1883" s="69">
        <v>193.0</v>
      </c>
      <c r="C1883" s="86" t="s">
        <v>426</v>
      </c>
      <c r="D1883" s="86" t="s">
        <v>427</v>
      </c>
      <c r="E1883" s="86" t="s">
        <v>428</v>
      </c>
      <c r="F1883" s="69">
        <v>2500.0</v>
      </c>
      <c r="G1883" s="69">
        <v>44.85</v>
      </c>
      <c r="H1883" s="68">
        <f t="shared" si="1"/>
        <v>156.56</v>
      </c>
      <c r="I1883" s="81">
        <f>IFERROR(__xludf.DUMMYFUNCTION("IF(G1883="""", """", ROUND(G1883 / MAX(FILTER($G$2:$G5067, $D$2:$D5067=$D1883)) * 100, 2))"),89.43)</f>
        <v>89.43</v>
      </c>
      <c r="J1883" s="81">
        <f>IFERROR(__xludf.DUMMYFUNCTION("IF(H1883="""", """", ROUND(H1883 / MAX(FILTER($H$2:$H5067, $D$2:$D5067=$D1883)) * 100, 2))"),39.21)</f>
        <v>39.21</v>
      </c>
      <c r="K1883" s="2"/>
      <c r="L1883" s="48"/>
      <c r="M1883" s="48"/>
      <c r="N1883" s="48"/>
      <c r="O1883" s="48" t="str">
        <f t="shared" si="2"/>
        <v/>
      </c>
      <c r="P1883" s="48" t="str">
        <f t="shared" si="3"/>
        <v/>
      </c>
      <c r="Q1883" s="84"/>
      <c r="R1883" s="84"/>
      <c r="S1883" s="84"/>
      <c r="T1883" s="84"/>
      <c r="U1883" s="84"/>
      <c r="V1883" s="84"/>
      <c r="W1883" s="84"/>
      <c r="X1883" s="84"/>
      <c r="Y1883" s="84"/>
      <c r="Z1883" s="84"/>
      <c r="AA1883" s="84"/>
      <c r="AB1883" s="84"/>
    </row>
    <row r="1884">
      <c r="A1884" s="63">
        <v>126.0</v>
      </c>
      <c r="B1884" s="63">
        <v>193.0</v>
      </c>
      <c r="C1884" s="64" t="s">
        <v>426</v>
      </c>
      <c r="D1884" s="64" t="s">
        <v>427</v>
      </c>
      <c r="E1884" s="64" t="s">
        <v>428</v>
      </c>
      <c r="F1884" s="63">
        <v>3000.0</v>
      </c>
      <c r="G1884" s="63">
        <v>47.87</v>
      </c>
      <c r="H1884" s="66">
        <f t="shared" si="1"/>
        <v>200.52</v>
      </c>
      <c r="I1884" s="81">
        <f>IFERROR(__xludf.DUMMYFUNCTION("IF(G1884="""", """", ROUND(G1884 / MAX(FILTER($G$2:$G5067, $D$2:$D5067=$D1884)) * 100, 2))"),95.45)</f>
        <v>95.45</v>
      </c>
      <c r="J1884" s="81">
        <f>IFERROR(__xludf.DUMMYFUNCTION("IF(H1884="""", """", ROUND(H1884 / MAX(FILTER($H$2:$H5067, $D$2:$D5067=$D1884)) * 100, 2))"),50.21)</f>
        <v>50.21</v>
      </c>
      <c r="K1884" s="2"/>
      <c r="L1884" s="49"/>
      <c r="M1884" s="49"/>
      <c r="N1884" s="49"/>
      <c r="O1884" s="49" t="str">
        <f t="shared" si="2"/>
        <v/>
      </c>
      <c r="P1884" s="49" t="str">
        <f t="shared" si="3"/>
        <v/>
      </c>
      <c r="Q1884" s="84"/>
      <c r="R1884" s="84"/>
      <c r="S1884" s="84"/>
      <c r="T1884" s="84"/>
      <c r="U1884" s="84"/>
      <c r="V1884" s="84"/>
      <c r="W1884" s="84"/>
      <c r="X1884" s="84"/>
      <c r="Y1884" s="84"/>
      <c r="Z1884" s="84"/>
      <c r="AA1884" s="84"/>
      <c r="AB1884" s="84"/>
    </row>
    <row r="1885">
      <c r="A1885" s="69">
        <v>126.0</v>
      </c>
      <c r="B1885" s="69">
        <v>193.0</v>
      </c>
      <c r="C1885" s="86" t="s">
        <v>426</v>
      </c>
      <c r="D1885" s="86" t="s">
        <v>427</v>
      </c>
      <c r="E1885" s="86" t="s">
        <v>428</v>
      </c>
      <c r="F1885" s="69">
        <v>3500.0</v>
      </c>
      <c r="G1885" s="69">
        <v>49.53</v>
      </c>
      <c r="H1885" s="68">
        <f t="shared" si="1"/>
        <v>242.05</v>
      </c>
      <c r="I1885" s="81">
        <f>IFERROR(__xludf.DUMMYFUNCTION("IF(G1885="""", """", ROUND(G1885 / MAX(FILTER($G$2:$G5067, $D$2:$D5067=$D1885)) * 100, 2))"),98.76)</f>
        <v>98.76</v>
      </c>
      <c r="J1885" s="81">
        <f>IFERROR(__xludf.DUMMYFUNCTION("IF(H1885="""", """", ROUND(H1885 / MAX(FILTER($H$2:$H5067, $D$2:$D5067=$D1885)) * 100, 2))"),60.61)</f>
        <v>60.61</v>
      </c>
      <c r="K1885" s="2"/>
      <c r="L1885" s="48"/>
      <c r="M1885" s="48"/>
      <c r="N1885" s="48"/>
      <c r="O1885" s="48" t="str">
        <f t="shared" si="2"/>
        <v/>
      </c>
      <c r="P1885" s="48" t="str">
        <f t="shared" si="3"/>
        <v/>
      </c>
      <c r="Q1885" s="84"/>
      <c r="R1885" s="84"/>
      <c r="S1885" s="84"/>
      <c r="T1885" s="84"/>
      <c r="U1885" s="84"/>
      <c r="V1885" s="84"/>
      <c r="W1885" s="84"/>
      <c r="X1885" s="84"/>
      <c r="Y1885" s="84"/>
      <c r="Z1885" s="84"/>
      <c r="AA1885" s="84"/>
      <c r="AB1885" s="84"/>
    </row>
    <row r="1886">
      <c r="A1886" s="63">
        <v>126.0</v>
      </c>
      <c r="B1886" s="63">
        <v>193.0</v>
      </c>
      <c r="C1886" s="64" t="s">
        <v>426</v>
      </c>
      <c r="D1886" s="64" t="s">
        <v>427</v>
      </c>
      <c r="E1886" s="64" t="s">
        <v>428</v>
      </c>
      <c r="F1886" s="63">
        <v>4000.0</v>
      </c>
      <c r="G1886" s="63">
        <v>50.0</v>
      </c>
      <c r="H1886" s="66">
        <f t="shared" si="1"/>
        <v>279.25</v>
      </c>
      <c r="I1886" s="81">
        <f>IFERROR(__xludf.DUMMYFUNCTION("IF(G1886="""", """", ROUND(G1886 / MAX(FILTER($G$2:$G5067, $D$2:$D5067=$D1886)) * 100, 2))"),99.7)</f>
        <v>99.7</v>
      </c>
      <c r="J1886" s="81">
        <f>IFERROR(__xludf.DUMMYFUNCTION("IF(H1886="""", """", ROUND(H1886 / MAX(FILTER($H$2:$H5067, $D$2:$D5067=$D1886)) * 100, 2))"),69.93)</f>
        <v>69.93</v>
      </c>
      <c r="K1886" s="2"/>
      <c r="L1886" s="49"/>
      <c r="M1886" s="49"/>
      <c r="N1886" s="49"/>
      <c r="O1886" s="49" t="str">
        <f t="shared" si="2"/>
        <v/>
      </c>
      <c r="P1886" s="49" t="str">
        <f t="shared" si="3"/>
        <v/>
      </c>
      <c r="Q1886" s="84"/>
      <c r="R1886" s="84"/>
      <c r="S1886" s="84"/>
      <c r="T1886" s="84"/>
      <c r="U1886" s="84"/>
      <c r="V1886" s="84"/>
      <c r="W1886" s="84"/>
      <c r="X1886" s="84"/>
      <c r="Y1886" s="84"/>
      <c r="Z1886" s="84"/>
      <c r="AA1886" s="84"/>
      <c r="AB1886" s="84"/>
    </row>
    <row r="1887">
      <c r="A1887" s="69">
        <v>126.0</v>
      </c>
      <c r="B1887" s="69">
        <v>193.0</v>
      </c>
      <c r="C1887" s="86" t="s">
        <v>426</v>
      </c>
      <c r="D1887" s="86" t="s">
        <v>427</v>
      </c>
      <c r="E1887" s="86" t="s">
        <v>428</v>
      </c>
      <c r="F1887" s="69">
        <v>4500.0</v>
      </c>
      <c r="G1887" s="69">
        <v>50.15</v>
      </c>
      <c r="H1887" s="68">
        <f t="shared" si="1"/>
        <v>315.1</v>
      </c>
      <c r="I1887" s="81">
        <f>IFERROR(__xludf.DUMMYFUNCTION("IF(G1887="""", """", ROUND(G1887 / MAX(FILTER($G$2:$G5067, $D$2:$D5067=$D1887)) * 100, 2))"),100.0)</f>
        <v>100</v>
      </c>
      <c r="J1887" s="81">
        <f>IFERROR(__xludf.DUMMYFUNCTION("IF(H1887="""", """", ROUND(H1887 / MAX(FILTER($H$2:$H5067, $D$2:$D5067=$D1887)) * 100, 2))"),78.91)</f>
        <v>78.91</v>
      </c>
      <c r="K1887" s="2"/>
      <c r="L1887" s="48"/>
      <c r="M1887" s="48"/>
      <c r="N1887" s="48"/>
      <c r="O1887" s="48" t="str">
        <f t="shared" si="2"/>
        <v/>
      </c>
      <c r="P1887" s="48" t="str">
        <f t="shared" si="3"/>
        <v/>
      </c>
      <c r="Q1887" s="84"/>
      <c r="R1887" s="84"/>
      <c r="S1887" s="84"/>
      <c r="T1887" s="84"/>
      <c r="U1887" s="84"/>
      <c r="V1887" s="84"/>
      <c r="W1887" s="84"/>
      <c r="X1887" s="84"/>
      <c r="Y1887" s="84"/>
      <c r="Z1887" s="84"/>
      <c r="AA1887" s="84"/>
      <c r="AB1887" s="84"/>
    </row>
    <row r="1888">
      <c r="A1888" s="63">
        <v>126.0</v>
      </c>
      <c r="B1888" s="63">
        <v>193.0</v>
      </c>
      <c r="C1888" s="64" t="s">
        <v>426</v>
      </c>
      <c r="D1888" s="64" t="s">
        <v>427</v>
      </c>
      <c r="E1888" s="64" t="s">
        <v>428</v>
      </c>
      <c r="F1888" s="63">
        <v>5000.0</v>
      </c>
      <c r="G1888" s="63">
        <v>49.77</v>
      </c>
      <c r="H1888" s="66">
        <f t="shared" si="1"/>
        <v>347.46</v>
      </c>
      <c r="I1888" s="81">
        <f>IFERROR(__xludf.DUMMYFUNCTION("IF(G1888="""", """", ROUND(G1888 / MAX(FILTER($G$2:$G5067, $D$2:$D5067=$D1888)) * 100, 2))"),99.24)</f>
        <v>99.24</v>
      </c>
      <c r="J1888" s="81">
        <f>IFERROR(__xludf.DUMMYFUNCTION("IF(H1888="""", """", ROUND(H1888 / MAX(FILTER($H$2:$H5067, $D$2:$D5067=$D1888)) * 100, 2))"),87.01)</f>
        <v>87.01</v>
      </c>
      <c r="K1888" s="2"/>
      <c r="L1888" s="49"/>
      <c r="M1888" s="49"/>
      <c r="N1888" s="49"/>
      <c r="O1888" s="49" t="str">
        <f t="shared" si="2"/>
        <v/>
      </c>
      <c r="P1888" s="49" t="str">
        <f t="shared" si="3"/>
        <v/>
      </c>
      <c r="Q1888" s="84"/>
      <c r="R1888" s="84"/>
      <c r="S1888" s="84"/>
      <c r="T1888" s="84"/>
      <c r="U1888" s="84"/>
      <c r="V1888" s="84"/>
      <c r="W1888" s="84"/>
      <c r="X1888" s="84"/>
      <c r="Y1888" s="84"/>
      <c r="Z1888" s="84"/>
      <c r="AA1888" s="84"/>
      <c r="AB1888" s="84"/>
    </row>
    <row r="1889">
      <c r="A1889" s="69">
        <v>126.0</v>
      </c>
      <c r="B1889" s="69">
        <v>193.0</v>
      </c>
      <c r="C1889" s="86" t="s">
        <v>426</v>
      </c>
      <c r="D1889" s="86" t="s">
        <v>427</v>
      </c>
      <c r="E1889" s="86" t="s">
        <v>428</v>
      </c>
      <c r="F1889" s="69">
        <v>5500.0</v>
      </c>
      <c r="G1889" s="69">
        <v>48.62</v>
      </c>
      <c r="H1889" s="68">
        <f t="shared" si="1"/>
        <v>373.37</v>
      </c>
      <c r="I1889" s="81">
        <f>IFERROR(__xludf.DUMMYFUNCTION("IF(G1889="""", """", ROUND(G1889 / MAX(FILTER($G$2:$G5067, $D$2:$D5067=$D1889)) * 100, 2))"),96.95)</f>
        <v>96.95</v>
      </c>
      <c r="J1889" s="81">
        <f>IFERROR(__xludf.DUMMYFUNCTION("IF(H1889="""", """", ROUND(H1889 / MAX(FILTER($H$2:$H5067, $D$2:$D5067=$D1889)) * 100, 2))"),93.5)</f>
        <v>93.5</v>
      </c>
      <c r="K1889" s="2"/>
      <c r="L1889" s="48"/>
      <c r="M1889" s="48"/>
      <c r="N1889" s="48"/>
      <c r="O1889" s="48" t="str">
        <f t="shared" si="2"/>
        <v/>
      </c>
      <c r="P1889" s="48" t="str">
        <f t="shared" si="3"/>
        <v/>
      </c>
      <c r="Q1889" s="84"/>
      <c r="R1889" s="84"/>
      <c r="S1889" s="84"/>
      <c r="T1889" s="84"/>
      <c r="U1889" s="84"/>
      <c r="V1889" s="84"/>
      <c r="W1889" s="84"/>
      <c r="X1889" s="84"/>
      <c r="Y1889" s="84"/>
      <c r="Z1889" s="84"/>
      <c r="AA1889" s="84"/>
      <c r="AB1889" s="84"/>
    </row>
    <row r="1890">
      <c r="A1890" s="63">
        <v>126.0</v>
      </c>
      <c r="B1890" s="63">
        <v>193.0</v>
      </c>
      <c r="C1890" s="64" t="s">
        <v>426</v>
      </c>
      <c r="D1890" s="64" t="s">
        <v>427</v>
      </c>
      <c r="E1890" s="64" t="s">
        <v>428</v>
      </c>
      <c r="F1890" s="63">
        <v>6000.0</v>
      </c>
      <c r="G1890" s="63">
        <v>46.8</v>
      </c>
      <c r="H1890" s="66">
        <f t="shared" si="1"/>
        <v>392.07</v>
      </c>
      <c r="I1890" s="81">
        <f>IFERROR(__xludf.DUMMYFUNCTION("IF(G1890="""", """", ROUND(G1890 / MAX(FILTER($G$2:$G5067, $D$2:$D5067=$D1890)) * 100, 2))"),93.32)</f>
        <v>93.32</v>
      </c>
      <c r="J1890" s="81">
        <f>IFERROR(__xludf.DUMMYFUNCTION("IF(H1890="""", """", ROUND(H1890 / MAX(FILTER($H$2:$H5067, $D$2:$D5067=$D1890)) * 100, 2))"),98.18)</f>
        <v>98.18</v>
      </c>
      <c r="K1890" s="2"/>
      <c r="L1890" s="49"/>
      <c r="M1890" s="49"/>
      <c r="N1890" s="49"/>
      <c r="O1890" s="49" t="str">
        <f t="shared" si="2"/>
        <v/>
      </c>
      <c r="P1890" s="49" t="str">
        <f t="shared" si="3"/>
        <v/>
      </c>
      <c r="Q1890" s="84"/>
      <c r="R1890" s="84"/>
      <c r="S1890" s="84"/>
      <c r="T1890" s="84"/>
      <c r="U1890" s="84"/>
      <c r="V1890" s="84"/>
      <c r="W1890" s="84"/>
      <c r="X1890" s="84"/>
      <c r="Y1890" s="84"/>
      <c r="Z1890" s="84"/>
      <c r="AA1890" s="84"/>
      <c r="AB1890" s="84"/>
    </row>
    <row r="1891">
      <c r="A1891" s="69">
        <v>126.0</v>
      </c>
      <c r="B1891" s="69">
        <v>193.0</v>
      </c>
      <c r="C1891" s="86" t="s">
        <v>426</v>
      </c>
      <c r="D1891" s="86" t="s">
        <v>427</v>
      </c>
      <c r="E1891" s="86" t="s">
        <v>428</v>
      </c>
      <c r="F1891" s="69">
        <v>6500.0</v>
      </c>
      <c r="G1891" s="69">
        <v>44.0</v>
      </c>
      <c r="H1891" s="68">
        <f t="shared" si="1"/>
        <v>399.33</v>
      </c>
      <c r="I1891" s="81">
        <f>IFERROR(__xludf.DUMMYFUNCTION("IF(G1891="""", """", ROUND(G1891 / MAX(FILTER($G$2:$G5067, $D$2:$D5067=$D1891)) * 100, 2))"),87.74)</f>
        <v>87.74</v>
      </c>
      <c r="J1891" s="81">
        <f>IFERROR(__xludf.DUMMYFUNCTION("IF(H1891="""", """", ROUND(H1891 / MAX(FILTER($H$2:$H5067, $D$2:$D5067=$D1891)) * 100, 2))"),100.0)</f>
        <v>100</v>
      </c>
      <c r="K1891" s="2"/>
      <c r="L1891" s="48"/>
      <c r="M1891" s="48"/>
      <c r="N1891" s="48"/>
      <c r="O1891" s="48" t="str">
        <f t="shared" si="2"/>
        <v/>
      </c>
      <c r="P1891" s="48" t="str">
        <f t="shared" si="3"/>
        <v/>
      </c>
      <c r="Q1891" s="84"/>
      <c r="R1891" s="84"/>
      <c r="S1891" s="84"/>
      <c r="T1891" s="84"/>
      <c r="U1891" s="84"/>
      <c r="V1891" s="84"/>
      <c r="W1891" s="84"/>
      <c r="X1891" s="84"/>
      <c r="Y1891" s="84"/>
      <c r="Z1891" s="84"/>
      <c r="AA1891" s="84"/>
      <c r="AB1891" s="84"/>
    </row>
    <row r="1892">
      <c r="A1892" s="63">
        <v>126.0</v>
      </c>
      <c r="B1892" s="63">
        <v>193.0</v>
      </c>
      <c r="C1892" s="64" t="s">
        <v>426</v>
      </c>
      <c r="D1892" s="64" t="s">
        <v>427</v>
      </c>
      <c r="E1892" s="64" t="s">
        <v>428</v>
      </c>
      <c r="F1892" s="63">
        <v>7000.0</v>
      </c>
      <c r="G1892" s="63">
        <v>40.25</v>
      </c>
      <c r="H1892" s="66">
        <f t="shared" si="1"/>
        <v>393.4</v>
      </c>
      <c r="I1892" s="81">
        <f>IFERROR(__xludf.DUMMYFUNCTION("IF(G1892="""", """", ROUND(G1892 / MAX(FILTER($G$2:$G5067, $D$2:$D5067=$D1892)) * 100, 2))"),80.26)</f>
        <v>80.26</v>
      </c>
      <c r="J1892" s="81">
        <f>IFERROR(__xludf.DUMMYFUNCTION("IF(H1892="""", """", ROUND(H1892 / MAX(FILTER($H$2:$H5067, $D$2:$D5067=$D1892)) * 100, 2))"),98.52)</f>
        <v>98.52</v>
      </c>
      <c r="K1892" s="2"/>
      <c r="L1892" s="49"/>
      <c r="M1892" s="49"/>
      <c r="N1892" s="49"/>
      <c r="O1892" s="49" t="str">
        <f t="shared" si="2"/>
        <v/>
      </c>
      <c r="P1892" s="49" t="str">
        <f t="shared" si="3"/>
        <v/>
      </c>
      <c r="Q1892" s="84"/>
      <c r="R1892" s="84"/>
      <c r="S1892" s="84"/>
      <c r="T1892" s="84"/>
      <c r="U1892" s="84"/>
      <c r="V1892" s="84"/>
      <c r="W1892" s="84"/>
      <c r="X1892" s="84"/>
      <c r="Y1892" s="84"/>
      <c r="Z1892" s="84"/>
      <c r="AA1892" s="84"/>
      <c r="AB1892" s="84"/>
    </row>
    <row r="1893">
      <c r="A1893" s="69">
        <v>126.0</v>
      </c>
      <c r="B1893" s="69">
        <v>193.0</v>
      </c>
      <c r="C1893" s="86" t="s">
        <v>426</v>
      </c>
      <c r="D1893" s="86" t="s">
        <v>427</v>
      </c>
      <c r="E1893" s="86" t="s">
        <v>428</v>
      </c>
      <c r="F1893" s="69">
        <v>7500.0</v>
      </c>
      <c r="G1893" s="69">
        <v>35.25</v>
      </c>
      <c r="H1893" s="68">
        <f t="shared" si="1"/>
        <v>369.14</v>
      </c>
      <c r="I1893" s="81">
        <f>IFERROR(__xludf.DUMMYFUNCTION("IF(G1893="""", """", ROUND(G1893 / MAX(FILTER($G$2:$G5067, $D$2:$D5067=$D1893)) * 100, 2))"),70.29)</f>
        <v>70.29</v>
      </c>
      <c r="J1893" s="81">
        <f>IFERROR(__xludf.DUMMYFUNCTION("IF(H1893="""", """", ROUND(H1893 / MAX(FILTER($H$2:$H5067, $D$2:$D5067=$D1893)) * 100, 2))"),92.44)</f>
        <v>92.44</v>
      </c>
      <c r="K1893" s="2"/>
      <c r="L1893" s="48"/>
      <c r="M1893" s="48"/>
      <c r="N1893" s="48"/>
      <c r="O1893" s="48" t="str">
        <f t="shared" si="2"/>
        <v/>
      </c>
      <c r="P1893" s="48" t="str">
        <f t="shared" si="3"/>
        <v/>
      </c>
      <c r="Q1893" s="84"/>
      <c r="R1893" s="84"/>
      <c r="S1893" s="84"/>
      <c r="T1893" s="84"/>
      <c r="U1893" s="84"/>
      <c r="V1893" s="84"/>
      <c r="W1893" s="84"/>
      <c r="X1893" s="84"/>
      <c r="Y1893" s="84"/>
      <c r="Z1893" s="84"/>
      <c r="AA1893" s="84"/>
      <c r="AB1893" s="84"/>
    </row>
    <row r="1894">
      <c r="A1894" s="63">
        <v>126.0</v>
      </c>
      <c r="B1894" s="63">
        <v>193.0</v>
      </c>
      <c r="C1894" s="64" t="s">
        <v>426</v>
      </c>
      <c r="D1894" s="64" t="s">
        <v>427</v>
      </c>
      <c r="E1894" s="64" t="s">
        <v>428</v>
      </c>
      <c r="F1894" s="63">
        <v>8000.0</v>
      </c>
      <c r="G1894" s="63">
        <v>29.05</v>
      </c>
      <c r="H1894" s="66">
        <f t="shared" si="1"/>
        <v>324.49</v>
      </c>
      <c r="I1894" s="81">
        <f>IFERROR(__xludf.DUMMYFUNCTION("IF(G1894="""", """", ROUND(G1894 / MAX(FILTER($G$2:$G5067, $D$2:$D5067=$D1894)) * 100, 2))"),57.93)</f>
        <v>57.93</v>
      </c>
      <c r="J1894" s="81">
        <f>IFERROR(__xludf.DUMMYFUNCTION("IF(H1894="""", """", ROUND(H1894 / MAX(FILTER($H$2:$H5067, $D$2:$D5067=$D1894)) * 100, 2))"),81.26)</f>
        <v>81.26</v>
      </c>
      <c r="K1894" s="2"/>
      <c r="L1894" s="49"/>
      <c r="M1894" s="49"/>
      <c r="N1894" s="49"/>
      <c r="O1894" s="49" t="str">
        <f t="shared" si="2"/>
        <v/>
      </c>
      <c r="P1894" s="49" t="str">
        <f t="shared" si="3"/>
        <v/>
      </c>
      <c r="Q1894" s="84"/>
      <c r="R1894" s="84"/>
      <c r="S1894" s="84"/>
      <c r="T1894" s="84"/>
      <c r="U1894" s="84"/>
      <c r="V1894" s="84"/>
      <c r="W1894" s="84"/>
      <c r="X1894" s="84"/>
      <c r="Y1894" s="84"/>
      <c r="Z1894" s="84"/>
      <c r="AA1894" s="84"/>
      <c r="AB1894" s="84"/>
    </row>
    <row r="1895">
      <c r="A1895" s="69">
        <v>127.0</v>
      </c>
      <c r="B1895" s="69">
        <v>194.0</v>
      </c>
      <c r="C1895" s="86" t="s">
        <v>429</v>
      </c>
      <c r="D1895" s="86" t="s">
        <v>430</v>
      </c>
      <c r="E1895" s="86" t="s">
        <v>431</v>
      </c>
      <c r="F1895" s="69">
        <v>500.0</v>
      </c>
      <c r="G1895" s="69">
        <v>9.15</v>
      </c>
      <c r="H1895" s="68">
        <f t="shared" si="1"/>
        <v>6.39</v>
      </c>
      <c r="I1895" s="81">
        <f>IFERROR(__xludf.DUMMYFUNCTION("IF(G1895="""", """", ROUND(G1895 / MAX(FILTER($G$2:$G5067, $D$2:$D5067=$D1895)) * 100, 2))"),45.64)</f>
        <v>45.64</v>
      </c>
      <c r="J1895" s="81">
        <f>IFERROR(__xludf.DUMMYFUNCTION("IF(H1895="""", """", ROUND(H1895 / MAX(FILTER($H$2:$H5067, $D$2:$D5067=$D1895)) * 100, 2))"),2.85)</f>
        <v>2.85</v>
      </c>
      <c r="K1895" s="2"/>
      <c r="L1895" s="48"/>
      <c r="M1895" s="48"/>
      <c r="N1895" s="48"/>
      <c r="O1895" s="48" t="str">
        <f t="shared" si="2"/>
        <v/>
      </c>
      <c r="P1895" s="48" t="str">
        <f t="shared" si="3"/>
        <v/>
      </c>
      <c r="Q1895" s="84"/>
      <c r="R1895" s="84"/>
      <c r="S1895" s="84"/>
      <c r="T1895" s="84"/>
      <c r="U1895" s="84"/>
      <c r="V1895" s="84"/>
      <c r="W1895" s="84"/>
      <c r="X1895" s="84"/>
      <c r="Y1895" s="84"/>
      <c r="Z1895" s="84"/>
      <c r="AA1895" s="84"/>
      <c r="AB1895" s="84"/>
    </row>
    <row r="1896">
      <c r="A1896" s="63">
        <v>127.0</v>
      </c>
      <c r="B1896" s="63">
        <v>194.0</v>
      </c>
      <c r="C1896" s="64" t="s">
        <v>429</v>
      </c>
      <c r="D1896" s="64" t="s">
        <v>430</v>
      </c>
      <c r="E1896" s="64" t="s">
        <v>431</v>
      </c>
      <c r="F1896" s="63">
        <v>1000.0</v>
      </c>
      <c r="G1896" s="63">
        <v>9.9</v>
      </c>
      <c r="H1896" s="66">
        <f t="shared" si="1"/>
        <v>13.82</v>
      </c>
      <c r="I1896" s="81">
        <f>IFERROR(__xludf.DUMMYFUNCTION("IF(G1896="""", """", ROUND(G1896 / MAX(FILTER($G$2:$G5067, $D$2:$D5067=$D1896)) * 100, 2))"),49.38)</f>
        <v>49.38</v>
      </c>
      <c r="J1896" s="81">
        <f>IFERROR(__xludf.DUMMYFUNCTION("IF(H1896="""", """", ROUND(H1896 / MAX(FILTER($H$2:$H5067, $D$2:$D5067=$D1896)) * 100, 2))"),6.17)</f>
        <v>6.17</v>
      </c>
      <c r="K1896" s="2"/>
      <c r="L1896" s="49"/>
      <c r="M1896" s="49"/>
      <c r="N1896" s="49"/>
      <c r="O1896" s="49" t="str">
        <f t="shared" si="2"/>
        <v/>
      </c>
      <c r="P1896" s="49" t="str">
        <f t="shared" si="3"/>
        <v/>
      </c>
      <c r="Q1896" s="84"/>
      <c r="R1896" s="84"/>
      <c r="S1896" s="84"/>
      <c r="T1896" s="84"/>
      <c r="U1896" s="84"/>
      <c r="V1896" s="84"/>
      <c r="W1896" s="84"/>
      <c r="X1896" s="84"/>
      <c r="Y1896" s="84"/>
      <c r="Z1896" s="84"/>
      <c r="AA1896" s="84"/>
      <c r="AB1896" s="84"/>
    </row>
    <row r="1897">
      <c r="A1897" s="69">
        <v>127.0</v>
      </c>
      <c r="B1897" s="69">
        <v>194.0</v>
      </c>
      <c r="C1897" s="86" t="s">
        <v>429</v>
      </c>
      <c r="D1897" s="86" t="s">
        <v>430</v>
      </c>
      <c r="E1897" s="86" t="s">
        <v>431</v>
      </c>
      <c r="F1897" s="69">
        <v>1500.0</v>
      </c>
      <c r="G1897" s="69">
        <v>10.13</v>
      </c>
      <c r="H1897" s="68">
        <f t="shared" si="1"/>
        <v>21.22</v>
      </c>
      <c r="I1897" s="81">
        <f>IFERROR(__xludf.DUMMYFUNCTION("IF(G1897="""", """", ROUND(G1897 / MAX(FILTER($G$2:$G5067, $D$2:$D5067=$D1897)) * 100, 2))"),50.52)</f>
        <v>50.52</v>
      </c>
      <c r="J1897" s="81">
        <f>IFERROR(__xludf.DUMMYFUNCTION("IF(H1897="""", """", ROUND(H1897 / MAX(FILTER($H$2:$H5067, $D$2:$D5067=$D1897)) * 100, 2))"),9.48)</f>
        <v>9.48</v>
      </c>
      <c r="K1897" s="2"/>
      <c r="L1897" s="48"/>
      <c r="M1897" s="48"/>
      <c r="N1897" s="48"/>
      <c r="O1897" s="48" t="str">
        <f t="shared" si="2"/>
        <v/>
      </c>
      <c r="P1897" s="48" t="str">
        <f t="shared" si="3"/>
        <v/>
      </c>
      <c r="Q1897" s="84"/>
      <c r="R1897" s="84"/>
      <c r="S1897" s="84"/>
      <c r="T1897" s="84"/>
      <c r="U1897" s="84"/>
      <c r="V1897" s="84"/>
      <c r="W1897" s="84"/>
      <c r="X1897" s="84"/>
      <c r="Y1897" s="84"/>
      <c r="Z1897" s="84"/>
      <c r="AA1897" s="84"/>
      <c r="AB1897" s="84"/>
    </row>
    <row r="1898">
      <c r="A1898" s="63">
        <v>127.0</v>
      </c>
      <c r="B1898" s="63">
        <v>194.0</v>
      </c>
      <c r="C1898" s="64" t="s">
        <v>429</v>
      </c>
      <c r="D1898" s="64" t="s">
        <v>430</v>
      </c>
      <c r="E1898" s="64" t="s">
        <v>431</v>
      </c>
      <c r="F1898" s="63">
        <v>2000.0</v>
      </c>
      <c r="G1898" s="63">
        <v>10.22</v>
      </c>
      <c r="H1898" s="66">
        <f t="shared" si="1"/>
        <v>28.54</v>
      </c>
      <c r="I1898" s="81">
        <f>IFERROR(__xludf.DUMMYFUNCTION("IF(G1898="""", """", ROUND(G1898 / MAX(FILTER($G$2:$G5067, $D$2:$D5067=$D1898)) * 100, 2))"),50.97)</f>
        <v>50.97</v>
      </c>
      <c r="J1898" s="81">
        <f>IFERROR(__xludf.DUMMYFUNCTION("IF(H1898="""", """", ROUND(H1898 / MAX(FILTER($H$2:$H5067, $D$2:$D5067=$D1898)) * 100, 2))"),12.74)</f>
        <v>12.74</v>
      </c>
      <c r="K1898" s="2"/>
      <c r="L1898" s="49"/>
      <c r="M1898" s="49"/>
      <c r="N1898" s="49"/>
      <c r="O1898" s="49" t="str">
        <f t="shared" si="2"/>
        <v/>
      </c>
      <c r="P1898" s="49" t="str">
        <f t="shared" si="3"/>
        <v/>
      </c>
      <c r="Q1898" s="84"/>
      <c r="R1898" s="84"/>
      <c r="S1898" s="84"/>
      <c r="T1898" s="84"/>
      <c r="U1898" s="84"/>
      <c r="V1898" s="84"/>
      <c r="W1898" s="84"/>
      <c r="X1898" s="84"/>
      <c r="Y1898" s="84"/>
      <c r="Z1898" s="84"/>
      <c r="AA1898" s="84"/>
      <c r="AB1898" s="84"/>
    </row>
    <row r="1899">
      <c r="A1899" s="69">
        <v>127.0</v>
      </c>
      <c r="B1899" s="69">
        <v>194.0</v>
      </c>
      <c r="C1899" s="86" t="s">
        <v>429</v>
      </c>
      <c r="D1899" s="86" t="s">
        <v>430</v>
      </c>
      <c r="E1899" s="86" t="s">
        <v>431</v>
      </c>
      <c r="F1899" s="69">
        <v>2500.0</v>
      </c>
      <c r="G1899" s="69">
        <v>10.25</v>
      </c>
      <c r="H1899" s="68">
        <f t="shared" si="1"/>
        <v>35.78</v>
      </c>
      <c r="I1899" s="81">
        <f>IFERROR(__xludf.DUMMYFUNCTION("IF(G1899="""", """", ROUND(G1899 / MAX(FILTER($G$2:$G5067, $D$2:$D5067=$D1899)) * 100, 2))"),51.12)</f>
        <v>51.12</v>
      </c>
      <c r="J1899" s="81">
        <f>IFERROR(__xludf.DUMMYFUNCTION("IF(H1899="""", """", ROUND(H1899 / MAX(FILTER($H$2:$H5067, $D$2:$D5067=$D1899)) * 100, 2))"),15.98)</f>
        <v>15.98</v>
      </c>
      <c r="K1899" s="2"/>
      <c r="L1899" s="48"/>
      <c r="M1899" s="48"/>
      <c r="N1899" s="48"/>
      <c r="O1899" s="48" t="str">
        <f t="shared" si="2"/>
        <v/>
      </c>
      <c r="P1899" s="48" t="str">
        <f t="shared" si="3"/>
        <v/>
      </c>
      <c r="Q1899" s="84"/>
      <c r="R1899" s="84"/>
      <c r="S1899" s="84"/>
      <c r="T1899" s="84"/>
      <c r="U1899" s="84"/>
      <c r="V1899" s="84"/>
      <c r="W1899" s="84"/>
      <c r="X1899" s="84"/>
      <c r="Y1899" s="84"/>
      <c r="Z1899" s="84"/>
      <c r="AA1899" s="84"/>
      <c r="AB1899" s="84"/>
    </row>
    <row r="1900">
      <c r="A1900" s="63">
        <v>127.0</v>
      </c>
      <c r="B1900" s="63">
        <v>194.0</v>
      </c>
      <c r="C1900" s="64" t="s">
        <v>429</v>
      </c>
      <c r="D1900" s="64" t="s">
        <v>430</v>
      </c>
      <c r="E1900" s="64" t="s">
        <v>431</v>
      </c>
      <c r="F1900" s="63">
        <v>3000.0</v>
      </c>
      <c r="G1900" s="63">
        <v>10.68</v>
      </c>
      <c r="H1900" s="66">
        <f t="shared" si="1"/>
        <v>44.74</v>
      </c>
      <c r="I1900" s="81">
        <f>IFERROR(__xludf.DUMMYFUNCTION("IF(G1900="""", """", ROUND(G1900 / MAX(FILTER($G$2:$G5067, $D$2:$D5067=$D1900)) * 100, 2))"),53.27)</f>
        <v>53.27</v>
      </c>
      <c r="J1900" s="81">
        <f>IFERROR(__xludf.DUMMYFUNCTION("IF(H1900="""", """", ROUND(H1900 / MAX(FILTER($H$2:$H5067, $D$2:$D5067=$D1900)) * 100, 2))"),19.98)</f>
        <v>19.98</v>
      </c>
      <c r="K1900" s="2"/>
      <c r="L1900" s="49"/>
      <c r="M1900" s="49"/>
      <c r="N1900" s="49"/>
      <c r="O1900" s="49" t="str">
        <f t="shared" si="2"/>
        <v/>
      </c>
      <c r="P1900" s="49" t="str">
        <f t="shared" si="3"/>
        <v/>
      </c>
      <c r="Q1900" s="84"/>
      <c r="R1900" s="84"/>
      <c r="S1900" s="84"/>
      <c r="T1900" s="84"/>
      <c r="U1900" s="84"/>
      <c r="V1900" s="84"/>
      <c r="W1900" s="84"/>
      <c r="X1900" s="84"/>
      <c r="Y1900" s="84"/>
      <c r="Z1900" s="84"/>
      <c r="AA1900" s="84"/>
      <c r="AB1900" s="84"/>
    </row>
    <row r="1901">
      <c r="A1901" s="69">
        <v>127.0</v>
      </c>
      <c r="B1901" s="69">
        <v>194.0</v>
      </c>
      <c r="C1901" s="86" t="s">
        <v>429</v>
      </c>
      <c r="D1901" s="86" t="s">
        <v>430</v>
      </c>
      <c r="E1901" s="86" t="s">
        <v>431</v>
      </c>
      <c r="F1901" s="69">
        <v>3500.0</v>
      </c>
      <c r="G1901" s="69">
        <v>11.27</v>
      </c>
      <c r="H1901" s="68">
        <f t="shared" si="1"/>
        <v>55.08</v>
      </c>
      <c r="I1901" s="81">
        <f>IFERROR(__xludf.DUMMYFUNCTION("IF(G1901="""", """", ROUND(G1901 / MAX(FILTER($G$2:$G5067, $D$2:$D5067=$D1901)) * 100, 2))"),56.21)</f>
        <v>56.21</v>
      </c>
      <c r="J1901" s="81">
        <f>IFERROR(__xludf.DUMMYFUNCTION("IF(H1901="""", """", ROUND(H1901 / MAX(FILTER($H$2:$H5067, $D$2:$D5067=$D1901)) * 100, 2))"),24.59)</f>
        <v>24.59</v>
      </c>
      <c r="K1901" s="2"/>
      <c r="L1901" s="48"/>
      <c r="M1901" s="48"/>
      <c r="N1901" s="48"/>
      <c r="O1901" s="48" t="str">
        <f t="shared" si="2"/>
        <v/>
      </c>
      <c r="P1901" s="48" t="str">
        <f t="shared" si="3"/>
        <v/>
      </c>
      <c r="Q1901" s="84"/>
      <c r="R1901" s="84"/>
      <c r="S1901" s="84"/>
      <c r="T1901" s="84"/>
      <c r="U1901" s="84"/>
      <c r="V1901" s="84"/>
      <c r="W1901" s="84"/>
      <c r="X1901" s="84"/>
      <c r="Y1901" s="84"/>
      <c r="Z1901" s="84"/>
      <c r="AA1901" s="84"/>
      <c r="AB1901" s="84"/>
    </row>
    <row r="1902">
      <c r="A1902" s="63">
        <v>127.0</v>
      </c>
      <c r="B1902" s="63">
        <v>194.0</v>
      </c>
      <c r="C1902" s="64" t="s">
        <v>429</v>
      </c>
      <c r="D1902" s="64" t="s">
        <v>430</v>
      </c>
      <c r="E1902" s="64" t="s">
        <v>431</v>
      </c>
      <c r="F1902" s="63">
        <v>4000.0</v>
      </c>
      <c r="G1902" s="63">
        <v>12.55</v>
      </c>
      <c r="H1902" s="66">
        <f t="shared" si="1"/>
        <v>70.09</v>
      </c>
      <c r="I1902" s="81">
        <f>IFERROR(__xludf.DUMMYFUNCTION("IF(G1902="""", """", ROUND(G1902 / MAX(FILTER($G$2:$G5067, $D$2:$D5067=$D1902)) * 100, 2))"),62.59)</f>
        <v>62.59</v>
      </c>
      <c r="J1902" s="81">
        <f>IFERROR(__xludf.DUMMYFUNCTION("IF(H1902="""", """", ROUND(H1902 / MAX(FILTER($H$2:$H5067, $D$2:$D5067=$D1902)) * 100, 2))"),31.3)</f>
        <v>31.3</v>
      </c>
      <c r="K1902" s="2"/>
      <c r="L1902" s="49"/>
      <c r="M1902" s="49"/>
      <c r="N1902" s="49"/>
      <c r="O1902" s="49" t="str">
        <f t="shared" si="2"/>
        <v/>
      </c>
      <c r="P1902" s="49" t="str">
        <f t="shared" si="3"/>
        <v/>
      </c>
      <c r="Q1902" s="84"/>
      <c r="R1902" s="84"/>
      <c r="S1902" s="84"/>
      <c r="T1902" s="84"/>
      <c r="U1902" s="84"/>
      <c r="V1902" s="84"/>
      <c r="W1902" s="84"/>
      <c r="X1902" s="84"/>
      <c r="Y1902" s="84"/>
      <c r="Z1902" s="84"/>
      <c r="AA1902" s="84"/>
      <c r="AB1902" s="84"/>
    </row>
    <row r="1903">
      <c r="A1903" s="69">
        <v>127.0</v>
      </c>
      <c r="B1903" s="69">
        <v>194.0</v>
      </c>
      <c r="C1903" s="86" t="s">
        <v>429</v>
      </c>
      <c r="D1903" s="86" t="s">
        <v>430</v>
      </c>
      <c r="E1903" s="86" t="s">
        <v>431</v>
      </c>
      <c r="F1903" s="69">
        <v>4500.0</v>
      </c>
      <c r="G1903" s="69">
        <v>13.9</v>
      </c>
      <c r="H1903" s="68">
        <f t="shared" si="1"/>
        <v>87.34</v>
      </c>
      <c r="I1903" s="81">
        <f>IFERROR(__xludf.DUMMYFUNCTION("IF(G1903="""", """", ROUND(G1903 / MAX(FILTER($G$2:$G5067, $D$2:$D5067=$D1903)) * 100, 2))"),69.33)</f>
        <v>69.33</v>
      </c>
      <c r="J1903" s="81">
        <f>IFERROR(__xludf.DUMMYFUNCTION("IF(H1903="""", """", ROUND(H1903 / MAX(FILTER($H$2:$H5067, $D$2:$D5067=$D1903)) * 100, 2))"),39.0)</f>
        <v>39</v>
      </c>
      <c r="K1903" s="2"/>
      <c r="L1903" s="48"/>
      <c r="M1903" s="48"/>
      <c r="N1903" s="48"/>
      <c r="O1903" s="48" t="str">
        <f t="shared" si="2"/>
        <v/>
      </c>
      <c r="P1903" s="48" t="str">
        <f t="shared" si="3"/>
        <v/>
      </c>
      <c r="Q1903" s="84"/>
      <c r="R1903" s="84"/>
      <c r="S1903" s="84"/>
      <c r="T1903" s="84"/>
      <c r="U1903" s="84"/>
      <c r="V1903" s="84"/>
      <c r="W1903" s="84"/>
      <c r="X1903" s="84"/>
      <c r="Y1903" s="84"/>
      <c r="Z1903" s="84"/>
      <c r="AA1903" s="84"/>
      <c r="AB1903" s="84"/>
    </row>
    <row r="1904">
      <c r="A1904" s="63">
        <v>127.0</v>
      </c>
      <c r="B1904" s="63">
        <v>194.0</v>
      </c>
      <c r="C1904" s="64" t="s">
        <v>429</v>
      </c>
      <c r="D1904" s="64" t="s">
        <v>430</v>
      </c>
      <c r="E1904" s="64" t="s">
        <v>431</v>
      </c>
      <c r="F1904" s="63">
        <v>5000.0</v>
      </c>
      <c r="G1904" s="63">
        <v>15.17</v>
      </c>
      <c r="H1904" s="66">
        <f t="shared" si="1"/>
        <v>105.91</v>
      </c>
      <c r="I1904" s="81">
        <f>IFERROR(__xludf.DUMMYFUNCTION("IF(G1904="""", """", ROUND(G1904 / MAX(FILTER($G$2:$G5067, $D$2:$D5067=$D1904)) * 100, 2))"),75.66)</f>
        <v>75.66</v>
      </c>
      <c r="J1904" s="81">
        <f>IFERROR(__xludf.DUMMYFUNCTION("IF(H1904="""", """", ROUND(H1904 / MAX(FILTER($H$2:$H5067, $D$2:$D5067=$D1904)) * 100, 2))"),47.29)</f>
        <v>47.29</v>
      </c>
      <c r="K1904" s="2"/>
      <c r="L1904" s="49"/>
      <c r="M1904" s="49"/>
      <c r="N1904" s="49"/>
      <c r="O1904" s="49" t="str">
        <f t="shared" si="2"/>
        <v/>
      </c>
      <c r="P1904" s="49" t="str">
        <f t="shared" si="3"/>
        <v/>
      </c>
      <c r="Q1904" s="84"/>
      <c r="R1904" s="84"/>
      <c r="S1904" s="84"/>
      <c r="T1904" s="84"/>
      <c r="U1904" s="84"/>
      <c r="V1904" s="84"/>
      <c r="W1904" s="84"/>
      <c r="X1904" s="84"/>
      <c r="Y1904" s="84"/>
      <c r="Z1904" s="84"/>
      <c r="AA1904" s="84"/>
      <c r="AB1904" s="84"/>
    </row>
    <row r="1905">
      <c r="A1905" s="69">
        <v>127.0</v>
      </c>
      <c r="B1905" s="69">
        <v>194.0</v>
      </c>
      <c r="C1905" s="86" t="s">
        <v>429</v>
      </c>
      <c r="D1905" s="86" t="s">
        <v>430</v>
      </c>
      <c r="E1905" s="86" t="s">
        <v>431</v>
      </c>
      <c r="F1905" s="69">
        <v>5500.0</v>
      </c>
      <c r="G1905" s="69">
        <v>16.4</v>
      </c>
      <c r="H1905" s="68">
        <f t="shared" si="1"/>
        <v>125.94</v>
      </c>
      <c r="I1905" s="81">
        <f>IFERROR(__xludf.DUMMYFUNCTION("IF(G1905="""", """", ROUND(G1905 / MAX(FILTER($G$2:$G5067, $D$2:$D5067=$D1905)) * 100, 2))"),81.8)</f>
        <v>81.8</v>
      </c>
      <c r="J1905" s="81">
        <f>IFERROR(__xludf.DUMMYFUNCTION("IF(H1905="""", """", ROUND(H1905 / MAX(FILTER($H$2:$H5067, $D$2:$D5067=$D1905)) * 100, 2))"),56.24)</f>
        <v>56.24</v>
      </c>
      <c r="K1905" s="2"/>
      <c r="L1905" s="48"/>
      <c r="M1905" s="48"/>
      <c r="N1905" s="48"/>
      <c r="O1905" s="48" t="str">
        <f t="shared" si="2"/>
        <v/>
      </c>
      <c r="P1905" s="48" t="str">
        <f t="shared" si="3"/>
        <v/>
      </c>
      <c r="Q1905" s="84"/>
      <c r="R1905" s="84"/>
      <c r="S1905" s="84"/>
      <c r="T1905" s="84"/>
      <c r="U1905" s="84"/>
      <c r="V1905" s="84"/>
      <c r="W1905" s="84"/>
      <c r="X1905" s="84"/>
      <c r="Y1905" s="84"/>
      <c r="Z1905" s="84"/>
      <c r="AA1905" s="84"/>
      <c r="AB1905" s="84"/>
    </row>
    <row r="1906">
      <c r="A1906" s="63">
        <v>127.0</v>
      </c>
      <c r="B1906" s="63">
        <v>194.0</v>
      </c>
      <c r="C1906" s="64" t="s">
        <v>429</v>
      </c>
      <c r="D1906" s="64" t="s">
        <v>430</v>
      </c>
      <c r="E1906" s="64" t="s">
        <v>431</v>
      </c>
      <c r="F1906" s="63">
        <v>6000.0</v>
      </c>
      <c r="G1906" s="63">
        <v>18.05</v>
      </c>
      <c r="H1906" s="66">
        <f t="shared" si="1"/>
        <v>151.21</v>
      </c>
      <c r="I1906" s="81">
        <f>IFERROR(__xludf.DUMMYFUNCTION("IF(G1906="""", """", ROUND(G1906 / MAX(FILTER($G$2:$G5067, $D$2:$D5067=$D1906)) * 100, 2))"),90.02)</f>
        <v>90.02</v>
      </c>
      <c r="J1906" s="81">
        <f>IFERROR(__xludf.DUMMYFUNCTION("IF(H1906="""", """", ROUND(H1906 / MAX(FILTER($H$2:$H5067, $D$2:$D5067=$D1906)) * 100, 2))"),67.52)</f>
        <v>67.52</v>
      </c>
      <c r="K1906" s="2"/>
      <c r="L1906" s="49"/>
      <c r="M1906" s="49"/>
      <c r="N1906" s="49"/>
      <c r="O1906" s="49" t="str">
        <f t="shared" si="2"/>
        <v/>
      </c>
      <c r="P1906" s="49" t="str">
        <f t="shared" si="3"/>
        <v/>
      </c>
      <c r="Q1906" s="84"/>
      <c r="R1906" s="84"/>
      <c r="S1906" s="84"/>
      <c r="T1906" s="84"/>
      <c r="U1906" s="84"/>
      <c r="V1906" s="84"/>
      <c r="W1906" s="84"/>
      <c r="X1906" s="84"/>
      <c r="Y1906" s="84"/>
      <c r="Z1906" s="84"/>
      <c r="AA1906" s="84"/>
      <c r="AB1906" s="84"/>
    </row>
    <row r="1907">
      <c r="A1907" s="69">
        <v>127.0</v>
      </c>
      <c r="B1907" s="69">
        <v>194.0</v>
      </c>
      <c r="C1907" s="86" t="s">
        <v>429</v>
      </c>
      <c r="D1907" s="86" t="s">
        <v>430</v>
      </c>
      <c r="E1907" s="86" t="s">
        <v>431</v>
      </c>
      <c r="F1907" s="69">
        <v>6500.0</v>
      </c>
      <c r="G1907" s="69">
        <v>19.62</v>
      </c>
      <c r="H1907" s="68">
        <f t="shared" si="1"/>
        <v>178.06</v>
      </c>
      <c r="I1907" s="81">
        <f>IFERROR(__xludf.DUMMYFUNCTION("IF(G1907="""", """", ROUND(G1907 / MAX(FILTER($G$2:$G5067, $D$2:$D5067=$D1907)) * 100, 2))"),97.86)</f>
        <v>97.86</v>
      </c>
      <c r="J1907" s="81">
        <f>IFERROR(__xludf.DUMMYFUNCTION("IF(H1907="""", """", ROUND(H1907 / MAX(FILTER($H$2:$H5067, $D$2:$D5067=$D1907)) * 100, 2))"),79.51)</f>
        <v>79.51</v>
      </c>
      <c r="K1907" s="2"/>
      <c r="L1907" s="48"/>
      <c r="M1907" s="48"/>
      <c r="N1907" s="48"/>
      <c r="O1907" s="48" t="str">
        <f t="shared" si="2"/>
        <v/>
      </c>
      <c r="P1907" s="48" t="str">
        <f t="shared" si="3"/>
        <v/>
      </c>
      <c r="Q1907" s="84"/>
      <c r="R1907" s="84"/>
      <c r="S1907" s="84"/>
      <c r="T1907" s="84"/>
      <c r="U1907" s="84"/>
      <c r="V1907" s="84"/>
      <c r="W1907" s="84"/>
      <c r="X1907" s="84"/>
      <c r="Y1907" s="84"/>
      <c r="Z1907" s="84"/>
      <c r="AA1907" s="84"/>
      <c r="AB1907" s="84"/>
    </row>
    <row r="1908">
      <c r="A1908" s="63">
        <v>127.0</v>
      </c>
      <c r="B1908" s="63">
        <v>194.0</v>
      </c>
      <c r="C1908" s="64" t="s">
        <v>429</v>
      </c>
      <c r="D1908" s="64" t="s">
        <v>430</v>
      </c>
      <c r="E1908" s="64" t="s">
        <v>431</v>
      </c>
      <c r="F1908" s="63">
        <v>7000.0</v>
      </c>
      <c r="G1908" s="63">
        <v>20.05</v>
      </c>
      <c r="H1908" s="66">
        <f t="shared" si="1"/>
        <v>195.96</v>
      </c>
      <c r="I1908" s="81">
        <f>IFERROR(__xludf.DUMMYFUNCTION("IF(G1908="""", """", ROUND(G1908 / MAX(FILTER($G$2:$G5067, $D$2:$D5067=$D1908)) * 100, 2))"),100.0)</f>
        <v>100</v>
      </c>
      <c r="J1908" s="81">
        <f>IFERROR(__xludf.DUMMYFUNCTION("IF(H1908="""", """", ROUND(H1908 / MAX(FILTER($H$2:$H5067, $D$2:$D5067=$D1908)) * 100, 2))"),87.5)</f>
        <v>87.5</v>
      </c>
      <c r="K1908" s="2"/>
      <c r="L1908" s="49"/>
      <c r="M1908" s="49"/>
      <c r="N1908" s="49"/>
      <c r="O1908" s="49" t="str">
        <f t="shared" si="2"/>
        <v/>
      </c>
      <c r="P1908" s="49" t="str">
        <f t="shared" si="3"/>
        <v/>
      </c>
      <c r="Q1908" s="84"/>
      <c r="R1908" s="84"/>
      <c r="S1908" s="84"/>
      <c r="T1908" s="84"/>
      <c r="U1908" s="84"/>
      <c r="V1908" s="84"/>
      <c r="W1908" s="84"/>
      <c r="X1908" s="84"/>
      <c r="Y1908" s="84"/>
      <c r="Z1908" s="84"/>
      <c r="AA1908" s="84"/>
      <c r="AB1908" s="84"/>
    </row>
    <row r="1909">
      <c r="A1909" s="69">
        <v>127.0</v>
      </c>
      <c r="B1909" s="69">
        <v>194.0</v>
      </c>
      <c r="C1909" s="86" t="s">
        <v>429</v>
      </c>
      <c r="D1909" s="86" t="s">
        <v>430</v>
      </c>
      <c r="E1909" s="86" t="s">
        <v>431</v>
      </c>
      <c r="F1909" s="69">
        <v>7200.0</v>
      </c>
      <c r="G1909" s="69">
        <v>20.0</v>
      </c>
      <c r="H1909" s="68">
        <f t="shared" si="1"/>
        <v>201.06</v>
      </c>
      <c r="I1909" s="81">
        <f>IFERROR(__xludf.DUMMYFUNCTION("IF(G1909="""", """", ROUND(G1909 / MAX(FILTER($G$2:$G5067, $D$2:$D5067=$D1909)) * 100, 2))"),99.75)</f>
        <v>99.75</v>
      </c>
      <c r="J1909" s="81">
        <f>IFERROR(__xludf.DUMMYFUNCTION("IF(H1909="""", """", ROUND(H1909 / MAX(FILTER($H$2:$H5067, $D$2:$D5067=$D1909)) * 100, 2))"),89.78)</f>
        <v>89.78</v>
      </c>
      <c r="K1909" s="2"/>
      <c r="L1909" s="48"/>
      <c r="M1909" s="48"/>
      <c r="N1909" s="48"/>
      <c r="O1909" s="48" t="str">
        <f t="shared" si="2"/>
        <v/>
      </c>
      <c r="P1909" s="48" t="str">
        <f t="shared" si="3"/>
        <v/>
      </c>
      <c r="Q1909" s="84"/>
      <c r="R1909" s="84"/>
      <c r="S1909" s="84"/>
      <c r="T1909" s="84"/>
      <c r="U1909" s="84"/>
      <c r="V1909" s="84"/>
      <c r="W1909" s="84"/>
      <c r="X1909" s="84"/>
      <c r="Y1909" s="84"/>
      <c r="Z1909" s="84"/>
      <c r="AA1909" s="84"/>
      <c r="AB1909" s="84"/>
    </row>
    <row r="1910">
      <c r="A1910" s="63">
        <v>127.0</v>
      </c>
      <c r="B1910" s="63">
        <v>194.0</v>
      </c>
      <c r="C1910" s="64" t="s">
        <v>429</v>
      </c>
      <c r="D1910" s="64" t="s">
        <v>430</v>
      </c>
      <c r="E1910" s="64" t="s">
        <v>431</v>
      </c>
      <c r="F1910" s="63">
        <v>8000.0</v>
      </c>
      <c r="G1910" s="63">
        <v>19.73</v>
      </c>
      <c r="H1910" s="66">
        <f t="shared" si="1"/>
        <v>220.39</v>
      </c>
      <c r="I1910" s="81">
        <f>IFERROR(__xludf.DUMMYFUNCTION("IF(G1910="""", """", ROUND(G1910 / MAX(FILTER($G$2:$G5067, $D$2:$D5067=$D1910)) * 100, 2))"),98.4)</f>
        <v>98.4</v>
      </c>
      <c r="J1910" s="81">
        <f>IFERROR(__xludf.DUMMYFUNCTION("IF(H1910="""", """", ROUND(H1910 / MAX(FILTER($H$2:$H5067, $D$2:$D5067=$D1910)) * 100, 2))"),98.41)</f>
        <v>98.41</v>
      </c>
      <c r="K1910" s="2"/>
      <c r="L1910" s="49"/>
      <c r="M1910" s="49"/>
      <c r="N1910" s="49"/>
      <c r="O1910" s="49" t="str">
        <f t="shared" si="2"/>
        <v/>
      </c>
      <c r="P1910" s="49" t="str">
        <f t="shared" si="3"/>
        <v/>
      </c>
      <c r="Q1910" s="84"/>
      <c r="R1910" s="84"/>
      <c r="S1910" s="84"/>
      <c r="T1910" s="84"/>
      <c r="U1910" s="84"/>
      <c r="V1910" s="84"/>
      <c r="W1910" s="84"/>
      <c r="X1910" s="84"/>
      <c r="Y1910" s="84"/>
      <c r="Z1910" s="84"/>
      <c r="AA1910" s="84"/>
      <c r="AB1910" s="84"/>
    </row>
    <row r="1911">
      <c r="A1911" s="69">
        <v>127.0</v>
      </c>
      <c r="B1911" s="69">
        <v>194.0</v>
      </c>
      <c r="C1911" s="86" t="s">
        <v>429</v>
      </c>
      <c r="D1911" s="86" t="s">
        <v>430</v>
      </c>
      <c r="E1911" s="86" t="s">
        <v>431</v>
      </c>
      <c r="F1911" s="69">
        <v>8600.0</v>
      </c>
      <c r="G1911" s="69">
        <v>18.65</v>
      </c>
      <c r="H1911" s="68">
        <f t="shared" si="1"/>
        <v>223.95</v>
      </c>
      <c r="I1911" s="81">
        <f>IFERROR(__xludf.DUMMYFUNCTION("IF(G1911="""", """", ROUND(G1911 / MAX(FILTER($G$2:$G5067, $D$2:$D5067=$D1911)) * 100, 2))"),93.02)</f>
        <v>93.02</v>
      </c>
      <c r="J1911" s="81">
        <f>IFERROR(__xludf.DUMMYFUNCTION("IF(H1911="""", """", ROUND(H1911 / MAX(FILTER($H$2:$H5067, $D$2:$D5067=$D1911)) * 100, 2))"),100.0)</f>
        <v>100</v>
      </c>
      <c r="K1911" s="2"/>
      <c r="L1911" s="48"/>
      <c r="M1911" s="48"/>
      <c r="N1911" s="48"/>
      <c r="O1911" s="48" t="str">
        <f t="shared" si="2"/>
        <v/>
      </c>
      <c r="P1911" s="48" t="str">
        <f t="shared" si="3"/>
        <v/>
      </c>
      <c r="Q1911" s="84"/>
      <c r="R1911" s="84"/>
      <c r="S1911" s="84"/>
      <c r="T1911" s="84"/>
      <c r="U1911" s="84"/>
      <c r="V1911" s="84"/>
      <c r="W1911" s="84"/>
      <c r="X1911" s="84"/>
      <c r="Y1911" s="84"/>
      <c r="Z1911" s="84"/>
      <c r="AA1911" s="84"/>
      <c r="AB1911" s="84"/>
    </row>
    <row r="1912">
      <c r="A1912" s="63">
        <v>127.0</v>
      </c>
      <c r="B1912" s="63">
        <v>194.0</v>
      </c>
      <c r="C1912" s="64" t="s">
        <v>429</v>
      </c>
      <c r="D1912" s="64" t="s">
        <v>430</v>
      </c>
      <c r="E1912" s="64" t="s">
        <v>431</v>
      </c>
      <c r="F1912" s="63">
        <v>9000.0</v>
      </c>
      <c r="G1912" s="63">
        <v>17.65</v>
      </c>
      <c r="H1912" s="66">
        <f t="shared" si="1"/>
        <v>221.8</v>
      </c>
      <c r="I1912" s="81">
        <f>IFERROR(__xludf.DUMMYFUNCTION("IF(G1912="""", """", ROUND(G1912 / MAX(FILTER($G$2:$G5067, $D$2:$D5067=$D1912)) * 100, 2))"),88.03)</f>
        <v>88.03</v>
      </c>
      <c r="J1912" s="81">
        <f>IFERROR(__xludf.DUMMYFUNCTION("IF(H1912="""", """", ROUND(H1912 / MAX(FILTER($H$2:$H5067, $D$2:$D5067=$D1912)) * 100, 2))"),99.04)</f>
        <v>99.04</v>
      </c>
      <c r="K1912" s="2"/>
      <c r="L1912" s="49"/>
      <c r="M1912" s="49"/>
      <c r="N1912" s="49"/>
      <c r="O1912" s="49" t="str">
        <f t="shared" si="2"/>
        <v/>
      </c>
      <c r="P1912" s="49" t="str">
        <f t="shared" si="3"/>
        <v/>
      </c>
      <c r="Q1912" s="84"/>
      <c r="R1912" s="84"/>
      <c r="S1912" s="84"/>
      <c r="T1912" s="84"/>
      <c r="U1912" s="84"/>
      <c r="V1912" s="84"/>
      <c r="W1912" s="84"/>
      <c r="X1912" s="84"/>
      <c r="Y1912" s="84"/>
      <c r="Z1912" s="84"/>
      <c r="AA1912" s="84"/>
      <c r="AB1912" s="84"/>
    </row>
    <row r="1913">
      <c r="A1913" s="69">
        <v>127.0</v>
      </c>
      <c r="B1913" s="69">
        <v>194.0</v>
      </c>
      <c r="C1913" s="86" t="s">
        <v>429</v>
      </c>
      <c r="D1913" s="86" t="s">
        <v>430</v>
      </c>
      <c r="E1913" s="86" t="s">
        <v>431</v>
      </c>
      <c r="F1913" s="69">
        <v>9500.0</v>
      </c>
      <c r="G1913" s="69">
        <v>16.15</v>
      </c>
      <c r="H1913" s="68">
        <f t="shared" si="1"/>
        <v>214.22</v>
      </c>
      <c r="I1913" s="81">
        <f>IFERROR(__xludf.DUMMYFUNCTION("IF(G1913="""", """", ROUND(G1913 / MAX(FILTER($G$2:$G5067, $D$2:$D5067=$D1913)) * 100, 2))"),80.55)</f>
        <v>80.55</v>
      </c>
      <c r="J1913" s="81">
        <f>IFERROR(__xludf.DUMMYFUNCTION("IF(H1913="""", """", ROUND(H1913 / MAX(FILTER($H$2:$H5067, $D$2:$D5067=$D1913)) * 100, 2))"),95.66)</f>
        <v>95.66</v>
      </c>
      <c r="K1913" s="2"/>
      <c r="L1913" s="48"/>
      <c r="M1913" s="48"/>
      <c r="N1913" s="48"/>
      <c r="O1913" s="48" t="str">
        <f t="shared" si="2"/>
        <v/>
      </c>
      <c r="P1913" s="48" t="str">
        <f t="shared" si="3"/>
        <v/>
      </c>
      <c r="Q1913" s="84"/>
      <c r="R1913" s="84"/>
      <c r="S1913" s="84"/>
      <c r="T1913" s="84"/>
      <c r="U1913" s="84"/>
      <c r="V1913" s="84"/>
      <c r="W1913" s="84"/>
      <c r="X1913" s="84"/>
      <c r="Y1913" s="84"/>
      <c r="Z1913" s="84"/>
      <c r="AA1913" s="84"/>
      <c r="AB1913" s="84"/>
    </row>
    <row r="1914">
      <c r="A1914" s="63">
        <v>127.0</v>
      </c>
      <c r="B1914" s="63">
        <v>194.0</v>
      </c>
      <c r="C1914" s="64" t="s">
        <v>429</v>
      </c>
      <c r="D1914" s="64" t="s">
        <v>430</v>
      </c>
      <c r="E1914" s="64" t="s">
        <v>431</v>
      </c>
      <c r="F1914" s="63">
        <v>10000.0</v>
      </c>
      <c r="G1914" s="63">
        <v>14.08</v>
      </c>
      <c r="H1914" s="66">
        <f t="shared" si="1"/>
        <v>196.59</v>
      </c>
      <c r="I1914" s="81">
        <f>IFERROR(__xludf.DUMMYFUNCTION("IF(G1914="""", """", ROUND(G1914 / MAX(FILTER($G$2:$G5067, $D$2:$D5067=$D1914)) * 100, 2))"),70.22)</f>
        <v>70.22</v>
      </c>
      <c r="J1914" s="81">
        <f>IFERROR(__xludf.DUMMYFUNCTION("IF(H1914="""", """", ROUND(H1914 / MAX(FILTER($H$2:$H5067, $D$2:$D5067=$D1914)) * 100, 2))"),87.78)</f>
        <v>87.78</v>
      </c>
      <c r="K1914" s="2"/>
      <c r="L1914" s="49"/>
      <c r="M1914" s="49"/>
      <c r="N1914" s="49"/>
      <c r="O1914" s="49" t="str">
        <f t="shared" si="2"/>
        <v/>
      </c>
      <c r="P1914" s="49" t="str">
        <f t="shared" si="3"/>
        <v/>
      </c>
      <c r="Q1914" s="84"/>
      <c r="R1914" s="84"/>
      <c r="S1914" s="84"/>
      <c r="T1914" s="84"/>
      <c r="U1914" s="84"/>
      <c r="V1914" s="84"/>
      <c r="W1914" s="84"/>
      <c r="X1914" s="84"/>
      <c r="Y1914" s="84"/>
      <c r="Z1914" s="84"/>
      <c r="AA1914" s="84"/>
      <c r="AB1914" s="84"/>
    </row>
    <row r="1915">
      <c r="A1915" s="69">
        <v>128.0</v>
      </c>
      <c r="B1915" s="69">
        <v>197.0</v>
      </c>
      <c r="C1915" s="86" t="s">
        <v>432</v>
      </c>
      <c r="D1915" s="86" t="s">
        <v>433</v>
      </c>
      <c r="E1915" s="86" t="s">
        <v>434</v>
      </c>
      <c r="F1915" s="69">
        <v>500.0</v>
      </c>
      <c r="G1915" s="69">
        <v>7.05</v>
      </c>
      <c r="H1915" s="68">
        <f t="shared" si="1"/>
        <v>4.92</v>
      </c>
      <c r="I1915" s="81">
        <f>IFERROR(__xludf.DUMMYFUNCTION("IF(G1915="""", """", ROUND(G1915 / MAX(FILTER($G$2:$G5067, $D$2:$D5067=$D1915)) * 100, 2))"),45.19)</f>
        <v>45.19</v>
      </c>
      <c r="J1915" s="81">
        <f>IFERROR(__xludf.DUMMYFUNCTION("IF(H1915="""", """", ROUND(H1915 / MAX(FILTER($H$2:$H5067, $D$2:$D5067=$D1915)) * 100, 2))"),3.87)</f>
        <v>3.87</v>
      </c>
      <c r="K1915" s="2"/>
      <c r="L1915" s="48"/>
      <c r="M1915" s="48"/>
      <c r="N1915" s="48"/>
      <c r="O1915" s="48" t="str">
        <f t="shared" si="2"/>
        <v/>
      </c>
      <c r="P1915" s="48" t="str">
        <f t="shared" si="3"/>
        <v/>
      </c>
      <c r="Q1915" s="84"/>
      <c r="R1915" s="84"/>
      <c r="S1915" s="84"/>
      <c r="T1915" s="84"/>
      <c r="U1915" s="84"/>
      <c r="V1915" s="84"/>
      <c r="W1915" s="84"/>
      <c r="X1915" s="84"/>
      <c r="Y1915" s="84"/>
      <c r="Z1915" s="84"/>
      <c r="AA1915" s="84"/>
      <c r="AB1915" s="84"/>
    </row>
    <row r="1916">
      <c r="A1916" s="63">
        <v>128.0</v>
      </c>
      <c r="B1916" s="63">
        <v>197.0</v>
      </c>
      <c r="C1916" s="64" t="s">
        <v>432</v>
      </c>
      <c r="D1916" s="64" t="s">
        <v>433</v>
      </c>
      <c r="E1916" s="64" t="s">
        <v>434</v>
      </c>
      <c r="F1916" s="63">
        <v>1000.0</v>
      </c>
      <c r="G1916" s="63">
        <v>8.65</v>
      </c>
      <c r="H1916" s="66">
        <f t="shared" si="1"/>
        <v>12.08</v>
      </c>
      <c r="I1916" s="81">
        <f>IFERROR(__xludf.DUMMYFUNCTION("IF(G1916="""", """", ROUND(G1916 / MAX(FILTER($G$2:$G5067, $D$2:$D5067=$D1916)) * 100, 2))"),55.45)</f>
        <v>55.45</v>
      </c>
      <c r="J1916" s="81">
        <f>IFERROR(__xludf.DUMMYFUNCTION("IF(H1916="""", """", ROUND(H1916 / MAX(FILTER($H$2:$H5067, $D$2:$D5067=$D1916)) * 100, 2))"),9.51)</f>
        <v>9.51</v>
      </c>
      <c r="K1916" s="2"/>
      <c r="L1916" s="49"/>
      <c r="M1916" s="49"/>
      <c r="N1916" s="49"/>
      <c r="O1916" s="49" t="str">
        <f t="shared" si="2"/>
        <v/>
      </c>
      <c r="P1916" s="49" t="str">
        <f t="shared" si="3"/>
        <v/>
      </c>
      <c r="Q1916" s="84"/>
      <c r="R1916" s="84"/>
      <c r="S1916" s="84"/>
      <c r="T1916" s="84"/>
      <c r="U1916" s="84"/>
      <c r="V1916" s="84"/>
      <c r="W1916" s="84"/>
      <c r="X1916" s="84"/>
      <c r="Y1916" s="84"/>
      <c r="Z1916" s="84"/>
      <c r="AA1916" s="84"/>
      <c r="AB1916" s="84"/>
    </row>
    <row r="1917">
      <c r="A1917" s="69">
        <v>128.0</v>
      </c>
      <c r="B1917" s="69">
        <v>197.0</v>
      </c>
      <c r="C1917" s="86" t="s">
        <v>432</v>
      </c>
      <c r="D1917" s="86" t="s">
        <v>433</v>
      </c>
      <c r="E1917" s="86" t="s">
        <v>434</v>
      </c>
      <c r="F1917" s="69">
        <v>1500.0</v>
      </c>
      <c r="G1917" s="69">
        <v>10.05</v>
      </c>
      <c r="H1917" s="68">
        <f t="shared" si="1"/>
        <v>21.05</v>
      </c>
      <c r="I1917" s="81">
        <f>IFERROR(__xludf.DUMMYFUNCTION("IF(G1917="""", """", ROUND(G1917 / MAX(FILTER($G$2:$G5067, $D$2:$D5067=$D1917)) * 100, 2))"),64.42)</f>
        <v>64.42</v>
      </c>
      <c r="J1917" s="81">
        <f>IFERROR(__xludf.DUMMYFUNCTION("IF(H1917="""", """", ROUND(H1917 / MAX(FILTER($H$2:$H5067, $D$2:$D5067=$D1917)) * 100, 2))"),16.57)</f>
        <v>16.57</v>
      </c>
      <c r="K1917" s="2"/>
      <c r="L1917" s="48"/>
      <c r="M1917" s="48"/>
      <c r="N1917" s="48"/>
      <c r="O1917" s="48" t="str">
        <f t="shared" si="2"/>
        <v/>
      </c>
      <c r="P1917" s="48" t="str">
        <f t="shared" si="3"/>
        <v/>
      </c>
      <c r="Q1917" s="84"/>
      <c r="R1917" s="84"/>
      <c r="S1917" s="84"/>
      <c r="T1917" s="84"/>
      <c r="U1917" s="84"/>
      <c r="V1917" s="84"/>
      <c r="W1917" s="84"/>
      <c r="X1917" s="84"/>
      <c r="Y1917" s="84"/>
      <c r="Z1917" s="84"/>
      <c r="AA1917" s="84"/>
      <c r="AB1917" s="84"/>
    </row>
    <row r="1918">
      <c r="A1918" s="63">
        <v>128.0</v>
      </c>
      <c r="B1918" s="63">
        <v>197.0</v>
      </c>
      <c r="C1918" s="64" t="s">
        <v>432</v>
      </c>
      <c r="D1918" s="64" t="s">
        <v>433</v>
      </c>
      <c r="E1918" s="64" t="s">
        <v>434</v>
      </c>
      <c r="F1918" s="63">
        <v>2000.0</v>
      </c>
      <c r="G1918" s="63">
        <v>11.35</v>
      </c>
      <c r="H1918" s="66">
        <f t="shared" si="1"/>
        <v>31.7</v>
      </c>
      <c r="I1918" s="81">
        <f>IFERROR(__xludf.DUMMYFUNCTION("IF(G1918="""", """", ROUND(G1918 / MAX(FILTER($G$2:$G5067, $D$2:$D5067=$D1918)) * 100, 2))"),72.76)</f>
        <v>72.76</v>
      </c>
      <c r="J1918" s="81">
        <f>IFERROR(__xludf.DUMMYFUNCTION("IF(H1918="""", """", ROUND(H1918 / MAX(FILTER($H$2:$H5067, $D$2:$D5067=$D1918)) * 100, 2))"),24.95)</f>
        <v>24.95</v>
      </c>
      <c r="K1918" s="2"/>
      <c r="L1918" s="49"/>
      <c r="M1918" s="49"/>
      <c r="N1918" s="49"/>
      <c r="O1918" s="49" t="str">
        <f t="shared" si="2"/>
        <v/>
      </c>
      <c r="P1918" s="49" t="str">
        <f t="shared" si="3"/>
        <v/>
      </c>
      <c r="Q1918" s="84"/>
      <c r="R1918" s="84"/>
      <c r="S1918" s="84"/>
      <c r="T1918" s="84"/>
      <c r="U1918" s="84"/>
      <c r="V1918" s="84"/>
      <c r="W1918" s="84"/>
      <c r="X1918" s="84"/>
      <c r="Y1918" s="84"/>
      <c r="Z1918" s="84"/>
      <c r="AA1918" s="84"/>
      <c r="AB1918" s="84"/>
    </row>
    <row r="1919">
      <c r="A1919" s="69">
        <v>128.0</v>
      </c>
      <c r="B1919" s="69">
        <v>197.0</v>
      </c>
      <c r="C1919" s="86" t="s">
        <v>432</v>
      </c>
      <c r="D1919" s="86" t="s">
        <v>433</v>
      </c>
      <c r="E1919" s="86" t="s">
        <v>434</v>
      </c>
      <c r="F1919" s="69">
        <v>2500.0</v>
      </c>
      <c r="G1919" s="69">
        <v>12.45</v>
      </c>
      <c r="H1919" s="68">
        <f t="shared" si="1"/>
        <v>43.46</v>
      </c>
      <c r="I1919" s="81">
        <f>IFERROR(__xludf.DUMMYFUNCTION("IF(G1919="""", """", ROUND(G1919 / MAX(FILTER($G$2:$G5067, $D$2:$D5067=$D1919)) * 100, 2))"),79.81)</f>
        <v>79.81</v>
      </c>
      <c r="J1919" s="81">
        <f>IFERROR(__xludf.DUMMYFUNCTION("IF(H1919="""", """", ROUND(H1919 / MAX(FILTER($H$2:$H5067, $D$2:$D5067=$D1919)) * 100, 2))"),34.2)</f>
        <v>34.2</v>
      </c>
      <c r="K1919" s="2"/>
      <c r="L1919" s="48"/>
      <c r="M1919" s="48"/>
      <c r="N1919" s="48"/>
      <c r="O1919" s="48" t="str">
        <f t="shared" si="2"/>
        <v/>
      </c>
      <c r="P1919" s="48" t="str">
        <f t="shared" si="3"/>
        <v/>
      </c>
      <c r="Q1919" s="84"/>
      <c r="R1919" s="84"/>
      <c r="S1919" s="84"/>
      <c r="T1919" s="84"/>
      <c r="U1919" s="84"/>
      <c r="V1919" s="84"/>
      <c r="W1919" s="84"/>
      <c r="X1919" s="84"/>
      <c r="Y1919" s="84"/>
      <c r="Z1919" s="84"/>
      <c r="AA1919" s="84"/>
      <c r="AB1919" s="84"/>
    </row>
    <row r="1920">
      <c r="A1920" s="63">
        <v>128.0</v>
      </c>
      <c r="B1920" s="63">
        <v>197.0</v>
      </c>
      <c r="C1920" s="64" t="s">
        <v>432</v>
      </c>
      <c r="D1920" s="64" t="s">
        <v>433</v>
      </c>
      <c r="E1920" s="64" t="s">
        <v>434</v>
      </c>
      <c r="F1920" s="63">
        <v>3000.0</v>
      </c>
      <c r="G1920" s="63">
        <v>13.4</v>
      </c>
      <c r="H1920" s="66">
        <f t="shared" si="1"/>
        <v>56.13</v>
      </c>
      <c r="I1920" s="81">
        <f>IFERROR(__xludf.DUMMYFUNCTION("IF(G1920="""", """", ROUND(G1920 / MAX(FILTER($G$2:$G5067, $D$2:$D5067=$D1920)) * 100, 2))"),85.9)</f>
        <v>85.9</v>
      </c>
      <c r="J1920" s="81">
        <f>IFERROR(__xludf.DUMMYFUNCTION("IF(H1920="""", """", ROUND(H1920 / MAX(FILTER($H$2:$H5067, $D$2:$D5067=$D1920)) * 100, 2))"),44.18)</f>
        <v>44.18</v>
      </c>
      <c r="K1920" s="2"/>
      <c r="L1920" s="49"/>
      <c r="M1920" s="49"/>
      <c r="N1920" s="49"/>
      <c r="O1920" s="49" t="str">
        <f t="shared" si="2"/>
        <v/>
      </c>
      <c r="P1920" s="49" t="str">
        <f t="shared" si="3"/>
        <v/>
      </c>
      <c r="Q1920" s="84"/>
      <c r="R1920" s="84"/>
      <c r="S1920" s="84"/>
      <c r="T1920" s="84"/>
      <c r="U1920" s="84"/>
      <c r="V1920" s="84"/>
      <c r="W1920" s="84"/>
      <c r="X1920" s="84"/>
      <c r="Y1920" s="84"/>
      <c r="Z1920" s="84"/>
      <c r="AA1920" s="84"/>
      <c r="AB1920" s="84"/>
    </row>
    <row r="1921">
      <c r="A1921" s="69">
        <v>128.0</v>
      </c>
      <c r="B1921" s="69">
        <v>197.0</v>
      </c>
      <c r="C1921" s="86" t="s">
        <v>432</v>
      </c>
      <c r="D1921" s="86" t="s">
        <v>433</v>
      </c>
      <c r="E1921" s="86" t="s">
        <v>434</v>
      </c>
      <c r="F1921" s="69">
        <v>3500.0</v>
      </c>
      <c r="G1921" s="69">
        <v>14.25</v>
      </c>
      <c r="H1921" s="68">
        <f t="shared" si="1"/>
        <v>69.64</v>
      </c>
      <c r="I1921" s="81">
        <f>IFERROR(__xludf.DUMMYFUNCTION("IF(G1921="""", """", ROUND(G1921 / MAX(FILTER($G$2:$G5067, $D$2:$D5067=$D1921)) * 100, 2))"),91.35)</f>
        <v>91.35</v>
      </c>
      <c r="J1921" s="81">
        <f>IFERROR(__xludf.DUMMYFUNCTION("IF(H1921="""", """", ROUND(H1921 / MAX(FILTER($H$2:$H5067, $D$2:$D5067=$D1921)) * 100, 2))"),54.81)</f>
        <v>54.81</v>
      </c>
      <c r="K1921" s="2"/>
      <c r="L1921" s="48"/>
      <c r="M1921" s="48"/>
      <c r="N1921" s="48"/>
      <c r="O1921" s="48" t="str">
        <f t="shared" si="2"/>
        <v/>
      </c>
      <c r="P1921" s="48" t="str">
        <f t="shared" si="3"/>
        <v/>
      </c>
      <c r="Q1921" s="84"/>
      <c r="R1921" s="84"/>
      <c r="S1921" s="84"/>
      <c r="T1921" s="84"/>
      <c r="U1921" s="84"/>
      <c r="V1921" s="84"/>
      <c r="W1921" s="84"/>
      <c r="X1921" s="84"/>
      <c r="Y1921" s="84"/>
      <c r="Z1921" s="84"/>
      <c r="AA1921" s="84"/>
      <c r="AB1921" s="84"/>
    </row>
    <row r="1922">
      <c r="A1922" s="63">
        <v>128.0</v>
      </c>
      <c r="B1922" s="63">
        <v>197.0</v>
      </c>
      <c r="C1922" s="64" t="s">
        <v>432</v>
      </c>
      <c r="D1922" s="64" t="s">
        <v>433</v>
      </c>
      <c r="E1922" s="64" t="s">
        <v>434</v>
      </c>
      <c r="F1922" s="63">
        <v>4000.0</v>
      </c>
      <c r="G1922" s="63">
        <v>14.85</v>
      </c>
      <c r="H1922" s="66">
        <f t="shared" si="1"/>
        <v>82.94</v>
      </c>
      <c r="I1922" s="81">
        <f>IFERROR(__xludf.DUMMYFUNCTION("IF(G1922="""", """", ROUND(G1922 / MAX(FILTER($G$2:$G5067, $D$2:$D5067=$D1922)) * 100, 2))"),95.19)</f>
        <v>95.19</v>
      </c>
      <c r="J1922" s="81">
        <f>IFERROR(__xludf.DUMMYFUNCTION("IF(H1922="""", """", ROUND(H1922 / MAX(FILTER($H$2:$H5067, $D$2:$D5067=$D1922)) * 100, 2))"),65.28)</f>
        <v>65.28</v>
      </c>
      <c r="K1922" s="2"/>
      <c r="L1922" s="49"/>
      <c r="M1922" s="49"/>
      <c r="N1922" s="49"/>
      <c r="O1922" s="49" t="str">
        <f t="shared" si="2"/>
        <v/>
      </c>
      <c r="P1922" s="49" t="str">
        <f t="shared" si="3"/>
        <v/>
      </c>
      <c r="Q1922" s="84"/>
      <c r="R1922" s="84"/>
      <c r="S1922" s="84"/>
      <c r="T1922" s="84"/>
      <c r="U1922" s="84"/>
      <c r="V1922" s="84"/>
      <c r="W1922" s="84"/>
      <c r="X1922" s="84"/>
      <c r="Y1922" s="84"/>
      <c r="Z1922" s="84"/>
      <c r="AA1922" s="84"/>
      <c r="AB1922" s="84"/>
    </row>
    <row r="1923">
      <c r="A1923" s="69">
        <v>128.0</v>
      </c>
      <c r="B1923" s="69">
        <v>197.0</v>
      </c>
      <c r="C1923" s="86" t="s">
        <v>432</v>
      </c>
      <c r="D1923" s="86" t="s">
        <v>433</v>
      </c>
      <c r="E1923" s="86" t="s">
        <v>434</v>
      </c>
      <c r="F1923" s="69">
        <v>4500.0</v>
      </c>
      <c r="G1923" s="69">
        <v>15.25</v>
      </c>
      <c r="H1923" s="68">
        <f t="shared" si="1"/>
        <v>95.82</v>
      </c>
      <c r="I1923" s="81">
        <f>IFERROR(__xludf.DUMMYFUNCTION("IF(G1923="""", """", ROUND(G1923 / MAX(FILTER($G$2:$G5067, $D$2:$D5067=$D1923)) * 100, 2))"),97.76)</f>
        <v>97.76</v>
      </c>
      <c r="J1923" s="81">
        <f>IFERROR(__xludf.DUMMYFUNCTION("IF(H1923="""", """", ROUND(H1923 / MAX(FILTER($H$2:$H5067, $D$2:$D5067=$D1923)) * 100, 2))"),75.41)</f>
        <v>75.41</v>
      </c>
      <c r="K1923" s="2"/>
      <c r="L1923" s="48"/>
      <c r="M1923" s="48"/>
      <c r="N1923" s="48"/>
      <c r="O1923" s="48" t="str">
        <f t="shared" si="2"/>
        <v/>
      </c>
      <c r="P1923" s="48" t="str">
        <f t="shared" si="3"/>
        <v/>
      </c>
      <c r="Q1923" s="84"/>
      <c r="R1923" s="84"/>
      <c r="S1923" s="84"/>
      <c r="T1923" s="84"/>
      <c r="U1923" s="84"/>
      <c r="V1923" s="84"/>
      <c r="W1923" s="84"/>
      <c r="X1923" s="84"/>
      <c r="Y1923" s="84"/>
      <c r="Z1923" s="84"/>
      <c r="AA1923" s="84"/>
      <c r="AB1923" s="84"/>
    </row>
    <row r="1924">
      <c r="A1924" s="63">
        <v>128.0</v>
      </c>
      <c r="B1924" s="63">
        <v>197.0</v>
      </c>
      <c r="C1924" s="64" t="s">
        <v>432</v>
      </c>
      <c r="D1924" s="64" t="s">
        <v>433</v>
      </c>
      <c r="E1924" s="64" t="s">
        <v>434</v>
      </c>
      <c r="F1924" s="63">
        <v>5000.0</v>
      </c>
      <c r="G1924" s="63">
        <v>15.55</v>
      </c>
      <c r="H1924" s="66">
        <f t="shared" si="1"/>
        <v>108.56</v>
      </c>
      <c r="I1924" s="81">
        <f>IFERROR(__xludf.DUMMYFUNCTION("IF(G1924="""", """", ROUND(G1924 / MAX(FILTER($G$2:$G5067, $D$2:$D5067=$D1924)) * 100, 2))"),99.68)</f>
        <v>99.68</v>
      </c>
      <c r="J1924" s="81">
        <f>IFERROR(__xludf.DUMMYFUNCTION("IF(H1924="""", """", ROUND(H1924 / MAX(FILTER($H$2:$H5067, $D$2:$D5067=$D1924)) * 100, 2))"),85.44)</f>
        <v>85.44</v>
      </c>
      <c r="K1924" s="2"/>
      <c r="L1924" s="49"/>
      <c r="M1924" s="49"/>
      <c r="N1924" s="49"/>
      <c r="O1924" s="49" t="str">
        <f t="shared" si="2"/>
        <v/>
      </c>
      <c r="P1924" s="49" t="str">
        <f t="shared" si="3"/>
        <v/>
      </c>
      <c r="Q1924" s="84"/>
      <c r="R1924" s="84"/>
      <c r="S1924" s="84"/>
      <c r="T1924" s="84"/>
      <c r="U1924" s="84"/>
      <c r="V1924" s="84"/>
      <c r="W1924" s="84"/>
      <c r="X1924" s="84"/>
      <c r="Y1924" s="84"/>
      <c r="Z1924" s="84"/>
      <c r="AA1924" s="84"/>
      <c r="AB1924" s="84"/>
    </row>
    <row r="1925">
      <c r="A1925" s="69">
        <v>128.0</v>
      </c>
      <c r="B1925" s="69">
        <v>197.0</v>
      </c>
      <c r="C1925" s="86" t="s">
        <v>432</v>
      </c>
      <c r="D1925" s="86" t="s">
        <v>433</v>
      </c>
      <c r="E1925" s="86" t="s">
        <v>434</v>
      </c>
      <c r="F1925" s="69">
        <v>5500.0</v>
      </c>
      <c r="G1925" s="69">
        <v>15.6</v>
      </c>
      <c r="H1925" s="68">
        <f t="shared" si="1"/>
        <v>119.8</v>
      </c>
      <c r="I1925" s="81">
        <f>IFERROR(__xludf.DUMMYFUNCTION("IF(G1925="""", """", ROUND(G1925 / MAX(FILTER($G$2:$G5067, $D$2:$D5067=$D1925)) * 100, 2))"),100.0)</f>
        <v>100</v>
      </c>
      <c r="J1925" s="81">
        <f>IFERROR(__xludf.DUMMYFUNCTION("IF(H1925="""", """", ROUND(H1925 / MAX(FILTER($H$2:$H5067, $D$2:$D5067=$D1925)) * 100, 2))"),94.29)</f>
        <v>94.29</v>
      </c>
      <c r="K1925" s="2"/>
      <c r="L1925" s="48"/>
      <c r="M1925" s="48"/>
      <c r="N1925" s="48"/>
      <c r="O1925" s="48" t="str">
        <f t="shared" si="2"/>
        <v/>
      </c>
      <c r="P1925" s="48" t="str">
        <f t="shared" si="3"/>
        <v/>
      </c>
      <c r="Q1925" s="84"/>
      <c r="R1925" s="84"/>
      <c r="S1925" s="84"/>
      <c r="T1925" s="84"/>
      <c r="U1925" s="84"/>
      <c r="V1925" s="84"/>
      <c r="W1925" s="84"/>
      <c r="X1925" s="84"/>
      <c r="Y1925" s="84"/>
      <c r="Z1925" s="84"/>
      <c r="AA1925" s="84"/>
      <c r="AB1925" s="84"/>
    </row>
    <row r="1926">
      <c r="A1926" s="63">
        <v>128.0</v>
      </c>
      <c r="B1926" s="63">
        <v>197.0</v>
      </c>
      <c r="C1926" s="64" t="s">
        <v>432</v>
      </c>
      <c r="D1926" s="64" t="s">
        <v>433</v>
      </c>
      <c r="E1926" s="64" t="s">
        <v>434</v>
      </c>
      <c r="F1926" s="63">
        <v>6000.0</v>
      </c>
      <c r="G1926" s="63">
        <v>14.95</v>
      </c>
      <c r="H1926" s="66">
        <f t="shared" si="1"/>
        <v>125.24</v>
      </c>
      <c r="I1926" s="81">
        <f>IFERROR(__xludf.DUMMYFUNCTION("IF(G1926="""", """", ROUND(G1926 / MAX(FILTER($G$2:$G5067, $D$2:$D5067=$D1926)) * 100, 2))"),95.83)</f>
        <v>95.83</v>
      </c>
      <c r="J1926" s="81">
        <f>IFERROR(__xludf.DUMMYFUNCTION("IF(H1926="""", """", ROUND(H1926 / MAX(FILTER($H$2:$H5067, $D$2:$D5067=$D1926)) * 100, 2))"),98.57)</f>
        <v>98.57</v>
      </c>
      <c r="K1926" s="2"/>
      <c r="L1926" s="49"/>
      <c r="M1926" s="49"/>
      <c r="N1926" s="49"/>
      <c r="O1926" s="49" t="str">
        <f t="shared" si="2"/>
        <v/>
      </c>
      <c r="P1926" s="49" t="str">
        <f t="shared" si="3"/>
        <v/>
      </c>
      <c r="Q1926" s="84"/>
      <c r="R1926" s="84"/>
      <c r="S1926" s="84"/>
      <c r="T1926" s="84"/>
      <c r="U1926" s="84"/>
      <c r="V1926" s="84"/>
      <c r="W1926" s="84"/>
      <c r="X1926" s="84"/>
      <c r="Y1926" s="84"/>
      <c r="Z1926" s="84"/>
      <c r="AA1926" s="84"/>
      <c r="AB1926" s="84"/>
    </row>
    <row r="1927">
      <c r="A1927" s="69">
        <v>128.0</v>
      </c>
      <c r="B1927" s="69">
        <v>197.0</v>
      </c>
      <c r="C1927" s="86" t="s">
        <v>432</v>
      </c>
      <c r="D1927" s="86" t="s">
        <v>433</v>
      </c>
      <c r="E1927" s="86" t="s">
        <v>434</v>
      </c>
      <c r="F1927" s="69">
        <v>6500.0</v>
      </c>
      <c r="G1927" s="69">
        <v>14.0</v>
      </c>
      <c r="H1927" s="68">
        <f t="shared" si="1"/>
        <v>127.06</v>
      </c>
      <c r="I1927" s="81">
        <f>IFERROR(__xludf.DUMMYFUNCTION("IF(G1927="""", """", ROUND(G1927 / MAX(FILTER($G$2:$G5067, $D$2:$D5067=$D1927)) * 100, 2))"),89.74)</f>
        <v>89.74</v>
      </c>
      <c r="J1927" s="81">
        <f>IFERROR(__xludf.DUMMYFUNCTION("IF(H1927="""", """", ROUND(H1927 / MAX(FILTER($H$2:$H5067, $D$2:$D5067=$D1927)) * 100, 2))"),100.0)</f>
        <v>100</v>
      </c>
      <c r="K1927" s="2"/>
      <c r="L1927" s="48"/>
      <c r="M1927" s="48"/>
      <c r="N1927" s="48"/>
      <c r="O1927" s="48" t="str">
        <f t="shared" si="2"/>
        <v/>
      </c>
      <c r="P1927" s="48" t="str">
        <f t="shared" si="3"/>
        <v/>
      </c>
      <c r="Q1927" s="84"/>
      <c r="R1927" s="84"/>
      <c r="S1927" s="84"/>
      <c r="T1927" s="84"/>
      <c r="U1927" s="84"/>
      <c r="V1927" s="84"/>
      <c r="W1927" s="84"/>
      <c r="X1927" s="84"/>
      <c r="Y1927" s="84"/>
      <c r="Z1927" s="84"/>
      <c r="AA1927" s="84"/>
      <c r="AB1927" s="84"/>
    </row>
    <row r="1928">
      <c r="A1928" s="63">
        <v>128.0</v>
      </c>
      <c r="B1928" s="63">
        <v>197.0</v>
      </c>
      <c r="C1928" s="64" t="s">
        <v>432</v>
      </c>
      <c r="D1928" s="64" t="s">
        <v>433</v>
      </c>
      <c r="E1928" s="64" t="s">
        <v>434</v>
      </c>
      <c r="F1928" s="63">
        <v>7000.0</v>
      </c>
      <c r="G1928" s="63">
        <v>12.6</v>
      </c>
      <c r="H1928" s="66">
        <f t="shared" si="1"/>
        <v>123.15</v>
      </c>
      <c r="I1928" s="81">
        <f>IFERROR(__xludf.DUMMYFUNCTION("IF(G1928="""", """", ROUND(G1928 / MAX(FILTER($G$2:$G5067, $D$2:$D5067=$D1928)) * 100, 2))"),80.77)</f>
        <v>80.77</v>
      </c>
      <c r="J1928" s="81">
        <f>IFERROR(__xludf.DUMMYFUNCTION("IF(H1928="""", """", ROUND(H1928 / MAX(FILTER($H$2:$H5067, $D$2:$D5067=$D1928)) * 100, 2))"),96.92)</f>
        <v>96.92</v>
      </c>
      <c r="K1928" s="2"/>
      <c r="L1928" s="49"/>
      <c r="M1928" s="49"/>
      <c r="N1928" s="49"/>
      <c r="O1928" s="49" t="str">
        <f t="shared" si="2"/>
        <v/>
      </c>
      <c r="P1928" s="49" t="str">
        <f t="shared" si="3"/>
        <v/>
      </c>
      <c r="Q1928" s="84"/>
      <c r="R1928" s="84"/>
      <c r="S1928" s="84"/>
      <c r="T1928" s="84"/>
      <c r="U1928" s="84"/>
      <c r="V1928" s="84"/>
      <c r="W1928" s="84"/>
      <c r="X1928" s="84"/>
      <c r="Y1928" s="84"/>
      <c r="Z1928" s="84"/>
      <c r="AA1928" s="84"/>
      <c r="AB1928" s="84"/>
    </row>
    <row r="1929">
      <c r="A1929" s="69">
        <v>128.0</v>
      </c>
      <c r="B1929" s="69">
        <v>197.0</v>
      </c>
      <c r="C1929" s="86" t="s">
        <v>432</v>
      </c>
      <c r="D1929" s="86" t="s">
        <v>433</v>
      </c>
      <c r="E1929" s="86" t="s">
        <v>434</v>
      </c>
      <c r="F1929" s="69">
        <v>7500.0</v>
      </c>
      <c r="G1929" s="69">
        <v>11.0</v>
      </c>
      <c r="H1929" s="68">
        <f t="shared" si="1"/>
        <v>115.19</v>
      </c>
      <c r="I1929" s="81">
        <f>IFERROR(__xludf.DUMMYFUNCTION("IF(G1929="""", """", ROUND(G1929 / MAX(FILTER($G$2:$G5067, $D$2:$D5067=$D1929)) * 100, 2))"),70.51)</f>
        <v>70.51</v>
      </c>
      <c r="J1929" s="81">
        <f>IFERROR(__xludf.DUMMYFUNCTION("IF(H1929="""", """", ROUND(H1929 / MAX(FILTER($H$2:$H5067, $D$2:$D5067=$D1929)) * 100, 2))"),90.66)</f>
        <v>90.66</v>
      </c>
      <c r="K1929" s="2"/>
      <c r="L1929" s="48"/>
      <c r="M1929" s="48"/>
      <c r="N1929" s="48"/>
      <c r="O1929" s="48" t="str">
        <f t="shared" si="2"/>
        <v/>
      </c>
      <c r="P1929" s="48" t="str">
        <f t="shared" si="3"/>
        <v/>
      </c>
      <c r="Q1929" s="84"/>
      <c r="R1929" s="84"/>
      <c r="S1929" s="84"/>
      <c r="T1929" s="84"/>
      <c r="U1929" s="84"/>
      <c r="V1929" s="84"/>
      <c r="W1929" s="84"/>
      <c r="X1929" s="84"/>
      <c r="Y1929" s="84"/>
      <c r="Z1929" s="84"/>
      <c r="AA1929" s="84"/>
      <c r="AB1929" s="84"/>
    </row>
    <row r="1930">
      <c r="A1930" s="63">
        <v>129.0</v>
      </c>
      <c r="B1930" s="63">
        <v>198.0</v>
      </c>
      <c r="C1930" s="64" t="s">
        <v>435</v>
      </c>
      <c r="D1930" s="64" t="s">
        <v>436</v>
      </c>
      <c r="E1930" s="64" t="s">
        <v>437</v>
      </c>
      <c r="F1930" s="63">
        <v>500.0</v>
      </c>
      <c r="G1930" s="63">
        <v>8.3</v>
      </c>
      <c r="H1930" s="66">
        <f t="shared" si="1"/>
        <v>5.79</v>
      </c>
      <c r="I1930" s="81">
        <f>IFERROR(__xludf.DUMMYFUNCTION("IF(G1930="""", """", ROUND(G1930 / MAX(FILTER($G$2:$G5067, $D$2:$D5067=$D1930)) * 100, 2))"),76.15)</f>
        <v>76.15</v>
      </c>
      <c r="J1930" s="81">
        <f>IFERROR(__xludf.DUMMYFUNCTION("IF(H1930="""", """", ROUND(H1930 / MAX(FILTER($H$2:$H5067, $D$2:$D5067=$D1930)) * 100, 2))"),7.51)</f>
        <v>7.51</v>
      </c>
      <c r="K1930" s="2"/>
      <c r="L1930" s="49"/>
      <c r="M1930" s="49"/>
      <c r="N1930" s="49"/>
      <c r="O1930" s="49" t="str">
        <f t="shared" si="2"/>
        <v/>
      </c>
      <c r="P1930" s="49" t="str">
        <f t="shared" si="3"/>
        <v/>
      </c>
      <c r="Q1930" s="84"/>
      <c r="R1930" s="84"/>
      <c r="S1930" s="84"/>
      <c r="T1930" s="84"/>
      <c r="U1930" s="84"/>
      <c r="V1930" s="84"/>
      <c r="W1930" s="84"/>
      <c r="X1930" s="84"/>
      <c r="Y1930" s="84"/>
      <c r="Z1930" s="84"/>
      <c r="AA1930" s="84"/>
      <c r="AB1930" s="84"/>
    </row>
    <row r="1931">
      <c r="A1931" s="69">
        <v>129.0</v>
      </c>
      <c r="B1931" s="69">
        <v>198.0</v>
      </c>
      <c r="C1931" s="86" t="s">
        <v>435</v>
      </c>
      <c r="D1931" s="86" t="s">
        <v>436</v>
      </c>
      <c r="E1931" s="86" t="s">
        <v>437</v>
      </c>
      <c r="F1931" s="69">
        <v>1000.0</v>
      </c>
      <c r="G1931" s="69">
        <v>9.3</v>
      </c>
      <c r="H1931" s="68">
        <f t="shared" si="1"/>
        <v>12.99</v>
      </c>
      <c r="I1931" s="81">
        <f>IFERROR(__xludf.DUMMYFUNCTION("IF(G1931="""", """", ROUND(G1931 / MAX(FILTER($G$2:$G5067, $D$2:$D5067=$D1931)) * 100, 2))"),85.32)</f>
        <v>85.32</v>
      </c>
      <c r="J1931" s="81">
        <f>IFERROR(__xludf.DUMMYFUNCTION("IF(H1931="""", """", ROUND(H1931 / MAX(FILTER($H$2:$H5067, $D$2:$D5067=$D1931)) * 100, 2))"),16.85)</f>
        <v>16.85</v>
      </c>
      <c r="K1931" s="2"/>
      <c r="L1931" s="48"/>
      <c r="M1931" s="48"/>
      <c r="N1931" s="48"/>
      <c r="O1931" s="48" t="str">
        <f t="shared" si="2"/>
        <v/>
      </c>
      <c r="P1931" s="48" t="str">
        <f t="shared" si="3"/>
        <v/>
      </c>
      <c r="Q1931" s="84"/>
      <c r="R1931" s="84"/>
      <c r="S1931" s="84"/>
      <c r="T1931" s="84"/>
      <c r="U1931" s="84"/>
      <c r="V1931" s="84"/>
      <c r="W1931" s="84"/>
      <c r="X1931" s="84"/>
      <c r="Y1931" s="84"/>
      <c r="Z1931" s="84"/>
      <c r="AA1931" s="84"/>
      <c r="AB1931" s="84"/>
    </row>
    <row r="1932">
      <c r="A1932" s="63">
        <v>129.0</v>
      </c>
      <c r="B1932" s="63">
        <v>198.0</v>
      </c>
      <c r="C1932" s="64" t="s">
        <v>435</v>
      </c>
      <c r="D1932" s="64" t="s">
        <v>436</v>
      </c>
      <c r="E1932" s="64" t="s">
        <v>437</v>
      </c>
      <c r="F1932" s="63">
        <v>1500.0</v>
      </c>
      <c r="G1932" s="63">
        <v>9.95</v>
      </c>
      <c r="H1932" s="66">
        <f t="shared" si="1"/>
        <v>20.84</v>
      </c>
      <c r="I1932" s="81">
        <f>IFERROR(__xludf.DUMMYFUNCTION("IF(G1932="""", """", ROUND(G1932 / MAX(FILTER($G$2:$G5067, $D$2:$D5067=$D1932)) * 100, 2))"),91.28)</f>
        <v>91.28</v>
      </c>
      <c r="J1932" s="81">
        <f>IFERROR(__xludf.DUMMYFUNCTION("IF(H1932="""", """", ROUND(H1932 / MAX(FILTER($H$2:$H5067, $D$2:$D5067=$D1932)) * 100, 2))"),27.04)</f>
        <v>27.04</v>
      </c>
      <c r="K1932" s="2"/>
      <c r="L1932" s="49"/>
      <c r="M1932" s="49"/>
      <c r="N1932" s="49"/>
      <c r="O1932" s="49" t="str">
        <f t="shared" si="2"/>
        <v/>
      </c>
      <c r="P1932" s="49" t="str">
        <f t="shared" si="3"/>
        <v/>
      </c>
      <c r="Q1932" s="84"/>
      <c r="R1932" s="84"/>
      <c r="S1932" s="84"/>
      <c r="T1932" s="84"/>
      <c r="U1932" s="84"/>
      <c r="V1932" s="84"/>
      <c r="W1932" s="84"/>
      <c r="X1932" s="84"/>
      <c r="Y1932" s="84"/>
      <c r="Z1932" s="84"/>
      <c r="AA1932" s="84"/>
      <c r="AB1932" s="84"/>
    </row>
    <row r="1933">
      <c r="A1933" s="69">
        <v>129.0</v>
      </c>
      <c r="B1933" s="69">
        <v>198.0</v>
      </c>
      <c r="C1933" s="86" t="s">
        <v>435</v>
      </c>
      <c r="D1933" s="86" t="s">
        <v>436</v>
      </c>
      <c r="E1933" s="86" t="s">
        <v>437</v>
      </c>
      <c r="F1933" s="69">
        <v>2000.0</v>
      </c>
      <c r="G1933" s="69">
        <v>10.3</v>
      </c>
      <c r="H1933" s="68">
        <f t="shared" si="1"/>
        <v>28.76</v>
      </c>
      <c r="I1933" s="81">
        <f>IFERROR(__xludf.DUMMYFUNCTION("IF(G1933="""", """", ROUND(G1933 / MAX(FILTER($G$2:$G5067, $D$2:$D5067=$D1933)) * 100, 2))"),94.5)</f>
        <v>94.5</v>
      </c>
      <c r="J1933" s="81">
        <f>IFERROR(__xludf.DUMMYFUNCTION("IF(H1933="""", """", ROUND(H1933 / MAX(FILTER($H$2:$H5067, $D$2:$D5067=$D1933)) * 100, 2))"),37.32)</f>
        <v>37.32</v>
      </c>
      <c r="K1933" s="2"/>
      <c r="L1933" s="48"/>
      <c r="M1933" s="48"/>
      <c r="N1933" s="48"/>
      <c r="O1933" s="48" t="str">
        <f t="shared" si="2"/>
        <v/>
      </c>
      <c r="P1933" s="48" t="str">
        <f t="shared" si="3"/>
        <v/>
      </c>
      <c r="Q1933" s="84"/>
      <c r="R1933" s="84"/>
      <c r="S1933" s="84"/>
      <c r="T1933" s="84"/>
      <c r="U1933" s="84"/>
      <c r="V1933" s="84"/>
      <c r="W1933" s="84"/>
      <c r="X1933" s="84"/>
      <c r="Y1933" s="84"/>
      <c r="Z1933" s="84"/>
      <c r="AA1933" s="84"/>
      <c r="AB1933" s="84"/>
    </row>
    <row r="1934">
      <c r="A1934" s="63">
        <v>129.0</v>
      </c>
      <c r="B1934" s="63">
        <v>198.0</v>
      </c>
      <c r="C1934" s="64" t="s">
        <v>435</v>
      </c>
      <c r="D1934" s="64" t="s">
        <v>436</v>
      </c>
      <c r="E1934" s="64" t="s">
        <v>437</v>
      </c>
      <c r="F1934" s="63">
        <v>2500.0</v>
      </c>
      <c r="G1934" s="63">
        <v>10.65</v>
      </c>
      <c r="H1934" s="66">
        <f t="shared" si="1"/>
        <v>37.18</v>
      </c>
      <c r="I1934" s="81">
        <f>IFERROR(__xludf.DUMMYFUNCTION("IF(G1934="""", """", ROUND(G1934 / MAX(FILTER($G$2:$G5067, $D$2:$D5067=$D1934)) * 100, 2))"),97.71)</f>
        <v>97.71</v>
      </c>
      <c r="J1934" s="81">
        <f>IFERROR(__xludf.DUMMYFUNCTION("IF(H1934="""", """", ROUND(H1934 / MAX(FILTER($H$2:$H5067, $D$2:$D5067=$D1934)) * 100, 2))"),48.24)</f>
        <v>48.24</v>
      </c>
      <c r="K1934" s="2"/>
      <c r="L1934" s="49"/>
      <c r="M1934" s="49"/>
      <c r="N1934" s="49"/>
      <c r="O1934" s="49" t="str">
        <f t="shared" si="2"/>
        <v/>
      </c>
      <c r="P1934" s="49" t="str">
        <f t="shared" si="3"/>
        <v/>
      </c>
      <c r="Q1934" s="84"/>
      <c r="R1934" s="84"/>
      <c r="S1934" s="84"/>
      <c r="T1934" s="84"/>
      <c r="U1934" s="84"/>
      <c r="V1934" s="84"/>
      <c r="W1934" s="84"/>
      <c r="X1934" s="84"/>
      <c r="Y1934" s="84"/>
      <c r="Z1934" s="84"/>
      <c r="AA1934" s="84"/>
      <c r="AB1934" s="84"/>
    </row>
    <row r="1935">
      <c r="A1935" s="69">
        <v>129.0</v>
      </c>
      <c r="B1935" s="69">
        <v>198.0</v>
      </c>
      <c r="C1935" s="86" t="s">
        <v>435</v>
      </c>
      <c r="D1935" s="86" t="s">
        <v>436</v>
      </c>
      <c r="E1935" s="86" t="s">
        <v>437</v>
      </c>
      <c r="F1935" s="69">
        <v>3000.0</v>
      </c>
      <c r="G1935" s="69">
        <v>10.9</v>
      </c>
      <c r="H1935" s="68">
        <f t="shared" si="1"/>
        <v>45.66</v>
      </c>
      <c r="I1935" s="81">
        <f>IFERROR(__xludf.DUMMYFUNCTION("IF(G1935="""", """", ROUND(G1935 / MAX(FILTER($G$2:$G5067, $D$2:$D5067=$D1935)) * 100, 2))"),100.0)</f>
        <v>100</v>
      </c>
      <c r="J1935" s="81">
        <f>IFERROR(__xludf.DUMMYFUNCTION("IF(H1935="""", """", ROUND(H1935 / MAX(FILTER($H$2:$H5067, $D$2:$D5067=$D1935)) * 100, 2))"),59.24)</f>
        <v>59.24</v>
      </c>
      <c r="K1935" s="2"/>
      <c r="L1935" s="48"/>
      <c r="M1935" s="48"/>
      <c r="N1935" s="48"/>
      <c r="O1935" s="48" t="str">
        <f t="shared" si="2"/>
        <v/>
      </c>
      <c r="P1935" s="48" t="str">
        <f t="shared" si="3"/>
        <v/>
      </c>
      <c r="Q1935" s="84"/>
      <c r="R1935" s="84"/>
      <c r="S1935" s="84"/>
      <c r="T1935" s="84"/>
      <c r="U1935" s="84"/>
      <c r="V1935" s="84"/>
      <c r="W1935" s="84"/>
      <c r="X1935" s="84"/>
      <c r="Y1935" s="84"/>
      <c r="Z1935" s="84"/>
      <c r="AA1935" s="84"/>
      <c r="AB1935" s="84"/>
    </row>
    <row r="1936">
      <c r="A1936" s="63">
        <v>129.0</v>
      </c>
      <c r="B1936" s="63">
        <v>198.0</v>
      </c>
      <c r="C1936" s="64" t="s">
        <v>435</v>
      </c>
      <c r="D1936" s="64" t="s">
        <v>436</v>
      </c>
      <c r="E1936" s="64" t="s">
        <v>437</v>
      </c>
      <c r="F1936" s="63">
        <v>3500.0</v>
      </c>
      <c r="G1936" s="63">
        <v>10.85</v>
      </c>
      <c r="H1936" s="66">
        <f t="shared" si="1"/>
        <v>53.02</v>
      </c>
      <c r="I1936" s="81">
        <f>IFERROR(__xludf.DUMMYFUNCTION("IF(G1936="""", """", ROUND(G1936 / MAX(FILTER($G$2:$G5067, $D$2:$D5067=$D1936)) * 100, 2))"),99.54)</f>
        <v>99.54</v>
      </c>
      <c r="J1936" s="81">
        <f>IFERROR(__xludf.DUMMYFUNCTION("IF(H1936="""", """", ROUND(H1936 / MAX(FILTER($H$2:$H5067, $D$2:$D5067=$D1936)) * 100, 2))"),68.79)</f>
        <v>68.79</v>
      </c>
      <c r="K1936" s="2"/>
      <c r="L1936" s="49"/>
      <c r="M1936" s="49"/>
      <c r="N1936" s="49"/>
      <c r="O1936" s="49" t="str">
        <f t="shared" si="2"/>
        <v/>
      </c>
      <c r="P1936" s="49" t="str">
        <f t="shared" si="3"/>
        <v/>
      </c>
      <c r="Q1936" s="84"/>
      <c r="R1936" s="84"/>
      <c r="S1936" s="84"/>
      <c r="T1936" s="84"/>
      <c r="U1936" s="84"/>
      <c r="V1936" s="84"/>
      <c r="W1936" s="84"/>
      <c r="X1936" s="84"/>
      <c r="Y1936" s="84"/>
      <c r="Z1936" s="84"/>
      <c r="AA1936" s="84"/>
      <c r="AB1936" s="84"/>
    </row>
    <row r="1937">
      <c r="A1937" s="69">
        <v>129.0</v>
      </c>
      <c r="B1937" s="69">
        <v>198.0</v>
      </c>
      <c r="C1937" s="86" t="s">
        <v>435</v>
      </c>
      <c r="D1937" s="86" t="s">
        <v>436</v>
      </c>
      <c r="E1937" s="86" t="s">
        <v>437</v>
      </c>
      <c r="F1937" s="69">
        <v>4000.0</v>
      </c>
      <c r="G1937" s="69">
        <v>10.7</v>
      </c>
      <c r="H1937" s="68">
        <f t="shared" si="1"/>
        <v>59.76</v>
      </c>
      <c r="I1937" s="81">
        <f>IFERROR(__xludf.DUMMYFUNCTION("IF(G1937="""", """", ROUND(G1937 / MAX(FILTER($G$2:$G5067, $D$2:$D5067=$D1937)) * 100, 2))"),98.17)</f>
        <v>98.17</v>
      </c>
      <c r="J1937" s="81">
        <f>IFERROR(__xludf.DUMMYFUNCTION("IF(H1937="""", """", ROUND(H1937 / MAX(FILTER($H$2:$H5067, $D$2:$D5067=$D1937)) * 100, 2))"),77.54)</f>
        <v>77.54</v>
      </c>
      <c r="K1937" s="2"/>
      <c r="L1937" s="48"/>
      <c r="M1937" s="48"/>
      <c r="N1937" s="48"/>
      <c r="O1937" s="48" t="str">
        <f t="shared" si="2"/>
        <v/>
      </c>
      <c r="P1937" s="48" t="str">
        <f t="shared" si="3"/>
        <v/>
      </c>
      <c r="Q1937" s="84"/>
      <c r="R1937" s="84"/>
      <c r="S1937" s="84"/>
      <c r="T1937" s="84"/>
      <c r="U1937" s="84"/>
      <c r="V1937" s="84"/>
      <c r="W1937" s="84"/>
      <c r="X1937" s="84"/>
      <c r="Y1937" s="84"/>
      <c r="Z1937" s="84"/>
      <c r="AA1937" s="84"/>
      <c r="AB1937" s="84"/>
    </row>
    <row r="1938">
      <c r="A1938" s="63">
        <v>129.0</v>
      </c>
      <c r="B1938" s="63">
        <v>198.0</v>
      </c>
      <c r="C1938" s="64" t="s">
        <v>435</v>
      </c>
      <c r="D1938" s="64" t="s">
        <v>436</v>
      </c>
      <c r="E1938" s="64" t="s">
        <v>437</v>
      </c>
      <c r="F1938" s="63">
        <v>4500.0</v>
      </c>
      <c r="G1938" s="63">
        <v>10.45</v>
      </c>
      <c r="H1938" s="66">
        <f t="shared" si="1"/>
        <v>65.66</v>
      </c>
      <c r="I1938" s="81">
        <f>IFERROR(__xludf.DUMMYFUNCTION("IF(G1938="""", """", ROUND(G1938 / MAX(FILTER($G$2:$G5067, $D$2:$D5067=$D1938)) * 100, 2))"),95.87)</f>
        <v>95.87</v>
      </c>
      <c r="J1938" s="81">
        <f>IFERROR(__xludf.DUMMYFUNCTION("IF(H1938="""", """", ROUND(H1938 / MAX(FILTER($H$2:$H5067, $D$2:$D5067=$D1938)) * 100, 2))"),85.2)</f>
        <v>85.2</v>
      </c>
      <c r="K1938" s="2"/>
      <c r="L1938" s="49"/>
      <c r="M1938" s="49"/>
      <c r="N1938" s="49"/>
      <c r="O1938" s="49" t="str">
        <f t="shared" si="2"/>
        <v/>
      </c>
      <c r="P1938" s="49" t="str">
        <f t="shared" si="3"/>
        <v/>
      </c>
      <c r="Q1938" s="84"/>
      <c r="R1938" s="84"/>
      <c r="S1938" s="84"/>
      <c r="T1938" s="84"/>
      <c r="U1938" s="84"/>
      <c r="V1938" s="84"/>
      <c r="W1938" s="84"/>
      <c r="X1938" s="84"/>
      <c r="Y1938" s="84"/>
      <c r="Z1938" s="84"/>
      <c r="AA1938" s="84"/>
      <c r="AB1938" s="84"/>
    </row>
    <row r="1939">
      <c r="A1939" s="69">
        <v>129.0</v>
      </c>
      <c r="B1939" s="69">
        <v>198.0</v>
      </c>
      <c r="C1939" s="86" t="s">
        <v>435</v>
      </c>
      <c r="D1939" s="86" t="s">
        <v>436</v>
      </c>
      <c r="E1939" s="86" t="s">
        <v>437</v>
      </c>
      <c r="F1939" s="69">
        <v>5000.0</v>
      </c>
      <c r="G1939" s="69">
        <v>10.1</v>
      </c>
      <c r="H1939" s="68">
        <f t="shared" si="1"/>
        <v>70.51</v>
      </c>
      <c r="I1939" s="81">
        <f>IFERROR(__xludf.DUMMYFUNCTION("IF(G1939="""", """", ROUND(G1939 / MAX(FILTER($G$2:$G5067, $D$2:$D5067=$D1939)) * 100, 2))"),92.66)</f>
        <v>92.66</v>
      </c>
      <c r="J1939" s="81">
        <f>IFERROR(__xludf.DUMMYFUNCTION("IF(H1939="""", """", ROUND(H1939 / MAX(FILTER($H$2:$H5067, $D$2:$D5067=$D1939)) * 100, 2))"),91.49)</f>
        <v>91.49</v>
      </c>
      <c r="K1939" s="2"/>
      <c r="L1939" s="48"/>
      <c r="M1939" s="48"/>
      <c r="N1939" s="48"/>
      <c r="O1939" s="48" t="str">
        <f t="shared" si="2"/>
        <v/>
      </c>
      <c r="P1939" s="48" t="str">
        <f t="shared" si="3"/>
        <v/>
      </c>
      <c r="Q1939" s="84"/>
      <c r="R1939" s="84"/>
      <c r="S1939" s="84"/>
      <c r="T1939" s="84"/>
      <c r="U1939" s="84"/>
      <c r="V1939" s="84"/>
      <c r="W1939" s="84"/>
      <c r="X1939" s="84"/>
      <c r="Y1939" s="84"/>
      <c r="Z1939" s="84"/>
      <c r="AA1939" s="84"/>
      <c r="AB1939" s="84"/>
    </row>
    <row r="1940">
      <c r="A1940" s="63">
        <v>129.0</v>
      </c>
      <c r="B1940" s="63">
        <v>198.0</v>
      </c>
      <c r="C1940" s="64" t="s">
        <v>435</v>
      </c>
      <c r="D1940" s="64" t="s">
        <v>436</v>
      </c>
      <c r="E1940" s="64" t="s">
        <v>437</v>
      </c>
      <c r="F1940" s="63">
        <v>5500.0</v>
      </c>
      <c r="G1940" s="63">
        <v>9.75</v>
      </c>
      <c r="H1940" s="66">
        <f t="shared" si="1"/>
        <v>74.87</v>
      </c>
      <c r="I1940" s="81">
        <f>IFERROR(__xludf.DUMMYFUNCTION("IF(G1940="""", """", ROUND(G1940 / MAX(FILTER($G$2:$G5067, $D$2:$D5067=$D1940)) * 100, 2))"),89.45)</f>
        <v>89.45</v>
      </c>
      <c r="J1940" s="81">
        <f>IFERROR(__xludf.DUMMYFUNCTION("IF(H1940="""", """", ROUND(H1940 / MAX(FILTER($H$2:$H5067, $D$2:$D5067=$D1940)) * 100, 2))"),97.15)</f>
        <v>97.15</v>
      </c>
      <c r="K1940" s="2"/>
      <c r="L1940" s="49"/>
      <c r="M1940" s="49"/>
      <c r="N1940" s="49"/>
      <c r="O1940" s="49" t="str">
        <f t="shared" si="2"/>
        <v/>
      </c>
      <c r="P1940" s="49" t="str">
        <f t="shared" si="3"/>
        <v/>
      </c>
      <c r="Q1940" s="84"/>
      <c r="R1940" s="84"/>
      <c r="S1940" s="84"/>
      <c r="T1940" s="84"/>
      <c r="U1940" s="84"/>
      <c r="V1940" s="84"/>
      <c r="W1940" s="84"/>
      <c r="X1940" s="84"/>
      <c r="Y1940" s="84"/>
      <c r="Z1940" s="84"/>
      <c r="AA1940" s="84"/>
      <c r="AB1940" s="84"/>
    </row>
    <row r="1941">
      <c r="A1941" s="69">
        <v>129.0</v>
      </c>
      <c r="B1941" s="69">
        <v>198.0</v>
      </c>
      <c r="C1941" s="86" t="s">
        <v>435</v>
      </c>
      <c r="D1941" s="86" t="s">
        <v>436</v>
      </c>
      <c r="E1941" s="86" t="s">
        <v>437</v>
      </c>
      <c r="F1941" s="69">
        <v>6000.0</v>
      </c>
      <c r="G1941" s="69">
        <v>9.2</v>
      </c>
      <c r="H1941" s="68">
        <f t="shared" si="1"/>
        <v>77.07</v>
      </c>
      <c r="I1941" s="81">
        <f>IFERROR(__xludf.DUMMYFUNCTION("IF(G1941="""", """", ROUND(G1941 / MAX(FILTER($G$2:$G5067, $D$2:$D5067=$D1941)) * 100, 2))"),84.4)</f>
        <v>84.4</v>
      </c>
      <c r="J1941" s="81">
        <f>IFERROR(__xludf.DUMMYFUNCTION("IF(H1941="""", """", ROUND(H1941 / MAX(FILTER($H$2:$H5067, $D$2:$D5067=$D1941)) * 100, 2))"),100.0)</f>
        <v>100</v>
      </c>
      <c r="K1941" s="2"/>
      <c r="L1941" s="48"/>
      <c r="M1941" s="48"/>
      <c r="N1941" s="48"/>
      <c r="O1941" s="48" t="str">
        <f t="shared" si="2"/>
        <v/>
      </c>
      <c r="P1941" s="48" t="str">
        <f t="shared" si="3"/>
        <v/>
      </c>
      <c r="Q1941" s="84"/>
      <c r="R1941" s="84"/>
      <c r="S1941" s="84"/>
      <c r="T1941" s="84"/>
      <c r="U1941" s="84"/>
      <c r="V1941" s="84"/>
      <c r="W1941" s="84"/>
      <c r="X1941" s="84"/>
      <c r="Y1941" s="84"/>
      <c r="Z1941" s="84"/>
      <c r="AA1941" s="84"/>
      <c r="AB1941" s="84"/>
    </row>
    <row r="1942">
      <c r="A1942" s="63">
        <v>129.0</v>
      </c>
      <c r="B1942" s="63">
        <v>198.0</v>
      </c>
      <c r="C1942" s="64" t="s">
        <v>435</v>
      </c>
      <c r="D1942" s="64" t="s">
        <v>436</v>
      </c>
      <c r="E1942" s="64" t="s">
        <v>437</v>
      </c>
      <c r="F1942" s="63">
        <v>6500.0</v>
      </c>
      <c r="G1942" s="63">
        <v>8.35</v>
      </c>
      <c r="H1942" s="66">
        <f t="shared" si="1"/>
        <v>75.78</v>
      </c>
      <c r="I1942" s="81">
        <f>IFERROR(__xludf.DUMMYFUNCTION("IF(G1942="""", """", ROUND(G1942 / MAX(FILTER($G$2:$G5067, $D$2:$D5067=$D1942)) * 100, 2))"),76.61)</f>
        <v>76.61</v>
      </c>
      <c r="J1942" s="81">
        <f>IFERROR(__xludf.DUMMYFUNCTION("IF(H1942="""", """", ROUND(H1942 / MAX(FILTER($H$2:$H5067, $D$2:$D5067=$D1942)) * 100, 2))"),98.33)</f>
        <v>98.33</v>
      </c>
      <c r="K1942" s="2"/>
      <c r="L1942" s="49"/>
      <c r="M1942" s="49"/>
      <c r="N1942" s="49"/>
      <c r="O1942" s="49" t="str">
        <f t="shared" si="2"/>
        <v/>
      </c>
      <c r="P1942" s="49" t="str">
        <f t="shared" si="3"/>
        <v/>
      </c>
      <c r="Q1942" s="84"/>
      <c r="R1942" s="84"/>
      <c r="S1942" s="84"/>
      <c r="T1942" s="84"/>
      <c r="U1942" s="84"/>
      <c r="V1942" s="84"/>
      <c r="W1942" s="84"/>
      <c r="X1942" s="84"/>
      <c r="Y1942" s="84"/>
      <c r="Z1942" s="84"/>
      <c r="AA1942" s="84"/>
      <c r="AB1942" s="84"/>
    </row>
    <row r="1943">
      <c r="A1943" s="69">
        <v>129.0</v>
      </c>
      <c r="B1943" s="69">
        <v>198.0</v>
      </c>
      <c r="C1943" s="86" t="s">
        <v>435</v>
      </c>
      <c r="D1943" s="86" t="s">
        <v>436</v>
      </c>
      <c r="E1943" s="86" t="s">
        <v>437</v>
      </c>
      <c r="F1943" s="69">
        <v>7000.0</v>
      </c>
      <c r="G1943" s="69">
        <v>6.9</v>
      </c>
      <c r="H1943" s="68">
        <f t="shared" si="1"/>
        <v>67.44</v>
      </c>
      <c r="I1943" s="81">
        <f>IFERROR(__xludf.DUMMYFUNCTION("IF(G1943="""", """", ROUND(G1943 / MAX(FILTER($G$2:$G5067, $D$2:$D5067=$D1943)) * 100, 2))"),63.3)</f>
        <v>63.3</v>
      </c>
      <c r="J1943" s="81">
        <f>IFERROR(__xludf.DUMMYFUNCTION("IF(H1943="""", """", ROUND(H1943 / MAX(FILTER($H$2:$H5067, $D$2:$D5067=$D1943)) * 100, 2))"),87.5)</f>
        <v>87.5</v>
      </c>
      <c r="K1943" s="2"/>
      <c r="L1943" s="48"/>
      <c r="M1943" s="48"/>
      <c r="N1943" s="48"/>
      <c r="O1943" s="48" t="str">
        <f t="shared" si="2"/>
        <v/>
      </c>
      <c r="P1943" s="48" t="str">
        <f t="shared" si="3"/>
        <v/>
      </c>
      <c r="Q1943" s="84"/>
      <c r="R1943" s="84"/>
      <c r="S1943" s="84"/>
      <c r="T1943" s="84"/>
      <c r="U1943" s="84"/>
      <c r="V1943" s="84"/>
      <c r="W1943" s="84"/>
      <c r="X1943" s="84"/>
      <c r="Y1943" s="84"/>
      <c r="Z1943" s="84"/>
      <c r="AA1943" s="84"/>
      <c r="AB1943" s="84"/>
    </row>
    <row r="1944">
      <c r="A1944" s="63">
        <v>130.0</v>
      </c>
      <c r="B1944" s="63">
        <v>199.0</v>
      </c>
      <c r="C1944" s="64" t="s">
        <v>438</v>
      </c>
      <c r="D1944" s="64" t="s">
        <v>439</v>
      </c>
      <c r="E1944" s="64" t="s">
        <v>440</v>
      </c>
      <c r="F1944" s="63">
        <v>500.0</v>
      </c>
      <c r="G1944" s="63">
        <v>2.3</v>
      </c>
      <c r="H1944" s="66">
        <f t="shared" si="1"/>
        <v>1.61</v>
      </c>
      <c r="I1944" s="81">
        <f>IFERROR(__xludf.DUMMYFUNCTION("IF(G1944="""", """", ROUND(G1944 / MAX(FILTER($G$2:$G5067, $D$2:$D5067=$D1944)) * 100, 2))"),71.88)</f>
        <v>71.88</v>
      </c>
      <c r="J1944" s="81">
        <f>IFERROR(__xludf.DUMMYFUNCTION("IF(H1944="""", """", ROUND(H1944 / MAX(FILTER($H$2:$H5067, $D$2:$D5067=$D1944)) * 100, 2))"),8.74)</f>
        <v>8.74</v>
      </c>
      <c r="K1944" s="2"/>
      <c r="L1944" s="49"/>
      <c r="M1944" s="49"/>
      <c r="N1944" s="49"/>
      <c r="O1944" s="49" t="str">
        <f t="shared" si="2"/>
        <v/>
      </c>
      <c r="P1944" s="49" t="str">
        <f t="shared" si="3"/>
        <v/>
      </c>
      <c r="Q1944" s="84"/>
      <c r="R1944" s="84"/>
      <c r="S1944" s="84"/>
      <c r="T1944" s="84"/>
      <c r="U1944" s="84"/>
      <c r="V1944" s="84"/>
      <c r="W1944" s="84"/>
      <c r="X1944" s="84"/>
      <c r="Y1944" s="84"/>
      <c r="Z1944" s="84"/>
      <c r="AA1944" s="84"/>
      <c r="AB1944" s="84"/>
    </row>
    <row r="1945">
      <c r="A1945" s="69">
        <v>130.0</v>
      </c>
      <c r="B1945" s="69">
        <v>199.0</v>
      </c>
      <c r="C1945" s="86" t="s">
        <v>438</v>
      </c>
      <c r="D1945" s="86" t="s">
        <v>439</v>
      </c>
      <c r="E1945" s="86" t="s">
        <v>440</v>
      </c>
      <c r="F1945" s="69">
        <v>1000.0</v>
      </c>
      <c r="G1945" s="69">
        <v>2.8</v>
      </c>
      <c r="H1945" s="68">
        <f t="shared" si="1"/>
        <v>3.91</v>
      </c>
      <c r="I1945" s="81">
        <f>IFERROR(__xludf.DUMMYFUNCTION("IF(G1945="""", """", ROUND(G1945 / MAX(FILTER($G$2:$G5067, $D$2:$D5067=$D1945)) * 100, 2))"),87.5)</f>
        <v>87.5</v>
      </c>
      <c r="J1945" s="81">
        <f>IFERROR(__xludf.DUMMYFUNCTION("IF(H1945="""", """", ROUND(H1945 / MAX(FILTER($H$2:$H5067, $D$2:$D5067=$D1945)) * 100, 2))"),21.22)</f>
        <v>21.22</v>
      </c>
      <c r="K1945" s="2"/>
      <c r="L1945" s="48"/>
      <c r="M1945" s="48"/>
      <c r="N1945" s="48"/>
      <c r="O1945" s="48" t="str">
        <f t="shared" si="2"/>
        <v/>
      </c>
      <c r="P1945" s="48" t="str">
        <f t="shared" si="3"/>
        <v/>
      </c>
      <c r="Q1945" s="84"/>
      <c r="R1945" s="84"/>
      <c r="S1945" s="84"/>
      <c r="T1945" s="84"/>
      <c r="U1945" s="84"/>
      <c r="V1945" s="84"/>
      <c r="W1945" s="84"/>
      <c r="X1945" s="84"/>
      <c r="Y1945" s="84"/>
      <c r="Z1945" s="84"/>
      <c r="AA1945" s="84"/>
      <c r="AB1945" s="84"/>
    </row>
    <row r="1946">
      <c r="A1946" s="63">
        <v>130.0</v>
      </c>
      <c r="B1946" s="63">
        <v>199.0</v>
      </c>
      <c r="C1946" s="64" t="s">
        <v>438</v>
      </c>
      <c r="D1946" s="64" t="s">
        <v>439</v>
      </c>
      <c r="E1946" s="64" t="s">
        <v>440</v>
      </c>
      <c r="F1946" s="63">
        <v>1500.0</v>
      </c>
      <c r="G1946" s="63">
        <v>2.91</v>
      </c>
      <c r="H1946" s="66">
        <f t="shared" si="1"/>
        <v>6.09</v>
      </c>
      <c r="I1946" s="81">
        <f>IFERROR(__xludf.DUMMYFUNCTION("IF(G1946="""", """", ROUND(G1946 / MAX(FILTER($G$2:$G5067, $D$2:$D5067=$D1946)) * 100, 2))"),90.94)</f>
        <v>90.94</v>
      </c>
      <c r="J1946" s="81">
        <f>IFERROR(__xludf.DUMMYFUNCTION("IF(H1946="""", """", ROUND(H1946 / MAX(FILTER($H$2:$H5067, $D$2:$D5067=$D1946)) * 100, 2))"),33.04)</f>
        <v>33.04</v>
      </c>
      <c r="K1946" s="2"/>
      <c r="L1946" s="49"/>
      <c r="M1946" s="49"/>
      <c r="N1946" s="49"/>
      <c r="O1946" s="49" t="str">
        <f t="shared" si="2"/>
        <v/>
      </c>
      <c r="P1946" s="49" t="str">
        <f t="shared" si="3"/>
        <v/>
      </c>
      <c r="Q1946" s="84"/>
      <c r="R1946" s="84"/>
      <c r="S1946" s="84"/>
      <c r="T1946" s="84"/>
      <c r="U1946" s="84"/>
      <c r="V1946" s="84"/>
      <c r="W1946" s="84"/>
      <c r="X1946" s="84"/>
      <c r="Y1946" s="84"/>
      <c r="Z1946" s="84"/>
      <c r="AA1946" s="84"/>
      <c r="AB1946" s="84"/>
    </row>
    <row r="1947">
      <c r="A1947" s="69">
        <v>130.0</v>
      </c>
      <c r="B1947" s="69">
        <v>199.0</v>
      </c>
      <c r="C1947" s="86" t="s">
        <v>438</v>
      </c>
      <c r="D1947" s="86" t="s">
        <v>439</v>
      </c>
      <c r="E1947" s="86" t="s">
        <v>440</v>
      </c>
      <c r="F1947" s="69">
        <v>2000.0</v>
      </c>
      <c r="G1947" s="69">
        <v>2.88</v>
      </c>
      <c r="H1947" s="68">
        <f t="shared" si="1"/>
        <v>8.04</v>
      </c>
      <c r="I1947" s="81">
        <f>IFERROR(__xludf.DUMMYFUNCTION("IF(G1947="""", """", ROUND(G1947 / MAX(FILTER($G$2:$G5067, $D$2:$D5067=$D1947)) * 100, 2))"),90.0)</f>
        <v>90</v>
      </c>
      <c r="J1947" s="81">
        <f>IFERROR(__xludf.DUMMYFUNCTION("IF(H1947="""", """", ROUND(H1947 / MAX(FILTER($H$2:$H5067, $D$2:$D5067=$D1947)) * 100, 2))"),43.62)</f>
        <v>43.62</v>
      </c>
      <c r="K1947" s="2"/>
      <c r="L1947" s="48"/>
      <c r="M1947" s="48"/>
      <c r="N1947" s="48"/>
      <c r="O1947" s="48" t="str">
        <f t="shared" si="2"/>
        <v/>
      </c>
      <c r="P1947" s="48" t="str">
        <f t="shared" si="3"/>
        <v/>
      </c>
      <c r="Q1947" s="84"/>
      <c r="R1947" s="84"/>
      <c r="S1947" s="84"/>
      <c r="T1947" s="84"/>
      <c r="U1947" s="84"/>
      <c r="V1947" s="84"/>
      <c r="W1947" s="84"/>
      <c r="X1947" s="84"/>
      <c r="Y1947" s="84"/>
      <c r="Z1947" s="84"/>
      <c r="AA1947" s="84"/>
      <c r="AB1947" s="84"/>
    </row>
    <row r="1948">
      <c r="A1948" s="63">
        <v>130.0</v>
      </c>
      <c r="B1948" s="63">
        <v>199.0</v>
      </c>
      <c r="C1948" s="64" t="s">
        <v>438</v>
      </c>
      <c r="D1948" s="64" t="s">
        <v>439</v>
      </c>
      <c r="E1948" s="64" t="s">
        <v>440</v>
      </c>
      <c r="F1948" s="63">
        <v>2500.0</v>
      </c>
      <c r="G1948" s="63">
        <v>2.78</v>
      </c>
      <c r="H1948" s="66">
        <f t="shared" si="1"/>
        <v>9.7</v>
      </c>
      <c r="I1948" s="81">
        <f>IFERROR(__xludf.DUMMYFUNCTION("IF(G1948="""", """", ROUND(G1948 / MAX(FILTER($G$2:$G5067, $D$2:$D5067=$D1948)) * 100, 2))"),86.88)</f>
        <v>86.88</v>
      </c>
      <c r="J1948" s="81">
        <f>IFERROR(__xludf.DUMMYFUNCTION("IF(H1948="""", """", ROUND(H1948 / MAX(FILTER($H$2:$H5067, $D$2:$D5067=$D1948)) * 100, 2))"),52.63)</f>
        <v>52.63</v>
      </c>
      <c r="K1948" s="2"/>
      <c r="L1948" s="49"/>
      <c r="M1948" s="49"/>
      <c r="N1948" s="49"/>
      <c r="O1948" s="49" t="str">
        <f t="shared" si="2"/>
        <v/>
      </c>
      <c r="P1948" s="49" t="str">
        <f t="shared" si="3"/>
        <v/>
      </c>
      <c r="Q1948" s="84"/>
      <c r="R1948" s="84"/>
      <c r="S1948" s="84"/>
      <c r="T1948" s="84"/>
      <c r="U1948" s="84"/>
      <c r="V1948" s="84"/>
      <c r="W1948" s="84"/>
      <c r="X1948" s="84"/>
      <c r="Y1948" s="84"/>
      <c r="Z1948" s="84"/>
      <c r="AA1948" s="84"/>
      <c r="AB1948" s="84"/>
    </row>
    <row r="1949">
      <c r="A1949" s="69">
        <v>130.0</v>
      </c>
      <c r="B1949" s="69">
        <v>199.0</v>
      </c>
      <c r="C1949" s="86" t="s">
        <v>438</v>
      </c>
      <c r="D1949" s="86" t="s">
        <v>439</v>
      </c>
      <c r="E1949" s="86" t="s">
        <v>440</v>
      </c>
      <c r="F1949" s="69">
        <v>3000.0</v>
      </c>
      <c r="G1949" s="69">
        <v>2.95</v>
      </c>
      <c r="H1949" s="68">
        <f t="shared" si="1"/>
        <v>12.36</v>
      </c>
      <c r="I1949" s="81">
        <f>IFERROR(__xludf.DUMMYFUNCTION("IF(G1949="""", """", ROUND(G1949 / MAX(FILTER($G$2:$G5067, $D$2:$D5067=$D1949)) * 100, 2))"),92.19)</f>
        <v>92.19</v>
      </c>
      <c r="J1949" s="81">
        <f>IFERROR(__xludf.DUMMYFUNCTION("IF(H1949="""", """", ROUND(H1949 / MAX(FILTER($H$2:$H5067, $D$2:$D5067=$D1949)) * 100, 2))"),67.06)</f>
        <v>67.06</v>
      </c>
      <c r="K1949" s="2"/>
      <c r="L1949" s="48"/>
      <c r="M1949" s="48"/>
      <c r="N1949" s="48"/>
      <c r="O1949" s="48" t="str">
        <f t="shared" si="2"/>
        <v/>
      </c>
      <c r="P1949" s="48" t="str">
        <f t="shared" si="3"/>
        <v/>
      </c>
      <c r="Q1949" s="84"/>
      <c r="R1949" s="84"/>
      <c r="S1949" s="84"/>
      <c r="T1949" s="84"/>
      <c r="U1949" s="84"/>
      <c r="V1949" s="84"/>
      <c r="W1949" s="84"/>
      <c r="X1949" s="84"/>
      <c r="Y1949" s="84"/>
      <c r="Z1949" s="84"/>
      <c r="AA1949" s="84"/>
      <c r="AB1949" s="84"/>
    </row>
    <row r="1950">
      <c r="A1950" s="63">
        <v>130.0</v>
      </c>
      <c r="B1950" s="63">
        <v>199.0</v>
      </c>
      <c r="C1950" s="64" t="s">
        <v>438</v>
      </c>
      <c r="D1950" s="64" t="s">
        <v>439</v>
      </c>
      <c r="E1950" s="64" t="s">
        <v>440</v>
      </c>
      <c r="F1950" s="63">
        <v>3500.0</v>
      </c>
      <c r="G1950" s="63">
        <v>3.1</v>
      </c>
      <c r="H1950" s="66">
        <f t="shared" si="1"/>
        <v>15.15</v>
      </c>
      <c r="I1950" s="81">
        <f>IFERROR(__xludf.DUMMYFUNCTION("IF(G1950="""", """", ROUND(G1950 / MAX(FILTER($G$2:$G5067, $D$2:$D5067=$D1950)) * 100, 2))"),96.88)</f>
        <v>96.88</v>
      </c>
      <c r="J1950" s="81">
        <f>IFERROR(__xludf.DUMMYFUNCTION("IF(H1950="""", """", ROUND(H1950 / MAX(FILTER($H$2:$H5067, $D$2:$D5067=$D1950)) * 100, 2))"),82.2)</f>
        <v>82.2</v>
      </c>
      <c r="K1950" s="2"/>
      <c r="L1950" s="49"/>
      <c r="M1950" s="49"/>
      <c r="N1950" s="49"/>
      <c r="O1950" s="49" t="str">
        <f t="shared" si="2"/>
        <v/>
      </c>
      <c r="P1950" s="49" t="str">
        <f t="shared" si="3"/>
        <v/>
      </c>
      <c r="Q1950" s="84"/>
      <c r="R1950" s="84"/>
      <c r="S1950" s="84"/>
      <c r="T1950" s="84"/>
      <c r="U1950" s="84"/>
      <c r="V1950" s="84"/>
      <c r="W1950" s="84"/>
      <c r="X1950" s="84"/>
      <c r="Y1950" s="84"/>
      <c r="Z1950" s="84"/>
      <c r="AA1950" s="84"/>
      <c r="AB1950" s="84"/>
    </row>
    <row r="1951">
      <c r="A1951" s="69">
        <v>130.0</v>
      </c>
      <c r="B1951" s="69">
        <v>199.0</v>
      </c>
      <c r="C1951" s="86" t="s">
        <v>438</v>
      </c>
      <c r="D1951" s="86" t="s">
        <v>439</v>
      </c>
      <c r="E1951" s="86" t="s">
        <v>440</v>
      </c>
      <c r="F1951" s="69">
        <v>4000.0</v>
      </c>
      <c r="G1951" s="69">
        <v>3.2</v>
      </c>
      <c r="H1951" s="68">
        <f t="shared" si="1"/>
        <v>17.87</v>
      </c>
      <c r="I1951" s="81">
        <f>IFERROR(__xludf.DUMMYFUNCTION("IF(G1951="""", """", ROUND(G1951 / MAX(FILTER($G$2:$G5067, $D$2:$D5067=$D1951)) * 100, 2))"),100.0)</f>
        <v>100</v>
      </c>
      <c r="J1951" s="81">
        <f>IFERROR(__xludf.DUMMYFUNCTION("IF(H1951="""", """", ROUND(H1951 / MAX(FILTER($H$2:$H5067, $D$2:$D5067=$D1951)) * 100, 2))"),96.96)</f>
        <v>96.96</v>
      </c>
      <c r="K1951" s="2"/>
      <c r="L1951" s="48"/>
      <c r="M1951" s="48"/>
      <c r="N1951" s="48"/>
      <c r="O1951" s="48" t="str">
        <f t="shared" si="2"/>
        <v/>
      </c>
      <c r="P1951" s="48" t="str">
        <f t="shared" si="3"/>
        <v/>
      </c>
      <c r="Q1951" s="84"/>
      <c r="R1951" s="84"/>
      <c r="S1951" s="84"/>
      <c r="T1951" s="84"/>
      <c r="U1951" s="84"/>
      <c r="V1951" s="84"/>
      <c r="W1951" s="84"/>
      <c r="X1951" s="84"/>
      <c r="Y1951" s="84"/>
      <c r="Z1951" s="84"/>
      <c r="AA1951" s="84"/>
      <c r="AB1951" s="84"/>
    </row>
    <row r="1952">
      <c r="A1952" s="63">
        <v>130.0</v>
      </c>
      <c r="B1952" s="63">
        <v>199.0</v>
      </c>
      <c r="C1952" s="64" t="s">
        <v>438</v>
      </c>
      <c r="D1952" s="64" t="s">
        <v>439</v>
      </c>
      <c r="E1952" s="64" t="s">
        <v>440</v>
      </c>
      <c r="F1952" s="63">
        <v>4400.0</v>
      </c>
      <c r="G1952" s="63">
        <v>3.0</v>
      </c>
      <c r="H1952" s="66">
        <f t="shared" si="1"/>
        <v>18.43</v>
      </c>
      <c r="I1952" s="81">
        <f>IFERROR(__xludf.DUMMYFUNCTION("IF(G1952="""", """", ROUND(G1952 / MAX(FILTER($G$2:$G5067, $D$2:$D5067=$D1952)) * 100, 2))"),93.75)</f>
        <v>93.75</v>
      </c>
      <c r="J1952" s="81">
        <f>IFERROR(__xludf.DUMMYFUNCTION("IF(H1952="""", """", ROUND(H1952 / MAX(FILTER($H$2:$H5067, $D$2:$D5067=$D1952)) * 100, 2))"),100.0)</f>
        <v>100</v>
      </c>
      <c r="K1952" s="2"/>
      <c r="L1952" s="49"/>
      <c r="M1952" s="49"/>
      <c r="N1952" s="49"/>
      <c r="O1952" s="49" t="str">
        <f t="shared" si="2"/>
        <v/>
      </c>
      <c r="P1952" s="49" t="str">
        <f t="shared" si="3"/>
        <v/>
      </c>
      <c r="Q1952" s="84"/>
      <c r="R1952" s="84"/>
      <c r="S1952" s="84"/>
      <c r="T1952" s="84"/>
      <c r="U1952" s="84"/>
      <c r="V1952" s="84"/>
      <c r="W1952" s="84"/>
      <c r="X1952" s="84"/>
      <c r="Y1952" s="84"/>
      <c r="Z1952" s="84"/>
      <c r="AA1952" s="84"/>
      <c r="AB1952" s="84"/>
    </row>
    <row r="1953">
      <c r="A1953" s="69">
        <v>130.0</v>
      </c>
      <c r="B1953" s="69">
        <v>199.0</v>
      </c>
      <c r="C1953" s="86" t="s">
        <v>438</v>
      </c>
      <c r="D1953" s="86" t="s">
        <v>439</v>
      </c>
      <c r="E1953" s="86" t="s">
        <v>440</v>
      </c>
      <c r="F1953" s="69">
        <v>5000.0</v>
      </c>
      <c r="G1953" s="69">
        <v>2.6</v>
      </c>
      <c r="H1953" s="68">
        <f t="shared" si="1"/>
        <v>18.15</v>
      </c>
      <c r="I1953" s="81">
        <f>IFERROR(__xludf.DUMMYFUNCTION("IF(G1953="""", """", ROUND(G1953 / MAX(FILTER($G$2:$G5067, $D$2:$D5067=$D1953)) * 100, 2))"),81.25)</f>
        <v>81.25</v>
      </c>
      <c r="J1953" s="81">
        <f>IFERROR(__xludf.DUMMYFUNCTION("IF(H1953="""", """", ROUND(H1953 / MAX(FILTER($H$2:$H5067, $D$2:$D5067=$D1953)) * 100, 2))"),98.48)</f>
        <v>98.48</v>
      </c>
      <c r="K1953" s="2"/>
      <c r="L1953" s="48"/>
      <c r="M1953" s="48"/>
      <c r="N1953" s="48"/>
      <c r="O1953" s="48" t="str">
        <f t="shared" si="2"/>
        <v/>
      </c>
      <c r="P1953" s="48" t="str">
        <f t="shared" si="3"/>
        <v/>
      </c>
      <c r="Q1953" s="84"/>
      <c r="R1953" s="84"/>
      <c r="S1953" s="84"/>
      <c r="T1953" s="84"/>
      <c r="U1953" s="84"/>
      <c r="V1953" s="84"/>
      <c r="W1953" s="84"/>
      <c r="X1953" s="84"/>
      <c r="Y1953" s="84"/>
      <c r="Z1953" s="84"/>
      <c r="AA1953" s="84"/>
      <c r="AB1953" s="84"/>
    </row>
    <row r="1954">
      <c r="A1954" s="63">
        <v>130.0</v>
      </c>
      <c r="B1954" s="63">
        <v>199.0</v>
      </c>
      <c r="C1954" s="64" t="s">
        <v>438</v>
      </c>
      <c r="D1954" s="64" t="s">
        <v>439</v>
      </c>
      <c r="E1954" s="64" t="s">
        <v>440</v>
      </c>
      <c r="F1954" s="63">
        <v>5500.0</v>
      </c>
      <c r="G1954" s="63">
        <v>2.22</v>
      </c>
      <c r="H1954" s="66">
        <f t="shared" si="1"/>
        <v>17.05</v>
      </c>
      <c r="I1954" s="81">
        <f>IFERROR(__xludf.DUMMYFUNCTION("IF(G1954="""", """", ROUND(G1954 / MAX(FILTER($G$2:$G5067, $D$2:$D5067=$D1954)) * 100, 2))"),69.38)</f>
        <v>69.38</v>
      </c>
      <c r="J1954" s="81">
        <f>IFERROR(__xludf.DUMMYFUNCTION("IF(H1954="""", """", ROUND(H1954 / MAX(FILTER($H$2:$H5067, $D$2:$D5067=$D1954)) * 100, 2))"),92.51)</f>
        <v>92.51</v>
      </c>
      <c r="K1954" s="2"/>
      <c r="L1954" s="49"/>
      <c r="M1954" s="49"/>
      <c r="N1954" s="49"/>
      <c r="O1954" s="49" t="str">
        <f t="shared" si="2"/>
        <v/>
      </c>
      <c r="P1954" s="49" t="str">
        <f t="shared" si="3"/>
        <v/>
      </c>
      <c r="Q1954" s="84"/>
      <c r="R1954" s="84"/>
      <c r="S1954" s="84"/>
      <c r="T1954" s="84"/>
      <c r="U1954" s="84"/>
      <c r="V1954" s="84"/>
      <c r="W1954" s="84"/>
      <c r="X1954" s="84"/>
      <c r="Y1954" s="84"/>
      <c r="Z1954" s="84"/>
      <c r="AA1954" s="84"/>
      <c r="AB1954" s="84"/>
    </row>
    <row r="1955">
      <c r="A1955" s="69">
        <v>130.0</v>
      </c>
      <c r="B1955" s="69">
        <v>199.0</v>
      </c>
      <c r="C1955" s="86" t="s">
        <v>438</v>
      </c>
      <c r="D1955" s="86" t="s">
        <v>439</v>
      </c>
      <c r="E1955" s="86" t="s">
        <v>440</v>
      </c>
      <c r="F1955" s="69">
        <v>6000.0</v>
      </c>
      <c r="G1955" s="69">
        <v>1.75</v>
      </c>
      <c r="H1955" s="68">
        <f t="shared" si="1"/>
        <v>14.66</v>
      </c>
      <c r="I1955" s="81">
        <f>IFERROR(__xludf.DUMMYFUNCTION("IF(G1955="""", """", ROUND(G1955 / MAX(FILTER($G$2:$G5067, $D$2:$D5067=$D1955)) * 100, 2))"),54.69)</f>
        <v>54.69</v>
      </c>
      <c r="J1955" s="81">
        <f>IFERROR(__xludf.DUMMYFUNCTION("IF(H1955="""", """", ROUND(H1955 / MAX(FILTER($H$2:$H5067, $D$2:$D5067=$D1955)) * 100, 2))"),79.54)</f>
        <v>79.54</v>
      </c>
      <c r="K1955" s="2"/>
      <c r="L1955" s="48"/>
      <c r="M1955" s="48"/>
      <c r="N1955" s="48"/>
      <c r="O1955" s="48" t="str">
        <f t="shared" si="2"/>
        <v/>
      </c>
      <c r="P1955" s="48" t="str">
        <f t="shared" si="3"/>
        <v/>
      </c>
      <c r="Q1955" s="84"/>
      <c r="R1955" s="84"/>
      <c r="S1955" s="84"/>
      <c r="T1955" s="84"/>
      <c r="U1955" s="84"/>
      <c r="V1955" s="84"/>
      <c r="W1955" s="84"/>
      <c r="X1955" s="84"/>
      <c r="Y1955" s="84"/>
      <c r="Z1955" s="84"/>
      <c r="AA1955" s="84"/>
      <c r="AB1955" s="84"/>
    </row>
    <row r="1956">
      <c r="A1956" s="63">
        <v>131.0</v>
      </c>
      <c r="B1956" s="63">
        <v>200.0</v>
      </c>
      <c r="C1956" s="64" t="s">
        <v>441</v>
      </c>
      <c r="D1956" s="64" t="s">
        <v>442</v>
      </c>
      <c r="E1956" s="64" t="s">
        <v>443</v>
      </c>
      <c r="F1956" s="63">
        <v>500.0</v>
      </c>
      <c r="G1956" s="63">
        <v>16.73</v>
      </c>
      <c r="H1956" s="66">
        <f t="shared" si="1"/>
        <v>11.68</v>
      </c>
      <c r="I1956" s="81">
        <f>IFERROR(__xludf.DUMMYFUNCTION("IF(G1956="""", """", ROUND(G1956 / MAX(FILTER($G$2:$G5067, $D$2:$D5067=$D1956)) * 100, 2))"),72.74)</f>
        <v>72.74</v>
      </c>
      <c r="J1956" s="81">
        <f>IFERROR(__xludf.DUMMYFUNCTION("IF(H1956="""", """", ROUND(H1956 / MAX(FILTER($H$2:$H5067, $D$2:$D5067=$D1956)) * 100, 2))"),5.69)</f>
        <v>5.69</v>
      </c>
      <c r="K1956" s="2"/>
      <c r="L1956" s="49"/>
      <c r="M1956" s="49"/>
      <c r="N1956" s="49"/>
      <c r="O1956" s="49" t="str">
        <f t="shared" si="2"/>
        <v/>
      </c>
      <c r="P1956" s="49" t="str">
        <f t="shared" si="3"/>
        <v/>
      </c>
      <c r="Q1956" s="84"/>
      <c r="R1956" s="84"/>
      <c r="S1956" s="84"/>
      <c r="T1956" s="84"/>
      <c r="U1956" s="84"/>
      <c r="V1956" s="84"/>
      <c r="W1956" s="84"/>
      <c r="X1956" s="84"/>
      <c r="Y1956" s="84"/>
      <c r="Z1956" s="84"/>
      <c r="AA1956" s="84"/>
      <c r="AB1956" s="84"/>
    </row>
    <row r="1957">
      <c r="A1957" s="69">
        <v>131.0</v>
      </c>
      <c r="B1957" s="69">
        <v>200.0</v>
      </c>
      <c r="C1957" s="86" t="s">
        <v>441</v>
      </c>
      <c r="D1957" s="86" t="s">
        <v>442</v>
      </c>
      <c r="E1957" s="86" t="s">
        <v>443</v>
      </c>
      <c r="F1957" s="69">
        <v>1000.0</v>
      </c>
      <c r="G1957" s="69">
        <v>18.9</v>
      </c>
      <c r="H1957" s="68">
        <f t="shared" si="1"/>
        <v>26.39</v>
      </c>
      <c r="I1957" s="81">
        <f>IFERROR(__xludf.DUMMYFUNCTION("IF(G1957="""", """", ROUND(G1957 / MAX(FILTER($G$2:$G5067, $D$2:$D5067=$D1957)) * 100, 2))"),82.17)</f>
        <v>82.17</v>
      </c>
      <c r="J1957" s="81">
        <f>IFERROR(__xludf.DUMMYFUNCTION("IF(H1957="""", """", ROUND(H1957 / MAX(FILTER($H$2:$H5067, $D$2:$D5067=$D1957)) * 100, 2))"),12.86)</f>
        <v>12.86</v>
      </c>
      <c r="K1957" s="2"/>
      <c r="L1957" s="48"/>
      <c r="M1957" s="48"/>
      <c r="N1957" s="48"/>
      <c r="O1957" s="48" t="str">
        <f t="shared" si="2"/>
        <v/>
      </c>
      <c r="P1957" s="48" t="str">
        <f t="shared" si="3"/>
        <v/>
      </c>
      <c r="Q1957" s="84"/>
      <c r="R1957" s="84"/>
      <c r="S1957" s="84"/>
      <c r="T1957" s="84"/>
      <c r="U1957" s="84"/>
      <c r="V1957" s="84"/>
      <c r="W1957" s="84"/>
      <c r="X1957" s="84"/>
      <c r="Y1957" s="84"/>
      <c r="Z1957" s="84"/>
      <c r="AA1957" s="84"/>
      <c r="AB1957" s="84"/>
    </row>
    <row r="1958">
      <c r="A1958" s="63">
        <v>131.0</v>
      </c>
      <c r="B1958" s="63">
        <v>200.0</v>
      </c>
      <c r="C1958" s="64" t="s">
        <v>441</v>
      </c>
      <c r="D1958" s="64" t="s">
        <v>442</v>
      </c>
      <c r="E1958" s="64" t="s">
        <v>443</v>
      </c>
      <c r="F1958" s="63">
        <v>1500.0</v>
      </c>
      <c r="G1958" s="63">
        <v>20.33</v>
      </c>
      <c r="H1958" s="66">
        <f t="shared" si="1"/>
        <v>42.58</v>
      </c>
      <c r="I1958" s="81">
        <f>IFERROR(__xludf.DUMMYFUNCTION("IF(G1958="""", """", ROUND(G1958 / MAX(FILTER($G$2:$G5067, $D$2:$D5067=$D1958)) * 100, 2))"),88.39)</f>
        <v>88.39</v>
      </c>
      <c r="J1958" s="81">
        <f>IFERROR(__xludf.DUMMYFUNCTION("IF(H1958="""", """", ROUND(H1958 / MAX(FILTER($H$2:$H5067, $D$2:$D5067=$D1958)) * 100, 2))"),20.75)</f>
        <v>20.75</v>
      </c>
      <c r="K1958" s="2"/>
      <c r="L1958" s="49"/>
      <c r="M1958" s="49"/>
      <c r="N1958" s="49"/>
      <c r="O1958" s="49" t="str">
        <f t="shared" si="2"/>
        <v/>
      </c>
      <c r="P1958" s="49" t="str">
        <f t="shared" si="3"/>
        <v/>
      </c>
      <c r="Q1958" s="84"/>
      <c r="R1958" s="84"/>
      <c r="S1958" s="84"/>
      <c r="T1958" s="84"/>
      <c r="U1958" s="84"/>
      <c r="V1958" s="84"/>
      <c r="W1958" s="84"/>
      <c r="X1958" s="84"/>
      <c r="Y1958" s="84"/>
      <c r="Z1958" s="84"/>
      <c r="AA1958" s="84"/>
      <c r="AB1958" s="84"/>
    </row>
    <row r="1959">
      <c r="A1959" s="69">
        <v>131.0</v>
      </c>
      <c r="B1959" s="69">
        <v>200.0</v>
      </c>
      <c r="C1959" s="86" t="s">
        <v>441</v>
      </c>
      <c r="D1959" s="86" t="s">
        <v>442</v>
      </c>
      <c r="E1959" s="86" t="s">
        <v>443</v>
      </c>
      <c r="F1959" s="69">
        <v>2000.0</v>
      </c>
      <c r="G1959" s="69">
        <v>21.3</v>
      </c>
      <c r="H1959" s="68">
        <f t="shared" si="1"/>
        <v>59.48</v>
      </c>
      <c r="I1959" s="81">
        <f>IFERROR(__xludf.DUMMYFUNCTION("IF(G1959="""", """", ROUND(G1959 / MAX(FILTER($G$2:$G5067, $D$2:$D5067=$D1959)) * 100, 2))"),92.61)</f>
        <v>92.61</v>
      </c>
      <c r="J1959" s="81">
        <f>IFERROR(__xludf.DUMMYFUNCTION("IF(H1959="""", """", ROUND(H1959 / MAX(FILTER($H$2:$H5067, $D$2:$D5067=$D1959)) * 100, 2))"),28.98)</f>
        <v>28.98</v>
      </c>
      <c r="K1959" s="2"/>
      <c r="L1959" s="48"/>
      <c r="M1959" s="48"/>
      <c r="N1959" s="48"/>
      <c r="O1959" s="48" t="str">
        <f t="shared" si="2"/>
        <v/>
      </c>
      <c r="P1959" s="48" t="str">
        <f t="shared" si="3"/>
        <v/>
      </c>
      <c r="Q1959" s="84"/>
      <c r="R1959" s="84"/>
      <c r="S1959" s="84"/>
      <c r="T1959" s="84"/>
      <c r="U1959" s="84"/>
      <c r="V1959" s="84"/>
      <c r="W1959" s="84"/>
      <c r="X1959" s="84"/>
      <c r="Y1959" s="84"/>
      <c r="Z1959" s="84"/>
      <c r="AA1959" s="84"/>
      <c r="AB1959" s="84"/>
    </row>
    <row r="1960">
      <c r="A1960" s="63">
        <v>131.0</v>
      </c>
      <c r="B1960" s="63">
        <v>200.0</v>
      </c>
      <c r="C1960" s="64" t="s">
        <v>441</v>
      </c>
      <c r="D1960" s="64" t="s">
        <v>442</v>
      </c>
      <c r="E1960" s="64" t="s">
        <v>443</v>
      </c>
      <c r="F1960" s="63">
        <v>2500.0</v>
      </c>
      <c r="G1960" s="63">
        <v>22.2</v>
      </c>
      <c r="H1960" s="66">
        <f t="shared" si="1"/>
        <v>77.49</v>
      </c>
      <c r="I1960" s="81">
        <f>IFERROR(__xludf.DUMMYFUNCTION("IF(G1960="""", """", ROUND(G1960 / MAX(FILTER($G$2:$G5067, $D$2:$D5067=$D1960)) * 100, 2))"),96.52)</f>
        <v>96.52</v>
      </c>
      <c r="J1960" s="81">
        <f>IFERROR(__xludf.DUMMYFUNCTION("IF(H1960="""", """", ROUND(H1960 / MAX(FILTER($H$2:$H5067, $D$2:$D5067=$D1960)) * 100, 2))"),37.75)</f>
        <v>37.75</v>
      </c>
      <c r="K1960" s="2"/>
      <c r="L1960" s="49"/>
      <c r="M1960" s="49"/>
      <c r="N1960" s="49"/>
      <c r="O1960" s="49" t="str">
        <f t="shared" si="2"/>
        <v/>
      </c>
      <c r="P1960" s="49" t="str">
        <f t="shared" si="3"/>
        <v/>
      </c>
      <c r="Q1960" s="84"/>
      <c r="R1960" s="84"/>
      <c r="S1960" s="84"/>
      <c r="T1960" s="84"/>
      <c r="U1960" s="84"/>
      <c r="V1960" s="84"/>
      <c r="W1960" s="84"/>
      <c r="X1960" s="84"/>
      <c r="Y1960" s="84"/>
      <c r="Z1960" s="84"/>
      <c r="AA1960" s="84"/>
      <c r="AB1960" s="84"/>
    </row>
    <row r="1961">
      <c r="A1961" s="69">
        <v>131.0</v>
      </c>
      <c r="B1961" s="69">
        <v>200.0</v>
      </c>
      <c r="C1961" s="86" t="s">
        <v>441</v>
      </c>
      <c r="D1961" s="86" t="s">
        <v>442</v>
      </c>
      <c r="E1961" s="86" t="s">
        <v>443</v>
      </c>
      <c r="F1961" s="69">
        <v>3000.0</v>
      </c>
      <c r="G1961" s="69">
        <v>22.5</v>
      </c>
      <c r="H1961" s="68">
        <f t="shared" si="1"/>
        <v>94.25</v>
      </c>
      <c r="I1961" s="81">
        <f>IFERROR(__xludf.DUMMYFUNCTION("IF(G1961="""", """", ROUND(G1961 / MAX(FILTER($G$2:$G5067, $D$2:$D5067=$D1961)) * 100, 2))"),97.83)</f>
        <v>97.83</v>
      </c>
      <c r="J1961" s="81">
        <f>IFERROR(__xludf.DUMMYFUNCTION("IF(H1961="""", """", ROUND(H1961 / MAX(FILTER($H$2:$H5067, $D$2:$D5067=$D1961)) * 100, 2))"),45.92)</f>
        <v>45.92</v>
      </c>
      <c r="K1961" s="2"/>
      <c r="L1961" s="48"/>
      <c r="M1961" s="48"/>
      <c r="N1961" s="48"/>
      <c r="O1961" s="48" t="str">
        <f t="shared" si="2"/>
        <v/>
      </c>
      <c r="P1961" s="48" t="str">
        <f t="shared" si="3"/>
        <v/>
      </c>
      <c r="Q1961" s="84"/>
      <c r="R1961" s="84"/>
      <c r="S1961" s="84"/>
      <c r="T1961" s="84"/>
      <c r="U1961" s="84"/>
      <c r="V1961" s="84"/>
      <c r="W1961" s="84"/>
      <c r="X1961" s="84"/>
      <c r="Y1961" s="84"/>
      <c r="Z1961" s="84"/>
      <c r="AA1961" s="84"/>
      <c r="AB1961" s="84"/>
    </row>
    <row r="1962">
      <c r="A1962" s="63">
        <v>131.0</v>
      </c>
      <c r="B1962" s="63">
        <v>200.0</v>
      </c>
      <c r="C1962" s="64" t="s">
        <v>441</v>
      </c>
      <c r="D1962" s="64" t="s">
        <v>442</v>
      </c>
      <c r="E1962" s="64" t="s">
        <v>443</v>
      </c>
      <c r="F1962" s="63">
        <v>3500.0</v>
      </c>
      <c r="G1962" s="63">
        <v>22.65</v>
      </c>
      <c r="H1962" s="66">
        <f t="shared" si="1"/>
        <v>110.69</v>
      </c>
      <c r="I1962" s="81">
        <f>IFERROR(__xludf.DUMMYFUNCTION("IF(G1962="""", """", ROUND(G1962 / MAX(FILTER($G$2:$G5067, $D$2:$D5067=$D1962)) * 100, 2))"),98.48)</f>
        <v>98.48</v>
      </c>
      <c r="J1962" s="81">
        <f>IFERROR(__xludf.DUMMYFUNCTION("IF(H1962="""", """", ROUND(H1962 / MAX(FILTER($H$2:$H5067, $D$2:$D5067=$D1962)) * 100, 2))"),53.93)</f>
        <v>53.93</v>
      </c>
      <c r="K1962" s="2"/>
      <c r="L1962" s="49"/>
      <c r="M1962" s="49"/>
      <c r="N1962" s="49"/>
      <c r="O1962" s="49" t="str">
        <f t="shared" si="2"/>
        <v/>
      </c>
      <c r="P1962" s="49" t="str">
        <f t="shared" si="3"/>
        <v/>
      </c>
      <c r="Q1962" s="84"/>
      <c r="R1962" s="84"/>
      <c r="S1962" s="84"/>
      <c r="T1962" s="84"/>
      <c r="U1962" s="84"/>
      <c r="V1962" s="84"/>
      <c r="W1962" s="84"/>
      <c r="X1962" s="84"/>
      <c r="Y1962" s="84"/>
      <c r="Z1962" s="84"/>
      <c r="AA1962" s="84"/>
      <c r="AB1962" s="84"/>
    </row>
    <row r="1963">
      <c r="A1963" s="69">
        <v>131.0</v>
      </c>
      <c r="B1963" s="69">
        <v>200.0</v>
      </c>
      <c r="C1963" s="86" t="s">
        <v>441</v>
      </c>
      <c r="D1963" s="86" t="s">
        <v>442</v>
      </c>
      <c r="E1963" s="86" t="s">
        <v>443</v>
      </c>
      <c r="F1963" s="69">
        <v>4000.0</v>
      </c>
      <c r="G1963" s="69">
        <v>22.8</v>
      </c>
      <c r="H1963" s="68">
        <f t="shared" si="1"/>
        <v>127.34</v>
      </c>
      <c r="I1963" s="81">
        <f>IFERROR(__xludf.DUMMYFUNCTION("IF(G1963="""", """", ROUND(G1963 / MAX(FILTER($G$2:$G5067, $D$2:$D5067=$D1963)) * 100, 2))"),99.13)</f>
        <v>99.13</v>
      </c>
      <c r="J1963" s="81">
        <f>IFERROR(__xludf.DUMMYFUNCTION("IF(H1963="""", """", ROUND(H1963 / MAX(FILTER($H$2:$H5067, $D$2:$D5067=$D1963)) * 100, 2))"),62.04)</f>
        <v>62.04</v>
      </c>
      <c r="K1963" s="2"/>
      <c r="L1963" s="48"/>
      <c r="M1963" s="48"/>
      <c r="N1963" s="48"/>
      <c r="O1963" s="48" t="str">
        <f t="shared" si="2"/>
        <v/>
      </c>
      <c r="P1963" s="48" t="str">
        <f t="shared" si="3"/>
        <v/>
      </c>
      <c r="Q1963" s="84"/>
      <c r="R1963" s="84"/>
      <c r="S1963" s="84"/>
      <c r="T1963" s="84"/>
      <c r="U1963" s="84"/>
      <c r="V1963" s="84"/>
      <c r="W1963" s="84"/>
      <c r="X1963" s="84"/>
      <c r="Y1963" s="84"/>
      <c r="Z1963" s="84"/>
      <c r="AA1963" s="84"/>
      <c r="AB1963" s="84"/>
    </row>
    <row r="1964">
      <c r="A1964" s="63">
        <v>131.0</v>
      </c>
      <c r="B1964" s="63">
        <v>200.0</v>
      </c>
      <c r="C1964" s="64" t="s">
        <v>441</v>
      </c>
      <c r="D1964" s="64" t="s">
        <v>442</v>
      </c>
      <c r="E1964" s="64" t="s">
        <v>443</v>
      </c>
      <c r="F1964" s="63">
        <v>4500.0</v>
      </c>
      <c r="G1964" s="63">
        <v>22.95</v>
      </c>
      <c r="H1964" s="66">
        <f t="shared" si="1"/>
        <v>144.2</v>
      </c>
      <c r="I1964" s="81">
        <f>IFERROR(__xludf.DUMMYFUNCTION("IF(G1964="""", """", ROUND(G1964 / MAX(FILTER($G$2:$G5067, $D$2:$D5067=$D1964)) * 100, 2))"),99.78)</f>
        <v>99.78</v>
      </c>
      <c r="J1964" s="81">
        <f>IFERROR(__xludf.DUMMYFUNCTION("IF(H1964="""", """", ROUND(H1964 / MAX(FILTER($H$2:$H5067, $D$2:$D5067=$D1964)) * 100, 2))"),70.26)</f>
        <v>70.26</v>
      </c>
      <c r="K1964" s="2"/>
      <c r="L1964" s="49"/>
      <c r="M1964" s="49"/>
      <c r="N1964" s="49"/>
      <c r="O1964" s="49" t="str">
        <f t="shared" si="2"/>
        <v/>
      </c>
      <c r="P1964" s="49" t="str">
        <f t="shared" si="3"/>
        <v/>
      </c>
      <c r="Q1964" s="84"/>
      <c r="R1964" s="84"/>
      <c r="S1964" s="84"/>
      <c r="T1964" s="84"/>
      <c r="U1964" s="84"/>
      <c r="V1964" s="84"/>
      <c r="W1964" s="84"/>
      <c r="X1964" s="84"/>
      <c r="Y1964" s="84"/>
      <c r="Z1964" s="84"/>
      <c r="AA1964" s="84"/>
      <c r="AB1964" s="84"/>
    </row>
    <row r="1965">
      <c r="A1965" s="69">
        <v>131.0</v>
      </c>
      <c r="B1965" s="69">
        <v>200.0</v>
      </c>
      <c r="C1965" s="86" t="s">
        <v>441</v>
      </c>
      <c r="D1965" s="86" t="s">
        <v>442</v>
      </c>
      <c r="E1965" s="86" t="s">
        <v>443</v>
      </c>
      <c r="F1965" s="69">
        <v>5000.0</v>
      </c>
      <c r="G1965" s="69">
        <v>23.0</v>
      </c>
      <c r="H1965" s="68">
        <f t="shared" si="1"/>
        <v>160.57</v>
      </c>
      <c r="I1965" s="81">
        <f>IFERROR(__xludf.DUMMYFUNCTION("IF(G1965="""", """", ROUND(G1965 / MAX(FILTER($G$2:$G5067, $D$2:$D5067=$D1965)) * 100, 2))"),100.0)</f>
        <v>100</v>
      </c>
      <c r="J1965" s="81">
        <f>IFERROR(__xludf.DUMMYFUNCTION("IF(H1965="""", """", ROUND(H1965 / MAX(FILTER($H$2:$H5067, $D$2:$D5067=$D1965)) * 100, 2))"),78.23)</f>
        <v>78.23</v>
      </c>
      <c r="K1965" s="2"/>
      <c r="L1965" s="48"/>
      <c r="M1965" s="48"/>
      <c r="N1965" s="48"/>
      <c r="O1965" s="48" t="str">
        <f t="shared" si="2"/>
        <v/>
      </c>
      <c r="P1965" s="48" t="str">
        <f t="shared" si="3"/>
        <v/>
      </c>
      <c r="Q1965" s="84"/>
      <c r="R1965" s="84"/>
      <c r="S1965" s="84"/>
      <c r="T1965" s="84"/>
      <c r="U1965" s="84"/>
      <c r="V1965" s="84"/>
      <c r="W1965" s="84"/>
      <c r="X1965" s="84"/>
      <c r="Y1965" s="84"/>
      <c r="Z1965" s="84"/>
      <c r="AA1965" s="84"/>
      <c r="AB1965" s="84"/>
    </row>
    <row r="1966">
      <c r="A1966" s="63">
        <v>131.0</v>
      </c>
      <c r="B1966" s="63">
        <v>200.0</v>
      </c>
      <c r="C1966" s="64" t="s">
        <v>441</v>
      </c>
      <c r="D1966" s="64" t="s">
        <v>442</v>
      </c>
      <c r="E1966" s="64" t="s">
        <v>443</v>
      </c>
      <c r="F1966" s="63">
        <v>5500.0</v>
      </c>
      <c r="G1966" s="63">
        <v>22.88</v>
      </c>
      <c r="H1966" s="66">
        <f t="shared" si="1"/>
        <v>175.71</v>
      </c>
      <c r="I1966" s="81">
        <f>IFERROR(__xludf.DUMMYFUNCTION("IF(G1966="""", """", ROUND(G1966 / MAX(FILTER($G$2:$G5067, $D$2:$D5067=$D1966)) * 100, 2))"),99.48)</f>
        <v>99.48</v>
      </c>
      <c r="J1966" s="81">
        <f>IFERROR(__xludf.DUMMYFUNCTION("IF(H1966="""", """", ROUND(H1966 / MAX(FILTER($H$2:$H5067, $D$2:$D5067=$D1966)) * 100, 2))"),85.61)</f>
        <v>85.61</v>
      </c>
      <c r="K1966" s="2"/>
      <c r="L1966" s="49"/>
      <c r="M1966" s="49"/>
      <c r="N1966" s="49"/>
      <c r="O1966" s="49" t="str">
        <f t="shared" si="2"/>
        <v/>
      </c>
      <c r="P1966" s="49" t="str">
        <f t="shared" si="3"/>
        <v/>
      </c>
      <c r="Q1966" s="84"/>
      <c r="R1966" s="84"/>
      <c r="S1966" s="84"/>
      <c r="T1966" s="84"/>
      <c r="U1966" s="84"/>
      <c r="V1966" s="84"/>
      <c r="W1966" s="84"/>
      <c r="X1966" s="84"/>
      <c r="Y1966" s="84"/>
      <c r="Z1966" s="84"/>
      <c r="AA1966" s="84"/>
      <c r="AB1966" s="84"/>
    </row>
    <row r="1967">
      <c r="A1967" s="69">
        <v>131.0</v>
      </c>
      <c r="B1967" s="69">
        <v>200.0</v>
      </c>
      <c r="C1967" s="86" t="s">
        <v>441</v>
      </c>
      <c r="D1967" s="86" t="s">
        <v>442</v>
      </c>
      <c r="E1967" s="86" t="s">
        <v>443</v>
      </c>
      <c r="F1967" s="69">
        <v>6000.0</v>
      </c>
      <c r="G1967" s="69">
        <v>22.5</v>
      </c>
      <c r="H1967" s="68">
        <f t="shared" si="1"/>
        <v>188.49</v>
      </c>
      <c r="I1967" s="81">
        <f>IFERROR(__xludf.DUMMYFUNCTION("IF(G1967="""", """", ROUND(G1967 / MAX(FILTER($G$2:$G5067, $D$2:$D5067=$D1967)) * 100, 2))"),97.83)</f>
        <v>97.83</v>
      </c>
      <c r="J1967" s="81">
        <f>IFERROR(__xludf.DUMMYFUNCTION("IF(H1967="""", """", ROUND(H1967 / MAX(FILTER($H$2:$H5067, $D$2:$D5067=$D1967)) * 100, 2))"),91.83)</f>
        <v>91.83</v>
      </c>
      <c r="K1967" s="2"/>
      <c r="L1967" s="48"/>
      <c r="M1967" s="48"/>
      <c r="N1967" s="48"/>
      <c r="O1967" s="48" t="str">
        <f t="shared" si="2"/>
        <v/>
      </c>
      <c r="P1967" s="48" t="str">
        <f t="shared" si="3"/>
        <v/>
      </c>
      <c r="Q1967" s="84"/>
      <c r="R1967" s="84"/>
      <c r="S1967" s="84"/>
      <c r="T1967" s="84"/>
      <c r="U1967" s="84"/>
      <c r="V1967" s="84"/>
      <c r="W1967" s="84"/>
      <c r="X1967" s="84"/>
      <c r="Y1967" s="84"/>
      <c r="Z1967" s="84"/>
      <c r="AA1967" s="84"/>
      <c r="AB1967" s="84"/>
    </row>
    <row r="1968">
      <c r="A1968" s="63">
        <v>131.0</v>
      </c>
      <c r="B1968" s="63">
        <v>200.0</v>
      </c>
      <c r="C1968" s="64" t="s">
        <v>441</v>
      </c>
      <c r="D1968" s="64" t="s">
        <v>442</v>
      </c>
      <c r="E1968" s="64" t="s">
        <v>443</v>
      </c>
      <c r="F1968" s="63">
        <v>6500.0</v>
      </c>
      <c r="G1968" s="63">
        <v>21.9</v>
      </c>
      <c r="H1968" s="66">
        <f t="shared" si="1"/>
        <v>198.76</v>
      </c>
      <c r="I1968" s="81">
        <f>IFERROR(__xludf.DUMMYFUNCTION("IF(G1968="""", """", ROUND(G1968 / MAX(FILTER($G$2:$G5067, $D$2:$D5067=$D1968)) * 100, 2))"),95.22)</f>
        <v>95.22</v>
      </c>
      <c r="J1968" s="81">
        <f>IFERROR(__xludf.DUMMYFUNCTION("IF(H1968="""", """", ROUND(H1968 / MAX(FILTER($H$2:$H5067, $D$2:$D5067=$D1968)) * 100, 2))"),96.84)</f>
        <v>96.84</v>
      </c>
      <c r="K1968" s="2"/>
      <c r="L1968" s="49"/>
      <c r="M1968" s="49"/>
      <c r="N1968" s="49"/>
      <c r="O1968" s="49" t="str">
        <f t="shared" si="2"/>
        <v/>
      </c>
      <c r="P1968" s="49" t="str">
        <f t="shared" si="3"/>
        <v/>
      </c>
      <c r="Q1968" s="84"/>
      <c r="R1968" s="84"/>
      <c r="S1968" s="84"/>
      <c r="T1968" s="84"/>
      <c r="U1968" s="84"/>
      <c r="V1968" s="84"/>
      <c r="W1968" s="84"/>
      <c r="X1968" s="84"/>
      <c r="Y1968" s="84"/>
      <c r="Z1968" s="84"/>
      <c r="AA1968" s="84"/>
      <c r="AB1968" s="84"/>
    </row>
    <row r="1969">
      <c r="A1969" s="69">
        <v>131.0</v>
      </c>
      <c r="B1969" s="69">
        <v>200.0</v>
      </c>
      <c r="C1969" s="86" t="s">
        <v>441</v>
      </c>
      <c r="D1969" s="86" t="s">
        <v>442</v>
      </c>
      <c r="E1969" s="86" t="s">
        <v>443</v>
      </c>
      <c r="F1969" s="69">
        <v>7000.0</v>
      </c>
      <c r="G1969" s="69">
        <v>21.0</v>
      </c>
      <c r="H1969" s="68">
        <f t="shared" si="1"/>
        <v>205.25</v>
      </c>
      <c r="I1969" s="81">
        <f>IFERROR(__xludf.DUMMYFUNCTION("IF(G1969="""", """", ROUND(G1969 / MAX(FILTER($G$2:$G5067, $D$2:$D5067=$D1969)) * 100, 2))"),91.3)</f>
        <v>91.3</v>
      </c>
      <c r="J1969" s="81">
        <f>IFERROR(__xludf.DUMMYFUNCTION("IF(H1969="""", """", ROUND(H1969 / MAX(FILTER($H$2:$H5067, $D$2:$D5067=$D1969)) * 100, 2))"),100.0)</f>
        <v>100</v>
      </c>
      <c r="K1969" s="2"/>
      <c r="L1969" s="48"/>
      <c r="M1969" s="48"/>
      <c r="N1969" s="48"/>
      <c r="O1969" s="48" t="str">
        <f t="shared" si="2"/>
        <v/>
      </c>
      <c r="P1969" s="48" t="str">
        <f t="shared" si="3"/>
        <v/>
      </c>
      <c r="Q1969" s="84"/>
      <c r="R1969" s="84"/>
      <c r="S1969" s="84"/>
      <c r="T1969" s="84"/>
      <c r="U1969" s="84"/>
      <c r="V1969" s="84"/>
      <c r="W1969" s="84"/>
      <c r="X1969" s="84"/>
      <c r="Y1969" s="84"/>
      <c r="Z1969" s="84"/>
      <c r="AA1969" s="84"/>
      <c r="AB1969" s="84"/>
    </row>
    <row r="1970">
      <c r="A1970" s="63">
        <v>131.0</v>
      </c>
      <c r="B1970" s="63">
        <v>200.0</v>
      </c>
      <c r="C1970" s="64" t="s">
        <v>441</v>
      </c>
      <c r="D1970" s="64" t="s">
        <v>442</v>
      </c>
      <c r="E1970" s="64" t="s">
        <v>443</v>
      </c>
      <c r="F1970" s="63">
        <v>7500.0</v>
      </c>
      <c r="G1970" s="63">
        <v>19.42</v>
      </c>
      <c r="H1970" s="66">
        <f t="shared" si="1"/>
        <v>203.36</v>
      </c>
      <c r="I1970" s="81">
        <f>IFERROR(__xludf.DUMMYFUNCTION("IF(G1970="""", """", ROUND(G1970 / MAX(FILTER($G$2:$G5067, $D$2:$D5067=$D1970)) * 100, 2))"),84.43)</f>
        <v>84.43</v>
      </c>
      <c r="J1970" s="81">
        <f>IFERROR(__xludf.DUMMYFUNCTION("IF(H1970="""", """", ROUND(H1970 / MAX(FILTER($H$2:$H5067, $D$2:$D5067=$D1970)) * 100, 2))"),99.08)</f>
        <v>99.08</v>
      </c>
      <c r="K1970" s="2"/>
      <c r="L1970" s="49"/>
      <c r="M1970" s="49"/>
      <c r="N1970" s="49"/>
      <c r="O1970" s="49" t="str">
        <f t="shared" si="2"/>
        <v/>
      </c>
      <c r="P1970" s="49" t="str">
        <f t="shared" si="3"/>
        <v/>
      </c>
      <c r="Q1970" s="84"/>
      <c r="R1970" s="84"/>
      <c r="S1970" s="84"/>
      <c r="T1970" s="84"/>
      <c r="U1970" s="84"/>
      <c r="V1970" s="84"/>
      <c r="W1970" s="84"/>
      <c r="X1970" s="84"/>
      <c r="Y1970" s="84"/>
      <c r="Z1970" s="84"/>
      <c r="AA1970" s="84"/>
      <c r="AB1970" s="84"/>
    </row>
    <row r="1971">
      <c r="A1971" s="69">
        <v>131.0</v>
      </c>
      <c r="B1971" s="69">
        <v>200.0</v>
      </c>
      <c r="C1971" s="86" t="s">
        <v>441</v>
      </c>
      <c r="D1971" s="86" t="s">
        <v>442</v>
      </c>
      <c r="E1971" s="86" t="s">
        <v>443</v>
      </c>
      <c r="F1971" s="69">
        <v>8000.0</v>
      </c>
      <c r="G1971" s="69">
        <v>16.8</v>
      </c>
      <c r="H1971" s="68">
        <f t="shared" si="1"/>
        <v>187.66</v>
      </c>
      <c r="I1971" s="81">
        <f>IFERROR(__xludf.DUMMYFUNCTION("IF(G1971="""", """", ROUND(G1971 / MAX(FILTER($G$2:$G5067, $D$2:$D5067=$D1971)) * 100, 2))"),73.04)</f>
        <v>73.04</v>
      </c>
      <c r="J1971" s="81">
        <f>IFERROR(__xludf.DUMMYFUNCTION("IF(H1971="""", """", ROUND(H1971 / MAX(FILTER($H$2:$H5067, $D$2:$D5067=$D1971)) * 100, 2))"),91.43)</f>
        <v>91.43</v>
      </c>
      <c r="K1971" s="2"/>
      <c r="L1971" s="48"/>
      <c r="M1971" s="48"/>
      <c r="N1971" s="48"/>
      <c r="O1971" s="48" t="str">
        <f t="shared" si="2"/>
        <v/>
      </c>
      <c r="P1971" s="48" t="str">
        <f t="shared" si="3"/>
        <v/>
      </c>
      <c r="Q1971" s="84"/>
      <c r="R1971" s="84"/>
      <c r="S1971" s="84"/>
      <c r="T1971" s="84"/>
      <c r="U1971" s="84"/>
      <c r="V1971" s="84"/>
      <c r="W1971" s="84"/>
      <c r="X1971" s="84"/>
      <c r="Y1971" s="84"/>
      <c r="Z1971" s="84"/>
      <c r="AA1971" s="84"/>
      <c r="AB1971" s="84"/>
    </row>
    <row r="1972">
      <c r="A1972" s="63">
        <v>132.0</v>
      </c>
      <c r="B1972" s="63">
        <v>201.0</v>
      </c>
      <c r="C1972" s="64" t="s">
        <v>444</v>
      </c>
      <c r="D1972" s="64" t="s">
        <v>445</v>
      </c>
      <c r="E1972" s="64" t="s">
        <v>446</v>
      </c>
      <c r="F1972" s="63">
        <v>500.0</v>
      </c>
      <c r="G1972" s="63">
        <v>10.8</v>
      </c>
      <c r="H1972" s="66">
        <f t="shared" si="1"/>
        <v>7.54</v>
      </c>
      <c r="I1972" s="81">
        <f>IFERROR(__xludf.DUMMYFUNCTION("IF(G1972="""", """", ROUND(G1972 / MAX(FILTER($G$2:$G5067, $D$2:$D5067=$D1972)) * 100, 2))"),63.94)</f>
        <v>63.94</v>
      </c>
      <c r="J1972" s="81">
        <f>IFERROR(__xludf.DUMMYFUNCTION("IF(H1972="""", """", ROUND(H1972 / MAX(FILTER($H$2:$H5067, $D$2:$D5067=$D1972)) * 100, 2))"),5.21)</f>
        <v>5.21</v>
      </c>
      <c r="K1972" s="2"/>
      <c r="L1972" s="49"/>
      <c r="M1972" s="49"/>
      <c r="N1972" s="49"/>
      <c r="O1972" s="49" t="str">
        <f t="shared" si="2"/>
        <v/>
      </c>
      <c r="P1972" s="49" t="str">
        <f t="shared" si="3"/>
        <v/>
      </c>
      <c r="Q1972" s="84"/>
      <c r="R1972" s="84"/>
      <c r="S1972" s="84"/>
      <c r="T1972" s="84"/>
      <c r="U1972" s="84"/>
      <c r="V1972" s="84"/>
      <c r="W1972" s="84"/>
      <c r="X1972" s="84"/>
      <c r="Y1972" s="84"/>
      <c r="Z1972" s="84"/>
      <c r="AA1972" s="84"/>
      <c r="AB1972" s="84"/>
    </row>
    <row r="1973">
      <c r="A1973" s="69">
        <v>132.0</v>
      </c>
      <c r="B1973" s="69">
        <v>201.0</v>
      </c>
      <c r="C1973" s="86" t="s">
        <v>444</v>
      </c>
      <c r="D1973" s="86" t="s">
        <v>445</v>
      </c>
      <c r="E1973" s="86" t="s">
        <v>446</v>
      </c>
      <c r="F1973" s="69">
        <v>1000.0</v>
      </c>
      <c r="G1973" s="69">
        <v>12.25</v>
      </c>
      <c r="H1973" s="68">
        <f t="shared" si="1"/>
        <v>17.1</v>
      </c>
      <c r="I1973" s="81">
        <f>IFERROR(__xludf.DUMMYFUNCTION("IF(G1973="""", """", ROUND(G1973 / MAX(FILTER($G$2:$G5067, $D$2:$D5067=$D1973)) * 100, 2))"),72.53)</f>
        <v>72.53</v>
      </c>
      <c r="J1973" s="81">
        <f>IFERROR(__xludf.DUMMYFUNCTION("IF(H1973="""", """", ROUND(H1973 / MAX(FILTER($H$2:$H5067, $D$2:$D5067=$D1973)) * 100, 2))"),11.81)</f>
        <v>11.81</v>
      </c>
      <c r="K1973" s="2"/>
      <c r="L1973" s="48"/>
      <c r="M1973" s="48"/>
      <c r="N1973" s="48"/>
      <c r="O1973" s="48" t="str">
        <f t="shared" si="2"/>
        <v/>
      </c>
      <c r="P1973" s="48" t="str">
        <f t="shared" si="3"/>
        <v/>
      </c>
      <c r="Q1973" s="84"/>
      <c r="R1973" s="84"/>
      <c r="S1973" s="84"/>
      <c r="T1973" s="84"/>
      <c r="U1973" s="84"/>
      <c r="V1973" s="84"/>
      <c r="W1973" s="84"/>
      <c r="X1973" s="84"/>
      <c r="Y1973" s="84"/>
      <c r="Z1973" s="84"/>
      <c r="AA1973" s="84"/>
      <c r="AB1973" s="84"/>
    </row>
    <row r="1974">
      <c r="A1974" s="63">
        <v>132.0</v>
      </c>
      <c r="B1974" s="63">
        <v>201.0</v>
      </c>
      <c r="C1974" s="64" t="s">
        <v>444</v>
      </c>
      <c r="D1974" s="64" t="s">
        <v>445</v>
      </c>
      <c r="E1974" s="64" t="s">
        <v>446</v>
      </c>
      <c r="F1974" s="63">
        <v>1500.0</v>
      </c>
      <c r="G1974" s="63">
        <v>13.2</v>
      </c>
      <c r="H1974" s="66">
        <f t="shared" si="1"/>
        <v>27.65</v>
      </c>
      <c r="I1974" s="81">
        <f>IFERROR(__xludf.DUMMYFUNCTION("IF(G1974="""", """", ROUND(G1974 / MAX(FILTER($G$2:$G5067, $D$2:$D5067=$D1974)) * 100, 2))"),78.15)</f>
        <v>78.15</v>
      </c>
      <c r="J1974" s="81">
        <f>IFERROR(__xludf.DUMMYFUNCTION("IF(H1974="""", """", ROUND(H1974 / MAX(FILTER($H$2:$H5067, $D$2:$D5067=$D1974)) * 100, 2))"),19.09)</f>
        <v>19.09</v>
      </c>
      <c r="K1974" s="2"/>
      <c r="L1974" s="49"/>
      <c r="M1974" s="49"/>
      <c r="N1974" s="49"/>
      <c r="O1974" s="49" t="str">
        <f t="shared" si="2"/>
        <v/>
      </c>
      <c r="P1974" s="49" t="str">
        <f t="shared" si="3"/>
        <v/>
      </c>
      <c r="Q1974" s="84"/>
      <c r="R1974" s="84"/>
      <c r="S1974" s="84"/>
      <c r="T1974" s="84"/>
      <c r="U1974" s="84"/>
      <c r="V1974" s="84"/>
      <c r="W1974" s="84"/>
      <c r="X1974" s="84"/>
      <c r="Y1974" s="84"/>
      <c r="Z1974" s="84"/>
      <c r="AA1974" s="84"/>
      <c r="AB1974" s="84"/>
    </row>
    <row r="1975">
      <c r="A1975" s="69">
        <v>132.0</v>
      </c>
      <c r="B1975" s="69">
        <v>201.0</v>
      </c>
      <c r="C1975" s="86" t="s">
        <v>444</v>
      </c>
      <c r="D1975" s="86" t="s">
        <v>445</v>
      </c>
      <c r="E1975" s="86" t="s">
        <v>446</v>
      </c>
      <c r="F1975" s="69">
        <v>2000.0</v>
      </c>
      <c r="G1975" s="69">
        <v>13.8</v>
      </c>
      <c r="H1975" s="68">
        <f t="shared" si="1"/>
        <v>38.54</v>
      </c>
      <c r="I1975" s="81">
        <f>IFERROR(__xludf.DUMMYFUNCTION("IF(G1975="""", """", ROUND(G1975 / MAX(FILTER($G$2:$G5067, $D$2:$D5067=$D1975)) * 100, 2))"),81.71)</f>
        <v>81.71</v>
      </c>
      <c r="J1975" s="81">
        <f>IFERROR(__xludf.DUMMYFUNCTION("IF(H1975="""", """", ROUND(H1975 / MAX(FILTER($H$2:$H5067, $D$2:$D5067=$D1975)) * 100, 2))"),26.61)</f>
        <v>26.61</v>
      </c>
      <c r="K1975" s="2"/>
      <c r="L1975" s="48"/>
      <c r="M1975" s="48"/>
      <c r="N1975" s="48"/>
      <c r="O1975" s="48" t="str">
        <f t="shared" si="2"/>
        <v/>
      </c>
      <c r="P1975" s="48" t="str">
        <f t="shared" si="3"/>
        <v/>
      </c>
      <c r="Q1975" s="84"/>
      <c r="R1975" s="84"/>
      <c r="S1975" s="84"/>
      <c r="T1975" s="84"/>
      <c r="U1975" s="84"/>
      <c r="V1975" s="84"/>
      <c r="W1975" s="84"/>
      <c r="X1975" s="84"/>
      <c r="Y1975" s="84"/>
      <c r="Z1975" s="84"/>
      <c r="AA1975" s="84"/>
      <c r="AB1975" s="84"/>
    </row>
    <row r="1976">
      <c r="A1976" s="63">
        <v>132.0</v>
      </c>
      <c r="B1976" s="63">
        <v>201.0</v>
      </c>
      <c r="C1976" s="64" t="s">
        <v>444</v>
      </c>
      <c r="D1976" s="64" t="s">
        <v>445</v>
      </c>
      <c r="E1976" s="64" t="s">
        <v>446</v>
      </c>
      <c r="F1976" s="63">
        <v>2500.0</v>
      </c>
      <c r="G1976" s="63">
        <v>14.0</v>
      </c>
      <c r="H1976" s="66">
        <f t="shared" si="1"/>
        <v>48.87</v>
      </c>
      <c r="I1976" s="81">
        <f>IFERROR(__xludf.DUMMYFUNCTION("IF(G1976="""", """", ROUND(G1976 / MAX(FILTER($G$2:$G5067, $D$2:$D5067=$D1976)) * 100, 2))"),82.89)</f>
        <v>82.89</v>
      </c>
      <c r="J1976" s="81">
        <f>IFERROR(__xludf.DUMMYFUNCTION("IF(H1976="""", """", ROUND(H1976 / MAX(FILTER($H$2:$H5067, $D$2:$D5067=$D1976)) * 100, 2))"),33.74)</f>
        <v>33.74</v>
      </c>
      <c r="K1976" s="2"/>
      <c r="L1976" s="49"/>
      <c r="M1976" s="49"/>
      <c r="N1976" s="49"/>
      <c r="O1976" s="49" t="str">
        <f t="shared" si="2"/>
        <v/>
      </c>
      <c r="P1976" s="49" t="str">
        <f t="shared" si="3"/>
        <v/>
      </c>
      <c r="Q1976" s="84"/>
      <c r="R1976" s="84"/>
      <c r="S1976" s="84"/>
      <c r="T1976" s="84"/>
      <c r="U1976" s="84"/>
      <c r="V1976" s="84"/>
      <c r="W1976" s="84"/>
      <c r="X1976" s="84"/>
      <c r="Y1976" s="84"/>
      <c r="Z1976" s="84"/>
      <c r="AA1976" s="84"/>
      <c r="AB1976" s="84"/>
    </row>
    <row r="1977">
      <c r="A1977" s="69">
        <v>132.0</v>
      </c>
      <c r="B1977" s="69">
        <v>201.0</v>
      </c>
      <c r="C1977" s="86" t="s">
        <v>444</v>
      </c>
      <c r="D1977" s="86" t="s">
        <v>445</v>
      </c>
      <c r="E1977" s="86" t="s">
        <v>446</v>
      </c>
      <c r="F1977" s="69">
        <v>3000.0</v>
      </c>
      <c r="G1977" s="69">
        <v>14.2</v>
      </c>
      <c r="H1977" s="68">
        <f t="shared" si="1"/>
        <v>59.48</v>
      </c>
      <c r="I1977" s="81">
        <f>IFERROR(__xludf.DUMMYFUNCTION("IF(G1977="""", """", ROUND(G1977 / MAX(FILTER($G$2:$G5067, $D$2:$D5067=$D1977)) * 100, 2))"),84.07)</f>
        <v>84.07</v>
      </c>
      <c r="J1977" s="81">
        <f>IFERROR(__xludf.DUMMYFUNCTION("IF(H1977="""", """", ROUND(H1977 / MAX(FILTER($H$2:$H5067, $D$2:$D5067=$D1977)) * 100, 2))"),41.06)</f>
        <v>41.06</v>
      </c>
      <c r="K1977" s="2"/>
      <c r="L1977" s="48"/>
      <c r="M1977" s="48"/>
      <c r="N1977" s="48"/>
      <c r="O1977" s="48" t="str">
        <f t="shared" si="2"/>
        <v/>
      </c>
      <c r="P1977" s="48" t="str">
        <f t="shared" si="3"/>
        <v/>
      </c>
      <c r="Q1977" s="84"/>
      <c r="R1977" s="84"/>
      <c r="S1977" s="84"/>
      <c r="T1977" s="84"/>
      <c r="U1977" s="84"/>
      <c r="V1977" s="84"/>
      <c r="W1977" s="84"/>
      <c r="X1977" s="84"/>
      <c r="Y1977" s="84"/>
      <c r="Z1977" s="84"/>
      <c r="AA1977" s="84"/>
      <c r="AB1977" s="84"/>
    </row>
    <row r="1978">
      <c r="A1978" s="63">
        <v>132.0</v>
      </c>
      <c r="B1978" s="63">
        <v>201.0</v>
      </c>
      <c r="C1978" s="64" t="s">
        <v>444</v>
      </c>
      <c r="D1978" s="64" t="s">
        <v>445</v>
      </c>
      <c r="E1978" s="64" t="s">
        <v>446</v>
      </c>
      <c r="F1978" s="63">
        <v>3500.0</v>
      </c>
      <c r="G1978" s="63">
        <v>14.9</v>
      </c>
      <c r="H1978" s="66">
        <f t="shared" si="1"/>
        <v>72.81</v>
      </c>
      <c r="I1978" s="81">
        <f>IFERROR(__xludf.DUMMYFUNCTION("IF(G1978="""", """", ROUND(G1978 / MAX(FILTER($G$2:$G5067, $D$2:$D5067=$D1978)) * 100, 2))"),88.22)</f>
        <v>88.22</v>
      </c>
      <c r="J1978" s="81">
        <f>IFERROR(__xludf.DUMMYFUNCTION("IF(H1978="""", """", ROUND(H1978 / MAX(FILTER($H$2:$H5067, $D$2:$D5067=$D1978)) * 100, 2))"),50.27)</f>
        <v>50.27</v>
      </c>
      <c r="K1978" s="2"/>
      <c r="L1978" s="49"/>
      <c r="M1978" s="49"/>
      <c r="N1978" s="49"/>
      <c r="O1978" s="49" t="str">
        <f t="shared" si="2"/>
        <v/>
      </c>
      <c r="P1978" s="49" t="str">
        <f t="shared" si="3"/>
        <v/>
      </c>
      <c r="Q1978" s="84"/>
      <c r="R1978" s="84"/>
      <c r="S1978" s="84"/>
      <c r="T1978" s="84"/>
      <c r="U1978" s="84"/>
      <c r="V1978" s="84"/>
      <c r="W1978" s="84"/>
      <c r="X1978" s="84"/>
      <c r="Y1978" s="84"/>
      <c r="Z1978" s="84"/>
      <c r="AA1978" s="84"/>
      <c r="AB1978" s="84"/>
    </row>
    <row r="1979">
      <c r="A1979" s="69">
        <v>132.0</v>
      </c>
      <c r="B1979" s="69">
        <v>201.0</v>
      </c>
      <c r="C1979" s="86" t="s">
        <v>444</v>
      </c>
      <c r="D1979" s="86" t="s">
        <v>445</v>
      </c>
      <c r="E1979" s="86" t="s">
        <v>446</v>
      </c>
      <c r="F1979" s="69">
        <v>4000.0</v>
      </c>
      <c r="G1979" s="69">
        <v>15.45</v>
      </c>
      <c r="H1979" s="68">
        <f t="shared" si="1"/>
        <v>86.29</v>
      </c>
      <c r="I1979" s="81">
        <f>IFERROR(__xludf.DUMMYFUNCTION("IF(G1979="""", """", ROUND(G1979 / MAX(FILTER($G$2:$G5067, $D$2:$D5067=$D1979)) * 100, 2))"),91.47)</f>
        <v>91.47</v>
      </c>
      <c r="J1979" s="81">
        <f>IFERROR(__xludf.DUMMYFUNCTION("IF(H1979="""", """", ROUND(H1979 / MAX(FILTER($H$2:$H5067, $D$2:$D5067=$D1979)) * 100, 2))"),59.57)</f>
        <v>59.57</v>
      </c>
      <c r="K1979" s="2"/>
      <c r="L1979" s="48"/>
      <c r="M1979" s="48"/>
      <c r="N1979" s="48"/>
      <c r="O1979" s="48" t="str">
        <f t="shared" si="2"/>
        <v/>
      </c>
      <c r="P1979" s="48" t="str">
        <f t="shared" si="3"/>
        <v/>
      </c>
      <c r="Q1979" s="84"/>
      <c r="R1979" s="84"/>
      <c r="S1979" s="84"/>
      <c r="T1979" s="84"/>
      <c r="U1979" s="84"/>
      <c r="V1979" s="84"/>
      <c r="W1979" s="84"/>
      <c r="X1979" s="84"/>
      <c r="Y1979" s="84"/>
      <c r="Z1979" s="84"/>
      <c r="AA1979" s="84"/>
      <c r="AB1979" s="84"/>
    </row>
    <row r="1980">
      <c r="A1980" s="63">
        <v>132.0</v>
      </c>
      <c r="B1980" s="63">
        <v>201.0</v>
      </c>
      <c r="C1980" s="64" t="s">
        <v>444</v>
      </c>
      <c r="D1980" s="64" t="s">
        <v>445</v>
      </c>
      <c r="E1980" s="64" t="s">
        <v>446</v>
      </c>
      <c r="F1980" s="63">
        <v>4500.0</v>
      </c>
      <c r="G1980" s="63">
        <v>16.3</v>
      </c>
      <c r="H1980" s="66">
        <f t="shared" si="1"/>
        <v>102.42</v>
      </c>
      <c r="I1980" s="81">
        <f>IFERROR(__xludf.DUMMYFUNCTION("IF(G1980="""", """", ROUND(G1980 / MAX(FILTER($G$2:$G5067, $D$2:$D5067=$D1980)) * 100, 2))"),96.51)</f>
        <v>96.51</v>
      </c>
      <c r="J1980" s="81">
        <f>IFERROR(__xludf.DUMMYFUNCTION("IF(H1980="""", """", ROUND(H1980 / MAX(FILTER($H$2:$H5067, $D$2:$D5067=$D1980)) * 100, 2))"),70.71)</f>
        <v>70.71</v>
      </c>
      <c r="K1980" s="2"/>
      <c r="L1980" s="49"/>
      <c r="M1980" s="49"/>
      <c r="N1980" s="49"/>
      <c r="O1980" s="49" t="str">
        <f t="shared" si="2"/>
        <v/>
      </c>
      <c r="P1980" s="49" t="str">
        <f t="shared" si="3"/>
        <v/>
      </c>
      <c r="Q1980" s="84"/>
      <c r="R1980" s="84"/>
      <c r="S1980" s="84"/>
      <c r="T1980" s="84"/>
      <c r="U1980" s="84"/>
      <c r="V1980" s="84"/>
      <c r="W1980" s="84"/>
      <c r="X1980" s="84"/>
      <c r="Y1980" s="84"/>
      <c r="Z1980" s="84"/>
      <c r="AA1980" s="84"/>
      <c r="AB1980" s="84"/>
    </row>
    <row r="1981">
      <c r="A1981" s="69">
        <v>132.0</v>
      </c>
      <c r="B1981" s="69">
        <v>201.0</v>
      </c>
      <c r="C1981" s="86" t="s">
        <v>444</v>
      </c>
      <c r="D1981" s="86" t="s">
        <v>445</v>
      </c>
      <c r="E1981" s="86" t="s">
        <v>446</v>
      </c>
      <c r="F1981" s="69">
        <v>5000.0</v>
      </c>
      <c r="G1981" s="69">
        <v>16.89</v>
      </c>
      <c r="H1981" s="68">
        <f t="shared" si="1"/>
        <v>117.91</v>
      </c>
      <c r="I1981" s="81">
        <f>IFERROR(__xludf.DUMMYFUNCTION("IF(G1981="""", """", ROUND(G1981 / MAX(FILTER($G$2:$G5067, $D$2:$D5067=$D1981)) * 100, 2))"),100.0)</f>
        <v>100</v>
      </c>
      <c r="J1981" s="81">
        <f>IFERROR(__xludf.DUMMYFUNCTION("IF(H1981="""", """", ROUND(H1981 / MAX(FILTER($H$2:$H5067, $D$2:$D5067=$D1981)) * 100, 2))"),81.4)</f>
        <v>81.4</v>
      </c>
      <c r="K1981" s="2"/>
      <c r="L1981" s="48"/>
      <c r="M1981" s="48"/>
      <c r="N1981" s="48"/>
      <c r="O1981" s="48" t="str">
        <f t="shared" si="2"/>
        <v/>
      </c>
      <c r="P1981" s="48" t="str">
        <f t="shared" si="3"/>
        <v/>
      </c>
      <c r="Q1981" s="84"/>
      <c r="R1981" s="84"/>
      <c r="S1981" s="84"/>
      <c r="T1981" s="84"/>
      <c r="U1981" s="84"/>
      <c r="V1981" s="84"/>
      <c r="W1981" s="84"/>
      <c r="X1981" s="84"/>
      <c r="Y1981" s="84"/>
      <c r="Z1981" s="84"/>
      <c r="AA1981" s="84"/>
      <c r="AB1981" s="84"/>
    </row>
    <row r="1982">
      <c r="A1982" s="63">
        <v>132.0</v>
      </c>
      <c r="B1982" s="63">
        <v>201.0</v>
      </c>
      <c r="C1982" s="64" t="s">
        <v>444</v>
      </c>
      <c r="D1982" s="64" t="s">
        <v>445</v>
      </c>
      <c r="E1982" s="64" t="s">
        <v>446</v>
      </c>
      <c r="F1982" s="63">
        <v>5600.0</v>
      </c>
      <c r="G1982" s="63">
        <v>16.85</v>
      </c>
      <c r="H1982" s="66">
        <f t="shared" si="1"/>
        <v>131.75</v>
      </c>
      <c r="I1982" s="81">
        <f>IFERROR(__xludf.DUMMYFUNCTION("IF(G1982="""", """", ROUND(G1982 / MAX(FILTER($G$2:$G5067, $D$2:$D5067=$D1982)) * 100, 2))"),99.76)</f>
        <v>99.76</v>
      </c>
      <c r="J1982" s="81">
        <f>IFERROR(__xludf.DUMMYFUNCTION("IF(H1982="""", """", ROUND(H1982 / MAX(FILTER($H$2:$H5067, $D$2:$D5067=$D1982)) * 100, 2))"),90.96)</f>
        <v>90.96</v>
      </c>
      <c r="K1982" s="2"/>
      <c r="L1982" s="49"/>
      <c r="M1982" s="49"/>
      <c r="N1982" s="49"/>
      <c r="O1982" s="49" t="str">
        <f t="shared" si="2"/>
        <v/>
      </c>
      <c r="P1982" s="49" t="str">
        <f t="shared" si="3"/>
        <v/>
      </c>
      <c r="Q1982" s="84"/>
      <c r="R1982" s="84"/>
      <c r="S1982" s="84"/>
      <c r="T1982" s="84"/>
      <c r="U1982" s="84"/>
      <c r="V1982" s="84"/>
      <c r="W1982" s="84"/>
      <c r="X1982" s="84"/>
      <c r="Y1982" s="84"/>
      <c r="Z1982" s="84"/>
      <c r="AA1982" s="84"/>
      <c r="AB1982" s="84"/>
    </row>
    <row r="1983">
      <c r="A1983" s="69">
        <v>132.0</v>
      </c>
      <c r="B1983" s="69">
        <v>201.0</v>
      </c>
      <c r="C1983" s="86" t="s">
        <v>444</v>
      </c>
      <c r="D1983" s="86" t="s">
        <v>445</v>
      </c>
      <c r="E1983" s="86" t="s">
        <v>446</v>
      </c>
      <c r="F1983" s="69">
        <v>6000.0</v>
      </c>
      <c r="G1983" s="69">
        <v>16.55</v>
      </c>
      <c r="H1983" s="68">
        <f t="shared" si="1"/>
        <v>138.65</v>
      </c>
      <c r="I1983" s="81">
        <f>IFERROR(__xludf.DUMMYFUNCTION("IF(G1983="""", """", ROUND(G1983 / MAX(FILTER($G$2:$G5067, $D$2:$D5067=$D1983)) * 100, 2))"),97.99)</f>
        <v>97.99</v>
      </c>
      <c r="J1983" s="81">
        <f>IFERROR(__xludf.DUMMYFUNCTION("IF(H1983="""", """", ROUND(H1983 / MAX(FILTER($H$2:$H5067, $D$2:$D5067=$D1983)) * 100, 2))"),95.72)</f>
        <v>95.72</v>
      </c>
      <c r="K1983" s="2"/>
      <c r="L1983" s="48"/>
      <c r="M1983" s="48"/>
      <c r="N1983" s="48"/>
      <c r="O1983" s="48" t="str">
        <f t="shared" si="2"/>
        <v/>
      </c>
      <c r="P1983" s="48" t="str">
        <f t="shared" si="3"/>
        <v/>
      </c>
      <c r="Q1983" s="84"/>
      <c r="R1983" s="84"/>
      <c r="S1983" s="84"/>
      <c r="T1983" s="84"/>
      <c r="U1983" s="84"/>
      <c r="V1983" s="84"/>
      <c r="W1983" s="84"/>
      <c r="X1983" s="84"/>
      <c r="Y1983" s="84"/>
      <c r="Z1983" s="84"/>
      <c r="AA1983" s="84"/>
      <c r="AB1983" s="84"/>
    </row>
    <row r="1984">
      <c r="A1984" s="63">
        <v>132.0</v>
      </c>
      <c r="B1984" s="63">
        <v>201.0</v>
      </c>
      <c r="C1984" s="64" t="s">
        <v>444</v>
      </c>
      <c r="D1984" s="64" t="s">
        <v>445</v>
      </c>
      <c r="E1984" s="64" t="s">
        <v>446</v>
      </c>
      <c r="F1984" s="63">
        <v>6500.0</v>
      </c>
      <c r="G1984" s="63">
        <v>15.85</v>
      </c>
      <c r="H1984" s="66">
        <f t="shared" si="1"/>
        <v>143.85</v>
      </c>
      <c r="I1984" s="81">
        <f>IFERROR(__xludf.DUMMYFUNCTION("IF(G1984="""", """", ROUND(G1984 / MAX(FILTER($G$2:$G5067, $D$2:$D5067=$D1984)) * 100, 2))"),93.84)</f>
        <v>93.84</v>
      </c>
      <c r="J1984" s="81">
        <f>IFERROR(__xludf.DUMMYFUNCTION("IF(H1984="""", """", ROUND(H1984 / MAX(FILTER($H$2:$H5067, $D$2:$D5067=$D1984)) * 100, 2))"),99.31)</f>
        <v>99.31</v>
      </c>
      <c r="K1984" s="2"/>
      <c r="L1984" s="49"/>
      <c r="M1984" s="49"/>
      <c r="N1984" s="49"/>
      <c r="O1984" s="49" t="str">
        <f t="shared" si="2"/>
        <v/>
      </c>
      <c r="P1984" s="49" t="str">
        <f t="shared" si="3"/>
        <v/>
      </c>
      <c r="Q1984" s="84"/>
      <c r="R1984" s="84"/>
      <c r="S1984" s="84"/>
      <c r="T1984" s="84"/>
      <c r="U1984" s="84"/>
      <c r="V1984" s="84"/>
      <c r="W1984" s="84"/>
      <c r="X1984" s="84"/>
      <c r="Y1984" s="84"/>
      <c r="Z1984" s="84"/>
      <c r="AA1984" s="84"/>
      <c r="AB1984" s="84"/>
    </row>
    <row r="1985">
      <c r="A1985" s="69">
        <v>132.0</v>
      </c>
      <c r="B1985" s="69">
        <v>201.0</v>
      </c>
      <c r="C1985" s="86" t="s">
        <v>444</v>
      </c>
      <c r="D1985" s="86" t="s">
        <v>445</v>
      </c>
      <c r="E1985" s="86" t="s">
        <v>446</v>
      </c>
      <c r="F1985" s="69">
        <v>7000.0</v>
      </c>
      <c r="G1985" s="69">
        <v>14.82</v>
      </c>
      <c r="H1985" s="68">
        <f t="shared" si="1"/>
        <v>144.85</v>
      </c>
      <c r="I1985" s="81">
        <f>IFERROR(__xludf.DUMMYFUNCTION("IF(G1985="""", """", ROUND(G1985 / MAX(FILTER($G$2:$G5067, $D$2:$D5067=$D1985)) * 100, 2))"),87.74)</f>
        <v>87.74</v>
      </c>
      <c r="J1985" s="81">
        <f>IFERROR(__xludf.DUMMYFUNCTION("IF(H1985="""", """", ROUND(H1985 / MAX(FILTER($H$2:$H5067, $D$2:$D5067=$D1985)) * 100, 2))"),100.0)</f>
        <v>100</v>
      </c>
      <c r="K1985" s="2"/>
      <c r="L1985" s="48"/>
      <c r="M1985" s="48"/>
      <c r="N1985" s="48"/>
      <c r="O1985" s="48" t="str">
        <f t="shared" si="2"/>
        <v/>
      </c>
      <c r="P1985" s="48" t="str">
        <f t="shared" si="3"/>
        <v/>
      </c>
      <c r="Q1985" s="84"/>
      <c r="R1985" s="84"/>
      <c r="S1985" s="84"/>
      <c r="T1985" s="84"/>
      <c r="U1985" s="84"/>
      <c r="V1985" s="84"/>
      <c r="W1985" s="84"/>
      <c r="X1985" s="84"/>
      <c r="Y1985" s="84"/>
      <c r="Z1985" s="84"/>
      <c r="AA1985" s="84"/>
      <c r="AB1985" s="84"/>
    </row>
    <row r="1986">
      <c r="A1986" s="63">
        <v>132.0</v>
      </c>
      <c r="B1986" s="63">
        <v>201.0</v>
      </c>
      <c r="C1986" s="64" t="s">
        <v>444</v>
      </c>
      <c r="D1986" s="64" t="s">
        <v>445</v>
      </c>
      <c r="E1986" s="64" t="s">
        <v>446</v>
      </c>
      <c r="F1986" s="63">
        <v>7500.0</v>
      </c>
      <c r="G1986" s="63">
        <v>13.6</v>
      </c>
      <c r="H1986" s="66">
        <f t="shared" si="1"/>
        <v>142.42</v>
      </c>
      <c r="I1986" s="81">
        <f>IFERROR(__xludf.DUMMYFUNCTION("IF(G1986="""", """", ROUND(G1986 / MAX(FILTER($G$2:$G5067, $D$2:$D5067=$D1986)) * 100, 2))"),80.52)</f>
        <v>80.52</v>
      </c>
      <c r="J1986" s="81">
        <f>IFERROR(__xludf.DUMMYFUNCTION("IF(H1986="""", """", ROUND(H1986 / MAX(FILTER($H$2:$H5067, $D$2:$D5067=$D1986)) * 100, 2))"),98.32)</f>
        <v>98.32</v>
      </c>
      <c r="K1986" s="2"/>
      <c r="L1986" s="49"/>
      <c r="M1986" s="49"/>
      <c r="N1986" s="49"/>
      <c r="O1986" s="49" t="str">
        <f t="shared" si="2"/>
        <v/>
      </c>
      <c r="P1986" s="49" t="str">
        <f t="shared" si="3"/>
        <v/>
      </c>
      <c r="Q1986" s="84"/>
      <c r="R1986" s="84"/>
      <c r="S1986" s="84"/>
      <c r="T1986" s="84"/>
      <c r="U1986" s="84"/>
      <c r="V1986" s="84"/>
      <c r="W1986" s="84"/>
      <c r="X1986" s="84"/>
      <c r="Y1986" s="84"/>
      <c r="Z1986" s="84"/>
      <c r="AA1986" s="84"/>
      <c r="AB1986" s="84"/>
    </row>
    <row r="1987">
      <c r="A1987" s="69">
        <v>132.0</v>
      </c>
      <c r="B1987" s="69">
        <v>201.0</v>
      </c>
      <c r="C1987" s="86" t="s">
        <v>444</v>
      </c>
      <c r="D1987" s="86" t="s">
        <v>445</v>
      </c>
      <c r="E1987" s="86" t="s">
        <v>446</v>
      </c>
      <c r="F1987" s="69">
        <v>8000.0</v>
      </c>
      <c r="G1987" s="69">
        <v>11.85</v>
      </c>
      <c r="H1987" s="68">
        <f t="shared" si="1"/>
        <v>132.37</v>
      </c>
      <c r="I1987" s="81">
        <f>IFERROR(__xludf.DUMMYFUNCTION("IF(G1987="""", """", ROUND(G1987 / MAX(FILTER($G$2:$G5067, $D$2:$D5067=$D1987)) * 100, 2))"),70.16)</f>
        <v>70.16</v>
      </c>
      <c r="J1987" s="81">
        <f>IFERROR(__xludf.DUMMYFUNCTION("IF(H1987="""", """", ROUND(H1987 / MAX(FILTER($H$2:$H5067, $D$2:$D5067=$D1987)) * 100, 2))"),91.38)</f>
        <v>91.38</v>
      </c>
      <c r="K1987" s="2"/>
      <c r="L1987" s="48"/>
      <c r="M1987" s="48"/>
      <c r="N1987" s="48"/>
      <c r="O1987" s="48" t="str">
        <f t="shared" si="2"/>
        <v/>
      </c>
      <c r="P1987" s="48" t="str">
        <f t="shared" si="3"/>
        <v/>
      </c>
      <c r="Q1987" s="84"/>
      <c r="R1987" s="84"/>
      <c r="S1987" s="84"/>
      <c r="T1987" s="84"/>
      <c r="U1987" s="84"/>
      <c r="V1987" s="84"/>
      <c r="W1987" s="84"/>
      <c r="X1987" s="84"/>
      <c r="Y1987" s="84"/>
      <c r="Z1987" s="84"/>
      <c r="AA1987" s="84"/>
      <c r="AB1987" s="84"/>
    </row>
    <row r="1988">
      <c r="A1988" s="63">
        <v>133.0</v>
      </c>
      <c r="B1988" s="63">
        <v>203.0</v>
      </c>
      <c r="C1988" s="64" t="s">
        <v>447</v>
      </c>
      <c r="D1988" s="64" t="s">
        <v>448</v>
      </c>
      <c r="E1988" s="64" t="s">
        <v>449</v>
      </c>
      <c r="F1988" s="63">
        <v>500.0</v>
      </c>
      <c r="G1988" s="63">
        <v>17.48</v>
      </c>
      <c r="H1988" s="66">
        <f t="shared" si="1"/>
        <v>12.2</v>
      </c>
      <c r="I1988" s="81">
        <f>IFERROR(__xludf.DUMMYFUNCTION("IF(G1988="""", """", ROUND(G1988 / MAX(FILTER($G$2:$G5067, $D$2:$D5067=$D1988)) * 100, 2))"),43.5)</f>
        <v>43.5</v>
      </c>
      <c r="J1988" s="81">
        <f>IFERROR(__xludf.DUMMYFUNCTION("IF(H1988="""", """", ROUND(H1988 / MAX(FILTER($H$2:$H5067, $D$2:$D5067=$D1988)) * 100, 2))"),3.94)</f>
        <v>3.94</v>
      </c>
      <c r="K1988" s="2"/>
      <c r="L1988" s="49"/>
      <c r="M1988" s="49"/>
      <c r="N1988" s="49"/>
      <c r="O1988" s="49" t="str">
        <f t="shared" si="2"/>
        <v/>
      </c>
      <c r="P1988" s="49" t="str">
        <f t="shared" si="3"/>
        <v/>
      </c>
      <c r="Q1988" s="84"/>
      <c r="R1988" s="84"/>
      <c r="S1988" s="84"/>
      <c r="T1988" s="84"/>
      <c r="U1988" s="84"/>
      <c r="V1988" s="84"/>
      <c r="W1988" s="84"/>
      <c r="X1988" s="84"/>
      <c r="Y1988" s="84"/>
      <c r="Z1988" s="84"/>
      <c r="AA1988" s="84"/>
      <c r="AB1988" s="84"/>
    </row>
    <row r="1989">
      <c r="A1989" s="69">
        <v>133.0</v>
      </c>
      <c r="B1989" s="69">
        <v>203.0</v>
      </c>
      <c r="C1989" s="86" t="s">
        <v>447</v>
      </c>
      <c r="D1989" s="86" t="s">
        <v>448</v>
      </c>
      <c r="E1989" s="86" t="s">
        <v>449</v>
      </c>
      <c r="F1989" s="69">
        <v>1000.0</v>
      </c>
      <c r="G1989" s="69">
        <v>18.46</v>
      </c>
      <c r="H1989" s="68">
        <f t="shared" si="1"/>
        <v>25.77</v>
      </c>
      <c r="I1989" s="81">
        <f>IFERROR(__xludf.DUMMYFUNCTION("IF(G1989="""", """", ROUND(G1989 / MAX(FILTER($G$2:$G5067, $D$2:$D5067=$D1989)) * 100, 2))"),45.94)</f>
        <v>45.94</v>
      </c>
      <c r="J1989" s="81">
        <f>IFERROR(__xludf.DUMMYFUNCTION("IF(H1989="""", """", ROUND(H1989 / MAX(FILTER($H$2:$H5067, $D$2:$D5067=$D1989)) * 100, 2))"),8.32)</f>
        <v>8.32</v>
      </c>
      <c r="K1989" s="2"/>
      <c r="L1989" s="48"/>
      <c r="M1989" s="48"/>
      <c r="N1989" s="48"/>
      <c r="O1989" s="48" t="str">
        <f t="shared" si="2"/>
        <v/>
      </c>
      <c r="P1989" s="48" t="str">
        <f t="shared" si="3"/>
        <v/>
      </c>
      <c r="Q1989" s="84"/>
      <c r="R1989" s="84"/>
      <c r="S1989" s="84"/>
      <c r="T1989" s="84"/>
      <c r="U1989" s="84"/>
      <c r="V1989" s="84"/>
      <c r="W1989" s="84"/>
      <c r="X1989" s="84"/>
      <c r="Y1989" s="84"/>
      <c r="Z1989" s="84"/>
      <c r="AA1989" s="84"/>
      <c r="AB1989" s="84"/>
    </row>
    <row r="1990">
      <c r="A1990" s="63">
        <v>133.0</v>
      </c>
      <c r="B1990" s="63">
        <v>203.0</v>
      </c>
      <c r="C1990" s="64" t="s">
        <v>447</v>
      </c>
      <c r="D1990" s="64" t="s">
        <v>448</v>
      </c>
      <c r="E1990" s="64" t="s">
        <v>449</v>
      </c>
      <c r="F1990" s="63">
        <v>1500.0</v>
      </c>
      <c r="G1990" s="63">
        <v>20.19</v>
      </c>
      <c r="H1990" s="66">
        <f t="shared" si="1"/>
        <v>42.29</v>
      </c>
      <c r="I1990" s="81">
        <f>IFERROR(__xludf.DUMMYFUNCTION("IF(G1990="""", """", ROUND(G1990 / MAX(FILTER($G$2:$G5067, $D$2:$D5067=$D1990)) * 100, 2))"),50.25)</f>
        <v>50.25</v>
      </c>
      <c r="J1990" s="81">
        <f>IFERROR(__xludf.DUMMYFUNCTION("IF(H1990="""", """", ROUND(H1990 / MAX(FILTER($H$2:$H5067, $D$2:$D5067=$D1990)) * 100, 2))"),13.65)</f>
        <v>13.65</v>
      </c>
      <c r="K1990" s="2"/>
      <c r="L1990" s="49"/>
      <c r="M1990" s="49"/>
      <c r="N1990" s="49"/>
      <c r="O1990" s="49" t="str">
        <f t="shared" si="2"/>
        <v/>
      </c>
      <c r="P1990" s="49" t="str">
        <f t="shared" si="3"/>
        <v/>
      </c>
      <c r="Q1990" s="84"/>
      <c r="R1990" s="84"/>
      <c r="S1990" s="84"/>
      <c r="T1990" s="84"/>
      <c r="U1990" s="84"/>
      <c r="V1990" s="84"/>
      <c r="W1990" s="84"/>
      <c r="X1990" s="84"/>
      <c r="Y1990" s="84"/>
      <c r="Z1990" s="84"/>
      <c r="AA1990" s="84"/>
      <c r="AB1990" s="84"/>
    </row>
    <row r="1991">
      <c r="A1991" s="69">
        <v>133.0</v>
      </c>
      <c r="B1991" s="69">
        <v>203.0</v>
      </c>
      <c r="C1991" s="86" t="s">
        <v>447</v>
      </c>
      <c r="D1991" s="86" t="s">
        <v>448</v>
      </c>
      <c r="E1991" s="86" t="s">
        <v>449</v>
      </c>
      <c r="F1991" s="69">
        <v>2000.0</v>
      </c>
      <c r="G1991" s="69">
        <v>24.47</v>
      </c>
      <c r="H1991" s="68">
        <f t="shared" si="1"/>
        <v>68.33</v>
      </c>
      <c r="I1991" s="81">
        <f>IFERROR(__xludf.DUMMYFUNCTION("IF(G1991="""", """", ROUND(G1991 / MAX(FILTER($G$2:$G5067, $D$2:$D5067=$D1991)) * 100, 2))"),60.9)</f>
        <v>60.9</v>
      </c>
      <c r="J1991" s="81">
        <f>IFERROR(__xludf.DUMMYFUNCTION("IF(H1991="""", """", ROUND(H1991 / MAX(FILTER($H$2:$H5067, $D$2:$D5067=$D1991)) * 100, 2))"),22.06)</f>
        <v>22.06</v>
      </c>
      <c r="K1991" s="2"/>
      <c r="L1991" s="48"/>
      <c r="M1991" s="48"/>
      <c r="N1991" s="48"/>
      <c r="O1991" s="48" t="str">
        <f t="shared" si="2"/>
        <v/>
      </c>
      <c r="P1991" s="48" t="str">
        <f t="shared" si="3"/>
        <v/>
      </c>
      <c r="Q1991" s="84"/>
      <c r="R1991" s="84"/>
      <c r="S1991" s="84"/>
      <c r="T1991" s="84"/>
      <c r="U1991" s="84"/>
      <c r="V1991" s="84"/>
      <c r="W1991" s="84"/>
      <c r="X1991" s="84"/>
      <c r="Y1991" s="84"/>
      <c r="Z1991" s="84"/>
      <c r="AA1991" s="84"/>
      <c r="AB1991" s="84"/>
    </row>
    <row r="1992">
      <c r="A1992" s="63">
        <v>133.0</v>
      </c>
      <c r="B1992" s="63">
        <v>203.0</v>
      </c>
      <c r="C1992" s="64" t="s">
        <v>447</v>
      </c>
      <c r="D1992" s="64" t="s">
        <v>448</v>
      </c>
      <c r="E1992" s="64" t="s">
        <v>449</v>
      </c>
      <c r="F1992" s="63">
        <v>2500.0</v>
      </c>
      <c r="G1992" s="63">
        <v>33.65</v>
      </c>
      <c r="H1992" s="66">
        <f t="shared" si="1"/>
        <v>117.46</v>
      </c>
      <c r="I1992" s="81">
        <f>IFERROR(__xludf.DUMMYFUNCTION("IF(G1992="""", """", ROUND(G1992 / MAX(FILTER($G$2:$G5067, $D$2:$D5067=$D1992)) * 100, 2))"),83.75)</f>
        <v>83.75</v>
      </c>
      <c r="J1992" s="81">
        <f>IFERROR(__xludf.DUMMYFUNCTION("IF(H1992="""", """", ROUND(H1992 / MAX(FILTER($H$2:$H5067, $D$2:$D5067=$D1992)) * 100, 2))"),37.92)</f>
        <v>37.92</v>
      </c>
      <c r="K1992" s="2"/>
      <c r="L1992" s="49"/>
      <c r="M1992" s="49"/>
      <c r="N1992" s="49"/>
      <c r="O1992" s="49" t="str">
        <f t="shared" si="2"/>
        <v/>
      </c>
      <c r="P1992" s="49" t="str">
        <f t="shared" si="3"/>
        <v/>
      </c>
      <c r="Q1992" s="84"/>
      <c r="R1992" s="84"/>
      <c r="S1992" s="84"/>
      <c r="T1992" s="84"/>
      <c r="U1992" s="84"/>
      <c r="V1992" s="84"/>
      <c r="W1992" s="84"/>
      <c r="X1992" s="84"/>
      <c r="Y1992" s="84"/>
      <c r="Z1992" s="84"/>
      <c r="AA1992" s="84"/>
      <c r="AB1992" s="84"/>
    </row>
    <row r="1993">
      <c r="A1993" s="69">
        <v>133.0</v>
      </c>
      <c r="B1993" s="69">
        <v>203.0</v>
      </c>
      <c r="C1993" s="86" t="s">
        <v>447</v>
      </c>
      <c r="D1993" s="86" t="s">
        <v>448</v>
      </c>
      <c r="E1993" s="86" t="s">
        <v>449</v>
      </c>
      <c r="F1993" s="69">
        <v>3000.0</v>
      </c>
      <c r="G1993" s="69">
        <v>37.71</v>
      </c>
      <c r="H1993" s="68">
        <f t="shared" si="1"/>
        <v>157.96</v>
      </c>
      <c r="I1993" s="81">
        <f>IFERROR(__xludf.DUMMYFUNCTION("IF(G1993="""", """", ROUND(G1993 / MAX(FILTER($G$2:$G5067, $D$2:$D5067=$D1993)) * 100, 2))"),93.85)</f>
        <v>93.85</v>
      </c>
      <c r="J1993" s="81">
        <f>IFERROR(__xludf.DUMMYFUNCTION("IF(H1993="""", """", ROUND(H1993 / MAX(FILTER($H$2:$H5067, $D$2:$D5067=$D1993)) * 100, 2))"),51.0)</f>
        <v>51</v>
      </c>
      <c r="K1993" s="2"/>
      <c r="L1993" s="48"/>
      <c r="M1993" s="48"/>
      <c r="N1993" s="48"/>
      <c r="O1993" s="48" t="str">
        <f t="shared" si="2"/>
        <v/>
      </c>
      <c r="P1993" s="48" t="str">
        <f t="shared" si="3"/>
        <v/>
      </c>
      <c r="Q1993" s="84"/>
      <c r="R1993" s="84"/>
      <c r="S1993" s="84"/>
      <c r="T1993" s="84"/>
      <c r="U1993" s="84"/>
      <c r="V1993" s="84"/>
      <c r="W1993" s="84"/>
      <c r="X1993" s="84"/>
      <c r="Y1993" s="84"/>
      <c r="Z1993" s="84"/>
      <c r="AA1993" s="84"/>
      <c r="AB1993" s="84"/>
    </row>
    <row r="1994">
      <c r="A1994" s="63">
        <v>133.0</v>
      </c>
      <c r="B1994" s="63">
        <v>203.0</v>
      </c>
      <c r="C1994" s="64" t="s">
        <v>447</v>
      </c>
      <c r="D1994" s="64" t="s">
        <v>448</v>
      </c>
      <c r="E1994" s="64" t="s">
        <v>449</v>
      </c>
      <c r="F1994" s="63">
        <v>3500.0</v>
      </c>
      <c r="G1994" s="63">
        <v>39.75</v>
      </c>
      <c r="H1994" s="66">
        <f t="shared" si="1"/>
        <v>194.25</v>
      </c>
      <c r="I1994" s="81">
        <f>IFERROR(__xludf.DUMMYFUNCTION("IF(G1994="""", """", ROUND(G1994 / MAX(FILTER($G$2:$G5067, $D$2:$D5067=$D1994)) * 100, 2))"),98.93)</f>
        <v>98.93</v>
      </c>
      <c r="J1994" s="81">
        <f>IFERROR(__xludf.DUMMYFUNCTION("IF(H1994="""", """", ROUND(H1994 / MAX(FILTER($H$2:$H5067, $D$2:$D5067=$D1994)) * 100, 2))"),62.72)</f>
        <v>62.72</v>
      </c>
      <c r="K1994" s="2"/>
      <c r="L1994" s="49"/>
      <c r="M1994" s="49"/>
      <c r="N1994" s="49"/>
      <c r="O1994" s="49" t="str">
        <f t="shared" si="2"/>
        <v/>
      </c>
      <c r="P1994" s="49" t="str">
        <f t="shared" si="3"/>
        <v/>
      </c>
      <c r="Q1994" s="84"/>
      <c r="R1994" s="84"/>
      <c r="S1994" s="84"/>
      <c r="T1994" s="84"/>
      <c r="U1994" s="84"/>
      <c r="V1994" s="84"/>
      <c r="W1994" s="84"/>
      <c r="X1994" s="84"/>
      <c r="Y1994" s="84"/>
      <c r="Z1994" s="84"/>
      <c r="AA1994" s="84"/>
      <c r="AB1994" s="84"/>
    </row>
    <row r="1995">
      <c r="A1995" s="69">
        <v>133.0</v>
      </c>
      <c r="B1995" s="69">
        <v>203.0</v>
      </c>
      <c r="C1995" s="86" t="s">
        <v>447</v>
      </c>
      <c r="D1995" s="86" t="s">
        <v>448</v>
      </c>
      <c r="E1995" s="86" t="s">
        <v>449</v>
      </c>
      <c r="F1995" s="69">
        <v>4000.0</v>
      </c>
      <c r="G1995" s="69">
        <v>40.09</v>
      </c>
      <c r="H1995" s="68">
        <f t="shared" si="1"/>
        <v>223.9</v>
      </c>
      <c r="I1995" s="81">
        <f>IFERROR(__xludf.DUMMYFUNCTION("IF(G1995="""", """", ROUND(G1995 / MAX(FILTER($G$2:$G5067, $D$2:$D5067=$D1995)) * 100, 2))"),99.78)</f>
        <v>99.78</v>
      </c>
      <c r="J1995" s="81">
        <f>IFERROR(__xludf.DUMMYFUNCTION("IF(H1995="""", """", ROUND(H1995 / MAX(FILTER($H$2:$H5067, $D$2:$D5067=$D1995)) * 100, 2))"),72.29)</f>
        <v>72.29</v>
      </c>
      <c r="K1995" s="2"/>
      <c r="L1995" s="48"/>
      <c r="M1995" s="48"/>
      <c r="N1995" s="48"/>
      <c r="O1995" s="48" t="str">
        <f t="shared" si="2"/>
        <v/>
      </c>
      <c r="P1995" s="48" t="str">
        <f t="shared" si="3"/>
        <v/>
      </c>
      <c r="Q1995" s="84"/>
      <c r="R1995" s="84"/>
      <c r="S1995" s="84"/>
      <c r="T1995" s="84"/>
      <c r="U1995" s="84"/>
      <c r="V1995" s="84"/>
      <c r="W1995" s="84"/>
      <c r="X1995" s="84"/>
      <c r="Y1995" s="84"/>
      <c r="Z1995" s="84"/>
      <c r="AA1995" s="84"/>
      <c r="AB1995" s="84"/>
    </row>
    <row r="1996">
      <c r="A1996" s="63">
        <v>133.0</v>
      </c>
      <c r="B1996" s="63">
        <v>203.0</v>
      </c>
      <c r="C1996" s="64" t="s">
        <v>447</v>
      </c>
      <c r="D1996" s="64" t="s">
        <v>448</v>
      </c>
      <c r="E1996" s="64" t="s">
        <v>449</v>
      </c>
      <c r="F1996" s="63">
        <v>4500.0</v>
      </c>
      <c r="G1996" s="63">
        <v>40.18</v>
      </c>
      <c r="H1996" s="66">
        <f t="shared" si="1"/>
        <v>252.46</v>
      </c>
      <c r="I1996" s="81">
        <f>IFERROR(__xludf.DUMMYFUNCTION("IF(G1996="""", """", ROUND(G1996 / MAX(FILTER($G$2:$G5067, $D$2:$D5067=$D1996)) * 100, 2))"),100.0)</f>
        <v>100</v>
      </c>
      <c r="J1996" s="81">
        <f>IFERROR(__xludf.DUMMYFUNCTION("IF(H1996="""", """", ROUND(H1996 / MAX(FILTER($H$2:$H5067, $D$2:$D5067=$D1996)) * 100, 2))"),81.51)</f>
        <v>81.51</v>
      </c>
      <c r="K1996" s="2"/>
      <c r="L1996" s="49"/>
      <c r="M1996" s="49"/>
      <c r="N1996" s="49"/>
      <c r="O1996" s="49" t="str">
        <f t="shared" si="2"/>
        <v/>
      </c>
      <c r="P1996" s="49" t="str">
        <f t="shared" si="3"/>
        <v/>
      </c>
      <c r="Q1996" s="84"/>
      <c r="R1996" s="84"/>
      <c r="S1996" s="84"/>
      <c r="T1996" s="84"/>
      <c r="U1996" s="84"/>
      <c r="V1996" s="84"/>
      <c r="W1996" s="84"/>
      <c r="X1996" s="84"/>
      <c r="Y1996" s="84"/>
      <c r="Z1996" s="84"/>
      <c r="AA1996" s="84"/>
      <c r="AB1996" s="84"/>
    </row>
    <row r="1997">
      <c r="A1997" s="69">
        <v>133.0</v>
      </c>
      <c r="B1997" s="69">
        <v>203.0</v>
      </c>
      <c r="C1997" s="86" t="s">
        <v>447</v>
      </c>
      <c r="D1997" s="86" t="s">
        <v>448</v>
      </c>
      <c r="E1997" s="86" t="s">
        <v>449</v>
      </c>
      <c r="F1997" s="69">
        <v>5000.0</v>
      </c>
      <c r="G1997" s="69">
        <v>39.71</v>
      </c>
      <c r="H1997" s="68">
        <f t="shared" si="1"/>
        <v>277.23</v>
      </c>
      <c r="I1997" s="81">
        <f>IFERROR(__xludf.DUMMYFUNCTION("IF(G1997="""", """", ROUND(G1997 / MAX(FILTER($G$2:$G5067, $D$2:$D5067=$D1997)) * 100, 2))"),98.83)</f>
        <v>98.83</v>
      </c>
      <c r="J1997" s="81">
        <f>IFERROR(__xludf.DUMMYFUNCTION("IF(H1997="""", """", ROUND(H1997 / MAX(FILTER($H$2:$H5067, $D$2:$D5067=$D1997)) * 100, 2))"),89.51)</f>
        <v>89.51</v>
      </c>
      <c r="K1997" s="2"/>
      <c r="L1997" s="48"/>
      <c r="M1997" s="48"/>
      <c r="N1997" s="48"/>
      <c r="O1997" s="48" t="str">
        <f t="shared" si="2"/>
        <v/>
      </c>
      <c r="P1997" s="48" t="str">
        <f t="shared" si="3"/>
        <v/>
      </c>
      <c r="Q1997" s="84"/>
      <c r="R1997" s="84"/>
      <c r="S1997" s="84"/>
      <c r="T1997" s="84"/>
      <c r="U1997" s="84"/>
      <c r="V1997" s="84"/>
      <c r="W1997" s="84"/>
      <c r="X1997" s="84"/>
      <c r="Y1997" s="84"/>
      <c r="Z1997" s="84"/>
      <c r="AA1997" s="84"/>
      <c r="AB1997" s="84"/>
    </row>
    <row r="1998">
      <c r="A1998" s="63">
        <v>133.0</v>
      </c>
      <c r="B1998" s="63">
        <v>203.0</v>
      </c>
      <c r="C1998" s="64" t="s">
        <v>447</v>
      </c>
      <c r="D1998" s="64" t="s">
        <v>448</v>
      </c>
      <c r="E1998" s="64" t="s">
        <v>449</v>
      </c>
      <c r="F1998" s="63">
        <v>5500.0</v>
      </c>
      <c r="G1998" s="63">
        <v>38.92</v>
      </c>
      <c r="H1998" s="66">
        <f t="shared" si="1"/>
        <v>298.88</v>
      </c>
      <c r="I1998" s="81">
        <f>IFERROR(__xludf.DUMMYFUNCTION("IF(G1998="""", """", ROUND(G1998 / MAX(FILTER($G$2:$G5067, $D$2:$D5067=$D1998)) * 100, 2))"),96.86)</f>
        <v>96.86</v>
      </c>
      <c r="J1998" s="81">
        <f>IFERROR(__xludf.DUMMYFUNCTION("IF(H1998="""", """", ROUND(H1998 / MAX(FILTER($H$2:$H5067, $D$2:$D5067=$D1998)) * 100, 2))"),96.5)</f>
        <v>96.5</v>
      </c>
      <c r="K1998" s="2"/>
      <c r="L1998" s="49"/>
      <c r="M1998" s="49"/>
      <c r="N1998" s="49"/>
      <c r="O1998" s="49" t="str">
        <f t="shared" si="2"/>
        <v/>
      </c>
      <c r="P1998" s="49" t="str">
        <f t="shared" si="3"/>
        <v/>
      </c>
      <c r="Q1998" s="84"/>
      <c r="R1998" s="84"/>
      <c r="S1998" s="84"/>
      <c r="T1998" s="84"/>
      <c r="U1998" s="84"/>
      <c r="V1998" s="84"/>
      <c r="W1998" s="84"/>
      <c r="X1998" s="84"/>
      <c r="Y1998" s="84"/>
      <c r="Z1998" s="84"/>
      <c r="AA1998" s="84"/>
      <c r="AB1998" s="84"/>
    </row>
    <row r="1999">
      <c r="A1999" s="69">
        <v>133.0</v>
      </c>
      <c r="B1999" s="69">
        <v>203.0</v>
      </c>
      <c r="C1999" s="86" t="s">
        <v>447</v>
      </c>
      <c r="D1999" s="86" t="s">
        <v>448</v>
      </c>
      <c r="E1999" s="86" t="s">
        <v>449</v>
      </c>
      <c r="F1999" s="69">
        <v>6000.0</v>
      </c>
      <c r="G1999" s="69">
        <v>36.97</v>
      </c>
      <c r="H1999" s="68">
        <f t="shared" si="1"/>
        <v>309.72</v>
      </c>
      <c r="I1999" s="81">
        <f>IFERROR(__xludf.DUMMYFUNCTION("IF(G1999="""", """", ROUND(G1999 / MAX(FILTER($G$2:$G5067, $D$2:$D5067=$D1999)) * 100, 2))"),92.01)</f>
        <v>92.01</v>
      </c>
      <c r="J1999" s="81">
        <f>IFERROR(__xludf.DUMMYFUNCTION("IF(H1999="""", """", ROUND(H1999 / MAX(FILTER($H$2:$H5067, $D$2:$D5067=$D1999)) * 100, 2))"),100.0)</f>
        <v>100</v>
      </c>
      <c r="K1999" s="2"/>
      <c r="L1999" s="48"/>
      <c r="M1999" s="48"/>
      <c r="N1999" s="48"/>
      <c r="O1999" s="48" t="str">
        <f t="shared" si="2"/>
        <v/>
      </c>
      <c r="P1999" s="48" t="str">
        <f t="shared" si="3"/>
        <v/>
      </c>
      <c r="Q1999" s="84"/>
      <c r="R1999" s="84"/>
      <c r="S1999" s="84"/>
      <c r="T1999" s="84"/>
      <c r="U1999" s="84"/>
      <c r="V1999" s="84"/>
      <c r="W1999" s="84"/>
      <c r="X1999" s="84"/>
      <c r="Y1999" s="84"/>
      <c r="Z1999" s="84"/>
      <c r="AA1999" s="84"/>
      <c r="AB1999" s="84"/>
    </row>
    <row r="2000">
      <c r="A2000" s="63">
        <v>133.0</v>
      </c>
      <c r="B2000" s="63">
        <v>203.0</v>
      </c>
      <c r="C2000" s="64" t="s">
        <v>447</v>
      </c>
      <c r="D2000" s="64" t="s">
        <v>448</v>
      </c>
      <c r="E2000" s="64" t="s">
        <v>449</v>
      </c>
      <c r="F2000" s="63">
        <v>6500.0</v>
      </c>
      <c r="G2000" s="63">
        <v>34.06</v>
      </c>
      <c r="H2000" s="66">
        <f t="shared" si="1"/>
        <v>309.12</v>
      </c>
      <c r="I2000" s="81">
        <f>IFERROR(__xludf.DUMMYFUNCTION("IF(G2000="""", """", ROUND(G2000 / MAX(FILTER($G$2:$G5067, $D$2:$D5067=$D2000)) * 100, 2))"),84.77)</f>
        <v>84.77</v>
      </c>
      <c r="J2000" s="81">
        <f>IFERROR(__xludf.DUMMYFUNCTION("IF(H2000="""", """", ROUND(H2000 / MAX(FILTER($H$2:$H5067, $D$2:$D5067=$D2000)) * 100, 2))"),99.81)</f>
        <v>99.81</v>
      </c>
      <c r="K2000" s="2"/>
      <c r="L2000" s="49"/>
      <c r="M2000" s="49"/>
      <c r="N2000" s="49"/>
      <c r="O2000" s="49" t="str">
        <f t="shared" si="2"/>
        <v/>
      </c>
      <c r="P2000" s="49" t="str">
        <f t="shared" si="3"/>
        <v/>
      </c>
      <c r="Q2000" s="84"/>
      <c r="R2000" s="84"/>
      <c r="S2000" s="84"/>
      <c r="T2000" s="84"/>
      <c r="U2000" s="84"/>
      <c r="V2000" s="84"/>
      <c r="W2000" s="84"/>
      <c r="X2000" s="84"/>
      <c r="Y2000" s="84"/>
      <c r="Z2000" s="84"/>
      <c r="AA2000" s="84"/>
      <c r="AB2000" s="84"/>
    </row>
    <row r="2001">
      <c r="A2001" s="69">
        <v>133.0</v>
      </c>
      <c r="B2001" s="69">
        <v>203.0</v>
      </c>
      <c r="C2001" s="86" t="s">
        <v>447</v>
      </c>
      <c r="D2001" s="86" t="s">
        <v>448</v>
      </c>
      <c r="E2001" s="86" t="s">
        <v>449</v>
      </c>
      <c r="F2001" s="69">
        <v>7000.0</v>
      </c>
      <c r="G2001" s="69">
        <v>30.75</v>
      </c>
      <c r="H2001" s="68">
        <f t="shared" si="1"/>
        <v>300.54</v>
      </c>
      <c r="I2001" s="81">
        <f>IFERROR(__xludf.DUMMYFUNCTION("IF(G2001="""", """", ROUND(G2001 / MAX(FILTER($G$2:$G5067, $D$2:$D5067=$D2001)) * 100, 2))"),76.53)</f>
        <v>76.53</v>
      </c>
      <c r="J2001" s="81">
        <f>IFERROR(__xludf.DUMMYFUNCTION("IF(H2001="""", """", ROUND(H2001 / MAX(FILTER($H$2:$H5067, $D$2:$D5067=$D2001)) * 100, 2))"),97.04)</f>
        <v>97.04</v>
      </c>
      <c r="K2001" s="2"/>
      <c r="L2001" s="48"/>
      <c r="M2001" s="48"/>
      <c r="N2001" s="48"/>
      <c r="O2001" s="48" t="str">
        <f t="shared" si="2"/>
        <v/>
      </c>
      <c r="P2001" s="48" t="str">
        <f t="shared" si="3"/>
        <v/>
      </c>
      <c r="Q2001" s="84"/>
      <c r="R2001" s="84"/>
      <c r="S2001" s="84"/>
      <c r="T2001" s="84"/>
      <c r="U2001" s="84"/>
      <c r="V2001" s="84"/>
      <c r="W2001" s="84"/>
      <c r="X2001" s="84"/>
      <c r="Y2001" s="84"/>
      <c r="Z2001" s="84"/>
      <c r="AA2001" s="84"/>
      <c r="AB2001" s="84"/>
    </row>
    <row r="2002">
      <c r="A2002" s="63">
        <v>133.0</v>
      </c>
      <c r="B2002" s="63">
        <v>203.0</v>
      </c>
      <c r="C2002" s="64" t="s">
        <v>447</v>
      </c>
      <c r="D2002" s="64" t="s">
        <v>448</v>
      </c>
      <c r="E2002" s="64" t="s">
        <v>449</v>
      </c>
      <c r="F2002" s="63">
        <v>7500.0</v>
      </c>
      <c r="G2002" s="63">
        <v>26.88</v>
      </c>
      <c r="H2002" s="66">
        <f t="shared" si="1"/>
        <v>281.49</v>
      </c>
      <c r="I2002" s="81">
        <f>IFERROR(__xludf.DUMMYFUNCTION("IF(G2002="""", """", ROUND(G2002 / MAX(FILTER($G$2:$G5067, $D$2:$D5067=$D2002)) * 100, 2))"),66.9)</f>
        <v>66.9</v>
      </c>
      <c r="J2002" s="81">
        <f>IFERROR(__xludf.DUMMYFUNCTION("IF(H2002="""", """", ROUND(H2002 / MAX(FILTER($H$2:$H5067, $D$2:$D5067=$D2002)) * 100, 2))"),90.89)</f>
        <v>90.89</v>
      </c>
      <c r="K2002" s="2"/>
      <c r="L2002" s="49"/>
      <c r="M2002" s="49"/>
      <c r="N2002" s="49"/>
      <c r="O2002" s="49" t="str">
        <f t="shared" si="2"/>
        <v/>
      </c>
      <c r="P2002" s="49" t="str">
        <f t="shared" si="3"/>
        <v/>
      </c>
      <c r="Q2002" s="84"/>
      <c r="R2002" s="84"/>
      <c r="S2002" s="84"/>
      <c r="T2002" s="84"/>
      <c r="U2002" s="84"/>
      <c r="V2002" s="84"/>
      <c r="W2002" s="84"/>
      <c r="X2002" s="84"/>
      <c r="Y2002" s="84"/>
      <c r="Z2002" s="84"/>
      <c r="AA2002" s="84"/>
      <c r="AB2002" s="84"/>
    </row>
    <row r="2003">
      <c r="A2003" s="69">
        <v>133.0</v>
      </c>
      <c r="B2003" s="69">
        <v>203.0</v>
      </c>
      <c r="C2003" s="86" t="s">
        <v>447</v>
      </c>
      <c r="D2003" s="86" t="s">
        <v>448</v>
      </c>
      <c r="E2003" s="86" t="s">
        <v>449</v>
      </c>
      <c r="F2003" s="69">
        <v>8000.0</v>
      </c>
      <c r="G2003" s="69">
        <v>21.38</v>
      </c>
      <c r="H2003" s="68">
        <f t="shared" si="1"/>
        <v>238.82</v>
      </c>
      <c r="I2003" s="81">
        <f>IFERROR(__xludf.DUMMYFUNCTION("IF(G2003="""", """", ROUND(G2003 / MAX(FILTER($G$2:$G5067, $D$2:$D5067=$D2003)) * 100, 2))"),53.21)</f>
        <v>53.21</v>
      </c>
      <c r="J2003" s="81">
        <f>IFERROR(__xludf.DUMMYFUNCTION("IF(H2003="""", """", ROUND(H2003 / MAX(FILTER($H$2:$H5067, $D$2:$D5067=$D2003)) * 100, 2))"),77.11)</f>
        <v>77.11</v>
      </c>
      <c r="K2003" s="2"/>
      <c r="L2003" s="48"/>
      <c r="M2003" s="48"/>
      <c r="N2003" s="48"/>
      <c r="O2003" s="48" t="str">
        <f t="shared" si="2"/>
        <v/>
      </c>
      <c r="P2003" s="48" t="str">
        <f t="shared" si="3"/>
        <v/>
      </c>
      <c r="Q2003" s="84"/>
      <c r="R2003" s="84"/>
      <c r="S2003" s="84"/>
      <c r="T2003" s="84"/>
      <c r="U2003" s="84"/>
      <c r="V2003" s="84"/>
      <c r="W2003" s="84"/>
      <c r="X2003" s="84"/>
      <c r="Y2003" s="84"/>
      <c r="Z2003" s="84"/>
      <c r="AA2003" s="84"/>
      <c r="AB2003" s="84"/>
    </row>
    <row r="2004">
      <c r="A2004" s="63">
        <v>133.0</v>
      </c>
      <c r="B2004" s="63">
        <v>203.0</v>
      </c>
      <c r="C2004" s="64" t="s">
        <v>447</v>
      </c>
      <c r="D2004" s="64" t="s">
        <v>448</v>
      </c>
      <c r="E2004" s="64" t="s">
        <v>449</v>
      </c>
      <c r="F2004" s="63">
        <v>8500.0</v>
      </c>
      <c r="G2004" s="63">
        <v>11.88</v>
      </c>
      <c r="H2004" s="66">
        <f t="shared" si="1"/>
        <v>140.99</v>
      </c>
      <c r="I2004" s="81">
        <f>IFERROR(__xludf.DUMMYFUNCTION("IF(G2004="""", """", ROUND(G2004 / MAX(FILTER($G$2:$G5067, $D$2:$D5067=$D2004)) * 100, 2))"),29.57)</f>
        <v>29.57</v>
      </c>
      <c r="J2004" s="81">
        <f>IFERROR(__xludf.DUMMYFUNCTION("IF(H2004="""", """", ROUND(H2004 / MAX(FILTER($H$2:$H5067, $D$2:$D5067=$D2004)) * 100, 2))"),45.52)</f>
        <v>45.52</v>
      </c>
      <c r="K2004" s="2"/>
      <c r="L2004" s="49"/>
      <c r="M2004" s="49"/>
      <c r="N2004" s="49"/>
      <c r="O2004" s="49" t="str">
        <f t="shared" si="2"/>
        <v/>
      </c>
      <c r="P2004" s="49" t="str">
        <f t="shared" si="3"/>
        <v/>
      </c>
      <c r="Q2004" s="84"/>
      <c r="R2004" s="84"/>
      <c r="S2004" s="84"/>
      <c r="T2004" s="84"/>
      <c r="U2004" s="84"/>
      <c r="V2004" s="84"/>
      <c r="W2004" s="84"/>
      <c r="X2004" s="84"/>
      <c r="Y2004" s="84"/>
      <c r="Z2004" s="84"/>
      <c r="AA2004" s="84"/>
      <c r="AB2004" s="84"/>
    </row>
    <row r="2005">
      <c r="A2005" s="69">
        <v>134.0</v>
      </c>
      <c r="B2005" s="69">
        <v>206.0</v>
      </c>
      <c r="C2005" s="86" t="s">
        <v>450</v>
      </c>
      <c r="D2005" s="86" t="s">
        <v>451</v>
      </c>
      <c r="E2005" s="86" t="s">
        <v>452</v>
      </c>
      <c r="F2005" s="69">
        <v>500.0</v>
      </c>
      <c r="G2005" s="69">
        <v>19.8</v>
      </c>
      <c r="H2005" s="68">
        <f t="shared" si="1"/>
        <v>13.82</v>
      </c>
      <c r="I2005" s="81">
        <f>IFERROR(__xludf.DUMMYFUNCTION("IF(G2005="""", """", ROUND(G2005 / MAX(FILTER($G$2:$G5067, $D$2:$D5067=$D2005)) * 100, 2))"),54.4)</f>
        <v>54.4</v>
      </c>
      <c r="J2005" s="81">
        <f>IFERROR(__xludf.DUMMYFUNCTION("IF(H2005="""", """", ROUND(H2005 / MAX(FILTER($H$2:$H5067, $D$2:$D5067=$D2005)) * 100, 2))"),5.33)</f>
        <v>5.33</v>
      </c>
      <c r="K2005" s="2"/>
      <c r="L2005" s="48"/>
      <c r="M2005" s="48"/>
      <c r="N2005" s="48"/>
      <c r="O2005" s="48" t="str">
        <f t="shared" si="2"/>
        <v/>
      </c>
      <c r="P2005" s="48" t="str">
        <f t="shared" si="3"/>
        <v/>
      </c>
      <c r="Q2005" s="84"/>
      <c r="R2005" s="84"/>
      <c r="S2005" s="84"/>
      <c r="T2005" s="84"/>
      <c r="U2005" s="84"/>
      <c r="V2005" s="84"/>
      <c r="W2005" s="84"/>
      <c r="X2005" s="84"/>
      <c r="Y2005" s="84"/>
      <c r="Z2005" s="84"/>
      <c r="AA2005" s="84"/>
      <c r="AB2005" s="84"/>
    </row>
    <row r="2006">
      <c r="A2006" s="63">
        <v>134.0</v>
      </c>
      <c r="B2006" s="63">
        <v>206.0</v>
      </c>
      <c r="C2006" s="64" t="s">
        <v>450</v>
      </c>
      <c r="D2006" s="64" t="s">
        <v>451</v>
      </c>
      <c r="E2006" s="64" t="s">
        <v>452</v>
      </c>
      <c r="F2006" s="63">
        <v>1000.0</v>
      </c>
      <c r="G2006" s="63">
        <v>21.0</v>
      </c>
      <c r="H2006" s="66">
        <f t="shared" si="1"/>
        <v>29.32</v>
      </c>
      <c r="I2006" s="81">
        <f>IFERROR(__xludf.DUMMYFUNCTION("IF(G2006="""", """", ROUND(G2006 / MAX(FILTER($G$2:$G5067, $D$2:$D5067=$D2006)) * 100, 2))"),57.69)</f>
        <v>57.69</v>
      </c>
      <c r="J2006" s="81">
        <f>IFERROR(__xludf.DUMMYFUNCTION("IF(H2006="""", """", ROUND(H2006 / MAX(FILTER($H$2:$H5067, $D$2:$D5067=$D2006)) * 100, 2))"),11.31)</f>
        <v>11.31</v>
      </c>
      <c r="K2006" s="2"/>
      <c r="L2006" s="49"/>
      <c r="M2006" s="49"/>
      <c r="N2006" s="49"/>
      <c r="O2006" s="49" t="str">
        <f t="shared" si="2"/>
        <v/>
      </c>
      <c r="P2006" s="49" t="str">
        <f t="shared" si="3"/>
        <v/>
      </c>
      <c r="Q2006" s="84"/>
      <c r="R2006" s="84"/>
      <c r="S2006" s="84"/>
      <c r="T2006" s="84"/>
      <c r="U2006" s="84"/>
      <c r="V2006" s="84"/>
      <c r="W2006" s="84"/>
      <c r="X2006" s="84"/>
      <c r="Y2006" s="84"/>
      <c r="Z2006" s="84"/>
      <c r="AA2006" s="84"/>
      <c r="AB2006" s="84"/>
    </row>
    <row r="2007">
      <c r="A2007" s="69">
        <v>134.0</v>
      </c>
      <c r="B2007" s="69">
        <v>206.0</v>
      </c>
      <c r="C2007" s="86" t="s">
        <v>450</v>
      </c>
      <c r="D2007" s="86" t="s">
        <v>451</v>
      </c>
      <c r="E2007" s="86" t="s">
        <v>452</v>
      </c>
      <c r="F2007" s="69">
        <v>1500.0</v>
      </c>
      <c r="G2007" s="69">
        <v>22.6</v>
      </c>
      <c r="H2007" s="68">
        <f t="shared" si="1"/>
        <v>47.33</v>
      </c>
      <c r="I2007" s="81">
        <f>IFERROR(__xludf.DUMMYFUNCTION("IF(G2007="""", """", ROUND(G2007 / MAX(FILTER($G$2:$G5067, $D$2:$D5067=$D2007)) * 100, 2))"),62.09)</f>
        <v>62.09</v>
      </c>
      <c r="J2007" s="81">
        <f>IFERROR(__xludf.DUMMYFUNCTION("IF(H2007="""", """", ROUND(H2007 / MAX(FILTER($H$2:$H5067, $D$2:$D5067=$D2007)) * 100, 2))"),18.25)</f>
        <v>18.25</v>
      </c>
      <c r="K2007" s="2"/>
      <c r="L2007" s="48"/>
      <c r="M2007" s="48"/>
      <c r="N2007" s="48"/>
      <c r="O2007" s="48" t="str">
        <f t="shared" si="2"/>
        <v/>
      </c>
      <c r="P2007" s="48" t="str">
        <f t="shared" si="3"/>
        <v/>
      </c>
      <c r="Q2007" s="84"/>
      <c r="R2007" s="84"/>
      <c r="S2007" s="84"/>
      <c r="T2007" s="84"/>
      <c r="U2007" s="84"/>
      <c r="V2007" s="84"/>
      <c r="W2007" s="84"/>
      <c r="X2007" s="84"/>
      <c r="Y2007" s="84"/>
      <c r="Z2007" s="84"/>
      <c r="AA2007" s="84"/>
      <c r="AB2007" s="84"/>
    </row>
    <row r="2008">
      <c r="A2008" s="63">
        <v>134.0</v>
      </c>
      <c r="B2008" s="63">
        <v>206.0</v>
      </c>
      <c r="C2008" s="64" t="s">
        <v>450</v>
      </c>
      <c r="D2008" s="64" t="s">
        <v>451</v>
      </c>
      <c r="E2008" s="64" t="s">
        <v>452</v>
      </c>
      <c r="F2008" s="63">
        <v>2000.0</v>
      </c>
      <c r="G2008" s="63">
        <v>25.5</v>
      </c>
      <c r="H2008" s="66">
        <f t="shared" si="1"/>
        <v>71.21</v>
      </c>
      <c r="I2008" s="81">
        <f>IFERROR(__xludf.DUMMYFUNCTION("IF(G2008="""", """", ROUND(G2008 / MAX(FILTER($G$2:$G5067, $D$2:$D5067=$D2008)) * 100, 2))"),70.05)</f>
        <v>70.05</v>
      </c>
      <c r="J2008" s="81">
        <f>IFERROR(__xludf.DUMMYFUNCTION("IF(H2008="""", """", ROUND(H2008 / MAX(FILTER($H$2:$H5067, $D$2:$D5067=$D2008)) * 100, 2))"),27.46)</f>
        <v>27.46</v>
      </c>
      <c r="K2008" s="2"/>
      <c r="L2008" s="49"/>
      <c r="M2008" s="49"/>
      <c r="N2008" s="49"/>
      <c r="O2008" s="49" t="str">
        <f t="shared" si="2"/>
        <v/>
      </c>
      <c r="P2008" s="49" t="str">
        <f t="shared" si="3"/>
        <v/>
      </c>
      <c r="Q2008" s="84"/>
      <c r="R2008" s="84"/>
      <c r="S2008" s="84"/>
      <c r="T2008" s="84"/>
      <c r="U2008" s="84"/>
      <c r="V2008" s="84"/>
      <c r="W2008" s="84"/>
      <c r="X2008" s="84"/>
      <c r="Y2008" s="84"/>
      <c r="Z2008" s="84"/>
      <c r="AA2008" s="84"/>
      <c r="AB2008" s="84"/>
    </row>
    <row r="2009">
      <c r="A2009" s="69">
        <v>134.0</v>
      </c>
      <c r="B2009" s="69">
        <v>206.0</v>
      </c>
      <c r="C2009" s="86" t="s">
        <v>450</v>
      </c>
      <c r="D2009" s="86" t="s">
        <v>451</v>
      </c>
      <c r="E2009" s="86" t="s">
        <v>452</v>
      </c>
      <c r="F2009" s="69">
        <v>2500.0</v>
      </c>
      <c r="G2009" s="69">
        <v>28.7</v>
      </c>
      <c r="H2009" s="68">
        <f t="shared" si="1"/>
        <v>100.18</v>
      </c>
      <c r="I2009" s="81">
        <f>IFERROR(__xludf.DUMMYFUNCTION("IF(G2009="""", """", ROUND(G2009 / MAX(FILTER($G$2:$G5067, $D$2:$D5067=$D2009)) * 100, 2))"),78.85)</f>
        <v>78.85</v>
      </c>
      <c r="J2009" s="81">
        <f>IFERROR(__xludf.DUMMYFUNCTION("IF(H2009="""", """", ROUND(H2009 / MAX(FILTER($H$2:$H5067, $D$2:$D5067=$D2009)) * 100, 2))"),38.63)</f>
        <v>38.63</v>
      </c>
      <c r="K2009" s="2"/>
      <c r="L2009" s="48"/>
      <c r="M2009" s="48"/>
      <c r="N2009" s="48"/>
      <c r="O2009" s="48" t="str">
        <f t="shared" si="2"/>
        <v/>
      </c>
      <c r="P2009" s="48" t="str">
        <f t="shared" si="3"/>
        <v/>
      </c>
      <c r="Q2009" s="84"/>
      <c r="R2009" s="84"/>
      <c r="S2009" s="84"/>
      <c r="T2009" s="84"/>
      <c r="U2009" s="84"/>
      <c r="V2009" s="84"/>
      <c r="W2009" s="84"/>
      <c r="X2009" s="84"/>
      <c r="Y2009" s="84"/>
      <c r="Z2009" s="84"/>
      <c r="AA2009" s="84"/>
      <c r="AB2009" s="84"/>
    </row>
    <row r="2010">
      <c r="A2010" s="63">
        <v>134.0</v>
      </c>
      <c r="B2010" s="63">
        <v>206.0</v>
      </c>
      <c r="C2010" s="64" t="s">
        <v>450</v>
      </c>
      <c r="D2010" s="64" t="s">
        <v>451</v>
      </c>
      <c r="E2010" s="64" t="s">
        <v>452</v>
      </c>
      <c r="F2010" s="63">
        <v>3000.0</v>
      </c>
      <c r="G2010" s="63">
        <v>31.4</v>
      </c>
      <c r="H2010" s="66">
        <f t="shared" si="1"/>
        <v>131.53</v>
      </c>
      <c r="I2010" s="81">
        <f>IFERROR(__xludf.DUMMYFUNCTION("IF(G2010="""", """", ROUND(G2010 / MAX(FILTER($G$2:$G5067, $D$2:$D5067=$D2010)) * 100, 2))"),86.26)</f>
        <v>86.26</v>
      </c>
      <c r="J2010" s="81">
        <f>IFERROR(__xludf.DUMMYFUNCTION("IF(H2010="""", """", ROUND(H2010 / MAX(FILTER($H$2:$H5067, $D$2:$D5067=$D2010)) * 100, 2))"),50.72)</f>
        <v>50.72</v>
      </c>
      <c r="K2010" s="2"/>
      <c r="L2010" s="49"/>
      <c r="M2010" s="49"/>
      <c r="N2010" s="49"/>
      <c r="O2010" s="49" t="str">
        <f t="shared" si="2"/>
        <v/>
      </c>
      <c r="P2010" s="49" t="str">
        <f t="shared" si="3"/>
        <v/>
      </c>
      <c r="Q2010" s="84"/>
      <c r="R2010" s="84"/>
      <c r="S2010" s="84"/>
      <c r="T2010" s="84"/>
      <c r="U2010" s="84"/>
      <c r="V2010" s="84"/>
      <c r="W2010" s="84"/>
      <c r="X2010" s="84"/>
      <c r="Y2010" s="84"/>
      <c r="Z2010" s="84"/>
      <c r="AA2010" s="84"/>
      <c r="AB2010" s="84"/>
    </row>
    <row r="2011">
      <c r="A2011" s="69">
        <v>134.0</v>
      </c>
      <c r="B2011" s="69">
        <v>206.0</v>
      </c>
      <c r="C2011" s="86" t="s">
        <v>450</v>
      </c>
      <c r="D2011" s="86" t="s">
        <v>451</v>
      </c>
      <c r="E2011" s="86" t="s">
        <v>452</v>
      </c>
      <c r="F2011" s="69">
        <v>3500.0</v>
      </c>
      <c r="G2011" s="69">
        <v>33.7</v>
      </c>
      <c r="H2011" s="68">
        <f t="shared" si="1"/>
        <v>164.69</v>
      </c>
      <c r="I2011" s="81">
        <f>IFERROR(__xludf.DUMMYFUNCTION("IF(G2011="""", """", ROUND(G2011 / MAX(FILTER($G$2:$G5067, $D$2:$D5067=$D2011)) * 100, 2))"),92.58)</f>
        <v>92.58</v>
      </c>
      <c r="J2011" s="81">
        <f>IFERROR(__xludf.DUMMYFUNCTION("IF(H2011="""", """", ROUND(H2011 / MAX(FILTER($H$2:$H5067, $D$2:$D5067=$D2011)) * 100, 2))"),63.51)</f>
        <v>63.51</v>
      </c>
      <c r="K2011" s="2"/>
      <c r="L2011" s="48"/>
      <c r="M2011" s="48"/>
      <c r="N2011" s="48"/>
      <c r="O2011" s="48" t="str">
        <f t="shared" si="2"/>
        <v/>
      </c>
      <c r="P2011" s="48" t="str">
        <f t="shared" si="3"/>
        <v/>
      </c>
      <c r="Q2011" s="84"/>
      <c r="R2011" s="84"/>
      <c r="S2011" s="84"/>
      <c r="T2011" s="84"/>
      <c r="U2011" s="84"/>
      <c r="V2011" s="84"/>
      <c r="W2011" s="84"/>
      <c r="X2011" s="84"/>
      <c r="Y2011" s="84"/>
      <c r="Z2011" s="84"/>
      <c r="AA2011" s="84"/>
      <c r="AB2011" s="84"/>
    </row>
    <row r="2012">
      <c r="A2012" s="63">
        <v>134.0</v>
      </c>
      <c r="B2012" s="63">
        <v>206.0</v>
      </c>
      <c r="C2012" s="64" t="s">
        <v>450</v>
      </c>
      <c r="D2012" s="64" t="s">
        <v>451</v>
      </c>
      <c r="E2012" s="64" t="s">
        <v>452</v>
      </c>
      <c r="F2012" s="63">
        <v>4000.0</v>
      </c>
      <c r="G2012" s="63">
        <v>35.3</v>
      </c>
      <c r="H2012" s="66">
        <f t="shared" si="1"/>
        <v>197.15</v>
      </c>
      <c r="I2012" s="81">
        <f>IFERROR(__xludf.DUMMYFUNCTION("IF(G2012="""", """", ROUND(G2012 / MAX(FILTER($G$2:$G5067, $D$2:$D5067=$D2012)) * 100, 2))"),96.98)</f>
        <v>96.98</v>
      </c>
      <c r="J2012" s="81">
        <f>IFERROR(__xludf.DUMMYFUNCTION("IF(H2012="""", """", ROUND(H2012 / MAX(FILTER($H$2:$H5067, $D$2:$D5067=$D2012)) * 100, 2))"),76.03)</f>
        <v>76.03</v>
      </c>
      <c r="K2012" s="2"/>
      <c r="L2012" s="49"/>
      <c r="M2012" s="49"/>
      <c r="N2012" s="49"/>
      <c r="O2012" s="49" t="str">
        <f t="shared" si="2"/>
        <v/>
      </c>
      <c r="P2012" s="49" t="str">
        <f t="shared" si="3"/>
        <v/>
      </c>
      <c r="Q2012" s="84"/>
      <c r="R2012" s="84"/>
      <c r="S2012" s="84"/>
      <c r="T2012" s="84"/>
      <c r="U2012" s="84"/>
      <c r="V2012" s="84"/>
      <c r="W2012" s="84"/>
      <c r="X2012" s="84"/>
      <c r="Y2012" s="84"/>
      <c r="Z2012" s="84"/>
      <c r="AA2012" s="84"/>
      <c r="AB2012" s="84"/>
    </row>
    <row r="2013">
      <c r="A2013" s="69">
        <v>134.0</v>
      </c>
      <c r="B2013" s="69">
        <v>206.0</v>
      </c>
      <c r="C2013" s="86" t="s">
        <v>450</v>
      </c>
      <c r="D2013" s="86" t="s">
        <v>451</v>
      </c>
      <c r="E2013" s="86" t="s">
        <v>452</v>
      </c>
      <c r="F2013" s="69">
        <v>4500.0</v>
      </c>
      <c r="G2013" s="69">
        <v>36.4</v>
      </c>
      <c r="H2013" s="68">
        <f t="shared" si="1"/>
        <v>228.71</v>
      </c>
      <c r="I2013" s="81">
        <f>IFERROR(__xludf.DUMMYFUNCTION("IF(G2013="""", """", ROUND(G2013 / MAX(FILTER($G$2:$G5067, $D$2:$D5067=$D2013)) * 100, 2))"),100.0)</f>
        <v>100</v>
      </c>
      <c r="J2013" s="81">
        <f>IFERROR(__xludf.DUMMYFUNCTION("IF(H2013="""", """", ROUND(H2013 / MAX(FILTER($H$2:$H5067, $D$2:$D5067=$D2013)) * 100, 2))"),88.2)</f>
        <v>88.2</v>
      </c>
      <c r="K2013" s="2"/>
      <c r="L2013" s="48"/>
      <c r="M2013" s="48"/>
      <c r="N2013" s="48"/>
      <c r="O2013" s="48" t="str">
        <f t="shared" si="2"/>
        <v/>
      </c>
      <c r="P2013" s="48" t="str">
        <f t="shared" si="3"/>
        <v/>
      </c>
      <c r="Q2013" s="84"/>
      <c r="R2013" s="84"/>
      <c r="S2013" s="84"/>
      <c r="T2013" s="84"/>
      <c r="U2013" s="84"/>
      <c r="V2013" s="84"/>
      <c r="W2013" s="84"/>
      <c r="X2013" s="84"/>
      <c r="Y2013" s="84"/>
      <c r="Z2013" s="84"/>
      <c r="AA2013" s="84"/>
      <c r="AB2013" s="84"/>
    </row>
    <row r="2014">
      <c r="A2014" s="63">
        <v>134.0</v>
      </c>
      <c r="B2014" s="63">
        <v>206.0</v>
      </c>
      <c r="C2014" s="64" t="s">
        <v>450</v>
      </c>
      <c r="D2014" s="64" t="s">
        <v>451</v>
      </c>
      <c r="E2014" s="64" t="s">
        <v>452</v>
      </c>
      <c r="F2014" s="63">
        <v>5000.0</v>
      </c>
      <c r="G2014" s="63">
        <v>36.0</v>
      </c>
      <c r="H2014" s="66">
        <f t="shared" si="1"/>
        <v>251.33</v>
      </c>
      <c r="I2014" s="81">
        <f>IFERROR(__xludf.DUMMYFUNCTION("IF(G2014="""", """", ROUND(G2014 / MAX(FILTER($G$2:$G5067, $D$2:$D5067=$D2014)) * 100, 2))"),98.9)</f>
        <v>98.9</v>
      </c>
      <c r="J2014" s="81">
        <f>IFERROR(__xludf.DUMMYFUNCTION("IF(H2014="""", """", ROUND(H2014 / MAX(FILTER($H$2:$H5067, $D$2:$D5067=$D2014)) * 100, 2))"),96.92)</f>
        <v>96.92</v>
      </c>
      <c r="K2014" s="2"/>
      <c r="L2014" s="49"/>
      <c r="M2014" s="49"/>
      <c r="N2014" s="49"/>
      <c r="O2014" s="49" t="str">
        <f t="shared" si="2"/>
        <v/>
      </c>
      <c r="P2014" s="49" t="str">
        <f t="shared" si="3"/>
        <v/>
      </c>
      <c r="Q2014" s="84"/>
      <c r="R2014" s="84"/>
      <c r="S2014" s="84"/>
      <c r="T2014" s="84"/>
      <c r="U2014" s="84"/>
      <c r="V2014" s="84"/>
      <c r="W2014" s="84"/>
      <c r="X2014" s="84"/>
      <c r="Y2014" s="84"/>
      <c r="Z2014" s="84"/>
      <c r="AA2014" s="84"/>
      <c r="AB2014" s="84"/>
    </row>
    <row r="2015">
      <c r="A2015" s="69">
        <v>134.0</v>
      </c>
      <c r="B2015" s="69">
        <v>206.0</v>
      </c>
      <c r="C2015" s="86" t="s">
        <v>450</v>
      </c>
      <c r="D2015" s="86" t="s">
        <v>451</v>
      </c>
      <c r="E2015" s="86" t="s">
        <v>452</v>
      </c>
      <c r="F2015" s="69">
        <v>5750.0</v>
      </c>
      <c r="G2015" s="69">
        <v>32.3</v>
      </c>
      <c r="H2015" s="68">
        <f t="shared" si="1"/>
        <v>259.32</v>
      </c>
      <c r="I2015" s="81">
        <f>IFERROR(__xludf.DUMMYFUNCTION("IF(G2015="""", """", ROUND(G2015 / MAX(FILTER($G$2:$G5067, $D$2:$D5067=$D2015)) * 100, 2))"),88.74)</f>
        <v>88.74</v>
      </c>
      <c r="J2015" s="81">
        <f>IFERROR(__xludf.DUMMYFUNCTION("IF(H2015="""", """", ROUND(H2015 / MAX(FILTER($H$2:$H5067, $D$2:$D5067=$D2015)) * 100, 2))"),100.0)</f>
        <v>100</v>
      </c>
      <c r="K2015" s="2"/>
      <c r="L2015" s="48"/>
      <c r="M2015" s="48"/>
      <c r="N2015" s="48"/>
      <c r="O2015" s="48" t="str">
        <f t="shared" si="2"/>
        <v/>
      </c>
      <c r="P2015" s="48" t="str">
        <f t="shared" si="3"/>
        <v/>
      </c>
      <c r="Q2015" s="84"/>
      <c r="R2015" s="84"/>
      <c r="S2015" s="84"/>
      <c r="T2015" s="84"/>
      <c r="U2015" s="84"/>
      <c r="V2015" s="84"/>
      <c r="W2015" s="84"/>
      <c r="X2015" s="84"/>
      <c r="Y2015" s="84"/>
      <c r="Z2015" s="84"/>
      <c r="AA2015" s="84"/>
      <c r="AB2015" s="84"/>
    </row>
    <row r="2016">
      <c r="A2016" s="63">
        <v>134.0</v>
      </c>
      <c r="B2016" s="63">
        <v>206.0</v>
      </c>
      <c r="C2016" s="64" t="s">
        <v>450</v>
      </c>
      <c r="D2016" s="64" t="s">
        <v>451</v>
      </c>
      <c r="E2016" s="64" t="s">
        <v>452</v>
      </c>
      <c r="F2016" s="63">
        <v>6000.0</v>
      </c>
      <c r="G2016" s="63">
        <v>30.0</v>
      </c>
      <c r="H2016" s="66">
        <f t="shared" si="1"/>
        <v>251.33</v>
      </c>
      <c r="I2016" s="81">
        <f>IFERROR(__xludf.DUMMYFUNCTION("IF(G2016="""", """", ROUND(G2016 / MAX(FILTER($G$2:$G5067, $D$2:$D5067=$D2016)) * 100, 2))"),82.42)</f>
        <v>82.42</v>
      </c>
      <c r="J2016" s="81">
        <f>IFERROR(__xludf.DUMMYFUNCTION("IF(H2016="""", """", ROUND(H2016 / MAX(FILTER($H$2:$H5067, $D$2:$D5067=$D2016)) * 100, 2))"),96.92)</f>
        <v>96.92</v>
      </c>
      <c r="K2016" s="2"/>
      <c r="L2016" s="49"/>
      <c r="M2016" s="49"/>
      <c r="N2016" s="49"/>
      <c r="O2016" s="49" t="str">
        <f t="shared" si="2"/>
        <v/>
      </c>
      <c r="P2016" s="49" t="str">
        <f t="shared" si="3"/>
        <v/>
      </c>
      <c r="Q2016" s="84"/>
      <c r="R2016" s="84"/>
      <c r="S2016" s="84"/>
      <c r="T2016" s="84"/>
      <c r="U2016" s="84"/>
      <c r="V2016" s="84"/>
      <c r="W2016" s="84"/>
      <c r="X2016" s="84"/>
      <c r="Y2016" s="84"/>
      <c r="Z2016" s="84"/>
      <c r="AA2016" s="84"/>
      <c r="AB2016" s="84"/>
    </row>
    <row r="2017">
      <c r="A2017" s="69">
        <v>134.0</v>
      </c>
      <c r="B2017" s="69">
        <v>206.0</v>
      </c>
      <c r="C2017" s="86" t="s">
        <v>450</v>
      </c>
      <c r="D2017" s="86" t="s">
        <v>451</v>
      </c>
      <c r="E2017" s="86" t="s">
        <v>452</v>
      </c>
      <c r="F2017" s="69">
        <v>6500.0</v>
      </c>
      <c r="G2017" s="69">
        <v>25.6</v>
      </c>
      <c r="H2017" s="68">
        <f t="shared" si="1"/>
        <v>232.34</v>
      </c>
      <c r="I2017" s="81">
        <f>IFERROR(__xludf.DUMMYFUNCTION("IF(G2017="""", """", ROUND(G2017 / MAX(FILTER($G$2:$G5067, $D$2:$D5067=$D2017)) * 100, 2))"),70.33)</f>
        <v>70.33</v>
      </c>
      <c r="J2017" s="81">
        <f>IFERROR(__xludf.DUMMYFUNCTION("IF(H2017="""", """", ROUND(H2017 / MAX(FILTER($H$2:$H5067, $D$2:$D5067=$D2017)) * 100, 2))"),89.6)</f>
        <v>89.6</v>
      </c>
      <c r="K2017" s="2"/>
      <c r="L2017" s="48"/>
      <c r="M2017" s="48"/>
      <c r="N2017" s="48"/>
      <c r="O2017" s="48" t="str">
        <f t="shared" si="2"/>
        <v/>
      </c>
      <c r="P2017" s="48" t="str">
        <f t="shared" si="3"/>
        <v/>
      </c>
      <c r="Q2017" s="84"/>
      <c r="R2017" s="84"/>
      <c r="S2017" s="84"/>
      <c r="T2017" s="84"/>
      <c r="U2017" s="84"/>
      <c r="V2017" s="84"/>
      <c r="W2017" s="84"/>
      <c r="X2017" s="84"/>
      <c r="Y2017" s="84"/>
      <c r="Z2017" s="84"/>
      <c r="AA2017" s="84"/>
      <c r="AB2017" s="84"/>
    </row>
    <row r="2018">
      <c r="A2018" s="63">
        <v>135.0</v>
      </c>
      <c r="B2018" s="63">
        <v>208.0</v>
      </c>
      <c r="C2018" s="64" t="s">
        <v>453</v>
      </c>
      <c r="D2018" s="64" t="s">
        <v>454</v>
      </c>
      <c r="E2018" s="64" t="s">
        <v>455</v>
      </c>
      <c r="F2018" s="63">
        <v>500.0</v>
      </c>
      <c r="G2018" s="63">
        <v>15.38</v>
      </c>
      <c r="H2018" s="66">
        <f t="shared" si="1"/>
        <v>10.74</v>
      </c>
      <c r="I2018" s="81">
        <f>IFERROR(__xludf.DUMMYFUNCTION("IF(G2018="""", """", ROUND(G2018 / MAX(FILTER($G$2:$G5067, $D$2:$D5067=$D2018)) * 100, 2))"),72.89)</f>
        <v>72.89</v>
      </c>
      <c r="J2018" s="81">
        <f>IFERROR(__xludf.DUMMYFUNCTION("IF(H2018="""", """", ROUND(H2018 / MAX(FILTER($H$2:$H5067, $D$2:$D5067=$D2018)) * 100, 2))"),8.73)</f>
        <v>8.73</v>
      </c>
      <c r="K2018" s="2"/>
      <c r="L2018" s="49"/>
      <c r="M2018" s="49"/>
      <c r="N2018" s="49"/>
      <c r="O2018" s="49" t="str">
        <f t="shared" si="2"/>
        <v/>
      </c>
      <c r="P2018" s="49" t="str">
        <f t="shared" si="3"/>
        <v/>
      </c>
      <c r="Q2018" s="84"/>
      <c r="R2018" s="84"/>
      <c r="S2018" s="84"/>
      <c r="T2018" s="84"/>
      <c r="U2018" s="84"/>
      <c r="V2018" s="84"/>
      <c r="W2018" s="84"/>
      <c r="X2018" s="84"/>
      <c r="Y2018" s="84"/>
      <c r="Z2018" s="84"/>
      <c r="AA2018" s="84"/>
      <c r="AB2018" s="84"/>
    </row>
    <row r="2019">
      <c r="A2019" s="69">
        <v>135.0</v>
      </c>
      <c r="B2019" s="69">
        <v>208.0</v>
      </c>
      <c r="C2019" s="86" t="s">
        <v>453</v>
      </c>
      <c r="D2019" s="86" t="s">
        <v>454</v>
      </c>
      <c r="E2019" s="86" t="s">
        <v>455</v>
      </c>
      <c r="F2019" s="69">
        <v>1000.0</v>
      </c>
      <c r="G2019" s="69">
        <v>17.63</v>
      </c>
      <c r="H2019" s="68">
        <f t="shared" si="1"/>
        <v>24.62</v>
      </c>
      <c r="I2019" s="81">
        <f>IFERROR(__xludf.DUMMYFUNCTION("IF(G2019="""", """", ROUND(G2019 / MAX(FILTER($G$2:$G5067, $D$2:$D5067=$D2019)) * 100, 2))"),83.55)</f>
        <v>83.55</v>
      </c>
      <c r="J2019" s="81">
        <f>IFERROR(__xludf.DUMMYFUNCTION("IF(H2019="""", """", ROUND(H2019 / MAX(FILTER($H$2:$H5067, $D$2:$D5067=$D2019)) * 100, 2))"),20.0)</f>
        <v>20</v>
      </c>
      <c r="K2019" s="2"/>
      <c r="L2019" s="48"/>
      <c r="M2019" s="48"/>
      <c r="N2019" s="48"/>
      <c r="O2019" s="48" t="str">
        <f t="shared" si="2"/>
        <v/>
      </c>
      <c r="P2019" s="48" t="str">
        <f t="shared" si="3"/>
        <v/>
      </c>
      <c r="Q2019" s="84"/>
      <c r="R2019" s="84"/>
      <c r="S2019" s="84"/>
      <c r="T2019" s="84"/>
      <c r="U2019" s="84"/>
      <c r="V2019" s="84"/>
      <c r="W2019" s="84"/>
      <c r="X2019" s="84"/>
      <c r="Y2019" s="84"/>
      <c r="Z2019" s="84"/>
      <c r="AA2019" s="84"/>
      <c r="AB2019" s="84"/>
    </row>
    <row r="2020">
      <c r="A2020" s="63">
        <v>135.0</v>
      </c>
      <c r="B2020" s="63">
        <v>208.0</v>
      </c>
      <c r="C2020" s="64" t="s">
        <v>453</v>
      </c>
      <c r="D2020" s="64" t="s">
        <v>454</v>
      </c>
      <c r="E2020" s="64" t="s">
        <v>455</v>
      </c>
      <c r="F2020" s="63">
        <v>1500.0</v>
      </c>
      <c r="G2020" s="63">
        <v>19.42</v>
      </c>
      <c r="H2020" s="66">
        <f t="shared" si="1"/>
        <v>40.67</v>
      </c>
      <c r="I2020" s="81">
        <f>IFERROR(__xludf.DUMMYFUNCTION("IF(G2020="""", """", ROUND(G2020 / MAX(FILTER($G$2:$G5067, $D$2:$D5067=$D2020)) * 100, 2))"),92.04)</f>
        <v>92.04</v>
      </c>
      <c r="J2020" s="81">
        <f>IFERROR(__xludf.DUMMYFUNCTION("IF(H2020="""", """", ROUND(H2020 / MAX(FILTER($H$2:$H5067, $D$2:$D5067=$D2020)) * 100, 2))"),33.04)</f>
        <v>33.04</v>
      </c>
      <c r="K2020" s="2"/>
      <c r="L2020" s="49"/>
      <c r="M2020" s="49"/>
      <c r="N2020" s="49"/>
      <c r="O2020" s="49" t="str">
        <f t="shared" si="2"/>
        <v/>
      </c>
      <c r="P2020" s="49" t="str">
        <f t="shared" si="3"/>
        <v/>
      </c>
      <c r="Q2020" s="84"/>
      <c r="R2020" s="84"/>
      <c r="S2020" s="84"/>
      <c r="T2020" s="84"/>
      <c r="U2020" s="84"/>
      <c r="V2020" s="84"/>
      <c r="W2020" s="84"/>
      <c r="X2020" s="84"/>
      <c r="Y2020" s="84"/>
      <c r="Z2020" s="84"/>
      <c r="AA2020" s="84"/>
      <c r="AB2020" s="84"/>
    </row>
    <row r="2021">
      <c r="A2021" s="69">
        <v>135.0</v>
      </c>
      <c r="B2021" s="69">
        <v>208.0</v>
      </c>
      <c r="C2021" s="86" t="s">
        <v>453</v>
      </c>
      <c r="D2021" s="86" t="s">
        <v>454</v>
      </c>
      <c r="E2021" s="86" t="s">
        <v>455</v>
      </c>
      <c r="F2021" s="69">
        <v>2000.0</v>
      </c>
      <c r="G2021" s="69">
        <v>20.7</v>
      </c>
      <c r="H2021" s="68">
        <f t="shared" si="1"/>
        <v>57.81</v>
      </c>
      <c r="I2021" s="81">
        <f>IFERROR(__xludf.DUMMYFUNCTION("IF(G2021="""", """", ROUND(G2021 / MAX(FILTER($G$2:$G5067, $D$2:$D5067=$D2021)) * 100, 2))"),98.1)</f>
        <v>98.1</v>
      </c>
      <c r="J2021" s="81">
        <f>IFERROR(__xludf.DUMMYFUNCTION("IF(H2021="""", """", ROUND(H2021 / MAX(FILTER($H$2:$H5067, $D$2:$D5067=$D2021)) * 100, 2))"),46.97)</f>
        <v>46.97</v>
      </c>
      <c r="K2021" s="2"/>
      <c r="L2021" s="48"/>
      <c r="M2021" s="48"/>
      <c r="N2021" s="48"/>
      <c r="O2021" s="48" t="str">
        <f t="shared" si="2"/>
        <v/>
      </c>
      <c r="P2021" s="48" t="str">
        <f t="shared" si="3"/>
        <v/>
      </c>
      <c r="Q2021" s="84"/>
      <c r="R2021" s="84"/>
      <c r="S2021" s="84"/>
      <c r="T2021" s="84"/>
      <c r="U2021" s="84"/>
      <c r="V2021" s="84"/>
      <c r="W2021" s="84"/>
      <c r="X2021" s="84"/>
      <c r="Y2021" s="84"/>
      <c r="Z2021" s="84"/>
      <c r="AA2021" s="84"/>
      <c r="AB2021" s="84"/>
    </row>
    <row r="2022">
      <c r="A2022" s="63">
        <v>135.0</v>
      </c>
      <c r="B2022" s="63">
        <v>208.0</v>
      </c>
      <c r="C2022" s="64" t="s">
        <v>453</v>
      </c>
      <c r="D2022" s="64" t="s">
        <v>454</v>
      </c>
      <c r="E2022" s="64" t="s">
        <v>455</v>
      </c>
      <c r="F2022" s="63">
        <v>2750.0</v>
      </c>
      <c r="G2022" s="63">
        <v>21.1</v>
      </c>
      <c r="H2022" s="66">
        <f t="shared" si="1"/>
        <v>81.02</v>
      </c>
      <c r="I2022" s="81">
        <f>IFERROR(__xludf.DUMMYFUNCTION("IF(G2022="""", """", ROUND(G2022 / MAX(FILTER($G$2:$G5067, $D$2:$D5067=$D2022)) * 100, 2))"),100.0)</f>
        <v>100</v>
      </c>
      <c r="J2022" s="81">
        <f>IFERROR(__xludf.DUMMYFUNCTION("IF(H2022="""", """", ROUND(H2022 / MAX(FILTER($H$2:$H5067, $D$2:$D5067=$D2022)) * 100, 2))"),65.83)</f>
        <v>65.83</v>
      </c>
      <c r="K2022" s="2"/>
      <c r="L2022" s="49"/>
      <c r="M2022" s="49"/>
      <c r="N2022" s="49"/>
      <c r="O2022" s="49" t="str">
        <f t="shared" si="2"/>
        <v/>
      </c>
      <c r="P2022" s="49" t="str">
        <f t="shared" si="3"/>
        <v/>
      </c>
      <c r="Q2022" s="84"/>
      <c r="R2022" s="84"/>
      <c r="S2022" s="84"/>
      <c r="T2022" s="84"/>
      <c r="U2022" s="84"/>
      <c r="V2022" s="84"/>
      <c r="W2022" s="84"/>
      <c r="X2022" s="84"/>
      <c r="Y2022" s="84"/>
      <c r="Z2022" s="84"/>
      <c r="AA2022" s="84"/>
      <c r="AB2022" s="84"/>
    </row>
    <row r="2023">
      <c r="A2023" s="69">
        <v>135.0</v>
      </c>
      <c r="B2023" s="69">
        <v>208.0</v>
      </c>
      <c r="C2023" s="86" t="s">
        <v>453</v>
      </c>
      <c r="D2023" s="86" t="s">
        <v>454</v>
      </c>
      <c r="E2023" s="86" t="s">
        <v>455</v>
      </c>
      <c r="F2023" s="69">
        <v>3000.0</v>
      </c>
      <c r="G2023" s="69">
        <v>21.08</v>
      </c>
      <c r="H2023" s="68">
        <f t="shared" si="1"/>
        <v>88.3</v>
      </c>
      <c r="I2023" s="81">
        <f>IFERROR(__xludf.DUMMYFUNCTION("IF(G2023="""", """", ROUND(G2023 / MAX(FILTER($G$2:$G5067, $D$2:$D5067=$D2023)) * 100, 2))"),99.91)</f>
        <v>99.91</v>
      </c>
      <c r="J2023" s="81">
        <f>IFERROR(__xludf.DUMMYFUNCTION("IF(H2023="""", """", ROUND(H2023 / MAX(FILTER($H$2:$H5067, $D$2:$D5067=$D2023)) * 100, 2))"),71.74)</f>
        <v>71.74</v>
      </c>
      <c r="K2023" s="2"/>
      <c r="L2023" s="48"/>
      <c r="M2023" s="48"/>
      <c r="N2023" s="48"/>
      <c r="O2023" s="48" t="str">
        <f t="shared" si="2"/>
        <v/>
      </c>
      <c r="P2023" s="48" t="str">
        <f t="shared" si="3"/>
        <v/>
      </c>
      <c r="Q2023" s="84"/>
      <c r="R2023" s="84"/>
      <c r="S2023" s="84"/>
      <c r="T2023" s="84"/>
      <c r="U2023" s="84"/>
      <c r="V2023" s="84"/>
      <c r="W2023" s="84"/>
      <c r="X2023" s="84"/>
      <c r="Y2023" s="84"/>
      <c r="Z2023" s="84"/>
      <c r="AA2023" s="84"/>
      <c r="AB2023" s="84"/>
    </row>
    <row r="2024">
      <c r="A2024" s="63">
        <v>135.0</v>
      </c>
      <c r="B2024" s="63">
        <v>208.0</v>
      </c>
      <c r="C2024" s="64" t="s">
        <v>453</v>
      </c>
      <c r="D2024" s="64" t="s">
        <v>454</v>
      </c>
      <c r="E2024" s="64" t="s">
        <v>455</v>
      </c>
      <c r="F2024" s="63">
        <v>3500.0</v>
      </c>
      <c r="G2024" s="63">
        <v>20.77</v>
      </c>
      <c r="H2024" s="66">
        <f t="shared" si="1"/>
        <v>101.5</v>
      </c>
      <c r="I2024" s="81">
        <f>IFERROR(__xludf.DUMMYFUNCTION("IF(G2024="""", """", ROUND(G2024 / MAX(FILTER($G$2:$G5067, $D$2:$D5067=$D2024)) * 100, 2))"),98.44)</f>
        <v>98.44</v>
      </c>
      <c r="J2024" s="81">
        <f>IFERROR(__xludf.DUMMYFUNCTION("IF(H2024="""", """", ROUND(H2024 / MAX(FILTER($H$2:$H5067, $D$2:$D5067=$D2024)) * 100, 2))"),82.47)</f>
        <v>82.47</v>
      </c>
      <c r="K2024" s="2"/>
      <c r="L2024" s="49"/>
      <c r="M2024" s="49"/>
      <c r="N2024" s="49"/>
      <c r="O2024" s="49" t="str">
        <f t="shared" si="2"/>
        <v/>
      </c>
      <c r="P2024" s="49" t="str">
        <f t="shared" si="3"/>
        <v/>
      </c>
      <c r="Q2024" s="84"/>
      <c r="R2024" s="84"/>
      <c r="S2024" s="84"/>
      <c r="T2024" s="84"/>
      <c r="U2024" s="84"/>
      <c r="V2024" s="84"/>
      <c r="W2024" s="84"/>
      <c r="X2024" s="84"/>
      <c r="Y2024" s="84"/>
      <c r="Z2024" s="84"/>
      <c r="AA2024" s="84"/>
      <c r="AB2024" s="84"/>
    </row>
    <row r="2025">
      <c r="A2025" s="69">
        <v>135.0</v>
      </c>
      <c r="B2025" s="69">
        <v>208.0</v>
      </c>
      <c r="C2025" s="86" t="s">
        <v>453</v>
      </c>
      <c r="D2025" s="86" t="s">
        <v>454</v>
      </c>
      <c r="E2025" s="86" t="s">
        <v>455</v>
      </c>
      <c r="F2025" s="69">
        <v>4000.0</v>
      </c>
      <c r="G2025" s="69">
        <v>20.48</v>
      </c>
      <c r="H2025" s="68">
        <f t="shared" si="1"/>
        <v>114.38</v>
      </c>
      <c r="I2025" s="81">
        <f>IFERROR(__xludf.DUMMYFUNCTION("IF(G2025="""", """", ROUND(G2025 / MAX(FILTER($G$2:$G5067, $D$2:$D5067=$D2025)) * 100, 2))"),97.06)</f>
        <v>97.06</v>
      </c>
      <c r="J2025" s="81">
        <f>IFERROR(__xludf.DUMMYFUNCTION("IF(H2025="""", """", ROUND(H2025 / MAX(FILTER($H$2:$H5067, $D$2:$D5067=$D2025)) * 100, 2))"),92.93)</f>
        <v>92.93</v>
      </c>
      <c r="K2025" s="2"/>
      <c r="L2025" s="48"/>
      <c r="M2025" s="48"/>
      <c r="N2025" s="48"/>
      <c r="O2025" s="48" t="str">
        <f t="shared" si="2"/>
        <v/>
      </c>
      <c r="P2025" s="48" t="str">
        <f t="shared" si="3"/>
        <v/>
      </c>
      <c r="Q2025" s="84"/>
      <c r="R2025" s="84"/>
      <c r="S2025" s="84"/>
      <c r="T2025" s="84"/>
      <c r="U2025" s="84"/>
      <c r="V2025" s="84"/>
      <c r="W2025" s="84"/>
      <c r="X2025" s="84"/>
      <c r="Y2025" s="84"/>
      <c r="Z2025" s="84"/>
      <c r="AA2025" s="84"/>
      <c r="AB2025" s="84"/>
    </row>
    <row r="2026">
      <c r="A2026" s="63">
        <v>135.0</v>
      </c>
      <c r="B2026" s="63">
        <v>208.0</v>
      </c>
      <c r="C2026" s="64" t="s">
        <v>453</v>
      </c>
      <c r="D2026" s="64" t="s">
        <v>454</v>
      </c>
      <c r="E2026" s="64" t="s">
        <v>455</v>
      </c>
      <c r="F2026" s="63">
        <v>4500.0</v>
      </c>
      <c r="G2026" s="63">
        <v>19.2</v>
      </c>
      <c r="H2026" s="66">
        <f t="shared" si="1"/>
        <v>120.64</v>
      </c>
      <c r="I2026" s="81">
        <f>IFERROR(__xludf.DUMMYFUNCTION("IF(G2026="""", """", ROUND(G2026 / MAX(FILTER($G$2:$G5067, $D$2:$D5067=$D2026)) * 100, 2))"),91.0)</f>
        <v>91</v>
      </c>
      <c r="J2026" s="81">
        <f>IFERROR(__xludf.DUMMYFUNCTION("IF(H2026="""", """", ROUND(H2026 / MAX(FILTER($H$2:$H5067, $D$2:$D5067=$D2026)) * 100, 2))"),98.02)</f>
        <v>98.02</v>
      </c>
      <c r="K2026" s="2"/>
      <c r="L2026" s="49"/>
      <c r="M2026" s="49"/>
      <c r="N2026" s="49"/>
      <c r="O2026" s="49" t="str">
        <f t="shared" si="2"/>
        <v/>
      </c>
      <c r="P2026" s="49" t="str">
        <f t="shared" si="3"/>
        <v/>
      </c>
      <c r="Q2026" s="84"/>
      <c r="R2026" s="84"/>
      <c r="S2026" s="84"/>
      <c r="T2026" s="84"/>
      <c r="U2026" s="84"/>
      <c r="V2026" s="84"/>
      <c r="W2026" s="84"/>
      <c r="X2026" s="84"/>
      <c r="Y2026" s="84"/>
      <c r="Z2026" s="84"/>
      <c r="AA2026" s="84"/>
      <c r="AB2026" s="84"/>
    </row>
    <row r="2027">
      <c r="A2027" s="69">
        <v>135.0</v>
      </c>
      <c r="B2027" s="69">
        <v>208.0</v>
      </c>
      <c r="C2027" s="86" t="s">
        <v>453</v>
      </c>
      <c r="D2027" s="86" t="s">
        <v>454</v>
      </c>
      <c r="E2027" s="86" t="s">
        <v>455</v>
      </c>
      <c r="F2027" s="69">
        <v>5000.0</v>
      </c>
      <c r="G2027" s="69">
        <v>17.63</v>
      </c>
      <c r="H2027" s="68">
        <f t="shared" si="1"/>
        <v>123.08</v>
      </c>
      <c r="I2027" s="81">
        <f>IFERROR(__xludf.DUMMYFUNCTION("IF(G2027="""", """", ROUND(G2027 / MAX(FILTER($G$2:$G5067, $D$2:$D5067=$D2027)) * 100, 2))"),83.55)</f>
        <v>83.55</v>
      </c>
      <c r="J2027" s="81">
        <f>IFERROR(__xludf.DUMMYFUNCTION("IF(H2027="""", """", ROUND(H2027 / MAX(FILTER($H$2:$H5067, $D$2:$D5067=$D2027)) * 100, 2))"),100.0)</f>
        <v>100</v>
      </c>
      <c r="K2027" s="2"/>
      <c r="L2027" s="48"/>
      <c r="M2027" s="48"/>
      <c r="N2027" s="48"/>
      <c r="O2027" s="48" t="str">
        <f t="shared" si="2"/>
        <v/>
      </c>
      <c r="P2027" s="48" t="str">
        <f t="shared" si="3"/>
        <v/>
      </c>
      <c r="Q2027" s="84"/>
      <c r="R2027" s="84"/>
      <c r="S2027" s="84"/>
      <c r="T2027" s="84"/>
      <c r="U2027" s="84"/>
      <c r="V2027" s="84"/>
      <c r="W2027" s="84"/>
      <c r="X2027" s="84"/>
      <c r="Y2027" s="84"/>
      <c r="Z2027" s="84"/>
      <c r="AA2027" s="84"/>
      <c r="AB2027" s="84"/>
    </row>
    <row r="2028">
      <c r="A2028" s="63">
        <v>135.0</v>
      </c>
      <c r="B2028" s="63">
        <v>208.0</v>
      </c>
      <c r="C2028" s="64" t="s">
        <v>453</v>
      </c>
      <c r="D2028" s="64" t="s">
        <v>454</v>
      </c>
      <c r="E2028" s="64" t="s">
        <v>455</v>
      </c>
      <c r="F2028" s="63">
        <v>5500.0</v>
      </c>
      <c r="G2028" s="63">
        <v>16.0</v>
      </c>
      <c r="H2028" s="66">
        <f t="shared" si="1"/>
        <v>122.87</v>
      </c>
      <c r="I2028" s="81">
        <f>IFERROR(__xludf.DUMMYFUNCTION("IF(G2028="""", """", ROUND(G2028 / MAX(FILTER($G$2:$G5067, $D$2:$D5067=$D2028)) * 100, 2))"),75.83)</f>
        <v>75.83</v>
      </c>
      <c r="J2028" s="81">
        <f>IFERROR(__xludf.DUMMYFUNCTION("IF(H2028="""", """", ROUND(H2028 / MAX(FILTER($H$2:$H5067, $D$2:$D5067=$D2028)) * 100, 2))"),99.83)</f>
        <v>99.83</v>
      </c>
      <c r="K2028" s="2"/>
      <c r="L2028" s="49"/>
      <c r="M2028" s="49"/>
      <c r="N2028" s="49"/>
      <c r="O2028" s="49" t="str">
        <f t="shared" si="2"/>
        <v/>
      </c>
      <c r="P2028" s="49" t="str">
        <f t="shared" si="3"/>
        <v/>
      </c>
      <c r="Q2028" s="84"/>
      <c r="R2028" s="84"/>
      <c r="S2028" s="84"/>
      <c r="T2028" s="84"/>
      <c r="U2028" s="84"/>
      <c r="V2028" s="84"/>
      <c r="W2028" s="84"/>
      <c r="X2028" s="84"/>
      <c r="Y2028" s="84"/>
      <c r="Z2028" s="84"/>
      <c r="AA2028" s="84"/>
      <c r="AB2028" s="84"/>
    </row>
    <row r="2029">
      <c r="A2029" s="69">
        <v>135.0</v>
      </c>
      <c r="B2029" s="69">
        <v>208.0</v>
      </c>
      <c r="C2029" s="86" t="s">
        <v>453</v>
      </c>
      <c r="D2029" s="86" t="s">
        <v>454</v>
      </c>
      <c r="E2029" s="86" t="s">
        <v>455</v>
      </c>
      <c r="F2029" s="69">
        <v>6000.0</v>
      </c>
      <c r="G2029" s="69">
        <v>14.25</v>
      </c>
      <c r="H2029" s="68">
        <f t="shared" si="1"/>
        <v>119.38</v>
      </c>
      <c r="I2029" s="81">
        <f>IFERROR(__xludf.DUMMYFUNCTION("IF(G2029="""", """", ROUND(G2029 / MAX(FILTER($G$2:$G5067, $D$2:$D5067=$D2029)) * 100, 2))"),67.54)</f>
        <v>67.54</v>
      </c>
      <c r="J2029" s="81">
        <f>IFERROR(__xludf.DUMMYFUNCTION("IF(H2029="""", """", ROUND(H2029 / MAX(FILTER($H$2:$H5067, $D$2:$D5067=$D2029)) * 100, 2))"),96.99)</f>
        <v>96.99</v>
      </c>
      <c r="K2029" s="2"/>
      <c r="L2029" s="48"/>
      <c r="M2029" s="48"/>
      <c r="N2029" s="48"/>
      <c r="O2029" s="48" t="str">
        <f t="shared" si="2"/>
        <v/>
      </c>
      <c r="P2029" s="48" t="str">
        <f t="shared" si="3"/>
        <v/>
      </c>
      <c r="Q2029" s="84"/>
      <c r="R2029" s="84"/>
      <c r="S2029" s="84"/>
      <c r="T2029" s="84"/>
      <c r="U2029" s="84"/>
      <c r="V2029" s="84"/>
      <c r="W2029" s="84"/>
      <c r="X2029" s="84"/>
      <c r="Y2029" s="84"/>
      <c r="Z2029" s="84"/>
      <c r="AA2029" s="84"/>
      <c r="AB2029" s="84"/>
    </row>
    <row r="2030">
      <c r="A2030" s="63">
        <v>135.0</v>
      </c>
      <c r="B2030" s="63">
        <v>208.0</v>
      </c>
      <c r="C2030" s="64" t="s">
        <v>453</v>
      </c>
      <c r="D2030" s="64" t="s">
        <v>454</v>
      </c>
      <c r="E2030" s="64" t="s">
        <v>455</v>
      </c>
      <c r="F2030" s="63">
        <v>6500.0</v>
      </c>
      <c r="G2030" s="63">
        <v>12.45</v>
      </c>
      <c r="H2030" s="66">
        <f t="shared" si="1"/>
        <v>112.99</v>
      </c>
      <c r="I2030" s="81">
        <f>IFERROR(__xludf.DUMMYFUNCTION("IF(G2030="""", """", ROUND(G2030 / MAX(FILTER($G$2:$G5067, $D$2:$D5067=$D2030)) * 100, 2))"),59.0)</f>
        <v>59</v>
      </c>
      <c r="J2030" s="81">
        <f>IFERROR(__xludf.DUMMYFUNCTION("IF(H2030="""", """", ROUND(H2030 / MAX(FILTER($H$2:$H5067, $D$2:$D5067=$D2030)) * 100, 2))"),91.8)</f>
        <v>91.8</v>
      </c>
      <c r="K2030" s="2"/>
      <c r="L2030" s="49"/>
      <c r="M2030" s="49"/>
      <c r="N2030" s="49"/>
      <c r="O2030" s="49" t="str">
        <f t="shared" si="2"/>
        <v/>
      </c>
      <c r="P2030" s="49" t="str">
        <f t="shared" si="3"/>
        <v/>
      </c>
      <c r="Q2030" s="84"/>
      <c r="R2030" s="84"/>
      <c r="S2030" s="84"/>
      <c r="T2030" s="84"/>
      <c r="U2030" s="84"/>
      <c r="V2030" s="84"/>
      <c r="W2030" s="84"/>
      <c r="X2030" s="84"/>
      <c r="Y2030" s="84"/>
      <c r="Z2030" s="84"/>
      <c r="AA2030" s="84"/>
      <c r="AB2030" s="84"/>
    </row>
    <row r="2031">
      <c r="A2031" s="69">
        <v>135.0</v>
      </c>
      <c r="B2031" s="69">
        <v>208.0</v>
      </c>
      <c r="C2031" s="86" t="s">
        <v>453</v>
      </c>
      <c r="D2031" s="86" t="s">
        <v>454</v>
      </c>
      <c r="E2031" s="86" t="s">
        <v>455</v>
      </c>
      <c r="F2031" s="69">
        <v>7000.0</v>
      </c>
      <c r="G2031" s="69">
        <v>10.65</v>
      </c>
      <c r="H2031" s="68">
        <f t="shared" si="1"/>
        <v>104.09</v>
      </c>
      <c r="I2031" s="81">
        <f>IFERROR(__xludf.DUMMYFUNCTION("IF(G2031="""", """", ROUND(G2031 / MAX(FILTER($G$2:$G5067, $D$2:$D5067=$D2031)) * 100, 2))"),50.47)</f>
        <v>50.47</v>
      </c>
      <c r="J2031" s="81">
        <f>IFERROR(__xludf.DUMMYFUNCTION("IF(H2031="""", """", ROUND(H2031 / MAX(FILTER($H$2:$H5067, $D$2:$D5067=$D2031)) * 100, 2))"),84.57)</f>
        <v>84.57</v>
      </c>
      <c r="K2031" s="2"/>
      <c r="L2031" s="48"/>
      <c r="M2031" s="48"/>
      <c r="N2031" s="48"/>
      <c r="O2031" s="48" t="str">
        <f t="shared" si="2"/>
        <v/>
      </c>
      <c r="P2031" s="48" t="str">
        <f t="shared" si="3"/>
        <v/>
      </c>
      <c r="Q2031" s="84"/>
      <c r="R2031" s="84"/>
      <c r="S2031" s="84"/>
      <c r="T2031" s="84"/>
      <c r="U2031" s="84"/>
      <c r="V2031" s="84"/>
      <c r="W2031" s="84"/>
      <c r="X2031" s="84"/>
      <c r="Y2031" s="84"/>
      <c r="Z2031" s="84"/>
      <c r="AA2031" s="84"/>
      <c r="AB2031" s="84"/>
    </row>
    <row r="2032">
      <c r="A2032" s="63">
        <v>136.0</v>
      </c>
      <c r="B2032" s="63">
        <v>209.0</v>
      </c>
      <c r="C2032" s="64" t="s">
        <v>456</v>
      </c>
      <c r="D2032" s="64" t="s">
        <v>457</v>
      </c>
      <c r="E2032" s="64" t="s">
        <v>458</v>
      </c>
      <c r="F2032" s="63">
        <v>500.0</v>
      </c>
      <c r="G2032" s="63">
        <v>11.85</v>
      </c>
      <c r="H2032" s="66">
        <f t="shared" si="1"/>
        <v>8.27</v>
      </c>
      <c r="I2032" s="81">
        <f>IFERROR(__xludf.DUMMYFUNCTION("IF(G2032="""", """", ROUND(G2032 / MAX(FILTER($G$2:$G5067, $D$2:$D5067=$D2032)) * 100, 2))"),61.08)</f>
        <v>61.08</v>
      </c>
      <c r="J2032" s="81">
        <f>IFERROR(__xludf.DUMMYFUNCTION("IF(H2032="""", """", ROUND(H2032 / MAX(FILTER($H$2:$H5067, $D$2:$D5067=$D2032)) * 100, 2))"),5.31)</f>
        <v>5.31</v>
      </c>
      <c r="K2032" s="2"/>
      <c r="L2032" s="49"/>
      <c r="M2032" s="49"/>
      <c r="N2032" s="49"/>
      <c r="O2032" s="49" t="str">
        <f t="shared" si="2"/>
        <v/>
      </c>
      <c r="P2032" s="49" t="str">
        <f t="shared" si="3"/>
        <v/>
      </c>
      <c r="Q2032" s="84"/>
      <c r="R2032" s="84"/>
      <c r="S2032" s="84"/>
      <c r="T2032" s="84"/>
      <c r="U2032" s="84"/>
      <c r="V2032" s="84"/>
      <c r="W2032" s="84"/>
      <c r="X2032" s="84"/>
      <c r="Y2032" s="84"/>
      <c r="Z2032" s="84"/>
      <c r="AA2032" s="84"/>
      <c r="AB2032" s="84"/>
    </row>
    <row r="2033">
      <c r="A2033" s="69">
        <v>136.0</v>
      </c>
      <c r="B2033" s="69">
        <v>209.0</v>
      </c>
      <c r="C2033" s="86" t="s">
        <v>456</v>
      </c>
      <c r="D2033" s="86" t="s">
        <v>457</v>
      </c>
      <c r="E2033" s="86" t="s">
        <v>458</v>
      </c>
      <c r="F2033" s="69">
        <v>1000.0</v>
      </c>
      <c r="G2033" s="69">
        <v>13.25</v>
      </c>
      <c r="H2033" s="68">
        <f t="shared" si="1"/>
        <v>18.5</v>
      </c>
      <c r="I2033" s="81">
        <f>IFERROR(__xludf.DUMMYFUNCTION("IF(G2033="""", """", ROUND(G2033 / MAX(FILTER($G$2:$G5067, $D$2:$D5067=$D2033)) * 100, 2))"),68.3)</f>
        <v>68.3</v>
      </c>
      <c r="J2033" s="81">
        <f>IFERROR(__xludf.DUMMYFUNCTION("IF(H2033="""", """", ROUND(H2033 / MAX(FILTER($H$2:$H5067, $D$2:$D5067=$D2033)) * 100, 2))"),11.87)</f>
        <v>11.87</v>
      </c>
      <c r="K2033" s="2"/>
      <c r="L2033" s="48"/>
      <c r="M2033" s="48"/>
      <c r="N2033" s="48"/>
      <c r="O2033" s="48" t="str">
        <f t="shared" si="2"/>
        <v/>
      </c>
      <c r="P2033" s="48" t="str">
        <f t="shared" si="3"/>
        <v/>
      </c>
      <c r="Q2033" s="84"/>
      <c r="R2033" s="84"/>
      <c r="S2033" s="84"/>
      <c r="T2033" s="84"/>
      <c r="U2033" s="84"/>
      <c r="V2033" s="84"/>
      <c r="W2033" s="84"/>
      <c r="X2033" s="84"/>
      <c r="Y2033" s="84"/>
      <c r="Z2033" s="84"/>
      <c r="AA2033" s="84"/>
      <c r="AB2033" s="84"/>
    </row>
    <row r="2034">
      <c r="A2034" s="63">
        <v>136.0</v>
      </c>
      <c r="B2034" s="63">
        <v>209.0</v>
      </c>
      <c r="C2034" s="64" t="s">
        <v>456</v>
      </c>
      <c r="D2034" s="64" t="s">
        <v>457</v>
      </c>
      <c r="E2034" s="64" t="s">
        <v>458</v>
      </c>
      <c r="F2034" s="63">
        <v>1500.0</v>
      </c>
      <c r="G2034" s="63">
        <v>13.9</v>
      </c>
      <c r="H2034" s="66">
        <f t="shared" si="1"/>
        <v>29.11</v>
      </c>
      <c r="I2034" s="81">
        <f>IFERROR(__xludf.DUMMYFUNCTION("IF(G2034="""", """", ROUND(G2034 / MAX(FILTER($G$2:$G5067, $D$2:$D5067=$D2034)) * 100, 2))"),71.65)</f>
        <v>71.65</v>
      </c>
      <c r="J2034" s="81">
        <f>IFERROR(__xludf.DUMMYFUNCTION("IF(H2034="""", """", ROUND(H2034 / MAX(FILTER($H$2:$H5067, $D$2:$D5067=$D2034)) * 100, 2))"),18.68)</f>
        <v>18.68</v>
      </c>
      <c r="K2034" s="2"/>
      <c r="L2034" s="49"/>
      <c r="M2034" s="49"/>
      <c r="N2034" s="49"/>
      <c r="O2034" s="49" t="str">
        <f t="shared" si="2"/>
        <v/>
      </c>
      <c r="P2034" s="49" t="str">
        <f t="shared" si="3"/>
        <v/>
      </c>
      <c r="Q2034" s="84"/>
      <c r="R2034" s="84"/>
      <c r="S2034" s="84"/>
      <c r="T2034" s="84"/>
      <c r="U2034" s="84"/>
      <c r="V2034" s="84"/>
      <c r="W2034" s="84"/>
      <c r="X2034" s="84"/>
      <c r="Y2034" s="84"/>
      <c r="Z2034" s="84"/>
      <c r="AA2034" s="84"/>
      <c r="AB2034" s="84"/>
    </row>
    <row r="2035">
      <c r="A2035" s="69">
        <v>136.0</v>
      </c>
      <c r="B2035" s="69">
        <v>209.0</v>
      </c>
      <c r="C2035" s="86" t="s">
        <v>456</v>
      </c>
      <c r="D2035" s="86" t="s">
        <v>457</v>
      </c>
      <c r="E2035" s="86" t="s">
        <v>458</v>
      </c>
      <c r="F2035" s="69">
        <v>2000.0</v>
      </c>
      <c r="G2035" s="69">
        <v>14.7</v>
      </c>
      <c r="H2035" s="68">
        <f t="shared" si="1"/>
        <v>41.05</v>
      </c>
      <c r="I2035" s="81">
        <f>IFERROR(__xludf.DUMMYFUNCTION("IF(G2035="""", """", ROUND(G2035 / MAX(FILTER($G$2:$G5067, $D$2:$D5067=$D2035)) * 100, 2))"),75.77)</f>
        <v>75.77</v>
      </c>
      <c r="J2035" s="81">
        <f>IFERROR(__xludf.DUMMYFUNCTION("IF(H2035="""", """", ROUND(H2035 / MAX(FILTER($H$2:$H5067, $D$2:$D5067=$D2035)) * 100, 2))"),26.34)</f>
        <v>26.34</v>
      </c>
      <c r="K2035" s="2"/>
      <c r="L2035" s="48"/>
      <c r="M2035" s="48"/>
      <c r="N2035" s="48"/>
      <c r="O2035" s="48" t="str">
        <f t="shared" si="2"/>
        <v/>
      </c>
      <c r="P2035" s="48" t="str">
        <f t="shared" si="3"/>
        <v/>
      </c>
      <c r="Q2035" s="84"/>
      <c r="R2035" s="84"/>
      <c r="S2035" s="84"/>
      <c r="T2035" s="84"/>
      <c r="U2035" s="84"/>
      <c r="V2035" s="84"/>
      <c r="W2035" s="84"/>
      <c r="X2035" s="84"/>
      <c r="Y2035" s="84"/>
      <c r="Z2035" s="84"/>
      <c r="AA2035" s="84"/>
      <c r="AB2035" s="84"/>
    </row>
    <row r="2036">
      <c r="A2036" s="63">
        <v>136.0</v>
      </c>
      <c r="B2036" s="63">
        <v>209.0</v>
      </c>
      <c r="C2036" s="64" t="s">
        <v>456</v>
      </c>
      <c r="D2036" s="64" t="s">
        <v>457</v>
      </c>
      <c r="E2036" s="64" t="s">
        <v>458</v>
      </c>
      <c r="F2036" s="63">
        <v>2500.0</v>
      </c>
      <c r="G2036" s="63">
        <v>15.6</v>
      </c>
      <c r="H2036" s="66">
        <f t="shared" si="1"/>
        <v>54.45</v>
      </c>
      <c r="I2036" s="81">
        <f>IFERROR(__xludf.DUMMYFUNCTION("IF(G2036="""", """", ROUND(G2036 / MAX(FILTER($G$2:$G5067, $D$2:$D5067=$D2036)) * 100, 2))"),80.41)</f>
        <v>80.41</v>
      </c>
      <c r="J2036" s="81">
        <f>IFERROR(__xludf.DUMMYFUNCTION("IF(H2036="""", """", ROUND(H2036 / MAX(FILTER($H$2:$H5067, $D$2:$D5067=$D2036)) * 100, 2))"),34.94)</f>
        <v>34.94</v>
      </c>
      <c r="K2036" s="2"/>
      <c r="L2036" s="49"/>
      <c r="M2036" s="49"/>
      <c r="N2036" s="49"/>
      <c r="O2036" s="49" t="str">
        <f t="shared" si="2"/>
        <v/>
      </c>
      <c r="P2036" s="49" t="str">
        <f t="shared" si="3"/>
        <v/>
      </c>
      <c r="Q2036" s="84"/>
      <c r="R2036" s="84"/>
      <c r="S2036" s="84"/>
      <c r="T2036" s="84"/>
      <c r="U2036" s="84"/>
      <c r="V2036" s="84"/>
      <c r="W2036" s="84"/>
      <c r="X2036" s="84"/>
      <c r="Y2036" s="84"/>
      <c r="Z2036" s="84"/>
      <c r="AA2036" s="84"/>
      <c r="AB2036" s="84"/>
    </row>
    <row r="2037">
      <c r="A2037" s="69">
        <v>136.0</v>
      </c>
      <c r="B2037" s="69">
        <v>209.0</v>
      </c>
      <c r="C2037" s="86" t="s">
        <v>456</v>
      </c>
      <c r="D2037" s="86" t="s">
        <v>457</v>
      </c>
      <c r="E2037" s="86" t="s">
        <v>458</v>
      </c>
      <c r="F2037" s="69">
        <v>3000.0</v>
      </c>
      <c r="G2037" s="69">
        <v>16.75</v>
      </c>
      <c r="H2037" s="68">
        <f t="shared" si="1"/>
        <v>70.16</v>
      </c>
      <c r="I2037" s="81">
        <f>IFERROR(__xludf.DUMMYFUNCTION("IF(G2037="""", """", ROUND(G2037 / MAX(FILTER($G$2:$G5067, $D$2:$D5067=$D2037)) * 100, 2))"),86.34)</f>
        <v>86.34</v>
      </c>
      <c r="J2037" s="81">
        <f>IFERROR(__xludf.DUMMYFUNCTION("IF(H2037="""", """", ROUND(H2037 / MAX(FILTER($H$2:$H5067, $D$2:$D5067=$D2037)) * 100, 2))"),45.03)</f>
        <v>45.03</v>
      </c>
      <c r="K2037" s="2"/>
      <c r="L2037" s="48"/>
      <c r="M2037" s="48"/>
      <c r="N2037" s="48"/>
      <c r="O2037" s="48" t="str">
        <f t="shared" si="2"/>
        <v/>
      </c>
      <c r="P2037" s="48" t="str">
        <f t="shared" si="3"/>
        <v/>
      </c>
      <c r="Q2037" s="84"/>
      <c r="R2037" s="84"/>
      <c r="S2037" s="84"/>
      <c r="T2037" s="84"/>
      <c r="U2037" s="84"/>
      <c r="V2037" s="84"/>
      <c r="W2037" s="84"/>
      <c r="X2037" s="84"/>
      <c r="Y2037" s="84"/>
      <c r="Z2037" s="84"/>
      <c r="AA2037" s="84"/>
      <c r="AB2037" s="84"/>
    </row>
    <row r="2038">
      <c r="A2038" s="63">
        <v>136.0</v>
      </c>
      <c r="B2038" s="63">
        <v>209.0</v>
      </c>
      <c r="C2038" s="64" t="s">
        <v>456</v>
      </c>
      <c r="D2038" s="64" t="s">
        <v>457</v>
      </c>
      <c r="E2038" s="64" t="s">
        <v>458</v>
      </c>
      <c r="F2038" s="63">
        <v>3500.0</v>
      </c>
      <c r="G2038" s="63">
        <v>18.1</v>
      </c>
      <c r="H2038" s="66">
        <f t="shared" si="1"/>
        <v>88.45</v>
      </c>
      <c r="I2038" s="81">
        <f>IFERROR(__xludf.DUMMYFUNCTION("IF(G2038="""", """", ROUND(G2038 / MAX(FILTER($G$2:$G5067, $D$2:$D5067=$D2038)) * 100, 2))"),93.3)</f>
        <v>93.3</v>
      </c>
      <c r="J2038" s="81">
        <f>IFERROR(__xludf.DUMMYFUNCTION("IF(H2038="""", """", ROUND(H2038 / MAX(FILTER($H$2:$H5067, $D$2:$D5067=$D2038)) * 100, 2))"),56.76)</f>
        <v>56.76</v>
      </c>
      <c r="K2038" s="2"/>
      <c r="L2038" s="49"/>
      <c r="M2038" s="49"/>
      <c r="N2038" s="49"/>
      <c r="O2038" s="49" t="str">
        <f t="shared" si="2"/>
        <v/>
      </c>
      <c r="P2038" s="49" t="str">
        <f t="shared" si="3"/>
        <v/>
      </c>
      <c r="Q2038" s="84"/>
      <c r="R2038" s="84"/>
      <c r="S2038" s="84"/>
      <c r="T2038" s="84"/>
      <c r="U2038" s="84"/>
      <c r="V2038" s="84"/>
      <c r="W2038" s="84"/>
      <c r="X2038" s="84"/>
      <c r="Y2038" s="84"/>
      <c r="Z2038" s="84"/>
      <c r="AA2038" s="84"/>
      <c r="AB2038" s="84"/>
    </row>
    <row r="2039">
      <c r="A2039" s="69">
        <v>136.0</v>
      </c>
      <c r="B2039" s="69">
        <v>209.0</v>
      </c>
      <c r="C2039" s="86" t="s">
        <v>456</v>
      </c>
      <c r="D2039" s="86" t="s">
        <v>457</v>
      </c>
      <c r="E2039" s="86" t="s">
        <v>458</v>
      </c>
      <c r="F2039" s="69">
        <v>4000.0</v>
      </c>
      <c r="G2039" s="69">
        <v>19.0</v>
      </c>
      <c r="H2039" s="68">
        <f t="shared" si="1"/>
        <v>106.12</v>
      </c>
      <c r="I2039" s="81">
        <f>IFERROR(__xludf.DUMMYFUNCTION("IF(G2039="""", """", ROUND(G2039 / MAX(FILTER($G$2:$G5067, $D$2:$D5067=$D2039)) * 100, 2))"),97.94)</f>
        <v>97.94</v>
      </c>
      <c r="J2039" s="81">
        <f>IFERROR(__xludf.DUMMYFUNCTION("IF(H2039="""", """", ROUND(H2039 / MAX(FILTER($H$2:$H5067, $D$2:$D5067=$D2039)) * 100, 2))"),68.1)</f>
        <v>68.1</v>
      </c>
      <c r="K2039" s="2"/>
      <c r="L2039" s="48"/>
      <c r="M2039" s="48"/>
      <c r="N2039" s="48"/>
      <c r="O2039" s="48" t="str">
        <f t="shared" si="2"/>
        <v/>
      </c>
      <c r="P2039" s="48" t="str">
        <f t="shared" si="3"/>
        <v/>
      </c>
      <c r="Q2039" s="84"/>
      <c r="R2039" s="84"/>
      <c r="S2039" s="84"/>
      <c r="T2039" s="84"/>
      <c r="U2039" s="84"/>
      <c r="V2039" s="84"/>
      <c r="W2039" s="84"/>
      <c r="X2039" s="84"/>
      <c r="Y2039" s="84"/>
      <c r="Z2039" s="84"/>
      <c r="AA2039" s="84"/>
      <c r="AB2039" s="84"/>
    </row>
    <row r="2040">
      <c r="A2040" s="63">
        <v>136.0</v>
      </c>
      <c r="B2040" s="63">
        <v>209.0</v>
      </c>
      <c r="C2040" s="64" t="s">
        <v>456</v>
      </c>
      <c r="D2040" s="64" t="s">
        <v>457</v>
      </c>
      <c r="E2040" s="64" t="s">
        <v>458</v>
      </c>
      <c r="F2040" s="63">
        <v>4500.0</v>
      </c>
      <c r="G2040" s="63">
        <v>19.3</v>
      </c>
      <c r="H2040" s="66">
        <f t="shared" si="1"/>
        <v>121.27</v>
      </c>
      <c r="I2040" s="81">
        <f>IFERROR(__xludf.DUMMYFUNCTION("IF(G2040="""", """", ROUND(G2040 / MAX(FILTER($G$2:$G5067, $D$2:$D5067=$D2040)) * 100, 2))"),99.48)</f>
        <v>99.48</v>
      </c>
      <c r="J2040" s="81">
        <f>IFERROR(__xludf.DUMMYFUNCTION("IF(H2040="""", """", ROUND(H2040 / MAX(FILTER($H$2:$H5067, $D$2:$D5067=$D2040)) * 100, 2))"),77.83)</f>
        <v>77.83</v>
      </c>
      <c r="K2040" s="2"/>
      <c r="L2040" s="49"/>
      <c r="M2040" s="49"/>
      <c r="N2040" s="49"/>
      <c r="O2040" s="49" t="str">
        <f t="shared" si="2"/>
        <v/>
      </c>
      <c r="P2040" s="49" t="str">
        <f t="shared" si="3"/>
        <v/>
      </c>
      <c r="Q2040" s="84"/>
      <c r="R2040" s="84"/>
      <c r="S2040" s="84"/>
      <c r="T2040" s="84"/>
      <c r="U2040" s="84"/>
      <c r="V2040" s="84"/>
      <c r="W2040" s="84"/>
      <c r="X2040" s="84"/>
      <c r="Y2040" s="84"/>
      <c r="Z2040" s="84"/>
      <c r="AA2040" s="84"/>
      <c r="AB2040" s="84"/>
    </row>
    <row r="2041">
      <c r="A2041" s="69">
        <v>136.0</v>
      </c>
      <c r="B2041" s="69">
        <v>209.0</v>
      </c>
      <c r="C2041" s="86" t="s">
        <v>456</v>
      </c>
      <c r="D2041" s="86" t="s">
        <v>457</v>
      </c>
      <c r="E2041" s="86" t="s">
        <v>458</v>
      </c>
      <c r="F2041" s="69">
        <v>5000.0</v>
      </c>
      <c r="G2041" s="69">
        <v>19.4</v>
      </c>
      <c r="H2041" s="68">
        <f t="shared" si="1"/>
        <v>135.44</v>
      </c>
      <c r="I2041" s="81">
        <f>IFERROR(__xludf.DUMMYFUNCTION("IF(G2041="""", """", ROUND(G2041 / MAX(FILTER($G$2:$G5067, $D$2:$D5067=$D2041)) * 100, 2))"),100.0)</f>
        <v>100</v>
      </c>
      <c r="J2041" s="81">
        <f>IFERROR(__xludf.DUMMYFUNCTION("IF(H2041="""", """", ROUND(H2041 / MAX(FILTER($H$2:$H5067, $D$2:$D5067=$D2041)) * 100, 2))"),86.92)</f>
        <v>86.92</v>
      </c>
      <c r="K2041" s="2"/>
      <c r="L2041" s="48"/>
      <c r="M2041" s="48"/>
      <c r="N2041" s="48"/>
      <c r="O2041" s="48" t="str">
        <f t="shared" si="2"/>
        <v/>
      </c>
      <c r="P2041" s="48" t="str">
        <f t="shared" si="3"/>
        <v/>
      </c>
      <c r="Q2041" s="84"/>
      <c r="R2041" s="84"/>
      <c r="S2041" s="84"/>
      <c r="T2041" s="84"/>
      <c r="U2041" s="84"/>
      <c r="V2041" s="84"/>
      <c r="W2041" s="84"/>
      <c r="X2041" s="84"/>
      <c r="Y2041" s="84"/>
      <c r="Z2041" s="84"/>
      <c r="AA2041" s="84"/>
      <c r="AB2041" s="84"/>
    </row>
    <row r="2042">
      <c r="A2042" s="63">
        <v>136.0</v>
      </c>
      <c r="B2042" s="63">
        <v>209.0</v>
      </c>
      <c r="C2042" s="64" t="s">
        <v>456</v>
      </c>
      <c r="D2042" s="64" t="s">
        <v>457</v>
      </c>
      <c r="E2042" s="64" t="s">
        <v>458</v>
      </c>
      <c r="F2042" s="63">
        <v>5500.0</v>
      </c>
      <c r="G2042" s="63">
        <v>19.25</v>
      </c>
      <c r="H2042" s="66">
        <f t="shared" si="1"/>
        <v>147.83</v>
      </c>
      <c r="I2042" s="81">
        <f>IFERROR(__xludf.DUMMYFUNCTION("IF(G2042="""", """", ROUND(G2042 / MAX(FILTER($G$2:$G5067, $D$2:$D5067=$D2042)) * 100, 2))"),99.23)</f>
        <v>99.23</v>
      </c>
      <c r="J2042" s="81">
        <f>IFERROR(__xludf.DUMMYFUNCTION("IF(H2042="""", """", ROUND(H2042 / MAX(FILTER($H$2:$H5067, $D$2:$D5067=$D2042)) * 100, 2))"),94.87)</f>
        <v>94.87</v>
      </c>
      <c r="K2042" s="2"/>
      <c r="L2042" s="49"/>
      <c r="M2042" s="49"/>
      <c r="N2042" s="49"/>
      <c r="O2042" s="49" t="str">
        <f t="shared" si="2"/>
        <v/>
      </c>
      <c r="P2042" s="49" t="str">
        <f t="shared" si="3"/>
        <v/>
      </c>
      <c r="Q2042" s="84"/>
      <c r="R2042" s="84"/>
      <c r="S2042" s="84"/>
      <c r="T2042" s="84"/>
      <c r="U2042" s="84"/>
      <c r="V2042" s="84"/>
      <c r="W2042" s="84"/>
      <c r="X2042" s="84"/>
      <c r="Y2042" s="84"/>
      <c r="Z2042" s="84"/>
      <c r="AA2042" s="84"/>
      <c r="AB2042" s="84"/>
    </row>
    <row r="2043">
      <c r="A2043" s="69">
        <v>136.0</v>
      </c>
      <c r="B2043" s="69">
        <v>209.0</v>
      </c>
      <c r="C2043" s="86" t="s">
        <v>456</v>
      </c>
      <c r="D2043" s="86" t="s">
        <v>457</v>
      </c>
      <c r="E2043" s="86" t="s">
        <v>458</v>
      </c>
      <c r="F2043" s="69">
        <v>6000.0</v>
      </c>
      <c r="G2043" s="69">
        <v>18.5</v>
      </c>
      <c r="H2043" s="68">
        <f t="shared" si="1"/>
        <v>154.98</v>
      </c>
      <c r="I2043" s="81">
        <f>IFERROR(__xludf.DUMMYFUNCTION("IF(G2043="""", """", ROUND(G2043 / MAX(FILTER($G$2:$G5067, $D$2:$D5067=$D2043)) * 100, 2))"),95.36)</f>
        <v>95.36</v>
      </c>
      <c r="J2043" s="81">
        <f>IFERROR(__xludf.DUMMYFUNCTION("IF(H2043="""", """", ROUND(H2043 / MAX(FILTER($H$2:$H5067, $D$2:$D5067=$D2043)) * 100, 2))"),99.46)</f>
        <v>99.46</v>
      </c>
      <c r="K2043" s="2"/>
      <c r="L2043" s="48"/>
      <c r="M2043" s="48"/>
      <c r="N2043" s="48"/>
      <c r="O2043" s="48" t="str">
        <f t="shared" si="2"/>
        <v/>
      </c>
      <c r="P2043" s="48" t="str">
        <f t="shared" si="3"/>
        <v/>
      </c>
      <c r="Q2043" s="84"/>
      <c r="R2043" s="84"/>
      <c r="S2043" s="84"/>
      <c r="T2043" s="84"/>
      <c r="U2043" s="84"/>
      <c r="V2043" s="84"/>
      <c r="W2043" s="84"/>
      <c r="X2043" s="84"/>
      <c r="Y2043" s="84"/>
      <c r="Z2043" s="84"/>
      <c r="AA2043" s="84"/>
      <c r="AB2043" s="84"/>
    </row>
    <row r="2044">
      <c r="A2044" s="63">
        <v>136.0</v>
      </c>
      <c r="B2044" s="63">
        <v>209.0</v>
      </c>
      <c r="C2044" s="64" t="s">
        <v>456</v>
      </c>
      <c r="D2044" s="64" t="s">
        <v>457</v>
      </c>
      <c r="E2044" s="64" t="s">
        <v>458</v>
      </c>
      <c r="F2044" s="63">
        <v>6200.0</v>
      </c>
      <c r="G2044" s="63">
        <v>18.0</v>
      </c>
      <c r="H2044" s="66">
        <f t="shared" si="1"/>
        <v>155.82</v>
      </c>
      <c r="I2044" s="81">
        <f>IFERROR(__xludf.DUMMYFUNCTION("IF(G2044="""", """", ROUND(G2044 / MAX(FILTER($G$2:$G5067, $D$2:$D5067=$D2044)) * 100, 2))"),92.78)</f>
        <v>92.78</v>
      </c>
      <c r="J2044" s="81">
        <f>IFERROR(__xludf.DUMMYFUNCTION("IF(H2044="""", """", ROUND(H2044 / MAX(FILTER($H$2:$H5067, $D$2:$D5067=$D2044)) * 100, 2))"),100.0)</f>
        <v>100</v>
      </c>
      <c r="K2044" s="2"/>
      <c r="L2044" s="49"/>
      <c r="M2044" s="49"/>
      <c r="N2044" s="49"/>
      <c r="O2044" s="49" t="str">
        <f t="shared" si="2"/>
        <v/>
      </c>
      <c r="P2044" s="49" t="str">
        <f t="shared" si="3"/>
        <v/>
      </c>
      <c r="Q2044" s="84"/>
      <c r="R2044" s="84"/>
      <c r="S2044" s="84"/>
      <c r="T2044" s="84"/>
      <c r="U2044" s="84"/>
      <c r="V2044" s="84"/>
      <c r="W2044" s="84"/>
      <c r="X2044" s="84"/>
      <c r="Y2044" s="84"/>
      <c r="Z2044" s="84"/>
      <c r="AA2044" s="84"/>
      <c r="AB2044" s="84"/>
    </row>
    <row r="2045">
      <c r="A2045" s="69">
        <v>136.0</v>
      </c>
      <c r="B2045" s="69">
        <v>209.0</v>
      </c>
      <c r="C2045" s="86" t="s">
        <v>456</v>
      </c>
      <c r="D2045" s="86" t="s">
        <v>457</v>
      </c>
      <c r="E2045" s="86" t="s">
        <v>458</v>
      </c>
      <c r="F2045" s="69">
        <v>6800.0</v>
      </c>
      <c r="G2045" s="69">
        <v>16.15</v>
      </c>
      <c r="H2045" s="68">
        <f t="shared" si="1"/>
        <v>153.34</v>
      </c>
      <c r="I2045" s="81">
        <f>IFERROR(__xludf.DUMMYFUNCTION("IF(G2045="""", """", ROUND(G2045 / MAX(FILTER($G$2:$G5067, $D$2:$D5067=$D2045)) * 100, 2))"),83.25)</f>
        <v>83.25</v>
      </c>
      <c r="J2045" s="81">
        <f>IFERROR(__xludf.DUMMYFUNCTION("IF(H2045="""", """", ROUND(H2045 / MAX(FILTER($H$2:$H5067, $D$2:$D5067=$D2045)) * 100, 2))"),98.41)</f>
        <v>98.41</v>
      </c>
      <c r="K2045" s="2"/>
      <c r="L2045" s="48"/>
      <c r="M2045" s="48"/>
      <c r="N2045" s="48"/>
      <c r="O2045" s="48" t="str">
        <f t="shared" si="2"/>
        <v/>
      </c>
      <c r="P2045" s="48" t="str">
        <f t="shared" si="3"/>
        <v/>
      </c>
      <c r="Q2045" s="84"/>
      <c r="R2045" s="84"/>
      <c r="S2045" s="84"/>
      <c r="T2045" s="84"/>
      <c r="U2045" s="84"/>
      <c r="V2045" s="84"/>
      <c r="W2045" s="84"/>
      <c r="X2045" s="84"/>
      <c r="Y2045" s="84"/>
      <c r="Z2045" s="84"/>
      <c r="AA2045" s="84"/>
      <c r="AB2045" s="84"/>
    </row>
    <row r="2046">
      <c r="A2046" s="63">
        <v>136.0</v>
      </c>
      <c r="B2046" s="63">
        <v>209.0</v>
      </c>
      <c r="C2046" s="64" t="s">
        <v>456</v>
      </c>
      <c r="D2046" s="64" t="s">
        <v>457</v>
      </c>
      <c r="E2046" s="64" t="s">
        <v>458</v>
      </c>
      <c r="F2046" s="63">
        <v>7300.0</v>
      </c>
      <c r="G2046" s="63">
        <v>14.15</v>
      </c>
      <c r="H2046" s="66">
        <f t="shared" si="1"/>
        <v>144.23</v>
      </c>
      <c r="I2046" s="81">
        <f>IFERROR(__xludf.DUMMYFUNCTION("IF(G2046="""", """", ROUND(G2046 / MAX(FILTER($G$2:$G5067, $D$2:$D5067=$D2046)) * 100, 2))"),72.94)</f>
        <v>72.94</v>
      </c>
      <c r="J2046" s="81">
        <f>IFERROR(__xludf.DUMMYFUNCTION("IF(H2046="""", """", ROUND(H2046 / MAX(FILTER($H$2:$H5067, $D$2:$D5067=$D2046)) * 100, 2))"),92.56)</f>
        <v>92.56</v>
      </c>
      <c r="K2046" s="2"/>
      <c r="L2046" s="49"/>
      <c r="M2046" s="49"/>
      <c r="N2046" s="49"/>
      <c r="O2046" s="49" t="str">
        <f t="shared" si="2"/>
        <v/>
      </c>
      <c r="P2046" s="49" t="str">
        <f t="shared" si="3"/>
        <v/>
      </c>
      <c r="Q2046" s="84"/>
      <c r="R2046" s="84"/>
      <c r="S2046" s="84"/>
      <c r="T2046" s="84"/>
      <c r="U2046" s="84"/>
      <c r="V2046" s="84"/>
      <c r="W2046" s="84"/>
      <c r="X2046" s="84"/>
      <c r="Y2046" s="84"/>
      <c r="Z2046" s="84"/>
      <c r="AA2046" s="84"/>
      <c r="AB2046" s="84"/>
    </row>
    <row r="2047">
      <c r="A2047" s="69">
        <v>137.0</v>
      </c>
      <c r="B2047" s="69">
        <v>211.0</v>
      </c>
      <c r="C2047" s="86" t="s">
        <v>459</v>
      </c>
      <c r="D2047" s="86" t="s">
        <v>460</v>
      </c>
      <c r="E2047" s="86" t="s">
        <v>461</v>
      </c>
      <c r="F2047" s="69">
        <v>500.0</v>
      </c>
      <c r="G2047" s="69">
        <v>12.9</v>
      </c>
      <c r="H2047" s="68">
        <f t="shared" si="1"/>
        <v>9.01</v>
      </c>
      <c r="I2047" s="81">
        <f>IFERROR(__xludf.DUMMYFUNCTION("IF(G2047="""", """", ROUND(G2047 / MAX(FILTER($G$2:$G5067, $D$2:$D5067=$D2047)) * 100, 2))"),72.88)</f>
        <v>72.88</v>
      </c>
      <c r="J2047" s="81">
        <f>IFERROR(__xludf.DUMMYFUNCTION("IF(H2047="""", """", ROUND(H2047 / MAX(FILTER($H$2:$H5067, $D$2:$D5067=$D2047)) * 100, 2))"),5.76)</f>
        <v>5.76</v>
      </c>
      <c r="K2047" s="2"/>
      <c r="L2047" s="48"/>
      <c r="M2047" s="48"/>
      <c r="N2047" s="48"/>
      <c r="O2047" s="48" t="str">
        <f t="shared" si="2"/>
        <v/>
      </c>
      <c r="P2047" s="48" t="str">
        <f t="shared" si="3"/>
        <v/>
      </c>
      <c r="Q2047" s="84"/>
      <c r="R2047" s="84"/>
      <c r="S2047" s="84"/>
      <c r="T2047" s="84"/>
      <c r="U2047" s="84"/>
      <c r="V2047" s="84"/>
      <c r="W2047" s="84"/>
      <c r="X2047" s="84"/>
      <c r="Y2047" s="84"/>
      <c r="Z2047" s="84"/>
      <c r="AA2047" s="84"/>
      <c r="AB2047" s="84"/>
    </row>
    <row r="2048">
      <c r="A2048" s="63">
        <v>137.0</v>
      </c>
      <c r="B2048" s="63">
        <v>211.0</v>
      </c>
      <c r="C2048" s="64" t="s">
        <v>459</v>
      </c>
      <c r="D2048" s="64" t="s">
        <v>460</v>
      </c>
      <c r="E2048" s="64" t="s">
        <v>461</v>
      </c>
      <c r="F2048" s="63">
        <v>1000.0</v>
      </c>
      <c r="G2048" s="63">
        <v>14.3</v>
      </c>
      <c r="H2048" s="66">
        <f t="shared" si="1"/>
        <v>19.97</v>
      </c>
      <c r="I2048" s="81">
        <f>IFERROR(__xludf.DUMMYFUNCTION("IF(G2048="""", """", ROUND(G2048 / MAX(FILTER($G$2:$G5067, $D$2:$D5067=$D2048)) * 100, 2))"),80.79)</f>
        <v>80.79</v>
      </c>
      <c r="J2048" s="81">
        <f>IFERROR(__xludf.DUMMYFUNCTION("IF(H2048="""", """", ROUND(H2048 / MAX(FILTER($H$2:$H5067, $D$2:$D5067=$D2048)) * 100, 2))"),12.77)</f>
        <v>12.77</v>
      </c>
      <c r="K2048" s="2"/>
      <c r="L2048" s="49"/>
      <c r="M2048" s="49"/>
      <c r="N2048" s="49"/>
      <c r="O2048" s="49" t="str">
        <f t="shared" si="2"/>
        <v/>
      </c>
      <c r="P2048" s="49" t="str">
        <f t="shared" si="3"/>
        <v/>
      </c>
      <c r="Q2048" s="84"/>
      <c r="R2048" s="84"/>
      <c r="S2048" s="84"/>
      <c r="T2048" s="84"/>
      <c r="U2048" s="84"/>
      <c r="V2048" s="84"/>
      <c r="W2048" s="84"/>
      <c r="X2048" s="84"/>
      <c r="Y2048" s="84"/>
      <c r="Z2048" s="84"/>
      <c r="AA2048" s="84"/>
      <c r="AB2048" s="84"/>
    </row>
    <row r="2049">
      <c r="A2049" s="69">
        <v>137.0</v>
      </c>
      <c r="B2049" s="69">
        <v>211.0</v>
      </c>
      <c r="C2049" s="86" t="s">
        <v>459</v>
      </c>
      <c r="D2049" s="86" t="s">
        <v>460</v>
      </c>
      <c r="E2049" s="86" t="s">
        <v>461</v>
      </c>
      <c r="F2049" s="69">
        <v>1500.0</v>
      </c>
      <c r="G2049" s="69">
        <v>14.9</v>
      </c>
      <c r="H2049" s="68">
        <f t="shared" si="1"/>
        <v>31.21</v>
      </c>
      <c r="I2049" s="81">
        <f>IFERROR(__xludf.DUMMYFUNCTION("IF(G2049="""", """", ROUND(G2049 / MAX(FILTER($G$2:$G5067, $D$2:$D5067=$D2049)) * 100, 2))"),84.18)</f>
        <v>84.18</v>
      </c>
      <c r="J2049" s="81">
        <f>IFERROR(__xludf.DUMMYFUNCTION("IF(H2049="""", """", ROUND(H2049 / MAX(FILTER($H$2:$H5067, $D$2:$D5067=$D2049)) * 100, 2))"),19.96)</f>
        <v>19.96</v>
      </c>
      <c r="K2049" s="2"/>
      <c r="L2049" s="48"/>
      <c r="M2049" s="48"/>
      <c r="N2049" s="48"/>
      <c r="O2049" s="48" t="str">
        <f t="shared" si="2"/>
        <v/>
      </c>
      <c r="P2049" s="48" t="str">
        <f t="shared" si="3"/>
        <v/>
      </c>
      <c r="Q2049" s="84"/>
      <c r="R2049" s="84"/>
      <c r="S2049" s="84"/>
      <c r="T2049" s="84"/>
      <c r="U2049" s="84"/>
      <c r="V2049" s="84"/>
      <c r="W2049" s="84"/>
      <c r="X2049" s="84"/>
      <c r="Y2049" s="84"/>
      <c r="Z2049" s="84"/>
      <c r="AA2049" s="84"/>
      <c r="AB2049" s="84"/>
    </row>
    <row r="2050">
      <c r="A2050" s="63">
        <v>137.0</v>
      </c>
      <c r="B2050" s="63">
        <v>211.0</v>
      </c>
      <c r="C2050" s="64" t="s">
        <v>459</v>
      </c>
      <c r="D2050" s="64" t="s">
        <v>460</v>
      </c>
      <c r="E2050" s="64" t="s">
        <v>461</v>
      </c>
      <c r="F2050" s="63">
        <v>2000.0</v>
      </c>
      <c r="G2050" s="63">
        <v>15.1</v>
      </c>
      <c r="H2050" s="66">
        <f t="shared" si="1"/>
        <v>42.17</v>
      </c>
      <c r="I2050" s="81">
        <f>IFERROR(__xludf.DUMMYFUNCTION("IF(G2050="""", """", ROUND(G2050 / MAX(FILTER($G$2:$G5067, $D$2:$D5067=$D2050)) * 100, 2))"),85.31)</f>
        <v>85.31</v>
      </c>
      <c r="J2050" s="81">
        <f>IFERROR(__xludf.DUMMYFUNCTION("IF(H2050="""", """", ROUND(H2050 / MAX(FILTER($H$2:$H5067, $D$2:$D5067=$D2050)) * 100, 2))"),26.97)</f>
        <v>26.97</v>
      </c>
      <c r="K2050" s="2"/>
      <c r="L2050" s="49"/>
      <c r="M2050" s="49"/>
      <c r="N2050" s="49"/>
      <c r="O2050" s="49" t="str">
        <f t="shared" si="2"/>
        <v/>
      </c>
      <c r="P2050" s="49" t="str">
        <f t="shared" si="3"/>
        <v/>
      </c>
      <c r="Q2050" s="84"/>
      <c r="R2050" s="84"/>
      <c r="S2050" s="84"/>
      <c r="T2050" s="84"/>
      <c r="U2050" s="84"/>
      <c r="V2050" s="84"/>
      <c r="W2050" s="84"/>
      <c r="X2050" s="84"/>
      <c r="Y2050" s="84"/>
      <c r="Z2050" s="84"/>
      <c r="AA2050" s="84"/>
      <c r="AB2050" s="84"/>
    </row>
    <row r="2051">
      <c r="A2051" s="69">
        <v>137.0</v>
      </c>
      <c r="B2051" s="69">
        <v>211.0</v>
      </c>
      <c r="C2051" s="86" t="s">
        <v>459</v>
      </c>
      <c r="D2051" s="86" t="s">
        <v>460</v>
      </c>
      <c r="E2051" s="86" t="s">
        <v>461</v>
      </c>
      <c r="F2051" s="69">
        <v>2500.0</v>
      </c>
      <c r="G2051" s="69">
        <v>15.35</v>
      </c>
      <c r="H2051" s="68">
        <f t="shared" si="1"/>
        <v>53.58</v>
      </c>
      <c r="I2051" s="81">
        <f>IFERROR(__xludf.DUMMYFUNCTION("IF(G2051="""", """", ROUND(G2051 / MAX(FILTER($G$2:$G5067, $D$2:$D5067=$D2051)) * 100, 2))"),86.72)</f>
        <v>86.72</v>
      </c>
      <c r="J2051" s="81">
        <f>IFERROR(__xludf.DUMMYFUNCTION("IF(H2051="""", """", ROUND(H2051 / MAX(FILTER($H$2:$H5067, $D$2:$D5067=$D2051)) * 100, 2))"),34.26)</f>
        <v>34.26</v>
      </c>
      <c r="K2051" s="2"/>
      <c r="L2051" s="48"/>
      <c r="M2051" s="48"/>
      <c r="N2051" s="48"/>
      <c r="O2051" s="48" t="str">
        <f t="shared" si="2"/>
        <v/>
      </c>
      <c r="P2051" s="48" t="str">
        <f t="shared" si="3"/>
        <v/>
      </c>
      <c r="Q2051" s="84"/>
      <c r="R2051" s="84"/>
      <c r="S2051" s="84"/>
      <c r="T2051" s="84"/>
      <c r="U2051" s="84"/>
      <c r="V2051" s="84"/>
      <c r="W2051" s="84"/>
      <c r="X2051" s="84"/>
      <c r="Y2051" s="84"/>
      <c r="Z2051" s="84"/>
      <c r="AA2051" s="84"/>
      <c r="AB2051" s="84"/>
    </row>
    <row r="2052">
      <c r="A2052" s="63">
        <v>137.0</v>
      </c>
      <c r="B2052" s="63">
        <v>211.0</v>
      </c>
      <c r="C2052" s="64" t="s">
        <v>459</v>
      </c>
      <c r="D2052" s="64" t="s">
        <v>460</v>
      </c>
      <c r="E2052" s="64" t="s">
        <v>461</v>
      </c>
      <c r="F2052" s="63">
        <v>3000.0</v>
      </c>
      <c r="G2052" s="63">
        <v>15.8</v>
      </c>
      <c r="H2052" s="66">
        <f t="shared" si="1"/>
        <v>66.18</v>
      </c>
      <c r="I2052" s="81">
        <f>IFERROR(__xludf.DUMMYFUNCTION("IF(G2052="""", """", ROUND(G2052 / MAX(FILTER($G$2:$G5067, $D$2:$D5067=$D2052)) * 100, 2))"),89.27)</f>
        <v>89.27</v>
      </c>
      <c r="J2052" s="81">
        <f>IFERROR(__xludf.DUMMYFUNCTION("IF(H2052="""", """", ROUND(H2052 / MAX(FILTER($H$2:$H5067, $D$2:$D5067=$D2052)) * 100, 2))"),42.32)</f>
        <v>42.32</v>
      </c>
      <c r="K2052" s="2"/>
      <c r="L2052" s="49"/>
      <c r="M2052" s="49"/>
      <c r="N2052" s="49"/>
      <c r="O2052" s="49" t="str">
        <f t="shared" si="2"/>
        <v/>
      </c>
      <c r="P2052" s="49" t="str">
        <f t="shared" si="3"/>
        <v/>
      </c>
      <c r="Q2052" s="84"/>
      <c r="R2052" s="84"/>
      <c r="S2052" s="84"/>
      <c r="T2052" s="84"/>
      <c r="U2052" s="84"/>
      <c r="V2052" s="84"/>
      <c r="W2052" s="84"/>
      <c r="X2052" s="84"/>
      <c r="Y2052" s="84"/>
      <c r="Z2052" s="84"/>
      <c r="AA2052" s="84"/>
      <c r="AB2052" s="84"/>
    </row>
    <row r="2053">
      <c r="A2053" s="69">
        <v>137.0</v>
      </c>
      <c r="B2053" s="69">
        <v>211.0</v>
      </c>
      <c r="C2053" s="86" t="s">
        <v>459</v>
      </c>
      <c r="D2053" s="86" t="s">
        <v>460</v>
      </c>
      <c r="E2053" s="86" t="s">
        <v>461</v>
      </c>
      <c r="F2053" s="69">
        <v>3500.0</v>
      </c>
      <c r="G2053" s="69">
        <v>16.55</v>
      </c>
      <c r="H2053" s="68">
        <f t="shared" si="1"/>
        <v>80.88</v>
      </c>
      <c r="I2053" s="81">
        <f>IFERROR(__xludf.DUMMYFUNCTION("IF(G2053="""", """", ROUND(G2053 / MAX(FILTER($G$2:$G5067, $D$2:$D5067=$D2053)) * 100, 2))"),93.5)</f>
        <v>93.5</v>
      </c>
      <c r="J2053" s="81">
        <f>IFERROR(__xludf.DUMMYFUNCTION("IF(H2053="""", """", ROUND(H2053 / MAX(FILTER($H$2:$H5067, $D$2:$D5067=$D2053)) * 100, 2))"),51.72)</f>
        <v>51.72</v>
      </c>
      <c r="K2053" s="2"/>
      <c r="L2053" s="48"/>
      <c r="M2053" s="48"/>
      <c r="N2053" s="48"/>
      <c r="O2053" s="48" t="str">
        <f t="shared" si="2"/>
        <v/>
      </c>
      <c r="P2053" s="48" t="str">
        <f t="shared" si="3"/>
        <v/>
      </c>
      <c r="Q2053" s="84"/>
      <c r="R2053" s="84"/>
      <c r="S2053" s="84"/>
      <c r="T2053" s="84"/>
      <c r="U2053" s="84"/>
      <c r="V2053" s="84"/>
      <c r="W2053" s="84"/>
      <c r="X2053" s="84"/>
      <c r="Y2053" s="84"/>
      <c r="Z2053" s="84"/>
      <c r="AA2053" s="84"/>
      <c r="AB2053" s="84"/>
    </row>
    <row r="2054">
      <c r="A2054" s="63">
        <v>137.0</v>
      </c>
      <c r="B2054" s="63">
        <v>211.0</v>
      </c>
      <c r="C2054" s="64" t="s">
        <v>459</v>
      </c>
      <c r="D2054" s="64" t="s">
        <v>460</v>
      </c>
      <c r="E2054" s="64" t="s">
        <v>461</v>
      </c>
      <c r="F2054" s="63">
        <v>4000.0</v>
      </c>
      <c r="G2054" s="63">
        <v>17.35</v>
      </c>
      <c r="H2054" s="66">
        <f t="shared" si="1"/>
        <v>96.9</v>
      </c>
      <c r="I2054" s="81">
        <f>IFERROR(__xludf.DUMMYFUNCTION("IF(G2054="""", """", ROUND(G2054 / MAX(FILTER($G$2:$G5067, $D$2:$D5067=$D2054)) * 100, 2))"),98.02)</f>
        <v>98.02</v>
      </c>
      <c r="J2054" s="81">
        <f>IFERROR(__xludf.DUMMYFUNCTION("IF(H2054="""", """", ROUND(H2054 / MAX(FILTER($H$2:$H5067, $D$2:$D5067=$D2054)) * 100, 2))"),61.96)</f>
        <v>61.96</v>
      </c>
      <c r="K2054" s="2"/>
      <c r="L2054" s="49"/>
      <c r="M2054" s="49"/>
      <c r="N2054" s="49"/>
      <c r="O2054" s="49" t="str">
        <f t="shared" si="2"/>
        <v/>
      </c>
      <c r="P2054" s="49" t="str">
        <f t="shared" si="3"/>
        <v/>
      </c>
      <c r="Q2054" s="84"/>
      <c r="R2054" s="84"/>
      <c r="S2054" s="84"/>
      <c r="T2054" s="84"/>
      <c r="U2054" s="84"/>
      <c r="V2054" s="84"/>
      <c r="W2054" s="84"/>
      <c r="X2054" s="84"/>
      <c r="Y2054" s="84"/>
      <c r="Z2054" s="84"/>
      <c r="AA2054" s="84"/>
      <c r="AB2054" s="84"/>
    </row>
    <row r="2055">
      <c r="A2055" s="69">
        <v>137.0</v>
      </c>
      <c r="B2055" s="69">
        <v>211.0</v>
      </c>
      <c r="C2055" s="86" t="s">
        <v>459</v>
      </c>
      <c r="D2055" s="86" t="s">
        <v>460</v>
      </c>
      <c r="E2055" s="86" t="s">
        <v>461</v>
      </c>
      <c r="F2055" s="69">
        <v>4500.0</v>
      </c>
      <c r="G2055" s="69">
        <v>17.7</v>
      </c>
      <c r="H2055" s="68">
        <f t="shared" si="1"/>
        <v>111.21</v>
      </c>
      <c r="I2055" s="81">
        <f>IFERROR(__xludf.DUMMYFUNCTION("IF(G2055="""", """", ROUND(G2055 / MAX(FILTER($G$2:$G5067, $D$2:$D5067=$D2055)) * 100, 2))"),100.0)</f>
        <v>100</v>
      </c>
      <c r="J2055" s="81">
        <f>IFERROR(__xludf.DUMMYFUNCTION("IF(H2055="""", """", ROUND(H2055 / MAX(FILTER($H$2:$H5067, $D$2:$D5067=$D2055)) * 100, 2))"),71.12)</f>
        <v>71.12</v>
      </c>
      <c r="K2055" s="2"/>
      <c r="L2055" s="48"/>
      <c r="M2055" s="48"/>
      <c r="N2055" s="48"/>
      <c r="O2055" s="48" t="str">
        <f t="shared" si="2"/>
        <v/>
      </c>
      <c r="P2055" s="48" t="str">
        <f t="shared" si="3"/>
        <v/>
      </c>
      <c r="Q2055" s="84"/>
      <c r="R2055" s="84"/>
      <c r="S2055" s="84"/>
      <c r="T2055" s="84"/>
      <c r="U2055" s="84"/>
      <c r="V2055" s="84"/>
      <c r="W2055" s="84"/>
      <c r="X2055" s="84"/>
      <c r="Y2055" s="84"/>
      <c r="Z2055" s="84"/>
      <c r="AA2055" s="84"/>
      <c r="AB2055" s="84"/>
    </row>
    <row r="2056">
      <c r="A2056" s="63">
        <v>137.0</v>
      </c>
      <c r="B2056" s="63">
        <v>211.0</v>
      </c>
      <c r="C2056" s="64" t="s">
        <v>459</v>
      </c>
      <c r="D2056" s="64" t="s">
        <v>460</v>
      </c>
      <c r="E2056" s="64" t="s">
        <v>461</v>
      </c>
      <c r="F2056" s="63">
        <v>5000.0</v>
      </c>
      <c r="G2056" s="63">
        <v>17.7</v>
      </c>
      <c r="H2056" s="66">
        <f t="shared" si="1"/>
        <v>123.57</v>
      </c>
      <c r="I2056" s="81">
        <f>IFERROR(__xludf.DUMMYFUNCTION("IF(G2056="""", """", ROUND(G2056 / MAX(FILTER($G$2:$G5067, $D$2:$D5067=$D2056)) * 100, 2))"),100.0)</f>
        <v>100</v>
      </c>
      <c r="J2056" s="81">
        <f>IFERROR(__xludf.DUMMYFUNCTION("IF(H2056="""", """", ROUND(H2056 / MAX(FILTER($H$2:$H5067, $D$2:$D5067=$D2056)) * 100, 2))"),79.02)</f>
        <v>79.02</v>
      </c>
      <c r="K2056" s="2"/>
      <c r="L2056" s="49"/>
      <c r="M2056" s="49"/>
      <c r="N2056" s="49"/>
      <c r="O2056" s="49" t="str">
        <f t="shared" si="2"/>
        <v/>
      </c>
      <c r="P2056" s="49" t="str">
        <f t="shared" si="3"/>
        <v/>
      </c>
      <c r="Q2056" s="84"/>
      <c r="R2056" s="84"/>
      <c r="S2056" s="84"/>
      <c r="T2056" s="84"/>
      <c r="U2056" s="84"/>
      <c r="V2056" s="84"/>
      <c r="W2056" s="84"/>
      <c r="X2056" s="84"/>
      <c r="Y2056" s="84"/>
      <c r="Z2056" s="84"/>
      <c r="AA2056" s="84"/>
      <c r="AB2056" s="84"/>
    </row>
    <row r="2057">
      <c r="A2057" s="69">
        <v>137.0</v>
      </c>
      <c r="B2057" s="69">
        <v>211.0</v>
      </c>
      <c r="C2057" s="86" t="s">
        <v>459</v>
      </c>
      <c r="D2057" s="86" t="s">
        <v>460</v>
      </c>
      <c r="E2057" s="86" t="s">
        <v>461</v>
      </c>
      <c r="F2057" s="69">
        <v>5500.0</v>
      </c>
      <c r="G2057" s="69">
        <v>17.5</v>
      </c>
      <c r="H2057" s="68">
        <f t="shared" si="1"/>
        <v>134.39</v>
      </c>
      <c r="I2057" s="81">
        <f>IFERROR(__xludf.DUMMYFUNCTION("IF(G2057="""", """", ROUND(G2057 / MAX(FILTER($G$2:$G5067, $D$2:$D5067=$D2057)) * 100, 2))"),98.87)</f>
        <v>98.87</v>
      </c>
      <c r="J2057" s="81">
        <f>IFERROR(__xludf.DUMMYFUNCTION("IF(H2057="""", """", ROUND(H2057 / MAX(FILTER($H$2:$H5067, $D$2:$D5067=$D2057)) * 100, 2))"),85.94)</f>
        <v>85.94</v>
      </c>
      <c r="K2057" s="2"/>
      <c r="L2057" s="48"/>
      <c r="M2057" s="48"/>
      <c r="N2057" s="48"/>
      <c r="O2057" s="48" t="str">
        <f t="shared" si="2"/>
        <v/>
      </c>
      <c r="P2057" s="48" t="str">
        <f t="shared" si="3"/>
        <v/>
      </c>
      <c r="Q2057" s="84"/>
      <c r="R2057" s="84"/>
      <c r="S2057" s="84"/>
      <c r="T2057" s="84"/>
      <c r="U2057" s="84"/>
      <c r="V2057" s="84"/>
      <c r="W2057" s="84"/>
      <c r="X2057" s="84"/>
      <c r="Y2057" s="84"/>
      <c r="Z2057" s="84"/>
      <c r="AA2057" s="84"/>
      <c r="AB2057" s="84"/>
    </row>
    <row r="2058">
      <c r="A2058" s="63">
        <v>137.0</v>
      </c>
      <c r="B2058" s="63">
        <v>211.0</v>
      </c>
      <c r="C2058" s="64" t="s">
        <v>459</v>
      </c>
      <c r="D2058" s="64" t="s">
        <v>460</v>
      </c>
      <c r="E2058" s="64" t="s">
        <v>461</v>
      </c>
      <c r="F2058" s="63">
        <v>6000.0</v>
      </c>
      <c r="G2058" s="63">
        <v>17.2</v>
      </c>
      <c r="H2058" s="66">
        <f t="shared" si="1"/>
        <v>144.09</v>
      </c>
      <c r="I2058" s="81">
        <f>IFERROR(__xludf.DUMMYFUNCTION("IF(G2058="""", """", ROUND(G2058 / MAX(FILTER($G$2:$G5067, $D$2:$D5067=$D2058)) * 100, 2))"),97.18)</f>
        <v>97.18</v>
      </c>
      <c r="J2058" s="81">
        <f>IFERROR(__xludf.DUMMYFUNCTION("IF(H2058="""", """", ROUND(H2058 / MAX(FILTER($H$2:$H5067, $D$2:$D5067=$D2058)) * 100, 2))"),92.14)</f>
        <v>92.14</v>
      </c>
      <c r="K2058" s="2"/>
      <c r="L2058" s="49"/>
      <c r="M2058" s="49"/>
      <c r="N2058" s="49"/>
      <c r="O2058" s="49" t="str">
        <f t="shared" si="2"/>
        <v/>
      </c>
      <c r="P2058" s="49" t="str">
        <f t="shared" si="3"/>
        <v/>
      </c>
      <c r="Q2058" s="84"/>
      <c r="R2058" s="84"/>
      <c r="S2058" s="84"/>
      <c r="T2058" s="84"/>
      <c r="U2058" s="84"/>
      <c r="V2058" s="84"/>
      <c r="W2058" s="84"/>
      <c r="X2058" s="84"/>
      <c r="Y2058" s="84"/>
      <c r="Z2058" s="84"/>
      <c r="AA2058" s="84"/>
      <c r="AB2058" s="84"/>
    </row>
    <row r="2059">
      <c r="A2059" s="69">
        <v>137.0</v>
      </c>
      <c r="B2059" s="69">
        <v>211.0</v>
      </c>
      <c r="C2059" s="86" t="s">
        <v>459</v>
      </c>
      <c r="D2059" s="86" t="s">
        <v>460</v>
      </c>
      <c r="E2059" s="86" t="s">
        <v>461</v>
      </c>
      <c r="F2059" s="69">
        <v>6500.0</v>
      </c>
      <c r="G2059" s="69">
        <v>16.7</v>
      </c>
      <c r="H2059" s="68">
        <f t="shared" si="1"/>
        <v>151.56</v>
      </c>
      <c r="I2059" s="81">
        <f>IFERROR(__xludf.DUMMYFUNCTION("IF(G2059="""", """", ROUND(G2059 / MAX(FILTER($G$2:$G5067, $D$2:$D5067=$D2059)) * 100, 2))"),94.35)</f>
        <v>94.35</v>
      </c>
      <c r="J2059" s="81">
        <f>IFERROR(__xludf.DUMMYFUNCTION("IF(H2059="""", """", ROUND(H2059 / MAX(FILTER($H$2:$H5067, $D$2:$D5067=$D2059)) * 100, 2))"),96.92)</f>
        <v>96.92</v>
      </c>
      <c r="K2059" s="2"/>
      <c r="L2059" s="48"/>
      <c r="M2059" s="48"/>
      <c r="N2059" s="48"/>
      <c r="O2059" s="48" t="str">
        <f t="shared" si="2"/>
        <v/>
      </c>
      <c r="P2059" s="48" t="str">
        <f t="shared" si="3"/>
        <v/>
      </c>
      <c r="Q2059" s="84"/>
      <c r="R2059" s="84"/>
      <c r="S2059" s="84"/>
      <c r="T2059" s="84"/>
      <c r="U2059" s="84"/>
      <c r="V2059" s="84"/>
      <c r="W2059" s="84"/>
      <c r="X2059" s="84"/>
      <c r="Y2059" s="84"/>
      <c r="Z2059" s="84"/>
      <c r="AA2059" s="84"/>
      <c r="AB2059" s="84"/>
    </row>
    <row r="2060">
      <c r="A2060" s="63">
        <v>137.0</v>
      </c>
      <c r="B2060" s="63">
        <v>211.0</v>
      </c>
      <c r="C2060" s="64" t="s">
        <v>459</v>
      </c>
      <c r="D2060" s="64" t="s">
        <v>460</v>
      </c>
      <c r="E2060" s="64" t="s">
        <v>461</v>
      </c>
      <c r="F2060" s="63">
        <v>7000.0</v>
      </c>
      <c r="G2060" s="63">
        <v>16.0</v>
      </c>
      <c r="H2060" s="66">
        <f t="shared" si="1"/>
        <v>156.38</v>
      </c>
      <c r="I2060" s="81">
        <f>IFERROR(__xludf.DUMMYFUNCTION("IF(G2060="""", """", ROUND(G2060 / MAX(FILTER($G$2:$G5067, $D$2:$D5067=$D2060)) * 100, 2))"),90.4)</f>
        <v>90.4</v>
      </c>
      <c r="J2060" s="81">
        <f>IFERROR(__xludf.DUMMYFUNCTION("IF(H2060="""", """", ROUND(H2060 / MAX(FILTER($H$2:$H5067, $D$2:$D5067=$D2060)) * 100, 2))"),100.0)</f>
        <v>100</v>
      </c>
      <c r="K2060" s="2"/>
      <c r="L2060" s="49"/>
      <c r="M2060" s="49"/>
      <c r="N2060" s="49"/>
      <c r="O2060" s="49" t="str">
        <f t="shared" si="2"/>
        <v/>
      </c>
      <c r="P2060" s="49" t="str">
        <f t="shared" si="3"/>
        <v/>
      </c>
      <c r="Q2060" s="84"/>
      <c r="R2060" s="84"/>
      <c r="S2060" s="84"/>
      <c r="T2060" s="84"/>
      <c r="U2060" s="84"/>
      <c r="V2060" s="84"/>
      <c r="W2060" s="84"/>
      <c r="X2060" s="84"/>
      <c r="Y2060" s="84"/>
      <c r="Z2060" s="84"/>
      <c r="AA2060" s="84"/>
      <c r="AB2060" s="84"/>
    </row>
    <row r="2061">
      <c r="A2061" s="69">
        <v>137.0</v>
      </c>
      <c r="B2061" s="69">
        <v>211.0</v>
      </c>
      <c r="C2061" s="86" t="s">
        <v>459</v>
      </c>
      <c r="D2061" s="86" t="s">
        <v>460</v>
      </c>
      <c r="E2061" s="86" t="s">
        <v>461</v>
      </c>
      <c r="F2061" s="69">
        <v>7500.0</v>
      </c>
      <c r="G2061" s="69">
        <v>14.45</v>
      </c>
      <c r="H2061" s="68">
        <f t="shared" si="1"/>
        <v>151.32</v>
      </c>
      <c r="I2061" s="81">
        <f>IFERROR(__xludf.DUMMYFUNCTION("IF(G2061="""", """", ROUND(G2061 / MAX(FILTER($G$2:$G5067, $D$2:$D5067=$D2061)) * 100, 2))"),81.64)</f>
        <v>81.64</v>
      </c>
      <c r="J2061" s="81">
        <f>IFERROR(__xludf.DUMMYFUNCTION("IF(H2061="""", """", ROUND(H2061 / MAX(FILTER($H$2:$H5067, $D$2:$D5067=$D2061)) * 100, 2))"),96.76)</f>
        <v>96.76</v>
      </c>
      <c r="K2061" s="2"/>
      <c r="L2061" s="48"/>
      <c r="M2061" s="48"/>
      <c r="N2061" s="48"/>
      <c r="O2061" s="48" t="str">
        <f t="shared" si="2"/>
        <v/>
      </c>
      <c r="P2061" s="48" t="str">
        <f t="shared" si="3"/>
        <v/>
      </c>
      <c r="Q2061" s="84"/>
      <c r="R2061" s="84"/>
      <c r="S2061" s="84"/>
      <c r="T2061" s="84"/>
      <c r="U2061" s="84"/>
      <c r="V2061" s="84"/>
      <c r="W2061" s="84"/>
      <c r="X2061" s="84"/>
      <c r="Y2061" s="84"/>
      <c r="Z2061" s="84"/>
      <c r="AA2061" s="84"/>
      <c r="AB2061" s="84"/>
    </row>
    <row r="2062">
      <c r="A2062" s="63">
        <v>137.0</v>
      </c>
      <c r="B2062" s="63">
        <v>211.0</v>
      </c>
      <c r="C2062" s="64" t="s">
        <v>459</v>
      </c>
      <c r="D2062" s="64" t="s">
        <v>460</v>
      </c>
      <c r="E2062" s="64" t="s">
        <v>461</v>
      </c>
      <c r="F2062" s="63">
        <v>8000.0</v>
      </c>
      <c r="G2062" s="63">
        <v>10.35</v>
      </c>
      <c r="H2062" s="66">
        <f t="shared" si="1"/>
        <v>115.61</v>
      </c>
      <c r="I2062" s="81">
        <f>IFERROR(__xludf.DUMMYFUNCTION("IF(G2062="""", """", ROUND(G2062 / MAX(FILTER($G$2:$G5067, $D$2:$D5067=$D2062)) * 100, 2))"),58.47)</f>
        <v>58.47</v>
      </c>
      <c r="J2062" s="81">
        <f>IFERROR(__xludf.DUMMYFUNCTION("IF(H2062="""", """", ROUND(H2062 / MAX(FILTER($H$2:$H5067, $D$2:$D5067=$D2062)) * 100, 2))"),73.93)</f>
        <v>73.93</v>
      </c>
      <c r="K2062" s="2"/>
      <c r="L2062" s="49"/>
      <c r="M2062" s="49"/>
      <c r="N2062" s="49"/>
      <c r="O2062" s="49" t="str">
        <f t="shared" si="2"/>
        <v/>
      </c>
      <c r="P2062" s="49" t="str">
        <f t="shared" si="3"/>
        <v/>
      </c>
      <c r="Q2062" s="84"/>
      <c r="R2062" s="84"/>
      <c r="S2062" s="84"/>
      <c r="T2062" s="84"/>
      <c r="U2062" s="84"/>
      <c r="V2062" s="84"/>
      <c r="W2062" s="84"/>
      <c r="X2062" s="84"/>
      <c r="Y2062" s="84"/>
      <c r="Z2062" s="84"/>
      <c r="AA2062" s="84"/>
      <c r="AB2062" s="84"/>
    </row>
    <row r="2063">
      <c r="A2063" s="69">
        <v>138.0</v>
      </c>
      <c r="B2063" s="69">
        <v>212.0</v>
      </c>
      <c r="C2063" s="86" t="s">
        <v>462</v>
      </c>
      <c r="D2063" s="86" t="s">
        <v>463</v>
      </c>
      <c r="E2063" s="86" t="s">
        <v>464</v>
      </c>
      <c r="F2063" s="69">
        <v>500.0</v>
      </c>
      <c r="G2063" s="69">
        <v>28.5</v>
      </c>
      <c r="H2063" s="68">
        <f t="shared" si="1"/>
        <v>19.9</v>
      </c>
      <c r="I2063" s="81">
        <f>IFERROR(__xludf.DUMMYFUNCTION("IF(G2063="""", """", ROUND(G2063 / MAX(FILTER($G$2:$G5067, $D$2:$D5067=$D2063)) * 100, 2))"),58.4)</f>
        <v>58.4</v>
      </c>
      <c r="J2063" s="81">
        <f>IFERROR(__xludf.DUMMYFUNCTION("IF(H2063="""", """", ROUND(H2063 / MAX(FILTER($H$2:$H5067, $D$2:$D5067=$D2063)) * 100, 2))"),5.94)</f>
        <v>5.94</v>
      </c>
      <c r="K2063" s="2"/>
      <c r="L2063" s="48"/>
      <c r="M2063" s="48"/>
      <c r="N2063" s="48"/>
      <c r="O2063" s="48" t="str">
        <f t="shared" si="2"/>
        <v/>
      </c>
      <c r="P2063" s="48" t="str">
        <f t="shared" si="3"/>
        <v/>
      </c>
      <c r="Q2063" s="84"/>
      <c r="R2063" s="84"/>
      <c r="S2063" s="84"/>
      <c r="T2063" s="84"/>
      <c r="U2063" s="84"/>
      <c r="V2063" s="84"/>
      <c r="W2063" s="84"/>
      <c r="X2063" s="84"/>
      <c r="Y2063" s="84"/>
      <c r="Z2063" s="84"/>
      <c r="AA2063" s="84"/>
      <c r="AB2063" s="84"/>
    </row>
    <row r="2064">
      <c r="A2064" s="63">
        <v>138.0</v>
      </c>
      <c r="B2064" s="63">
        <v>212.0</v>
      </c>
      <c r="C2064" s="64" t="s">
        <v>462</v>
      </c>
      <c r="D2064" s="64" t="s">
        <v>463</v>
      </c>
      <c r="E2064" s="64" t="s">
        <v>464</v>
      </c>
      <c r="F2064" s="63">
        <v>1000.0</v>
      </c>
      <c r="G2064" s="63">
        <v>36.0</v>
      </c>
      <c r="H2064" s="66">
        <f t="shared" si="1"/>
        <v>50.27</v>
      </c>
      <c r="I2064" s="81">
        <f>IFERROR(__xludf.DUMMYFUNCTION("IF(G2064="""", """", ROUND(G2064 / MAX(FILTER($G$2:$G5067, $D$2:$D5067=$D2064)) * 100, 2))"),73.77)</f>
        <v>73.77</v>
      </c>
      <c r="J2064" s="81">
        <f>IFERROR(__xludf.DUMMYFUNCTION("IF(H2064="""", """", ROUND(H2064 / MAX(FILTER($H$2:$H5067, $D$2:$D5067=$D2064)) * 100, 2))"),15.0)</f>
        <v>15</v>
      </c>
      <c r="K2064" s="2"/>
      <c r="L2064" s="49"/>
      <c r="M2064" s="49"/>
      <c r="N2064" s="49"/>
      <c r="O2064" s="49" t="str">
        <f t="shared" si="2"/>
        <v/>
      </c>
      <c r="P2064" s="49" t="str">
        <f t="shared" si="3"/>
        <v/>
      </c>
      <c r="Q2064" s="84"/>
      <c r="R2064" s="84"/>
      <c r="S2064" s="84"/>
      <c r="T2064" s="84"/>
      <c r="U2064" s="84"/>
      <c r="V2064" s="84"/>
      <c r="W2064" s="84"/>
      <c r="X2064" s="84"/>
      <c r="Y2064" s="84"/>
      <c r="Z2064" s="84"/>
      <c r="AA2064" s="84"/>
      <c r="AB2064" s="84"/>
    </row>
    <row r="2065">
      <c r="A2065" s="69">
        <v>138.0</v>
      </c>
      <c r="B2065" s="69">
        <v>212.0</v>
      </c>
      <c r="C2065" s="86" t="s">
        <v>462</v>
      </c>
      <c r="D2065" s="86" t="s">
        <v>463</v>
      </c>
      <c r="E2065" s="86" t="s">
        <v>464</v>
      </c>
      <c r="F2065" s="69">
        <v>1500.0</v>
      </c>
      <c r="G2065" s="69">
        <v>40.05</v>
      </c>
      <c r="H2065" s="68">
        <f t="shared" si="1"/>
        <v>83.88</v>
      </c>
      <c r="I2065" s="81">
        <f>IFERROR(__xludf.DUMMYFUNCTION("IF(G2065="""", """", ROUND(G2065 / MAX(FILTER($G$2:$G5067, $D$2:$D5067=$D2065)) * 100, 2))"),82.07)</f>
        <v>82.07</v>
      </c>
      <c r="J2065" s="81">
        <f>IFERROR(__xludf.DUMMYFUNCTION("IF(H2065="""", """", ROUND(H2065 / MAX(FILTER($H$2:$H5067, $D$2:$D5067=$D2065)) * 100, 2))"),25.03)</f>
        <v>25.03</v>
      </c>
      <c r="K2065" s="2"/>
      <c r="L2065" s="48"/>
      <c r="M2065" s="48"/>
      <c r="N2065" s="48"/>
      <c r="O2065" s="48" t="str">
        <f t="shared" si="2"/>
        <v/>
      </c>
      <c r="P2065" s="48" t="str">
        <f t="shared" si="3"/>
        <v/>
      </c>
      <c r="Q2065" s="84"/>
      <c r="R2065" s="84"/>
      <c r="S2065" s="84"/>
      <c r="T2065" s="84"/>
      <c r="U2065" s="84"/>
      <c r="V2065" s="84"/>
      <c r="W2065" s="84"/>
      <c r="X2065" s="84"/>
      <c r="Y2065" s="84"/>
      <c r="Z2065" s="84"/>
      <c r="AA2065" s="84"/>
      <c r="AB2065" s="84"/>
    </row>
    <row r="2066">
      <c r="A2066" s="63">
        <v>138.0</v>
      </c>
      <c r="B2066" s="63">
        <v>212.0</v>
      </c>
      <c r="C2066" s="64" t="s">
        <v>462</v>
      </c>
      <c r="D2066" s="64" t="s">
        <v>463</v>
      </c>
      <c r="E2066" s="64" t="s">
        <v>464</v>
      </c>
      <c r="F2066" s="63">
        <v>2000.0</v>
      </c>
      <c r="G2066" s="63">
        <v>42.9</v>
      </c>
      <c r="H2066" s="66">
        <f t="shared" si="1"/>
        <v>119.8</v>
      </c>
      <c r="I2066" s="81">
        <f>IFERROR(__xludf.DUMMYFUNCTION("IF(G2066="""", """", ROUND(G2066 / MAX(FILTER($G$2:$G5067, $D$2:$D5067=$D2066)) * 100, 2))"),87.91)</f>
        <v>87.91</v>
      </c>
      <c r="J2066" s="81">
        <f>IFERROR(__xludf.DUMMYFUNCTION("IF(H2066="""", """", ROUND(H2066 / MAX(FILTER($H$2:$H5067, $D$2:$D5067=$D2066)) * 100, 2))"),35.75)</f>
        <v>35.75</v>
      </c>
      <c r="K2066" s="2"/>
      <c r="L2066" s="49"/>
      <c r="M2066" s="49"/>
      <c r="N2066" s="49"/>
      <c r="O2066" s="49" t="str">
        <f t="shared" si="2"/>
        <v/>
      </c>
      <c r="P2066" s="49" t="str">
        <f t="shared" si="3"/>
        <v/>
      </c>
      <c r="Q2066" s="84"/>
      <c r="R2066" s="84"/>
      <c r="S2066" s="84"/>
      <c r="T2066" s="84"/>
      <c r="U2066" s="84"/>
      <c r="V2066" s="84"/>
      <c r="W2066" s="84"/>
      <c r="X2066" s="84"/>
      <c r="Y2066" s="84"/>
      <c r="Z2066" s="84"/>
      <c r="AA2066" s="84"/>
      <c r="AB2066" s="84"/>
    </row>
    <row r="2067">
      <c r="A2067" s="69">
        <v>138.0</v>
      </c>
      <c r="B2067" s="69">
        <v>212.0</v>
      </c>
      <c r="C2067" s="86" t="s">
        <v>462</v>
      </c>
      <c r="D2067" s="86" t="s">
        <v>463</v>
      </c>
      <c r="E2067" s="86" t="s">
        <v>464</v>
      </c>
      <c r="F2067" s="69">
        <v>2500.0</v>
      </c>
      <c r="G2067" s="69">
        <v>45.0</v>
      </c>
      <c r="H2067" s="68">
        <f t="shared" si="1"/>
        <v>157.08</v>
      </c>
      <c r="I2067" s="81">
        <f>IFERROR(__xludf.DUMMYFUNCTION("IF(G2067="""", """", ROUND(G2067 / MAX(FILTER($G$2:$G5067, $D$2:$D5067=$D2067)) * 100, 2))"),92.21)</f>
        <v>92.21</v>
      </c>
      <c r="J2067" s="81">
        <f>IFERROR(__xludf.DUMMYFUNCTION("IF(H2067="""", """", ROUND(H2067 / MAX(FILTER($H$2:$H5067, $D$2:$D5067=$D2067)) * 100, 2))"),46.88)</f>
        <v>46.88</v>
      </c>
      <c r="K2067" s="2"/>
      <c r="L2067" s="48"/>
      <c r="M2067" s="48"/>
      <c r="N2067" s="48"/>
      <c r="O2067" s="48" t="str">
        <f t="shared" si="2"/>
        <v/>
      </c>
      <c r="P2067" s="48" t="str">
        <f t="shared" si="3"/>
        <v/>
      </c>
      <c r="Q2067" s="84"/>
      <c r="R2067" s="84"/>
      <c r="S2067" s="84"/>
      <c r="T2067" s="84"/>
      <c r="U2067" s="84"/>
      <c r="V2067" s="84"/>
      <c r="W2067" s="84"/>
      <c r="X2067" s="84"/>
      <c r="Y2067" s="84"/>
      <c r="Z2067" s="84"/>
      <c r="AA2067" s="84"/>
      <c r="AB2067" s="84"/>
    </row>
    <row r="2068">
      <c r="A2068" s="63">
        <v>138.0</v>
      </c>
      <c r="B2068" s="63">
        <v>212.0</v>
      </c>
      <c r="C2068" s="64" t="s">
        <v>462</v>
      </c>
      <c r="D2068" s="64" t="s">
        <v>463</v>
      </c>
      <c r="E2068" s="64" t="s">
        <v>464</v>
      </c>
      <c r="F2068" s="63">
        <v>3000.0</v>
      </c>
      <c r="G2068" s="63">
        <v>46.65</v>
      </c>
      <c r="H2068" s="66">
        <f t="shared" si="1"/>
        <v>195.41</v>
      </c>
      <c r="I2068" s="81">
        <f>IFERROR(__xludf.DUMMYFUNCTION("IF(G2068="""", """", ROUND(G2068 / MAX(FILTER($G$2:$G5067, $D$2:$D5067=$D2068)) * 100, 2))"),95.59)</f>
        <v>95.59</v>
      </c>
      <c r="J2068" s="81">
        <f>IFERROR(__xludf.DUMMYFUNCTION("IF(H2068="""", """", ROUND(H2068 / MAX(FILTER($H$2:$H5067, $D$2:$D5067=$D2068)) * 100, 2))"),58.31)</f>
        <v>58.31</v>
      </c>
      <c r="K2068" s="2"/>
      <c r="L2068" s="49"/>
      <c r="M2068" s="49"/>
      <c r="N2068" s="49"/>
      <c r="O2068" s="49" t="str">
        <f t="shared" si="2"/>
        <v/>
      </c>
      <c r="P2068" s="49" t="str">
        <f t="shared" si="3"/>
        <v/>
      </c>
      <c r="Q2068" s="84"/>
      <c r="R2068" s="84"/>
      <c r="S2068" s="84"/>
      <c r="T2068" s="84"/>
      <c r="U2068" s="84"/>
      <c r="V2068" s="84"/>
      <c r="W2068" s="84"/>
      <c r="X2068" s="84"/>
      <c r="Y2068" s="84"/>
      <c r="Z2068" s="84"/>
      <c r="AA2068" s="84"/>
      <c r="AB2068" s="84"/>
    </row>
    <row r="2069">
      <c r="A2069" s="69">
        <v>138.0</v>
      </c>
      <c r="B2069" s="69">
        <v>212.0</v>
      </c>
      <c r="C2069" s="86" t="s">
        <v>462</v>
      </c>
      <c r="D2069" s="86" t="s">
        <v>463</v>
      </c>
      <c r="E2069" s="86" t="s">
        <v>464</v>
      </c>
      <c r="F2069" s="69">
        <v>3500.0</v>
      </c>
      <c r="G2069" s="69">
        <v>48.0</v>
      </c>
      <c r="H2069" s="68">
        <f t="shared" si="1"/>
        <v>234.57</v>
      </c>
      <c r="I2069" s="81">
        <f>IFERROR(__xludf.DUMMYFUNCTION("IF(G2069="""", """", ROUND(G2069 / MAX(FILTER($G$2:$G5067, $D$2:$D5067=$D2069)) * 100, 2))"),98.36)</f>
        <v>98.36</v>
      </c>
      <c r="J2069" s="81">
        <f>IFERROR(__xludf.DUMMYFUNCTION("IF(H2069="""", """", ROUND(H2069 / MAX(FILTER($H$2:$H5067, $D$2:$D5067=$D2069)) * 100, 2))"),70.0)</f>
        <v>70</v>
      </c>
      <c r="K2069" s="2"/>
      <c r="L2069" s="48"/>
      <c r="M2069" s="48"/>
      <c r="N2069" s="48"/>
      <c r="O2069" s="48" t="str">
        <f t="shared" si="2"/>
        <v/>
      </c>
      <c r="P2069" s="48" t="str">
        <f t="shared" si="3"/>
        <v/>
      </c>
      <c r="Q2069" s="84"/>
      <c r="R2069" s="84"/>
      <c r="S2069" s="84"/>
      <c r="T2069" s="84"/>
      <c r="U2069" s="84"/>
      <c r="V2069" s="84"/>
      <c r="W2069" s="84"/>
      <c r="X2069" s="84"/>
      <c r="Y2069" s="84"/>
      <c r="Z2069" s="84"/>
      <c r="AA2069" s="84"/>
      <c r="AB2069" s="84"/>
    </row>
    <row r="2070">
      <c r="A2070" s="63">
        <v>138.0</v>
      </c>
      <c r="B2070" s="63">
        <v>212.0</v>
      </c>
      <c r="C2070" s="64" t="s">
        <v>462</v>
      </c>
      <c r="D2070" s="64" t="s">
        <v>463</v>
      </c>
      <c r="E2070" s="64" t="s">
        <v>464</v>
      </c>
      <c r="F2070" s="63">
        <v>4000.0</v>
      </c>
      <c r="G2070" s="63">
        <v>48.8</v>
      </c>
      <c r="H2070" s="66">
        <f t="shared" si="1"/>
        <v>272.55</v>
      </c>
      <c r="I2070" s="81">
        <f>IFERROR(__xludf.DUMMYFUNCTION("IF(G2070="""", """", ROUND(G2070 / MAX(FILTER($G$2:$G5067, $D$2:$D5067=$D2070)) * 100, 2))"),100.0)</f>
        <v>100</v>
      </c>
      <c r="J2070" s="81">
        <f>IFERROR(__xludf.DUMMYFUNCTION("IF(H2070="""", """", ROUND(H2070 / MAX(FILTER($H$2:$H5067, $D$2:$D5067=$D2070)) * 100, 2))"),81.33)</f>
        <v>81.33</v>
      </c>
      <c r="K2070" s="2"/>
      <c r="L2070" s="49"/>
      <c r="M2070" s="49"/>
      <c r="N2070" s="49"/>
      <c r="O2070" s="49" t="str">
        <f t="shared" si="2"/>
        <v/>
      </c>
      <c r="P2070" s="49" t="str">
        <f t="shared" si="3"/>
        <v/>
      </c>
      <c r="Q2070" s="84"/>
      <c r="R2070" s="84"/>
      <c r="S2070" s="84"/>
      <c r="T2070" s="84"/>
      <c r="U2070" s="84"/>
      <c r="V2070" s="84"/>
      <c r="W2070" s="84"/>
      <c r="X2070" s="84"/>
      <c r="Y2070" s="84"/>
      <c r="Z2070" s="84"/>
      <c r="AA2070" s="84"/>
      <c r="AB2070" s="84"/>
    </row>
    <row r="2071">
      <c r="A2071" s="69">
        <v>138.0</v>
      </c>
      <c r="B2071" s="69">
        <v>212.0</v>
      </c>
      <c r="C2071" s="86" t="s">
        <v>462</v>
      </c>
      <c r="D2071" s="86" t="s">
        <v>463</v>
      </c>
      <c r="E2071" s="86" t="s">
        <v>464</v>
      </c>
      <c r="F2071" s="69">
        <v>4500.0</v>
      </c>
      <c r="G2071" s="69">
        <v>47.4</v>
      </c>
      <c r="H2071" s="68">
        <f t="shared" si="1"/>
        <v>297.82</v>
      </c>
      <c r="I2071" s="81">
        <f>IFERROR(__xludf.DUMMYFUNCTION("IF(G2071="""", """", ROUND(G2071 / MAX(FILTER($G$2:$G5067, $D$2:$D5067=$D2071)) * 100, 2))"),97.13)</f>
        <v>97.13</v>
      </c>
      <c r="J2071" s="81">
        <f>IFERROR(__xludf.DUMMYFUNCTION("IF(H2071="""", """", ROUND(H2071 / MAX(FILTER($H$2:$H5067, $D$2:$D5067=$D2071)) * 100, 2))"),88.87)</f>
        <v>88.87</v>
      </c>
      <c r="K2071" s="2"/>
      <c r="L2071" s="48"/>
      <c r="M2071" s="48"/>
      <c r="N2071" s="48"/>
      <c r="O2071" s="48" t="str">
        <f t="shared" si="2"/>
        <v/>
      </c>
      <c r="P2071" s="48" t="str">
        <f t="shared" si="3"/>
        <v/>
      </c>
      <c r="Q2071" s="84"/>
      <c r="R2071" s="84"/>
      <c r="S2071" s="84"/>
      <c r="T2071" s="84"/>
      <c r="U2071" s="84"/>
      <c r="V2071" s="84"/>
      <c r="W2071" s="84"/>
      <c r="X2071" s="84"/>
      <c r="Y2071" s="84"/>
      <c r="Z2071" s="84"/>
      <c r="AA2071" s="84"/>
      <c r="AB2071" s="84"/>
    </row>
    <row r="2072">
      <c r="A2072" s="63">
        <v>138.0</v>
      </c>
      <c r="B2072" s="63">
        <v>212.0</v>
      </c>
      <c r="C2072" s="64" t="s">
        <v>462</v>
      </c>
      <c r="D2072" s="64" t="s">
        <v>463</v>
      </c>
      <c r="E2072" s="64" t="s">
        <v>464</v>
      </c>
      <c r="F2072" s="63">
        <v>5000.0</v>
      </c>
      <c r="G2072" s="63">
        <v>45.75</v>
      </c>
      <c r="H2072" s="66">
        <f t="shared" si="1"/>
        <v>319.39</v>
      </c>
      <c r="I2072" s="81">
        <f>IFERROR(__xludf.DUMMYFUNCTION("IF(G2072="""", """", ROUND(G2072 / MAX(FILTER($G$2:$G5067, $D$2:$D5067=$D2072)) * 100, 2))"),93.75)</f>
        <v>93.75</v>
      </c>
      <c r="J2072" s="81">
        <f>IFERROR(__xludf.DUMMYFUNCTION("IF(H2072="""", """", ROUND(H2072 / MAX(FILTER($H$2:$H5067, $D$2:$D5067=$D2072)) * 100, 2))"),95.31)</f>
        <v>95.31</v>
      </c>
      <c r="K2072" s="2"/>
      <c r="L2072" s="49"/>
      <c r="M2072" s="49"/>
      <c r="N2072" s="49"/>
      <c r="O2072" s="49" t="str">
        <f t="shared" si="2"/>
        <v/>
      </c>
      <c r="P2072" s="49" t="str">
        <f t="shared" si="3"/>
        <v/>
      </c>
      <c r="Q2072" s="84"/>
      <c r="R2072" s="84"/>
      <c r="S2072" s="84"/>
      <c r="T2072" s="84"/>
      <c r="U2072" s="84"/>
      <c r="V2072" s="84"/>
      <c r="W2072" s="84"/>
      <c r="X2072" s="84"/>
      <c r="Y2072" s="84"/>
      <c r="Z2072" s="84"/>
      <c r="AA2072" s="84"/>
      <c r="AB2072" s="84"/>
    </row>
    <row r="2073">
      <c r="A2073" s="69">
        <v>138.0</v>
      </c>
      <c r="B2073" s="69">
        <v>212.0</v>
      </c>
      <c r="C2073" s="86" t="s">
        <v>462</v>
      </c>
      <c r="D2073" s="86" t="s">
        <v>463</v>
      </c>
      <c r="E2073" s="86" t="s">
        <v>464</v>
      </c>
      <c r="F2073" s="69">
        <v>5500.0</v>
      </c>
      <c r="G2073" s="69">
        <v>43.05</v>
      </c>
      <c r="H2073" s="68">
        <f t="shared" si="1"/>
        <v>330.6</v>
      </c>
      <c r="I2073" s="81">
        <f>IFERROR(__xludf.DUMMYFUNCTION("IF(G2073="""", """", ROUND(G2073 / MAX(FILTER($G$2:$G5067, $D$2:$D5067=$D2073)) * 100, 2))"),88.22)</f>
        <v>88.22</v>
      </c>
      <c r="J2073" s="81">
        <f>IFERROR(__xludf.DUMMYFUNCTION("IF(H2073="""", """", ROUND(H2073 / MAX(FILTER($H$2:$H5067, $D$2:$D5067=$D2073)) * 100, 2))"),98.66)</f>
        <v>98.66</v>
      </c>
      <c r="K2073" s="2"/>
      <c r="L2073" s="48"/>
      <c r="M2073" s="48"/>
      <c r="N2073" s="48"/>
      <c r="O2073" s="48" t="str">
        <f t="shared" si="2"/>
        <v/>
      </c>
      <c r="P2073" s="48" t="str">
        <f t="shared" si="3"/>
        <v/>
      </c>
      <c r="Q2073" s="84"/>
      <c r="R2073" s="84"/>
      <c r="S2073" s="84"/>
      <c r="T2073" s="84"/>
      <c r="U2073" s="84"/>
      <c r="V2073" s="84"/>
      <c r="W2073" s="84"/>
      <c r="X2073" s="84"/>
      <c r="Y2073" s="84"/>
      <c r="Z2073" s="84"/>
      <c r="AA2073" s="84"/>
      <c r="AB2073" s="84"/>
    </row>
    <row r="2074">
      <c r="A2074" s="63">
        <v>138.0</v>
      </c>
      <c r="B2074" s="63">
        <v>212.0</v>
      </c>
      <c r="C2074" s="64" t="s">
        <v>462</v>
      </c>
      <c r="D2074" s="64" t="s">
        <v>463</v>
      </c>
      <c r="E2074" s="64" t="s">
        <v>464</v>
      </c>
      <c r="F2074" s="63">
        <v>6000.0</v>
      </c>
      <c r="G2074" s="63">
        <v>40.0</v>
      </c>
      <c r="H2074" s="66">
        <f t="shared" si="1"/>
        <v>335.1</v>
      </c>
      <c r="I2074" s="81">
        <f>IFERROR(__xludf.DUMMYFUNCTION("IF(G2074="""", """", ROUND(G2074 / MAX(FILTER($G$2:$G5067, $D$2:$D5067=$D2074)) * 100, 2))"),81.97)</f>
        <v>81.97</v>
      </c>
      <c r="J2074" s="81">
        <f>IFERROR(__xludf.DUMMYFUNCTION("IF(H2074="""", """", ROUND(H2074 / MAX(FILTER($H$2:$H5067, $D$2:$D5067=$D2074)) * 100, 2))"),100.0)</f>
        <v>100</v>
      </c>
      <c r="K2074" s="2"/>
      <c r="L2074" s="49"/>
      <c r="M2074" s="49"/>
      <c r="N2074" s="49"/>
      <c r="O2074" s="49" t="str">
        <f t="shared" si="2"/>
        <v/>
      </c>
      <c r="P2074" s="49" t="str">
        <f t="shared" si="3"/>
        <v/>
      </c>
      <c r="Q2074" s="84"/>
      <c r="R2074" s="84"/>
      <c r="S2074" s="84"/>
      <c r="T2074" s="84"/>
      <c r="U2074" s="84"/>
      <c r="V2074" s="84"/>
      <c r="W2074" s="84"/>
      <c r="X2074" s="84"/>
      <c r="Y2074" s="84"/>
      <c r="Z2074" s="84"/>
      <c r="AA2074" s="84"/>
      <c r="AB2074" s="84"/>
    </row>
    <row r="2075">
      <c r="A2075" s="69">
        <v>138.0</v>
      </c>
      <c r="B2075" s="69">
        <v>212.0</v>
      </c>
      <c r="C2075" s="86" t="s">
        <v>462</v>
      </c>
      <c r="D2075" s="86" t="s">
        <v>463</v>
      </c>
      <c r="E2075" s="86" t="s">
        <v>464</v>
      </c>
      <c r="F2075" s="69">
        <v>6500.0</v>
      </c>
      <c r="G2075" s="69">
        <v>36.0</v>
      </c>
      <c r="H2075" s="68">
        <f t="shared" si="1"/>
        <v>326.72</v>
      </c>
      <c r="I2075" s="81">
        <f>IFERROR(__xludf.DUMMYFUNCTION("IF(G2075="""", """", ROUND(G2075 / MAX(FILTER($G$2:$G5067, $D$2:$D5067=$D2075)) * 100, 2))"),73.77)</f>
        <v>73.77</v>
      </c>
      <c r="J2075" s="81">
        <f>IFERROR(__xludf.DUMMYFUNCTION("IF(H2075="""", """", ROUND(H2075 / MAX(FILTER($H$2:$H5067, $D$2:$D5067=$D2075)) * 100, 2))"),97.5)</f>
        <v>97.5</v>
      </c>
      <c r="K2075" s="2"/>
      <c r="L2075" s="48"/>
      <c r="M2075" s="48"/>
      <c r="N2075" s="48"/>
      <c r="O2075" s="48" t="str">
        <f t="shared" si="2"/>
        <v/>
      </c>
      <c r="P2075" s="48" t="str">
        <f t="shared" si="3"/>
        <v/>
      </c>
      <c r="Q2075" s="84"/>
      <c r="R2075" s="84"/>
      <c r="S2075" s="84"/>
      <c r="T2075" s="84"/>
      <c r="U2075" s="84"/>
      <c r="V2075" s="84"/>
      <c r="W2075" s="84"/>
      <c r="X2075" s="84"/>
      <c r="Y2075" s="84"/>
      <c r="Z2075" s="84"/>
      <c r="AA2075" s="84"/>
      <c r="AB2075" s="84"/>
    </row>
    <row r="2076">
      <c r="A2076" s="63">
        <v>138.0</v>
      </c>
      <c r="B2076" s="63">
        <v>212.0</v>
      </c>
      <c r="C2076" s="64" t="s">
        <v>462</v>
      </c>
      <c r="D2076" s="64" t="s">
        <v>463</v>
      </c>
      <c r="E2076" s="64" t="s">
        <v>464</v>
      </c>
      <c r="F2076" s="63">
        <v>7000.0</v>
      </c>
      <c r="G2076" s="63">
        <v>30.45</v>
      </c>
      <c r="H2076" s="66">
        <f t="shared" si="1"/>
        <v>297.61</v>
      </c>
      <c r="I2076" s="81">
        <f>IFERROR(__xludf.DUMMYFUNCTION("IF(G2076="""", """", ROUND(G2076 / MAX(FILTER($G$2:$G5067, $D$2:$D5067=$D2076)) * 100, 2))"),62.4)</f>
        <v>62.4</v>
      </c>
      <c r="J2076" s="81">
        <f>IFERROR(__xludf.DUMMYFUNCTION("IF(H2076="""", """", ROUND(H2076 / MAX(FILTER($H$2:$H5067, $D$2:$D5067=$D2076)) * 100, 2))"),88.81)</f>
        <v>88.81</v>
      </c>
      <c r="K2076" s="2"/>
      <c r="L2076" s="49"/>
      <c r="M2076" s="49"/>
      <c r="N2076" s="49"/>
      <c r="O2076" s="49" t="str">
        <f t="shared" si="2"/>
        <v/>
      </c>
      <c r="P2076" s="49" t="str">
        <f t="shared" si="3"/>
        <v/>
      </c>
      <c r="Q2076" s="84"/>
      <c r="R2076" s="84"/>
      <c r="S2076" s="84"/>
      <c r="T2076" s="84"/>
      <c r="U2076" s="84"/>
      <c r="V2076" s="84"/>
      <c r="W2076" s="84"/>
      <c r="X2076" s="84"/>
      <c r="Y2076" s="84"/>
      <c r="Z2076" s="84"/>
      <c r="AA2076" s="84"/>
      <c r="AB2076" s="84"/>
    </row>
    <row r="2077">
      <c r="A2077" s="69">
        <v>138.0</v>
      </c>
      <c r="B2077" s="69">
        <v>212.0</v>
      </c>
      <c r="C2077" s="86" t="s">
        <v>462</v>
      </c>
      <c r="D2077" s="86" t="s">
        <v>463</v>
      </c>
      <c r="E2077" s="86" t="s">
        <v>464</v>
      </c>
      <c r="F2077" s="69">
        <v>7500.0</v>
      </c>
      <c r="G2077" s="69">
        <v>22.65</v>
      </c>
      <c r="H2077" s="68">
        <f t="shared" si="1"/>
        <v>237.19</v>
      </c>
      <c r="I2077" s="81">
        <f>IFERROR(__xludf.DUMMYFUNCTION("IF(G2077="""", """", ROUND(G2077 / MAX(FILTER($G$2:$G5067, $D$2:$D5067=$D2077)) * 100, 2))"),46.41)</f>
        <v>46.41</v>
      </c>
      <c r="J2077" s="81">
        <f>IFERROR(__xludf.DUMMYFUNCTION("IF(H2077="""", """", ROUND(H2077 / MAX(FILTER($H$2:$H5067, $D$2:$D5067=$D2077)) * 100, 2))"),70.78)</f>
        <v>70.78</v>
      </c>
      <c r="K2077" s="2"/>
      <c r="L2077" s="48"/>
      <c r="M2077" s="48"/>
      <c r="N2077" s="48"/>
      <c r="O2077" s="48" t="str">
        <f t="shared" si="2"/>
        <v/>
      </c>
      <c r="P2077" s="48" t="str">
        <f t="shared" si="3"/>
        <v/>
      </c>
      <c r="Q2077" s="84"/>
      <c r="R2077" s="84"/>
      <c r="S2077" s="84"/>
      <c r="T2077" s="84"/>
      <c r="U2077" s="84"/>
      <c r="V2077" s="84"/>
      <c r="W2077" s="84"/>
      <c r="X2077" s="84"/>
      <c r="Y2077" s="84"/>
      <c r="Z2077" s="84"/>
      <c r="AA2077" s="84"/>
      <c r="AB2077" s="84"/>
    </row>
    <row r="2078">
      <c r="A2078" s="63">
        <v>139.0</v>
      </c>
      <c r="B2078" s="63">
        <v>215.0</v>
      </c>
      <c r="C2078" s="64" t="s">
        <v>465</v>
      </c>
      <c r="D2078" s="64" t="s">
        <v>466</v>
      </c>
      <c r="E2078" s="64" t="s">
        <v>467</v>
      </c>
      <c r="F2078" s="63">
        <v>500.0</v>
      </c>
      <c r="G2078" s="63">
        <v>19.3</v>
      </c>
      <c r="H2078" s="66">
        <f t="shared" si="1"/>
        <v>13.47</v>
      </c>
      <c r="I2078" s="81">
        <f>IFERROR(__xludf.DUMMYFUNCTION("IF(G2078="""", """", ROUND(G2078 / MAX(FILTER($G$2:$G5067, $D$2:$D5067=$D2078)) * 100, 2))"),63.07)</f>
        <v>63.07</v>
      </c>
      <c r="J2078" s="81">
        <f>IFERROR(__xludf.DUMMYFUNCTION("IF(H2078="""", """", ROUND(H2078 / MAX(FILTER($H$2:$H5067, $D$2:$D5067=$D2078)) * 100, 2))"),5.84)</f>
        <v>5.84</v>
      </c>
      <c r="K2078" s="2"/>
      <c r="L2078" s="49"/>
      <c r="M2078" s="49"/>
      <c r="N2078" s="49"/>
      <c r="O2078" s="49" t="str">
        <f t="shared" si="2"/>
        <v/>
      </c>
      <c r="P2078" s="49" t="str">
        <f t="shared" si="3"/>
        <v/>
      </c>
      <c r="Q2078" s="84"/>
      <c r="R2078" s="84"/>
      <c r="S2078" s="84"/>
      <c r="T2078" s="84"/>
      <c r="U2078" s="84"/>
      <c r="V2078" s="84"/>
      <c r="W2078" s="84"/>
      <c r="X2078" s="84"/>
      <c r="Y2078" s="84"/>
      <c r="Z2078" s="84"/>
      <c r="AA2078" s="84"/>
      <c r="AB2078" s="84"/>
    </row>
    <row r="2079">
      <c r="A2079" s="69">
        <v>139.0</v>
      </c>
      <c r="B2079" s="69">
        <v>215.0</v>
      </c>
      <c r="C2079" s="86" t="s">
        <v>465</v>
      </c>
      <c r="D2079" s="86" t="s">
        <v>466</v>
      </c>
      <c r="E2079" s="86" t="s">
        <v>467</v>
      </c>
      <c r="F2079" s="69">
        <v>1000.0</v>
      </c>
      <c r="G2079" s="69">
        <v>22.8</v>
      </c>
      <c r="H2079" s="68">
        <f t="shared" si="1"/>
        <v>31.83</v>
      </c>
      <c r="I2079" s="81">
        <f>IFERROR(__xludf.DUMMYFUNCTION("IF(G2079="""", """", ROUND(G2079 / MAX(FILTER($G$2:$G5067, $D$2:$D5067=$D2079)) * 100, 2))"),74.51)</f>
        <v>74.51</v>
      </c>
      <c r="J2079" s="81">
        <f>IFERROR(__xludf.DUMMYFUNCTION("IF(H2079="""", """", ROUND(H2079 / MAX(FILTER($H$2:$H5067, $D$2:$D5067=$D2079)) * 100, 2))"),13.8)</f>
        <v>13.8</v>
      </c>
      <c r="K2079" s="2"/>
      <c r="L2079" s="48"/>
      <c r="M2079" s="48"/>
      <c r="N2079" s="48"/>
      <c r="O2079" s="48" t="str">
        <f t="shared" si="2"/>
        <v/>
      </c>
      <c r="P2079" s="48" t="str">
        <f t="shared" si="3"/>
        <v/>
      </c>
      <c r="Q2079" s="84"/>
      <c r="R2079" s="84"/>
      <c r="S2079" s="84"/>
      <c r="T2079" s="84"/>
      <c r="U2079" s="84"/>
      <c r="V2079" s="84"/>
      <c r="W2079" s="84"/>
      <c r="X2079" s="84"/>
      <c r="Y2079" s="84"/>
      <c r="Z2079" s="84"/>
      <c r="AA2079" s="84"/>
      <c r="AB2079" s="84"/>
    </row>
    <row r="2080">
      <c r="A2080" s="63">
        <v>139.0</v>
      </c>
      <c r="B2080" s="63">
        <v>215.0</v>
      </c>
      <c r="C2080" s="64" t="s">
        <v>465</v>
      </c>
      <c r="D2080" s="64" t="s">
        <v>466</v>
      </c>
      <c r="E2080" s="64" t="s">
        <v>467</v>
      </c>
      <c r="F2080" s="63">
        <v>1500.0</v>
      </c>
      <c r="G2080" s="63">
        <v>25.8</v>
      </c>
      <c r="H2080" s="66">
        <f t="shared" si="1"/>
        <v>54.04</v>
      </c>
      <c r="I2080" s="81">
        <f>IFERROR(__xludf.DUMMYFUNCTION("IF(G2080="""", """", ROUND(G2080 / MAX(FILTER($G$2:$G5067, $D$2:$D5067=$D2080)) * 100, 2))"),84.31)</f>
        <v>84.31</v>
      </c>
      <c r="J2080" s="81">
        <f>IFERROR(__xludf.DUMMYFUNCTION("IF(H2080="""", """", ROUND(H2080 / MAX(FILTER($H$2:$H5067, $D$2:$D5067=$D2080)) * 100, 2))"),23.43)</f>
        <v>23.43</v>
      </c>
      <c r="K2080" s="2"/>
      <c r="L2080" s="49"/>
      <c r="M2080" s="49"/>
      <c r="N2080" s="49"/>
      <c r="O2080" s="49" t="str">
        <f t="shared" si="2"/>
        <v/>
      </c>
      <c r="P2080" s="49" t="str">
        <f t="shared" si="3"/>
        <v/>
      </c>
      <c r="Q2080" s="84"/>
      <c r="R2080" s="84"/>
      <c r="S2080" s="84"/>
      <c r="T2080" s="84"/>
      <c r="U2080" s="84"/>
      <c r="V2080" s="84"/>
      <c r="W2080" s="84"/>
      <c r="X2080" s="84"/>
      <c r="Y2080" s="84"/>
      <c r="Z2080" s="84"/>
      <c r="AA2080" s="84"/>
      <c r="AB2080" s="84"/>
    </row>
    <row r="2081">
      <c r="A2081" s="69">
        <v>139.0</v>
      </c>
      <c r="B2081" s="69">
        <v>215.0</v>
      </c>
      <c r="C2081" s="86" t="s">
        <v>465</v>
      </c>
      <c r="D2081" s="86" t="s">
        <v>466</v>
      </c>
      <c r="E2081" s="86" t="s">
        <v>467</v>
      </c>
      <c r="F2081" s="69">
        <v>2000.0</v>
      </c>
      <c r="G2081" s="69">
        <v>28.4</v>
      </c>
      <c r="H2081" s="68">
        <f t="shared" si="1"/>
        <v>79.31</v>
      </c>
      <c r="I2081" s="81">
        <f>IFERROR(__xludf.DUMMYFUNCTION("IF(G2081="""", """", ROUND(G2081 / MAX(FILTER($G$2:$G5067, $D$2:$D5067=$D2081)) * 100, 2))"),92.81)</f>
        <v>92.81</v>
      </c>
      <c r="J2081" s="81">
        <f>IFERROR(__xludf.DUMMYFUNCTION("IF(H2081="""", """", ROUND(H2081 / MAX(FILTER($H$2:$H5067, $D$2:$D5067=$D2081)) * 100, 2))"),34.38)</f>
        <v>34.38</v>
      </c>
      <c r="K2081" s="2"/>
      <c r="L2081" s="48"/>
      <c r="M2081" s="48"/>
      <c r="N2081" s="48"/>
      <c r="O2081" s="48" t="str">
        <f t="shared" si="2"/>
        <v/>
      </c>
      <c r="P2081" s="48" t="str">
        <f t="shared" si="3"/>
        <v/>
      </c>
      <c r="Q2081" s="84"/>
      <c r="R2081" s="84"/>
      <c r="S2081" s="84"/>
      <c r="T2081" s="84"/>
      <c r="U2081" s="84"/>
      <c r="V2081" s="84"/>
      <c r="W2081" s="84"/>
      <c r="X2081" s="84"/>
      <c r="Y2081" s="84"/>
      <c r="Z2081" s="84"/>
      <c r="AA2081" s="84"/>
      <c r="AB2081" s="84"/>
    </row>
    <row r="2082">
      <c r="A2082" s="63">
        <v>139.0</v>
      </c>
      <c r="B2082" s="63">
        <v>215.0</v>
      </c>
      <c r="C2082" s="64" t="s">
        <v>465</v>
      </c>
      <c r="D2082" s="64" t="s">
        <v>466</v>
      </c>
      <c r="E2082" s="64" t="s">
        <v>467</v>
      </c>
      <c r="F2082" s="63">
        <v>2500.0</v>
      </c>
      <c r="G2082" s="63">
        <v>29.9</v>
      </c>
      <c r="H2082" s="66">
        <f t="shared" si="1"/>
        <v>104.37</v>
      </c>
      <c r="I2082" s="81">
        <f>IFERROR(__xludf.DUMMYFUNCTION("IF(G2082="""", """", ROUND(G2082 / MAX(FILTER($G$2:$G5067, $D$2:$D5067=$D2082)) * 100, 2))"),97.71)</f>
        <v>97.71</v>
      </c>
      <c r="J2082" s="81">
        <f>IFERROR(__xludf.DUMMYFUNCTION("IF(H2082="""", """", ROUND(H2082 / MAX(FILTER($H$2:$H5067, $D$2:$D5067=$D2082)) * 100, 2))"),45.25)</f>
        <v>45.25</v>
      </c>
      <c r="K2082" s="2"/>
      <c r="L2082" s="49"/>
      <c r="M2082" s="49"/>
      <c r="N2082" s="49"/>
      <c r="O2082" s="49" t="str">
        <f t="shared" si="2"/>
        <v/>
      </c>
      <c r="P2082" s="49" t="str">
        <f t="shared" si="3"/>
        <v/>
      </c>
      <c r="Q2082" s="84"/>
      <c r="R2082" s="84"/>
      <c r="S2082" s="84"/>
      <c r="T2082" s="84"/>
      <c r="U2082" s="84"/>
      <c r="V2082" s="84"/>
      <c r="W2082" s="84"/>
      <c r="X2082" s="84"/>
      <c r="Y2082" s="84"/>
      <c r="Z2082" s="84"/>
      <c r="AA2082" s="84"/>
      <c r="AB2082" s="84"/>
    </row>
    <row r="2083">
      <c r="A2083" s="69">
        <v>139.0</v>
      </c>
      <c r="B2083" s="69">
        <v>215.0</v>
      </c>
      <c r="C2083" s="86" t="s">
        <v>465</v>
      </c>
      <c r="D2083" s="86" t="s">
        <v>466</v>
      </c>
      <c r="E2083" s="86" t="s">
        <v>467</v>
      </c>
      <c r="F2083" s="69">
        <v>3000.0</v>
      </c>
      <c r="G2083" s="69">
        <v>30.3</v>
      </c>
      <c r="H2083" s="68">
        <f t="shared" si="1"/>
        <v>126.92</v>
      </c>
      <c r="I2083" s="81">
        <f>IFERROR(__xludf.DUMMYFUNCTION("IF(G2083="""", """", ROUND(G2083 / MAX(FILTER($G$2:$G5067, $D$2:$D5067=$D2083)) * 100, 2))"),99.02)</f>
        <v>99.02</v>
      </c>
      <c r="J2083" s="81">
        <f>IFERROR(__xludf.DUMMYFUNCTION("IF(H2083="""", """", ROUND(H2083 / MAX(FILTER($H$2:$H5067, $D$2:$D5067=$D2083)) * 100, 2))"),55.02)</f>
        <v>55.02</v>
      </c>
      <c r="K2083" s="2"/>
      <c r="L2083" s="48"/>
      <c r="M2083" s="48"/>
      <c r="N2083" s="48"/>
      <c r="O2083" s="48" t="str">
        <f t="shared" si="2"/>
        <v/>
      </c>
      <c r="P2083" s="48" t="str">
        <f t="shared" si="3"/>
        <v/>
      </c>
      <c r="Q2083" s="84"/>
      <c r="R2083" s="84"/>
      <c r="S2083" s="84"/>
      <c r="T2083" s="84"/>
      <c r="U2083" s="84"/>
      <c r="V2083" s="84"/>
      <c r="W2083" s="84"/>
      <c r="X2083" s="84"/>
      <c r="Y2083" s="84"/>
      <c r="Z2083" s="84"/>
      <c r="AA2083" s="84"/>
      <c r="AB2083" s="84"/>
    </row>
    <row r="2084">
      <c r="A2084" s="63">
        <v>139.0</v>
      </c>
      <c r="B2084" s="63">
        <v>215.0</v>
      </c>
      <c r="C2084" s="64" t="s">
        <v>465</v>
      </c>
      <c r="D2084" s="64" t="s">
        <v>466</v>
      </c>
      <c r="E2084" s="64" t="s">
        <v>467</v>
      </c>
      <c r="F2084" s="63">
        <v>3500.0</v>
      </c>
      <c r="G2084" s="63">
        <v>30.6</v>
      </c>
      <c r="H2084" s="66">
        <f t="shared" si="1"/>
        <v>149.54</v>
      </c>
      <c r="I2084" s="81">
        <f>IFERROR(__xludf.DUMMYFUNCTION("IF(G2084="""", """", ROUND(G2084 / MAX(FILTER($G$2:$G5067, $D$2:$D5067=$D2084)) * 100, 2))"),100.0)</f>
        <v>100</v>
      </c>
      <c r="J2084" s="81">
        <f>IFERROR(__xludf.DUMMYFUNCTION("IF(H2084="""", """", ROUND(H2084 / MAX(FILTER($H$2:$H5067, $D$2:$D5067=$D2084)) * 100, 2))"),64.83)</f>
        <v>64.83</v>
      </c>
      <c r="K2084" s="2"/>
      <c r="L2084" s="49"/>
      <c r="M2084" s="49"/>
      <c r="N2084" s="49"/>
      <c r="O2084" s="49" t="str">
        <f t="shared" si="2"/>
        <v/>
      </c>
      <c r="P2084" s="49" t="str">
        <f t="shared" si="3"/>
        <v/>
      </c>
      <c r="Q2084" s="84"/>
      <c r="R2084" s="84"/>
      <c r="S2084" s="84"/>
      <c r="T2084" s="84"/>
      <c r="U2084" s="84"/>
      <c r="V2084" s="84"/>
      <c r="W2084" s="84"/>
      <c r="X2084" s="84"/>
      <c r="Y2084" s="84"/>
      <c r="Z2084" s="84"/>
      <c r="AA2084" s="84"/>
      <c r="AB2084" s="84"/>
    </row>
    <row r="2085">
      <c r="A2085" s="69">
        <v>139.0</v>
      </c>
      <c r="B2085" s="69">
        <v>215.0</v>
      </c>
      <c r="C2085" s="86" t="s">
        <v>465</v>
      </c>
      <c r="D2085" s="86" t="s">
        <v>466</v>
      </c>
      <c r="E2085" s="86" t="s">
        <v>467</v>
      </c>
      <c r="F2085" s="69">
        <v>4000.0</v>
      </c>
      <c r="G2085" s="69">
        <v>30.5</v>
      </c>
      <c r="H2085" s="68">
        <f t="shared" si="1"/>
        <v>170.34</v>
      </c>
      <c r="I2085" s="81">
        <f>IFERROR(__xludf.DUMMYFUNCTION("IF(G2085="""", """", ROUND(G2085 / MAX(FILTER($G$2:$G5067, $D$2:$D5067=$D2085)) * 100, 2))"),99.67)</f>
        <v>99.67</v>
      </c>
      <c r="J2085" s="81">
        <f>IFERROR(__xludf.DUMMYFUNCTION("IF(H2085="""", """", ROUND(H2085 / MAX(FILTER($H$2:$H5067, $D$2:$D5067=$D2085)) * 100, 2))"),73.85)</f>
        <v>73.85</v>
      </c>
      <c r="K2085" s="2"/>
      <c r="L2085" s="48"/>
      <c r="M2085" s="48"/>
      <c r="N2085" s="48"/>
      <c r="O2085" s="48" t="str">
        <f t="shared" si="2"/>
        <v/>
      </c>
      <c r="P2085" s="48" t="str">
        <f t="shared" si="3"/>
        <v/>
      </c>
      <c r="Q2085" s="84"/>
      <c r="R2085" s="84"/>
      <c r="S2085" s="84"/>
      <c r="T2085" s="84"/>
      <c r="U2085" s="84"/>
      <c r="V2085" s="84"/>
      <c r="W2085" s="84"/>
      <c r="X2085" s="84"/>
      <c r="Y2085" s="84"/>
      <c r="Z2085" s="84"/>
      <c r="AA2085" s="84"/>
      <c r="AB2085" s="84"/>
    </row>
    <row r="2086">
      <c r="A2086" s="63">
        <v>139.0</v>
      </c>
      <c r="B2086" s="63">
        <v>215.0</v>
      </c>
      <c r="C2086" s="64" t="s">
        <v>465</v>
      </c>
      <c r="D2086" s="64" t="s">
        <v>466</v>
      </c>
      <c r="E2086" s="64" t="s">
        <v>467</v>
      </c>
      <c r="F2086" s="63">
        <v>4500.0</v>
      </c>
      <c r="G2086" s="63">
        <v>30.3</v>
      </c>
      <c r="H2086" s="66">
        <f t="shared" si="1"/>
        <v>190.38</v>
      </c>
      <c r="I2086" s="81">
        <f>IFERROR(__xludf.DUMMYFUNCTION("IF(G2086="""", """", ROUND(G2086 / MAX(FILTER($G$2:$G5067, $D$2:$D5067=$D2086)) * 100, 2))"),99.02)</f>
        <v>99.02</v>
      </c>
      <c r="J2086" s="81">
        <f>IFERROR(__xludf.DUMMYFUNCTION("IF(H2086="""", """", ROUND(H2086 / MAX(FILTER($H$2:$H5067, $D$2:$D5067=$D2086)) * 100, 2))"),82.54)</f>
        <v>82.54</v>
      </c>
      <c r="K2086" s="2"/>
      <c r="L2086" s="49"/>
      <c r="M2086" s="49"/>
      <c r="N2086" s="49"/>
      <c r="O2086" s="49" t="str">
        <f t="shared" si="2"/>
        <v/>
      </c>
      <c r="P2086" s="49" t="str">
        <f t="shared" si="3"/>
        <v/>
      </c>
      <c r="Q2086" s="84"/>
      <c r="R2086" s="84"/>
      <c r="S2086" s="84"/>
      <c r="T2086" s="84"/>
      <c r="U2086" s="84"/>
      <c r="V2086" s="84"/>
      <c r="W2086" s="84"/>
      <c r="X2086" s="84"/>
      <c r="Y2086" s="84"/>
      <c r="Z2086" s="84"/>
      <c r="AA2086" s="84"/>
      <c r="AB2086" s="84"/>
    </row>
    <row r="2087">
      <c r="A2087" s="69">
        <v>139.0</v>
      </c>
      <c r="B2087" s="69">
        <v>215.0</v>
      </c>
      <c r="C2087" s="86" t="s">
        <v>465</v>
      </c>
      <c r="D2087" s="86" t="s">
        <v>466</v>
      </c>
      <c r="E2087" s="86" t="s">
        <v>467</v>
      </c>
      <c r="F2087" s="69">
        <v>5000.0</v>
      </c>
      <c r="G2087" s="69">
        <v>29.8</v>
      </c>
      <c r="H2087" s="68">
        <f t="shared" si="1"/>
        <v>208.04</v>
      </c>
      <c r="I2087" s="81">
        <f>IFERROR(__xludf.DUMMYFUNCTION("IF(G2087="""", """", ROUND(G2087 / MAX(FILTER($G$2:$G5067, $D$2:$D5067=$D2087)) * 100, 2))"),97.39)</f>
        <v>97.39</v>
      </c>
      <c r="J2087" s="81">
        <f>IFERROR(__xludf.DUMMYFUNCTION("IF(H2087="""", """", ROUND(H2087 / MAX(FILTER($H$2:$H5067, $D$2:$D5067=$D2087)) * 100, 2))"),90.19)</f>
        <v>90.19</v>
      </c>
      <c r="K2087" s="2"/>
      <c r="L2087" s="48"/>
      <c r="M2087" s="48"/>
      <c r="N2087" s="48"/>
      <c r="O2087" s="48" t="str">
        <f t="shared" si="2"/>
        <v/>
      </c>
      <c r="P2087" s="48" t="str">
        <f t="shared" si="3"/>
        <v/>
      </c>
      <c r="Q2087" s="84"/>
      <c r="R2087" s="84"/>
      <c r="S2087" s="84"/>
      <c r="T2087" s="84"/>
      <c r="U2087" s="84"/>
      <c r="V2087" s="84"/>
      <c r="W2087" s="84"/>
      <c r="X2087" s="84"/>
      <c r="Y2087" s="84"/>
      <c r="Z2087" s="84"/>
      <c r="AA2087" s="84"/>
      <c r="AB2087" s="84"/>
    </row>
    <row r="2088">
      <c r="A2088" s="63">
        <v>139.0</v>
      </c>
      <c r="B2088" s="63">
        <v>215.0</v>
      </c>
      <c r="C2088" s="64" t="s">
        <v>465</v>
      </c>
      <c r="D2088" s="64" t="s">
        <v>466</v>
      </c>
      <c r="E2088" s="64" t="s">
        <v>467</v>
      </c>
      <c r="F2088" s="63">
        <v>5500.0</v>
      </c>
      <c r="G2088" s="63">
        <v>28.9</v>
      </c>
      <c r="H2088" s="66">
        <f t="shared" si="1"/>
        <v>221.94</v>
      </c>
      <c r="I2088" s="81">
        <f>IFERROR(__xludf.DUMMYFUNCTION("IF(G2088="""", """", ROUND(G2088 / MAX(FILTER($G$2:$G5067, $D$2:$D5067=$D2088)) * 100, 2))"),94.44)</f>
        <v>94.44</v>
      </c>
      <c r="J2088" s="81">
        <f>IFERROR(__xludf.DUMMYFUNCTION("IF(H2088="""", """", ROUND(H2088 / MAX(FILTER($H$2:$H5067, $D$2:$D5067=$D2088)) * 100, 2))"),96.22)</f>
        <v>96.22</v>
      </c>
      <c r="K2088" s="2"/>
      <c r="L2088" s="49"/>
      <c r="M2088" s="49"/>
      <c r="N2088" s="49"/>
      <c r="O2088" s="49" t="str">
        <f t="shared" si="2"/>
        <v/>
      </c>
      <c r="P2088" s="49" t="str">
        <f t="shared" si="3"/>
        <v/>
      </c>
      <c r="Q2088" s="84"/>
      <c r="R2088" s="84"/>
      <c r="S2088" s="84"/>
      <c r="T2088" s="84"/>
      <c r="U2088" s="84"/>
      <c r="V2088" s="84"/>
      <c r="W2088" s="84"/>
      <c r="X2088" s="84"/>
      <c r="Y2088" s="84"/>
      <c r="Z2088" s="84"/>
      <c r="AA2088" s="84"/>
      <c r="AB2088" s="84"/>
    </row>
    <row r="2089">
      <c r="A2089" s="69">
        <v>139.0</v>
      </c>
      <c r="B2089" s="69">
        <v>215.0</v>
      </c>
      <c r="C2089" s="86" t="s">
        <v>465</v>
      </c>
      <c r="D2089" s="86" t="s">
        <v>466</v>
      </c>
      <c r="E2089" s="86" t="s">
        <v>467</v>
      </c>
      <c r="F2089" s="69">
        <v>5900.0</v>
      </c>
      <c r="G2089" s="69">
        <v>28.0</v>
      </c>
      <c r="H2089" s="68">
        <f t="shared" si="1"/>
        <v>230.66</v>
      </c>
      <c r="I2089" s="81">
        <f>IFERROR(__xludf.DUMMYFUNCTION("IF(G2089="""", """", ROUND(G2089 / MAX(FILTER($G$2:$G5067, $D$2:$D5067=$D2089)) * 100, 2))"),91.5)</f>
        <v>91.5</v>
      </c>
      <c r="J2089" s="81">
        <f>IFERROR(__xludf.DUMMYFUNCTION("IF(H2089="""", """", ROUND(H2089 / MAX(FILTER($H$2:$H5067, $D$2:$D5067=$D2089)) * 100, 2))"),100.0)</f>
        <v>100</v>
      </c>
      <c r="K2089" s="2"/>
      <c r="L2089" s="48"/>
      <c r="M2089" s="48"/>
      <c r="N2089" s="48"/>
      <c r="O2089" s="48" t="str">
        <f t="shared" si="2"/>
        <v/>
      </c>
      <c r="P2089" s="48" t="str">
        <f t="shared" si="3"/>
        <v/>
      </c>
      <c r="Q2089" s="84"/>
      <c r="R2089" s="84"/>
      <c r="S2089" s="84"/>
      <c r="T2089" s="84"/>
      <c r="U2089" s="84"/>
      <c r="V2089" s="84"/>
      <c r="W2089" s="84"/>
      <c r="X2089" s="84"/>
      <c r="Y2089" s="84"/>
      <c r="Z2089" s="84"/>
      <c r="AA2089" s="84"/>
      <c r="AB2089" s="84"/>
    </row>
    <row r="2090">
      <c r="A2090" s="63">
        <v>139.0</v>
      </c>
      <c r="B2090" s="63">
        <v>215.0</v>
      </c>
      <c r="C2090" s="64" t="s">
        <v>465</v>
      </c>
      <c r="D2090" s="64" t="s">
        <v>466</v>
      </c>
      <c r="E2090" s="64" t="s">
        <v>467</v>
      </c>
      <c r="F2090" s="63">
        <v>6500.0</v>
      </c>
      <c r="G2090" s="63">
        <v>25.0</v>
      </c>
      <c r="H2090" s="66">
        <f t="shared" si="1"/>
        <v>226.89</v>
      </c>
      <c r="I2090" s="81">
        <f>IFERROR(__xludf.DUMMYFUNCTION("IF(G2090="""", """", ROUND(G2090 / MAX(FILTER($G$2:$G5067, $D$2:$D5067=$D2090)) * 100, 2))"),81.7)</f>
        <v>81.7</v>
      </c>
      <c r="J2090" s="81">
        <f>IFERROR(__xludf.DUMMYFUNCTION("IF(H2090="""", """", ROUND(H2090 / MAX(FILTER($H$2:$H5067, $D$2:$D5067=$D2090)) * 100, 2))"),98.37)</f>
        <v>98.37</v>
      </c>
      <c r="K2090" s="2"/>
      <c r="L2090" s="49"/>
      <c r="M2090" s="49"/>
      <c r="N2090" s="49"/>
      <c r="O2090" s="49" t="str">
        <f t="shared" si="2"/>
        <v/>
      </c>
      <c r="P2090" s="49" t="str">
        <f t="shared" si="3"/>
        <v/>
      </c>
      <c r="Q2090" s="84"/>
      <c r="R2090" s="84"/>
      <c r="S2090" s="84"/>
      <c r="T2090" s="84"/>
      <c r="U2090" s="84"/>
      <c r="V2090" s="84"/>
      <c r="W2090" s="84"/>
      <c r="X2090" s="84"/>
      <c r="Y2090" s="84"/>
      <c r="Z2090" s="84"/>
      <c r="AA2090" s="84"/>
      <c r="AB2090" s="84"/>
    </row>
    <row r="2091">
      <c r="A2091" s="69">
        <v>139.0</v>
      </c>
      <c r="B2091" s="69">
        <v>215.0</v>
      </c>
      <c r="C2091" s="86" t="s">
        <v>465</v>
      </c>
      <c r="D2091" s="86" t="s">
        <v>466</v>
      </c>
      <c r="E2091" s="86" t="s">
        <v>467</v>
      </c>
      <c r="F2091" s="69">
        <v>7000.0</v>
      </c>
      <c r="G2091" s="69">
        <v>21.0</v>
      </c>
      <c r="H2091" s="68">
        <f t="shared" si="1"/>
        <v>205.25</v>
      </c>
      <c r="I2091" s="81">
        <f>IFERROR(__xludf.DUMMYFUNCTION("IF(G2091="""", """", ROUND(G2091 / MAX(FILTER($G$2:$G5067, $D$2:$D5067=$D2091)) * 100, 2))"),68.63)</f>
        <v>68.63</v>
      </c>
      <c r="J2091" s="81">
        <f>IFERROR(__xludf.DUMMYFUNCTION("IF(H2091="""", """", ROUND(H2091 / MAX(FILTER($H$2:$H5067, $D$2:$D5067=$D2091)) * 100, 2))"),88.98)</f>
        <v>88.98</v>
      </c>
      <c r="K2091" s="2"/>
      <c r="L2091" s="48"/>
      <c r="M2091" s="48"/>
      <c r="N2091" s="48"/>
      <c r="O2091" s="48" t="str">
        <f t="shared" si="2"/>
        <v/>
      </c>
      <c r="P2091" s="48" t="str">
        <f t="shared" si="3"/>
        <v/>
      </c>
      <c r="Q2091" s="84"/>
      <c r="R2091" s="84"/>
      <c r="S2091" s="84"/>
      <c r="T2091" s="84"/>
      <c r="U2091" s="84"/>
      <c r="V2091" s="84"/>
      <c r="W2091" s="84"/>
      <c r="X2091" s="84"/>
      <c r="Y2091" s="84"/>
      <c r="Z2091" s="84"/>
      <c r="AA2091" s="84"/>
      <c r="AB2091" s="84"/>
    </row>
    <row r="2092">
      <c r="A2092" s="63">
        <v>140.0</v>
      </c>
      <c r="B2092" s="63">
        <v>216.0</v>
      </c>
      <c r="C2092" s="64" t="s">
        <v>468</v>
      </c>
      <c r="D2092" s="64" t="s">
        <v>469</v>
      </c>
      <c r="E2092" s="64" t="s">
        <v>470</v>
      </c>
      <c r="F2092" s="63">
        <v>500.0</v>
      </c>
      <c r="G2092" s="63">
        <v>6.35</v>
      </c>
      <c r="H2092" s="66">
        <f t="shared" si="1"/>
        <v>4.43</v>
      </c>
      <c r="I2092" s="81">
        <f>IFERROR(__xludf.DUMMYFUNCTION("IF(G2092="""", """", ROUND(G2092 / MAX(FILTER($G$2:$G5067, $D$2:$D5067=$D2092)) * 100, 2))"),82.47)</f>
        <v>82.47</v>
      </c>
      <c r="J2092" s="81">
        <f>IFERROR(__xludf.DUMMYFUNCTION("IF(H2092="""", """", ROUND(H2092 / MAX(FILTER($H$2:$H5067, $D$2:$D5067=$D2092)) * 100, 2))"),14.58)</f>
        <v>14.58</v>
      </c>
      <c r="K2092" s="2"/>
      <c r="L2092" s="49"/>
      <c r="M2092" s="49"/>
      <c r="N2092" s="49"/>
      <c r="O2092" s="49" t="str">
        <f t="shared" si="2"/>
        <v/>
      </c>
      <c r="P2092" s="49" t="str">
        <f t="shared" si="3"/>
        <v/>
      </c>
      <c r="Q2092" s="84"/>
      <c r="R2092" s="84"/>
      <c r="S2092" s="84"/>
      <c r="T2092" s="84"/>
      <c r="U2092" s="84"/>
      <c r="V2092" s="84"/>
      <c r="W2092" s="84"/>
      <c r="X2092" s="84"/>
      <c r="Y2092" s="84"/>
      <c r="Z2092" s="84"/>
      <c r="AA2092" s="84"/>
      <c r="AB2092" s="84"/>
    </row>
    <row r="2093">
      <c r="A2093" s="69">
        <v>140.0</v>
      </c>
      <c r="B2093" s="69">
        <v>216.0</v>
      </c>
      <c r="C2093" s="86" t="s">
        <v>468</v>
      </c>
      <c r="D2093" s="86" t="s">
        <v>469</v>
      </c>
      <c r="E2093" s="86" t="s">
        <v>470</v>
      </c>
      <c r="F2093" s="69">
        <v>1000.0</v>
      </c>
      <c r="G2093" s="69">
        <v>7.15</v>
      </c>
      <c r="H2093" s="68">
        <f t="shared" si="1"/>
        <v>9.98</v>
      </c>
      <c r="I2093" s="81">
        <f>IFERROR(__xludf.DUMMYFUNCTION("IF(G2093="""", """", ROUND(G2093 / MAX(FILTER($G$2:$G5067, $D$2:$D5067=$D2093)) * 100, 2))"),92.86)</f>
        <v>92.86</v>
      </c>
      <c r="J2093" s="81">
        <f>IFERROR(__xludf.DUMMYFUNCTION("IF(H2093="""", """", ROUND(H2093 / MAX(FILTER($H$2:$H5067, $D$2:$D5067=$D2093)) * 100, 2))"),32.85)</f>
        <v>32.85</v>
      </c>
      <c r="K2093" s="2"/>
      <c r="L2093" s="48"/>
      <c r="M2093" s="48"/>
      <c r="N2093" s="48"/>
      <c r="O2093" s="48" t="str">
        <f t="shared" si="2"/>
        <v/>
      </c>
      <c r="P2093" s="48" t="str">
        <f t="shared" si="3"/>
        <v/>
      </c>
      <c r="Q2093" s="84"/>
      <c r="R2093" s="84"/>
      <c r="S2093" s="84"/>
      <c r="T2093" s="84"/>
      <c r="U2093" s="84"/>
      <c r="V2093" s="84"/>
      <c r="W2093" s="84"/>
      <c r="X2093" s="84"/>
      <c r="Y2093" s="84"/>
      <c r="Z2093" s="84"/>
      <c r="AA2093" s="84"/>
      <c r="AB2093" s="84"/>
    </row>
    <row r="2094">
      <c r="A2094" s="63">
        <v>140.0</v>
      </c>
      <c r="B2094" s="63">
        <v>216.0</v>
      </c>
      <c r="C2094" s="64" t="s">
        <v>468</v>
      </c>
      <c r="D2094" s="64" t="s">
        <v>469</v>
      </c>
      <c r="E2094" s="64" t="s">
        <v>470</v>
      </c>
      <c r="F2094" s="63">
        <v>1500.0</v>
      </c>
      <c r="G2094" s="63">
        <v>7.6</v>
      </c>
      <c r="H2094" s="66">
        <f t="shared" si="1"/>
        <v>15.92</v>
      </c>
      <c r="I2094" s="81">
        <f>IFERROR(__xludf.DUMMYFUNCTION("IF(G2094="""", """", ROUND(G2094 / MAX(FILTER($G$2:$G5067, $D$2:$D5067=$D2094)) * 100, 2))"),98.7)</f>
        <v>98.7</v>
      </c>
      <c r="J2094" s="81">
        <f>IFERROR(__xludf.DUMMYFUNCTION("IF(H2094="""", """", ROUND(H2094 / MAX(FILTER($H$2:$H5067, $D$2:$D5067=$D2094)) * 100, 2))"),52.4)</f>
        <v>52.4</v>
      </c>
      <c r="K2094" s="2"/>
      <c r="L2094" s="49"/>
      <c r="M2094" s="49"/>
      <c r="N2094" s="49"/>
      <c r="O2094" s="49" t="str">
        <f t="shared" si="2"/>
        <v/>
      </c>
      <c r="P2094" s="49" t="str">
        <f t="shared" si="3"/>
        <v/>
      </c>
      <c r="Q2094" s="84"/>
      <c r="R2094" s="84"/>
      <c r="S2094" s="84"/>
      <c r="T2094" s="84"/>
      <c r="U2094" s="84"/>
      <c r="V2094" s="84"/>
      <c r="W2094" s="84"/>
      <c r="X2094" s="84"/>
      <c r="Y2094" s="84"/>
      <c r="Z2094" s="84"/>
      <c r="AA2094" s="84"/>
      <c r="AB2094" s="84"/>
    </row>
    <row r="2095">
      <c r="A2095" s="69">
        <v>140.0</v>
      </c>
      <c r="B2095" s="69">
        <v>216.0</v>
      </c>
      <c r="C2095" s="86" t="s">
        <v>468</v>
      </c>
      <c r="D2095" s="86" t="s">
        <v>469</v>
      </c>
      <c r="E2095" s="86" t="s">
        <v>470</v>
      </c>
      <c r="F2095" s="69">
        <v>2000.0</v>
      </c>
      <c r="G2095" s="69">
        <v>7.7</v>
      </c>
      <c r="H2095" s="68">
        <f t="shared" si="1"/>
        <v>21.5</v>
      </c>
      <c r="I2095" s="81">
        <f>IFERROR(__xludf.DUMMYFUNCTION("IF(G2095="""", """", ROUND(G2095 / MAX(FILTER($G$2:$G5067, $D$2:$D5067=$D2095)) * 100, 2))"),100.0)</f>
        <v>100</v>
      </c>
      <c r="J2095" s="81">
        <f>IFERROR(__xludf.DUMMYFUNCTION("IF(H2095="""", """", ROUND(H2095 / MAX(FILTER($H$2:$H5067, $D$2:$D5067=$D2095)) * 100, 2))"),70.77)</f>
        <v>70.77</v>
      </c>
      <c r="K2095" s="2"/>
      <c r="L2095" s="48"/>
      <c r="M2095" s="48"/>
      <c r="N2095" s="48"/>
      <c r="O2095" s="48" t="str">
        <f t="shared" si="2"/>
        <v/>
      </c>
      <c r="P2095" s="48" t="str">
        <f t="shared" si="3"/>
        <v/>
      </c>
      <c r="Q2095" s="84"/>
      <c r="R2095" s="84"/>
      <c r="S2095" s="84"/>
      <c r="T2095" s="84"/>
      <c r="U2095" s="84"/>
      <c r="V2095" s="84"/>
      <c r="W2095" s="84"/>
      <c r="X2095" s="84"/>
      <c r="Y2095" s="84"/>
      <c r="Z2095" s="84"/>
      <c r="AA2095" s="84"/>
      <c r="AB2095" s="84"/>
    </row>
    <row r="2096">
      <c r="A2096" s="63">
        <v>140.0</v>
      </c>
      <c r="B2096" s="63">
        <v>216.0</v>
      </c>
      <c r="C2096" s="64" t="s">
        <v>468</v>
      </c>
      <c r="D2096" s="64" t="s">
        <v>469</v>
      </c>
      <c r="E2096" s="64" t="s">
        <v>470</v>
      </c>
      <c r="F2096" s="63">
        <v>2500.0</v>
      </c>
      <c r="G2096" s="63">
        <v>7.45</v>
      </c>
      <c r="H2096" s="66">
        <f t="shared" si="1"/>
        <v>26.01</v>
      </c>
      <c r="I2096" s="81">
        <f>IFERROR(__xludf.DUMMYFUNCTION("IF(G2096="""", """", ROUND(G2096 / MAX(FILTER($G$2:$G5067, $D$2:$D5067=$D2096)) * 100, 2))"),96.75)</f>
        <v>96.75</v>
      </c>
      <c r="J2096" s="81">
        <f>IFERROR(__xludf.DUMMYFUNCTION("IF(H2096="""", """", ROUND(H2096 / MAX(FILTER($H$2:$H5067, $D$2:$D5067=$D2096)) * 100, 2))"),85.62)</f>
        <v>85.62</v>
      </c>
      <c r="K2096" s="2"/>
      <c r="L2096" s="49"/>
      <c r="M2096" s="49"/>
      <c r="N2096" s="49"/>
      <c r="O2096" s="49" t="str">
        <f t="shared" si="2"/>
        <v/>
      </c>
      <c r="P2096" s="49" t="str">
        <f t="shared" si="3"/>
        <v/>
      </c>
      <c r="Q2096" s="84"/>
      <c r="R2096" s="84"/>
      <c r="S2096" s="84"/>
      <c r="T2096" s="84"/>
      <c r="U2096" s="84"/>
      <c r="V2096" s="84"/>
      <c r="W2096" s="84"/>
      <c r="X2096" s="84"/>
      <c r="Y2096" s="84"/>
      <c r="Z2096" s="84"/>
      <c r="AA2096" s="84"/>
      <c r="AB2096" s="84"/>
    </row>
    <row r="2097">
      <c r="A2097" s="69">
        <v>140.0</v>
      </c>
      <c r="B2097" s="69">
        <v>216.0</v>
      </c>
      <c r="C2097" s="86" t="s">
        <v>468</v>
      </c>
      <c r="D2097" s="86" t="s">
        <v>469</v>
      </c>
      <c r="E2097" s="86" t="s">
        <v>470</v>
      </c>
      <c r="F2097" s="69">
        <v>3000.0</v>
      </c>
      <c r="G2097" s="69">
        <v>7.0</v>
      </c>
      <c r="H2097" s="68">
        <f t="shared" si="1"/>
        <v>29.32</v>
      </c>
      <c r="I2097" s="81">
        <f>IFERROR(__xludf.DUMMYFUNCTION("IF(G2097="""", """", ROUND(G2097 / MAX(FILTER($G$2:$G5067, $D$2:$D5067=$D2097)) * 100, 2))"),90.91)</f>
        <v>90.91</v>
      </c>
      <c r="J2097" s="81">
        <f>IFERROR(__xludf.DUMMYFUNCTION("IF(H2097="""", """", ROUND(H2097 / MAX(FILTER($H$2:$H5067, $D$2:$D5067=$D2097)) * 100, 2))"),96.51)</f>
        <v>96.51</v>
      </c>
      <c r="K2097" s="2"/>
      <c r="L2097" s="48"/>
      <c r="M2097" s="48"/>
      <c r="N2097" s="48"/>
      <c r="O2097" s="48" t="str">
        <f t="shared" si="2"/>
        <v/>
      </c>
      <c r="P2097" s="48" t="str">
        <f t="shared" si="3"/>
        <v/>
      </c>
      <c r="Q2097" s="84"/>
      <c r="R2097" s="84"/>
      <c r="S2097" s="84"/>
      <c r="T2097" s="84"/>
      <c r="U2097" s="84"/>
      <c r="V2097" s="84"/>
      <c r="W2097" s="84"/>
      <c r="X2097" s="84"/>
      <c r="Y2097" s="84"/>
      <c r="Z2097" s="84"/>
      <c r="AA2097" s="84"/>
      <c r="AB2097" s="84"/>
    </row>
    <row r="2098">
      <c r="A2098" s="63">
        <v>140.0</v>
      </c>
      <c r="B2098" s="63">
        <v>216.0</v>
      </c>
      <c r="C2098" s="64" t="s">
        <v>468</v>
      </c>
      <c r="D2098" s="64" t="s">
        <v>469</v>
      </c>
      <c r="E2098" s="64" t="s">
        <v>470</v>
      </c>
      <c r="F2098" s="63">
        <v>3400.0</v>
      </c>
      <c r="G2098" s="63">
        <v>6.4</v>
      </c>
      <c r="H2098" s="66">
        <f t="shared" si="1"/>
        <v>30.38</v>
      </c>
      <c r="I2098" s="81">
        <f>IFERROR(__xludf.DUMMYFUNCTION("IF(G2098="""", """", ROUND(G2098 / MAX(FILTER($G$2:$G5067, $D$2:$D5067=$D2098)) * 100, 2))"),83.12)</f>
        <v>83.12</v>
      </c>
      <c r="J2098" s="81">
        <f>IFERROR(__xludf.DUMMYFUNCTION("IF(H2098="""", """", ROUND(H2098 / MAX(FILTER($H$2:$H5067, $D$2:$D5067=$D2098)) * 100, 2))"),100.0)</f>
        <v>100</v>
      </c>
      <c r="K2098" s="2"/>
      <c r="L2098" s="49"/>
      <c r="M2098" s="49"/>
      <c r="N2098" s="49"/>
      <c r="O2098" s="49" t="str">
        <f t="shared" si="2"/>
        <v/>
      </c>
      <c r="P2098" s="49" t="str">
        <f t="shared" si="3"/>
        <v/>
      </c>
      <c r="Q2098" s="84"/>
      <c r="R2098" s="84"/>
      <c r="S2098" s="84"/>
      <c r="T2098" s="84"/>
      <c r="U2098" s="84"/>
      <c r="V2098" s="84"/>
      <c r="W2098" s="84"/>
      <c r="X2098" s="84"/>
      <c r="Y2098" s="84"/>
      <c r="Z2098" s="84"/>
      <c r="AA2098" s="84"/>
      <c r="AB2098" s="84"/>
    </row>
    <row r="2099">
      <c r="A2099" s="69">
        <v>140.0</v>
      </c>
      <c r="B2099" s="69">
        <v>216.0</v>
      </c>
      <c r="C2099" s="86" t="s">
        <v>468</v>
      </c>
      <c r="D2099" s="86" t="s">
        <v>469</v>
      </c>
      <c r="E2099" s="86" t="s">
        <v>470</v>
      </c>
      <c r="F2099" s="69">
        <v>4000.0</v>
      </c>
      <c r="G2099" s="69">
        <v>5.22</v>
      </c>
      <c r="H2099" s="68">
        <f t="shared" si="1"/>
        <v>29.15</v>
      </c>
      <c r="I2099" s="81">
        <f>IFERROR(__xludf.DUMMYFUNCTION("IF(G2099="""", """", ROUND(G2099 / MAX(FILTER($G$2:$G5067, $D$2:$D5067=$D2099)) * 100, 2))"),67.79)</f>
        <v>67.79</v>
      </c>
      <c r="J2099" s="81">
        <f>IFERROR(__xludf.DUMMYFUNCTION("IF(H2099="""", """", ROUND(H2099 / MAX(FILTER($H$2:$H5067, $D$2:$D5067=$D2099)) * 100, 2))"),95.95)</f>
        <v>95.95</v>
      </c>
      <c r="K2099" s="2"/>
      <c r="L2099" s="48"/>
      <c r="M2099" s="48"/>
      <c r="N2099" s="48"/>
      <c r="O2099" s="48" t="str">
        <f t="shared" si="2"/>
        <v/>
      </c>
      <c r="P2099" s="48" t="str">
        <f t="shared" si="3"/>
        <v/>
      </c>
      <c r="Q2099" s="84"/>
      <c r="R2099" s="84"/>
      <c r="S2099" s="84"/>
      <c r="T2099" s="84"/>
      <c r="U2099" s="84"/>
      <c r="V2099" s="84"/>
      <c r="W2099" s="84"/>
      <c r="X2099" s="84"/>
      <c r="Y2099" s="84"/>
      <c r="Z2099" s="84"/>
      <c r="AA2099" s="84"/>
      <c r="AB2099" s="84"/>
    </row>
    <row r="2100">
      <c r="A2100" s="63">
        <v>140.0</v>
      </c>
      <c r="B2100" s="63">
        <v>216.0</v>
      </c>
      <c r="C2100" s="64" t="s">
        <v>468</v>
      </c>
      <c r="D2100" s="64" t="s">
        <v>469</v>
      </c>
      <c r="E2100" s="64" t="s">
        <v>470</v>
      </c>
      <c r="F2100" s="63">
        <v>4500.0</v>
      </c>
      <c r="G2100" s="63">
        <v>3.78</v>
      </c>
      <c r="H2100" s="66">
        <f t="shared" si="1"/>
        <v>23.75</v>
      </c>
      <c r="I2100" s="81">
        <f>IFERROR(__xludf.DUMMYFUNCTION("IF(G2100="""", """", ROUND(G2100 / MAX(FILTER($G$2:$G5067, $D$2:$D5067=$D2100)) * 100, 2))"),49.09)</f>
        <v>49.09</v>
      </c>
      <c r="J2100" s="81">
        <f>IFERROR(__xludf.DUMMYFUNCTION("IF(H2100="""", """", ROUND(H2100 / MAX(FILTER($H$2:$H5067, $D$2:$D5067=$D2100)) * 100, 2))"),78.18)</f>
        <v>78.18</v>
      </c>
      <c r="K2100" s="2"/>
      <c r="L2100" s="49"/>
      <c r="M2100" s="49"/>
      <c r="N2100" s="49"/>
      <c r="O2100" s="49" t="str">
        <f t="shared" si="2"/>
        <v/>
      </c>
      <c r="P2100" s="49" t="str">
        <f t="shared" si="3"/>
        <v/>
      </c>
      <c r="Q2100" s="84"/>
      <c r="R2100" s="84"/>
      <c r="S2100" s="84"/>
      <c r="T2100" s="84"/>
      <c r="U2100" s="84"/>
      <c r="V2100" s="84"/>
      <c r="W2100" s="84"/>
      <c r="X2100" s="84"/>
      <c r="Y2100" s="84"/>
      <c r="Z2100" s="84"/>
      <c r="AA2100" s="84"/>
      <c r="AB2100" s="84"/>
    </row>
    <row r="2101">
      <c r="A2101" s="69">
        <v>140.0</v>
      </c>
      <c r="B2101" s="69">
        <v>216.0</v>
      </c>
      <c r="C2101" s="86" t="s">
        <v>468</v>
      </c>
      <c r="D2101" s="86" t="s">
        <v>469</v>
      </c>
      <c r="E2101" s="86" t="s">
        <v>470</v>
      </c>
      <c r="F2101" s="69">
        <v>5000.0</v>
      </c>
      <c r="G2101" s="69">
        <v>2.22</v>
      </c>
      <c r="H2101" s="68">
        <f t="shared" si="1"/>
        <v>15.5</v>
      </c>
      <c r="I2101" s="81">
        <f>IFERROR(__xludf.DUMMYFUNCTION("IF(G2101="""", """", ROUND(G2101 / MAX(FILTER($G$2:$G5067, $D$2:$D5067=$D2101)) * 100, 2))"),28.83)</f>
        <v>28.83</v>
      </c>
      <c r="J2101" s="81">
        <f>IFERROR(__xludf.DUMMYFUNCTION("IF(H2101="""", """", ROUND(H2101 / MAX(FILTER($H$2:$H5067, $D$2:$D5067=$D2101)) * 100, 2))"),51.02)</f>
        <v>51.02</v>
      </c>
      <c r="K2101" s="2"/>
      <c r="L2101" s="48"/>
      <c r="M2101" s="48"/>
      <c r="N2101" s="48"/>
      <c r="O2101" s="48" t="str">
        <f t="shared" si="2"/>
        <v/>
      </c>
      <c r="P2101" s="48" t="str">
        <f t="shared" si="3"/>
        <v/>
      </c>
      <c r="Q2101" s="84"/>
      <c r="R2101" s="84"/>
      <c r="S2101" s="84"/>
      <c r="T2101" s="84"/>
      <c r="U2101" s="84"/>
      <c r="V2101" s="84"/>
      <c r="W2101" s="84"/>
      <c r="X2101" s="84"/>
      <c r="Y2101" s="84"/>
      <c r="Z2101" s="84"/>
      <c r="AA2101" s="84"/>
      <c r="AB2101" s="84"/>
    </row>
    <row r="2102">
      <c r="A2102" s="63">
        <v>141.0</v>
      </c>
      <c r="B2102" s="63">
        <v>218.0</v>
      </c>
      <c r="C2102" s="64" t="s">
        <v>471</v>
      </c>
      <c r="D2102" s="64" t="s">
        <v>472</v>
      </c>
      <c r="E2102" s="64" t="s">
        <v>473</v>
      </c>
      <c r="F2102" s="63">
        <v>500.0</v>
      </c>
      <c r="G2102" s="63">
        <v>3.6</v>
      </c>
      <c r="H2102" s="66">
        <f t="shared" si="1"/>
        <v>2.51</v>
      </c>
      <c r="I2102" s="81">
        <f>IFERROR(__xludf.DUMMYFUNCTION("IF(G2102="""", """", ROUND(G2102 / MAX(FILTER($G$2:$G5067, $D$2:$D5067=$D2102)) * 100, 2))"),41.38)</f>
        <v>41.38</v>
      </c>
      <c r="J2102" s="81">
        <f>IFERROR(__xludf.DUMMYFUNCTION("IF(H2102="""", """", ROUND(H2102 / MAX(FILTER($H$2:$H5067, $D$2:$D5067=$D2102)) * 100, 2))"),3.92)</f>
        <v>3.92</v>
      </c>
      <c r="K2102" s="2"/>
      <c r="L2102" s="49"/>
      <c r="M2102" s="49"/>
      <c r="N2102" s="49"/>
      <c r="O2102" s="49" t="str">
        <f t="shared" si="2"/>
        <v/>
      </c>
      <c r="P2102" s="49" t="str">
        <f t="shared" si="3"/>
        <v/>
      </c>
      <c r="Q2102" s="84"/>
      <c r="R2102" s="84"/>
      <c r="S2102" s="84"/>
      <c r="T2102" s="84"/>
      <c r="U2102" s="84"/>
      <c r="V2102" s="84"/>
      <c r="W2102" s="84"/>
      <c r="X2102" s="84"/>
      <c r="Y2102" s="84"/>
      <c r="Z2102" s="84"/>
      <c r="AA2102" s="84"/>
      <c r="AB2102" s="84"/>
    </row>
    <row r="2103">
      <c r="A2103" s="69">
        <v>141.0</v>
      </c>
      <c r="B2103" s="69">
        <v>218.0</v>
      </c>
      <c r="C2103" s="86" t="s">
        <v>471</v>
      </c>
      <c r="D2103" s="86" t="s">
        <v>472</v>
      </c>
      <c r="E2103" s="86" t="s">
        <v>473</v>
      </c>
      <c r="F2103" s="69">
        <v>1000.0</v>
      </c>
      <c r="G2103" s="69">
        <v>4.76</v>
      </c>
      <c r="H2103" s="68">
        <f t="shared" si="1"/>
        <v>6.65</v>
      </c>
      <c r="I2103" s="81">
        <f>IFERROR(__xludf.DUMMYFUNCTION("IF(G2103="""", """", ROUND(G2103 / MAX(FILTER($G$2:$G5067, $D$2:$D5067=$D2103)) * 100, 2))"),54.71)</f>
        <v>54.71</v>
      </c>
      <c r="J2103" s="81">
        <f>IFERROR(__xludf.DUMMYFUNCTION("IF(H2103="""", """", ROUND(H2103 / MAX(FILTER($H$2:$H5067, $D$2:$D5067=$D2103)) * 100, 2))"),10.39)</f>
        <v>10.39</v>
      </c>
      <c r="K2103" s="2"/>
      <c r="L2103" s="48"/>
      <c r="M2103" s="48"/>
      <c r="N2103" s="48"/>
      <c r="O2103" s="48" t="str">
        <f t="shared" si="2"/>
        <v/>
      </c>
      <c r="P2103" s="48" t="str">
        <f t="shared" si="3"/>
        <v/>
      </c>
      <c r="Q2103" s="84"/>
      <c r="R2103" s="84"/>
      <c r="S2103" s="84"/>
      <c r="T2103" s="84"/>
      <c r="U2103" s="84"/>
      <c r="V2103" s="84"/>
      <c r="W2103" s="84"/>
      <c r="X2103" s="84"/>
      <c r="Y2103" s="84"/>
      <c r="Z2103" s="84"/>
      <c r="AA2103" s="84"/>
      <c r="AB2103" s="84"/>
    </row>
    <row r="2104">
      <c r="A2104" s="63">
        <v>141.0</v>
      </c>
      <c r="B2104" s="63">
        <v>218.0</v>
      </c>
      <c r="C2104" s="64" t="s">
        <v>471</v>
      </c>
      <c r="D2104" s="64" t="s">
        <v>472</v>
      </c>
      <c r="E2104" s="64" t="s">
        <v>473</v>
      </c>
      <c r="F2104" s="63">
        <v>1500.0</v>
      </c>
      <c r="G2104" s="63">
        <v>5.82</v>
      </c>
      <c r="H2104" s="66">
        <f t="shared" si="1"/>
        <v>12.19</v>
      </c>
      <c r="I2104" s="81">
        <f>IFERROR(__xludf.DUMMYFUNCTION("IF(G2104="""", """", ROUND(G2104 / MAX(FILTER($G$2:$G5067, $D$2:$D5067=$D2104)) * 100, 2))"),66.9)</f>
        <v>66.9</v>
      </c>
      <c r="J2104" s="81">
        <f>IFERROR(__xludf.DUMMYFUNCTION("IF(H2104="""", """", ROUND(H2104 / MAX(FILTER($H$2:$H5067, $D$2:$D5067=$D2104)) * 100, 2))"),19.05)</f>
        <v>19.05</v>
      </c>
      <c r="K2104" s="2"/>
      <c r="L2104" s="49"/>
      <c r="M2104" s="49"/>
      <c r="N2104" s="49"/>
      <c r="O2104" s="49" t="str">
        <f t="shared" si="2"/>
        <v/>
      </c>
      <c r="P2104" s="49" t="str">
        <f t="shared" si="3"/>
        <v/>
      </c>
      <c r="Q2104" s="84"/>
      <c r="R2104" s="84"/>
      <c r="S2104" s="84"/>
      <c r="T2104" s="84"/>
      <c r="U2104" s="84"/>
      <c r="V2104" s="84"/>
      <c r="W2104" s="84"/>
      <c r="X2104" s="84"/>
      <c r="Y2104" s="84"/>
      <c r="Z2104" s="84"/>
      <c r="AA2104" s="84"/>
      <c r="AB2104" s="84"/>
    </row>
    <row r="2105">
      <c r="A2105" s="69">
        <v>141.0</v>
      </c>
      <c r="B2105" s="69">
        <v>218.0</v>
      </c>
      <c r="C2105" s="86" t="s">
        <v>471</v>
      </c>
      <c r="D2105" s="86" t="s">
        <v>472</v>
      </c>
      <c r="E2105" s="86" t="s">
        <v>473</v>
      </c>
      <c r="F2105" s="69">
        <v>2000.0</v>
      </c>
      <c r="G2105" s="69">
        <v>6.75</v>
      </c>
      <c r="H2105" s="68">
        <f t="shared" si="1"/>
        <v>18.85</v>
      </c>
      <c r="I2105" s="81">
        <f>IFERROR(__xludf.DUMMYFUNCTION("IF(G2105="""", """", ROUND(G2105 / MAX(FILTER($G$2:$G5067, $D$2:$D5067=$D2105)) * 100, 2))"),77.59)</f>
        <v>77.59</v>
      </c>
      <c r="J2105" s="81">
        <f>IFERROR(__xludf.DUMMYFUNCTION("IF(H2105="""", """", ROUND(H2105 / MAX(FILTER($H$2:$H5067, $D$2:$D5067=$D2105)) * 100, 2))"),29.46)</f>
        <v>29.46</v>
      </c>
      <c r="K2105" s="2"/>
      <c r="L2105" s="48"/>
      <c r="M2105" s="48"/>
      <c r="N2105" s="48"/>
      <c r="O2105" s="48" t="str">
        <f t="shared" si="2"/>
        <v/>
      </c>
      <c r="P2105" s="48" t="str">
        <f t="shared" si="3"/>
        <v/>
      </c>
      <c r="Q2105" s="84"/>
      <c r="R2105" s="84"/>
      <c r="S2105" s="84"/>
      <c r="T2105" s="84"/>
      <c r="U2105" s="84"/>
      <c r="V2105" s="84"/>
      <c r="W2105" s="84"/>
      <c r="X2105" s="84"/>
      <c r="Y2105" s="84"/>
      <c r="Z2105" s="84"/>
      <c r="AA2105" s="84"/>
      <c r="AB2105" s="84"/>
    </row>
    <row r="2106">
      <c r="A2106" s="63">
        <v>141.0</v>
      </c>
      <c r="B2106" s="63">
        <v>218.0</v>
      </c>
      <c r="C2106" s="64" t="s">
        <v>471</v>
      </c>
      <c r="D2106" s="64" t="s">
        <v>472</v>
      </c>
      <c r="E2106" s="64" t="s">
        <v>473</v>
      </c>
      <c r="F2106" s="63">
        <v>2500.0</v>
      </c>
      <c r="G2106" s="63">
        <v>7.58</v>
      </c>
      <c r="H2106" s="66">
        <f t="shared" si="1"/>
        <v>26.46</v>
      </c>
      <c r="I2106" s="81">
        <f>IFERROR(__xludf.DUMMYFUNCTION("IF(G2106="""", """", ROUND(G2106 / MAX(FILTER($G$2:$G5067, $D$2:$D5067=$D2106)) * 100, 2))"),87.13)</f>
        <v>87.13</v>
      </c>
      <c r="J2106" s="81">
        <f>IFERROR(__xludf.DUMMYFUNCTION("IF(H2106="""", """", ROUND(H2106 / MAX(FILTER($H$2:$H5067, $D$2:$D5067=$D2106)) * 100, 2))"),41.36)</f>
        <v>41.36</v>
      </c>
      <c r="K2106" s="2"/>
      <c r="L2106" s="49"/>
      <c r="M2106" s="49"/>
      <c r="N2106" s="49"/>
      <c r="O2106" s="49" t="str">
        <f t="shared" si="2"/>
        <v/>
      </c>
      <c r="P2106" s="49" t="str">
        <f t="shared" si="3"/>
        <v/>
      </c>
      <c r="Q2106" s="84"/>
      <c r="R2106" s="84"/>
      <c r="S2106" s="84"/>
      <c r="T2106" s="84"/>
      <c r="U2106" s="84"/>
      <c r="V2106" s="84"/>
      <c r="W2106" s="84"/>
      <c r="X2106" s="84"/>
      <c r="Y2106" s="84"/>
      <c r="Z2106" s="84"/>
      <c r="AA2106" s="84"/>
      <c r="AB2106" s="84"/>
    </row>
    <row r="2107">
      <c r="A2107" s="69">
        <v>141.0</v>
      </c>
      <c r="B2107" s="69">
        <v>218.0</v>
      </c>
      <c r="C2107" s="86" t="s">
        <v>471</v>
      </c>
      <c r="D2107" s="86" t="s">
        <v>472</v>
      </c>
      <c r="E2107" s="86" t="s">
        <v>473</v>
      </c>
      <c r="F2107" s="69">
        <v>3000.0</v>
      </c>
      <c r="G2107" s="69">
        <v>8.2</v>
      </c>
      <c r="H2107" s="68">
        <f t="shared" si="1"/>
        <v>34.35</v>
      </c>
      <c r="I2107" s="81">
        <f>IFERROR(__xludf.DUMMYFUNCTION("IF(G2107="""", """", ROUND(G2107 / MAX(FILTER($G$2:$G5067, $D$2:$D5067=$D2107)) * 100, 2))"),94.25)</f>
        <v>94.25</v>
      </c>
      <c r="J2107" s="81">
        <f>IFERROR(__xludf.DUMMYFUNCTION("IF(H2107="""", """", ROUND(H2107 / MAX(FILTER($H$2:$H5067, $D$2:$D5067=$D2107)) * 100, 2))"),53.69)</f>
        <v>53.69</v>
      </c>
      <c r="K2107" s="2"/>
      <c r="L2107" s="48"/>
      <c r="M2107" s="48"/>
      <c r="N2107" s="48"/>
      <c r="O2107" s="48" t="str">
        <f t="shared" si="2"/>
        <v/>
      </c>
      <c r="P2107" s="48" t="str">
        <f t="shared" si="3"/>
        <v/>
      </c>
      <c r="Q2107" s="84"/>
      <c r="R2107" s="84"/>
      <c r="S2107" s="84"/>
      <c r="T2107" s="84"/>
      <c r="U2107" s="84"/>
      <c r="V2107" s="84"/>
      <c r="W2107" s="84"/>
      <c r="X2107" s="84"/>
      <c r="Y2107" s="84"/>
      <c r="Z2107" s="84"/>
      <c r="AA2107" s="84"/>
      <c r="AB2107" s="84"/>
    </row>
    <row r="2108">
      <c r="A2108" s="63">
        <v>141.0</v>
      </c>
      <c r="B2108" s="63">
        <v>218.0</v>
      </c>
      <c r="C2108" s="64" t="s">
        <v>471</v>
      </c>
      <c r="D2108" s="64" t="s">
        <v>472</v>
      </c>
      <c r="E2108" s="64" t="s">
        <v>473</v>
      </c>
      <c r="F2108" s="63">
        <v>3500.0</v>
      </c>
      <c r="G2108" s="63">
        <v>8.5</v>
      </c>
      <c r="H2108" s="66">
        <f t="shared" si="1"/>
        <v>41.54</v>
      </c>
      <c r="I2108" s="81">
        <f>IFERROR(__xludf.DUMMYFUNCTION("IF(G2108="""", """", ROUND(G2108 / MAX(FILTER($G$2:$G5067, $D$2:$D5067=$D2108)) * 100, 2))"),97.7)</f>
        <v>97.7</v>
      </c>
      <c r="J2108" s="81">
        <f>IFERROR(__xludf.DUMMYFUNCTION("IF(H2108="""", """", ROUND(H2108 / MAX(FILTER($H$2:$H5067, $D$2:$D5067=$D2108)) * 100, 2))"),64.93)</f>
        <v>64.93</v>
      </c>
      <c r="K2108" s="2"/>
      <c r="L2108" s="49"/>
      <c r="M2108" s="49"/>
      <c r="N2108" s="49"/>
      <c r="O2108" s="49" t="str">
        <f t="shared" si="2"/>
        <v/>
      </c>
      <c r="P2108" s="49" t="str">
        <f t="shared" si="3"/>
        <v/>
      </c>
      <c r="Q2108" s="84"/>
      <c r="R2108" s="84"/>
      <c r="S2108" s="84"/>
      <c r="T2108" s="84"/>
      <c r="U2108" s="84"/>
      <c r="V2108" s="84"/>
      <c r="W2108" s="84"/>
      <c r="X2108" s="84"/>
      <c r="Y2108" s="84"/>
      <c r="Z2108" s="84"/>
      <c r="AA2108" s="84"/>
      <c r="AB2108" s="84"/>
    </row>
    <row r="2109">
      <c r="A2109" s="69">
        <v>141.0</v>
      </c>
      <c r="B2109" s="69">
        <v>218.0</v>
      </c>
      <c r="C2109" s="86" t="s">
        <v>471</v>
      </c>
      <c r="D2109" s="86" t="s">
        <v>472</v>
      </c>
      <c r="E2109" s="86" t="s">
        <v>473</v>
      </c>
      <c r="F2109" s="69">
        <v>4000.0</v>
      </c>
      <c r="G2109" s="69">
        <v>8.7</v>
      </c>
      <c r="H2109" s="68">
        <f t="shared" si="1"/>
        <v>48.59</v>
      </c>
      <c r="I2109" s="81">
        <f>IFERROR(__xludf.DUMMYFUNCTION("IF(G2109="""", """", ROUND(G2109 / MAX(FILTER($G$2:$G5067, $D$2:$D5067=$D2109)) * 100, 2))"),100.0)</f>
        <v>100</v>
      </c>
      <c r="J2109" s="81">
        <f>IFERROR(__xludf.DUMMYFUNCTION("IF(H2109="""", """", ROUND(H2109 / MAX(FILTER($H$2:$H5067, $D$2:$D5067=$D2109)) * 100, 2))"),75.95)</f>
        <v>75.95</v>
      </c>
      <c r="K2109" s="2"/>
      <c r="L2109" s="48"/>
      <c r="M2109" s="48"/>
      <c r="N2109" s="48"/>
      <c r="O2109" s="48" t="str">
        <f t="shared" si="2"/>
        <v/>
      </c>
      <c r="P2109" s="48" t="str">
        <f t="shared" si="3"/>
        <v/>
      </c>
      <c r="Q2109" s="84"/>
      <c r="R2109" s="84"/>
      <c r="S2109" s="84"/>
      <c r="T2109" s="84"/>
      <c r="U2109" s="84"/>
      <c r="V2109" s="84"/>
      <c r="W2109" s="84"/>
      <c r="X2109" s="84"/>
      <c r="Y2109" s="84"/>
      <c r="Z2109" s="84"/>
      <c r="AA2109" s="84"/>
      <c r="AB2109" s="84"/>
    </row>
    <row r="2110">
      <c r="A2110" s="63">
        <v>141.0</v>
      </c>
      <c r="B2110" s="63">
        <v>218.0</v>
      </c>
      <c r="C2110" s="64" t="s">
        <v>471</v>
      </c>
      <c r="D2110" s="64" t="s">
        <v>472</v>
      </c>
      <c r="E2110" s="64" t="s">
        <v>473</v>
      </c>
      <c r="F2110" s="63">
        <v>4500.0</v>
      </c>
      <c r="G2110" s="63">
        <v>8.58</v>
      </c>
      <c r="H2110" s="66">
        <f t="shared" si="1"/>
        <v>53.91</v>
      </c>
      <c r="I2110" s="81">
        <f>IFERROR(__xludf.DUMMYFUNCTION("IF(G2110="""", """", ROUND(G2110 / MAX(FILTER($G$2:$G5067, $D$2:$D5067=$D2110)) * 100, 2))"),98.62)</f>
        <v>98.62</v>
      </c>
      <c r="J2110" s="81">
        <f>IFERROR(__xludf.DUMMYFUNCTION("IF(H2110="""", """", ROUND(H2110 / MAX(FILTER($H$2:$H5067, $D$2:$D5067=$D2110)) * 100, 2))"),84.26)</f>
        <v>84.26</v>
      </c>
      <c r="K2110" s="2"/>
      <c r="L2110" s="49"/>
      <c r="M2110" s="49"/>
      <c r="N2110" s="49"/>
      <c r="O2110" s="49" t="str">
        <f t="shared" si="2"/>
        <v/>
      </c>
      <c r="P2110" s="49" t="str">
        <f t="shared" si="3"/>
        <v/>
      </c>
      <c r="Q2110" s="84"/>
      <c r="R2110" s="84"/>
      <c r="S2110" s="84"/>
      <c r="T2110" s="84"/>
      <c r="U2110" s="84"/>
      <c r="V2110" s="84"/>
      <c r="W2110" s="84"/>
      <c r="X2110" s="84"/>
      <c r="Y2110" s="84"/>
      <c r="Z2110" s="84"/>
      <c r="AA2110" s="84"/>
      <c r="AB2110" s="84"/>
    </row>
    <row r="2111">
      <c r="A2111" s="69">
        <v>141.0</v>
      </c>
      <c r="B2111" s="69">
        <v>218.0</v>
      </c>
      <c r="C2111" s="86" t="s">
        <v>471</v>
      </c>
      <c r="D2111" s="86" t="s">
        <v>472</v>
      </c>
      <c r="E2111" s="86" t="s">
        <v>473</v>
      </c>
      <c r="F2111" s="69">
        <v>5000.0</v>
      </c>
      <c r="G2111" s="69">
        <v>8.38</v>
      </c>
      <c r="H2111" s="68">
        <f t="shared" si="1"/>
        <v>58.5</v>
      </c>
      <c r="I2111" s="81">
        <f>IFERROR(__xludf.DUMMYFUNCTION("IF(G2111="""", """", ROUND(G2111 / MAX(FILTER($G$2:$G5067, $D$2:$D5067=$D2111)) * 100, 2))"),96.32)</f>
        <v>96.32</v>
      </c>
      <c r="J2111" s="81">
        <f>IFERROR(__xludf.DUMMYFUNCTION("IF(H2111="""", """", ROUND(H2111 / MAX(FILTER($H$2:$H5067, $D$2:$D5067=$D2111)) * 100, 2))"),91.43)</f>
        <v>91.43</v>
      </c>
      <c r="K2111" s="2"/>
      <c r="L2111" s="48"/>
      <c r="M2111" s="48"/>
      <c r="N2111" s="48"/>
      <c r="O2111" s="48" t="str">
        <f t="shared" si="2"/>
        <v/>
      </c>
      <c r="P2111" s="48" t="str">
        <f t="shared" si="3"/>
        <v/>
      </c>
      <c r="Q2111" s="84"/>
      <c r="R2111" s="84"/>
      <c r="S2111" s="84"/>
      <c r="T2111" s="84"/>
      <c r="U2111" s="84"/>
      <c r="V2111" s="84"/>
      <c r="W2111" s="84"/>
      <c r="X2111" s="84"/>
      <c r="Y2111" s="84"/>
      <c r="Z2111" s="84"/>
      <c r="AA2111" s="84"/>
      <c r="AB2111" s="84"/>
    </row>
    <row r="2112">
      <c r="A2112" s="63">
        <v>141.0</v>
      </c>
      <c r="B2112" s="63">
        <v>218.0</v>
      </c>
      <c r="C2112" s="64" t="s">
        <v>471</v>
      </c>
      <c r="D2112" s="64" t="s">
        <v>472</v>
      </c>
      <c r="E2112" s="64" t="s">
        <v>473</v>
      </c>
      <c r="F2112" s="63">
        <v>5500.0</v>
      </c>
      <c r="G2112" s="63">
        <v>8.03</v>
      </c>
      <c r="H2112" s="66">
        <f t="shared" si="1"/>
        <v>61.67</v>
      </c>
      <c r="I2112" s="81">
        <f>IFERROR(__xludf.DUMMYFUNCTION("IF(G2112="""", """", ROUND(G2112 / MAX(FILTER($G$2:$G5067, $D$2:$D5067=$D2112)) * 100, 2))"),92.3)</f>
        <v>92.3</v>
      </c>
      <c r="J2112" s="81">
        <f>IFERROR(__xludf.DUMMYFUNCTION("IF(H2112="""", """", ROUND(H2112 / MAX(FILTER($H$2:$H5067, $D$2:$D5067=$D2112)) * 100, 2))"),96.39)</f>
        <v>96.39</v>
      </c>
      <c r="K2112" s="2"/>
      <c r="L2112" s="49"/>
      <c r="M2112" s="49"/>
      <c r="N2112" s="49"/>
      <c r="O2112" s="49" t="str">
        <f t="shared" si="2"/>
        <v/>
      </c>
      <c r="P2112" s="49" t="str">
        <f t="shared" si="3"/>
        <v/>
      </c>
      <c r="Q2112" s="84"/>
      <c r="R2112" s="84"/>
      <c r="S2112" s="84"/>
      <c r="T2112" s="84"/>
      <c r="U2112" s="84"/>
      <c r="V2112" s="84"/>
      <c r="W2112" s="84"/>
      <c r="X2112" s="84"/>
      <c r="Y2112" s="84"/>
      <c r="Z2112" s="84"/>
      <c r="AA2112" s="84"/>
      <c r="AB2112" s="84"/>
    </row>
    <row r="2113">
      <c r="A2113" s="69">
        <v>141.0</v>
      </c>
      <c r="B2113" s="69">
        <v>218.0</v>
      </c>
      <c r="C2113" s="86" t="s">
        <v>471</v>
      </c>
      <c r="D2113" s="86" t="s">
        <v>472</v>
      </c>
      <c r="E2113" s="86" t="s">
        <v>473</v>
      </c>
      <c r="F2113" s="69">
        <v>6000.0</v>
      </c>
      <c r="G2113" s="69">
        <v>7.6</v>
      </c>
      <c r="H2113" s="68">
        <f t="shared" si="1"/>
        <v>63.67</v>
      </c>
      <c r="I2113" s="81">
        <f>IFERROR(__xludf.DUMMYFUNCTION("IF(G2113="""", """", ROUND(G2113 / MAX(FILTER($G$2:$G5067, $D$2:$D5067=$D2113)) * 100, 2))"),87.36)</f>
        <v>87.36</v>
      </c>
      <c r="J2113" s="81">
        <f>IFERROR(__xludf.DUMMYFUNCTION("IF(H2113="""", """", ROUND(H2113 / MAX(FILTER($H$2:$H5067, $D$2:$D5067=$D2113)) * 100, 2))"),99.52)</f>
        <v>99.52</v>
      </c>
      <c r="K2113" s="2"/>
      <c r="L2113" s="48"/>
      <c r="M2113" s="48"/>
      <c r="N2113" s="48"/>
      <c r="O2113" s="48" t="str">
        <f t="shared" si="2"/>
        <v/>
      </c>
      <c r="P2113" s="48" t="str">
        <f t="shared" si="3"/>
        <v/>
      </c>
      <c r="Q2113" s="84"/>
      <c r="R2113" s="84"/>
      <c r="S2113" s="84"/>
      <c r="T2113" s="84"/>
      <c r="U2113" s="84"/>
      <c r="V2113" s="84"/>
      <c r="W2113" s="84"/>
      <c r="X2113" s="84"/>
      <c r="Y2113" s="84"/>
      <c r="Z2113" s="84"/>
      <c r="AA2113" s="84"/>
      <c r="AB2113" s="84"/>
    </row>
    <row r="2114">
      <c r="A2114" s="63">
        <v>141.0</v>
      </c>
      <c r="B2114" s="63">
        <v>218.0</v>
      </c>
      <c r="C2114" s="64" t="s">
        <v>471</v>
      </c>
      <c r="D2114" s="64" t="s">
        <v>472</v>
      </c>
      <c r="E2114" s="64" t="s">
        <v>473</v>
      </c>
      <c r="F2114" s="63">
        <v>6500.0</v>
      </c>
      <c r="G2114" s="63">
        <v>7.05</v>
      </c>
      <c r="H2114" s="66">
        <f t="shared" si="1"/>
        <v>63.98</v>
      </c>
      <c r="I2114" s="81">
        <f>IFERROR(__xludf.DUMMYFUNCTION("IF(G2114="""", """", ROUND(G2114 / MAX(FILTER($G$2:$G5067, $D$2:$D5067=$D2114)) * 100, 2))"),81.03)</f>
        <v>81.03</v>
      </c>
      <c r="J2114" s="81">
        <f>IFERROR(__xludf.DUMMYFUNCTION("IF(H2114="""", """", ROUND(H2114 / MAX(FILTER($H$2:$H5067, $D$2:$D5067=$D2114)) * 100, 2))"),100.0)</f>
        <v>100</v>
      </c>
      <c r="K2114" s="2"/>
      <c r="L2114" s="49"/>
      <c r="M2114" s="49"/>
      <c r="N2114" s="49"/>
      <c r="O2114" s="49" t="str">
        <f t="shared" si="2"/>
        <v/>
      </c>
      <c r="P2114" s="49" t="str">
        <f t="shared" si="3"/>
        <v/>
      </c>
      <c r="Q2114" s="84"/>
      <c r="R2114" s="84"/>
      <c r="S2114" s="84"/>
      <c r="T2114" s="84"/>
      <c r="U2114" s="84"/>
      <c r="V2114" s="84"/>
      <c r="W2114" s="84"/>
      <c r="X2114" s="84"/>
      <c r="Y2114" s="84"/>
      <c r="Z2114" s="84"/>
      <c r="AA2114" s="84"/>
      <c r="AB2114" s="84"/>
    </row>
    <row r="2115">
      <c r="A2115" s="69">
        <v>141.0</v>
      </c>
      <c r="B2115" s="69">
        <v>218.0</v>
      </c>
      <c r="C2115" s="86" t="s">
        <v>471</v>
      </c>
      <c r="D2115" s="86" t="s">
        <v>472</v>
      </c>
      <c r="E2115" s="86" t="s">
        <v>473</v>
      </c>
      <c r="F2115" s="69">
        <v>7000.0</v>
      </c>
      <c r="G2115" s="69">
        <v>6.4</v>
      </c>
      <c r="H2115" s="68">
        <f t="shared" si="1"/>
        <v>62.55</v>
      </c>
      <c r="I2115" s="81">
        <f>IFERROR(__xludf.DUMMYFUNCTION("IF(G2115="""", """", ROUND(G2115 / MAX(FILTER($G$2:$G5067, $D$2:$D5067=$D2115)) * 100, 2))"),73.56)</f>
        <v>73.56</v>
      </c>
      <c r="J2115" s="81">
        <f>IFERROR(__xludf.DUMMYFUNCTION("IF(H2115="""", """", ROUND(H2115 / MAX(FILTER($H$2:$H5067, $D$2:$D5067=$D2115)) * 100, 2))"),97.76)</f>
        <v>97.76</v>
      </c>
      <c r="K2115" s="2"/>
      <c r="L2115" s="48"/>
      <c r="M2115" s="48"/>
      <c r="N2115" s="48"/>
      <c r="O2115" s="48" t="str">
        <f t="shared" si="2"/>
        <v/>
      </c>
      <c r="P2115" s="48" t="str">
        <f t="shared" si="3"/>
        <v/>
      </c>
      <c r="Q2115" s="84"/>
      <c r="R2115" s="84"/>
      <c r="S2115" s="84"/>
      <c r="T2115" s="84"/>
      <c r="U2115" s="84"/>
      <c r="V2115" s="84"/>
      <c r="W2115" s="84"/>
      <c r="X2115" s="84"/>
      <c r="Y2115" s="84"/>
      <c r="Z2115" s="84"/>
      <c r="AA2115" s="84"/>
      <c r="AB2115" s="84"/>
    </row>
    <row r="2116">
      <c r="A2116" s="63">
        <v>141.0</v>
      </c>
      <c r="B2116" s="63">
        <v>218.0</v>
      </c>
      <c r="C2116" s="64" t="s">
        <v>471</v>
      </c>
      <c r="D2116" s="64" t="s">
        <v>472</v>
      </c>
      <c r="E2116" s="64" t="s">
        <v>473</v>
      </c>
      <c r="F2116" s="63">
        <v>7500.0</v>
      </c>
      <c r="G2116" s="63">
        <v>5.7</v>
      </c>
      <c r="H2116" s="66">
        <f t="shared" si="1"/>
        <v>59.69</v>
      </c>
      <c r="I2116" s="81">
        <f>IFERROR(__xludf.DUMMYFUNCTION("IF(G2116="""", """", ROUND(G2116 / MAX(FILTER($G$2:$G5067, $D$2:$D5067=$D2116)) * 100, 2))"),65.52)</f>
        <v>65.52</v>
      </c>
      <c r="J2116" s="81">
        <f>IFERROR(__xludf.DUMMYFUNCTION("IF(H2116="""", """", ROUND(H2116 / MAX(FILTER($H$2:$H5067, $D$2:$D5067=$D2116)) * 100, 2))"),93.29)</f>
        <v>93.29</v>
      </c>
      <c r="K2116" s="2"/>
      <c r="L2116" s="49"/>
      <c r="M2116" s="49"/>
      <c r="N2116" s="49"/>
      <c r="O2116" s="49" t="str">
        <f t="shared" si="2"/>
        <v/>
      </c>
      <c r="P2116" s="49" t="str">
        <f t="shared" si="3"/>
        <v/>
      </c>
      <c r="Q2116" s="84"/>
      <c r="R2116" s="84"/>
      <c r="S2116" s="84"/>
      <c r="T2116" s="84"/>
      <c r="U2116" s="84"/>
      <c r="V2116" s="84"/>
      <c r="W2116" s="84"/>
      <c r="X2116" s="84"/>
      <c r="Y2116" s="84"/>
      <c r="Z2116" s="84"/>
      <c r="AA2116" s="84"/>
      <c r="AB2116" s="84"/>
    </row>
    <row r="2117">
      <c r="A2117" s="69">
        <v>141.0</v>
      </c>
      <c r="B2117" s="69">
        <v>218.0</v>
      </c>
      <c r="C2117" s="86" t="s">
        <v>471</v>
      </c>
      <c r="D2117" s="86" t="s">
        <v>472</v>
      </c>
      <c r="E2117" s="86" t="s">
        <v>473</v>
      </c>
      <c r="F2117" s="69">
        <v>8000.0</v>
      </c>
      <c r="G2117" s="69">
        <v>4.93</v>
      </c>
      <c r="H2117" s="68">
        <f t="shared" si="1"/>
        <v>55.07</v>
      </c>
      <c r="I2117" s="81">
        <f>IFERROR(__xludf.DUMMYFUNCTION("IF(G2117="""", """", ROUND(G2117 / MAX(FILTER($G$2:$G5067, $D$2:$D5067=$D2117)) * 100, 2))"),56.67)</f>
        <v>56.67</v>
      </c>
      <c r="J2117" s="81">
        <f>IFERROR(__xludf.DUMMYFUNCTION("IF(H2117="""", """", ROUND(H2117 / MAX(FILTER($H$2:$H5067, $D$2:$D5067=$D2117)) * 100, 2))"),86.07)</f>
        <v>86.07</v>
      </c>
      <c r="K2117" s="2"/>
      <c r="L2117" s="48"/>
      <c r="M2117" s="48"/>
      <c r="N2117" s="48"/>
      <c r="O2117" s="48" t="str">
        <f t="shared" si="2"/>
        <v/>
      </c>
      <c r="P2117" s="48" t="str">
        <f t="shared" si="3"/>
        <v/>
      </c>
      <c r="Q2117" s="84"/>
      <c r="R2117" s="84"/>
      <c r="S2117" s="84"/>
      <c r="T2117" s="84"/>
      <c r="U2117" s="84"/>
      <c r="V2117" s="84"/>
      <c r="W2117" s="84"/>
      <c r="X2117" s="84"/>
      <c r="Y2117" s="84"/>
      <c r="Z2117" s="84"/>
      <c r="AA2117" s="84"/>
      <c r="AB2117" s="84"/>
    </row>
    <row r="2118">
      <c r="A2118" s="63">
        <v>141.0</v>
      </c>
      <c r="B2118" s="63">
        <v>218.0</v>
      </c>
      <c r="C2118" s="64" t="s">
        <v>471</v>
      </c>
      <c r="D2118" s="64" t="s">
        <v>472</v>
      </c>
      <c r="E2118" s="64" t="s">
        <v>473</v>
      </c>
      <c r="F2118" s="63">
        <v>8500.0</v>
      </c>
      <c r="G2118" s="63">
        <v>4.1</v>
      </c>
      <c r="H2118" s="66">
        <f t="shared" si="1"/>
        <v>48.66</v>
      </c>
      <c r="I2118" s="81">
        <f>IFERROR(__xludf.DUMMYFUNCTION("IF(G2118="""", """", ROUND(G2118 / MAX(FILTER($G$2:$G5067, $D$2:$D5067=$D2118)) * 100, 2))"),47.13)</f>
        <v>47.13</v>
      </c>
      <c r="J2118" s="81">
        <f>IFERROR(__xludf.DUMMYFUNCTION("IF(H2118="""", """", ROUND(H2118 / MAX(FILTER($H$2:$H5067, $D$2:$D5067=$D2118)) * 100, 2))"),76.06)</f>
        <v>76.06</v>
      </c>
      <c r="K2118" s="2"/>
      <c r="L2118" s="49"/>
      <c r="M2118" s="49"/>
      <c r="N2118" s="49"/>
      <c r="O2118" s="49" t="str">
        <f t="shared" si="2"/>
        <v/>
      </c>
      <c r="P2118" s="49" t="str">
        <f t="shared" si="3"/>
        <v/>
      </c>
      <c r="Q2118" s="84"/>
      <c r="R2118" s="84"/>
      <c r="S2118" s="84"/>
      <c r="T2118" s="84"/>
      <c r="U2118" s="84"/>
      <c r="V2118" s="84"/>
      <c r="W2118" s="84"/>
      <c r="X2118" s="84"/>
      <c r="Y2118" s="84"/>
      <c r="Z2118" s="84"/>
      <c r="AA2118" s="84"/>
      <c r="AB2118" s="84"/>
    </row>
    <row r="2119">
      <c r="A2119" s="69">
        <v>141.0</v>
      </c>
      <c r="B2119" s="69">
        <v>218.0</v>
      </c>
      <c r="C2119" s="86" t="s">
        <v>471</v>
      </c>
      <c r="D2119" s="86" t="s">
        <v>472</v>
      </c>
      <c r="E2119" s="86" t="s">
        <v>473</v>
      </c>
      <c r="F2119" s="69">
        <v>9000.0</v>
      </c>
      <c r="G2119" s="69">
        <v>3.3</v>
      </c>
      <c r="H2119" s="68">
        <f t="shared" si="1"/>
        <v>41.47</v>
      </c>
      <c r="I2119" s="81">
        <f>IFERROR(__xludf.DUMMYFUNCTION("IF(G2119="""", """", ROUND(G2119 / MAX(FILTER($G$2:$G5067, $D$2:$D5067=$D2119)) * 100, 2))"),37.93)</f>
        <v>37.93</v>
      </c>
      <c r="J2119" s="81">
        <f>IFERROR(__xludf.DUMMYFUNCTION("IF(H2119="""", """", ROUND(H2119 / MAX(FILTER($H$2:$H5067, $D$2:$D5067=$D2119)) * 100, 2))"),64.82)</f>
        <v>64.82</v>
      </c>
      <c r="K2119" s="2"/>
      <c r="L2119" s="48"/>
      <c r="M2119" s="48"/>
      <c r="N2119" s="48"/>
      <c r="O2119" s="48" t="str">
        <f t="shared" si="2"/>
        <v/>
      </c>
      <c r="P2119" s="48" t="str">
        <f t="shared" si="3"/>
        <v/>
      </c>
      <c r="Q2119" s="84"/>
      <c r="R2119" s="84"/>
      <c r="S2119" s="84"/>
      <c r="T2119" s="84"/>
      <c r="U2119" s="84"/>
      <c r="V2119" s="84"/>
      <c r="W2119" s="84"/>
      <c r="X2119" s="84"/>
      <c r="Y2119" s="84"/>
      <c r="Z2119" s="84"/>
      <c r="AA2119" s="84"/>
      <c r="AB2119" s="84"/>
    </row>
    <row r="2120">
      <c r="A2120" s="63">
        <v>142.0</v>
      </c>
      <c r="B2120" s="63">
        <v>222.0</v>
      </c>
      <c r="C2120" s="64" t="s">
        <v>474</v>
      </c>
      <c r="D2120" s="64" t="s">
        <v>475</v>
      </c>
      <c r="E2120" s="64" t="s">
        <v>476</v>
      </c>
      <c r="F2120" s="63">
        <v>500.0</v>
      </c>
      <c r="G2120" s="63">
        <v>17.6</v>
      </c>
      <c r="H2120" s="66">
        <f t="shared" si="1"/>
        <v>12.29</v>
      </c>
      <c r="I2120" s="81">
        <f>IFERROR(__xludf.DUMMYFUNCTION("IF(G2120="""", """", ROUND(G2120 / MAX(FILTER($G$2:$G5067, $D$2:$D5067=$D2120)) * 100, 2))"),43.24)</f>
        <v>43.24</v>
      </c>
      <c r="J2120" s="81">
        <f>IFERROR(__xludf.DUMMYFUNCTION("IF(H2120="""", """", ROUND(H2120 / MAX(FILTER($H$2:$H5067, $D$2:$D5067=$D2120)) * 100, 2))"),4.1)</f>
        <v>4.1</v>
      </c>
      <c r="K2120" s="2"/>
      <c r="L2120" s="49"/>
      <c r="M2120" s="49"/>
      <c r="N2120" s="49"/>
      <c r="O2120" s="49" t="str">
        <f t="shared" si="2"/>
        <v/>
      </c>
      <c r="P2120" s="49" t="str">
        <f t="shared" si="3"/>
        <v/>
      </c>
      <c r="Q2120" s="84"/>
      <c r="R2120" s="84"/>
      <c r="S2120" s="84"/>
      <c r="T2120" s="84"/>
      <c r="U2120" s="84"/>
      <c r="V2120" s="84"/>
      <c r="W2120" s="84"/>
      <c r="X2120" s="84"/>
      <c r="Y2120" s="84"/>
      <c r="Z2120" s="84"/>
      <c r="AA2120" s="84"/>
      <c r="AB2120" s="84"/>
    </row>
    <row r="2121">
      <c r="A2121" s="69">
        <v>142.0</v>
      </c>
      <c r="B2121" s="69">
        <v>222.0</v>
      </c>
      <c r="C2121" s="86" t="s">
        <v>474</v>
      </c>
      <c r="D2121" s="86" t="s">
        <v>475</v>
      </c>
      <c r="E2121" s="86" t="s">
        <v>476</v>
      </c>
      <c r="F2121" s="69">
        <v>1000.0</v>
      </c>
      <c r="G2121" s="69">
        <v>18.8</v>
      </c>
      <c r="H2121" s="68">
        <f t="shared" si="1"/>
        <v>26.25</v>
      </c>
      <c r="I2121" s="81">
        <f>IFERROR(__xludf.DUMMYFUNCTION("IF(G2121="""", """", ROUND(G2121 / MAX(FILTER($G$2:$G5067, $D$2:$D5067=$D2121)) * 100, 2))"),46.19)</f>
        <v>46.19</v>
      </c>
      <c r="J2121" s="81">
        <f>IFERROR(__xludf.DUMMYFUNCTION("IF(H2121="""", """", ROUND(H2121 / MAX(FILTER($H$2:$H5067, $D$2:$D5067=$D2121)) * 100, 2))"),8.75)</f>
        <v>8.75</v>
      </c>
      <c r="K2121" s="2"/>
      <c r="L2121" s="48"/>
      <c r="M2121" s="48"/>
      <c r="N2121" s="48"/>
      <c r="O2121" s="48" t="str">
        <f t="shared" si="2"/>
        <v/>
      </c>
      <c r="P2121" s="48" t="str">
        <f t="shared" si="3"/>
        <v/>
      </c>
      <c r="Q2121" s="84"/>
      <c r="R2121" s="84"/>
      <c r="S2121" s="84"/>
      <c r="T2121" s="84"/>
      <c r="U2121" s="84"/>
      <c r="V2121" s="84"/>
      <c r="W2121" s="84"/>
      <c r="X2121" s="84"/>
      <c r="Y2121" s="84"/>
      <c r="Z2121" s="84"/>
      <c r="AA2121" s="84"/>
      <c r="AB2121" s="84"/>
    </row>
    <row r="2122">
      <c r="A2122" s="63">
        <v>142.0</v>
      </c>
      <c r="B2122" s="63">
        <v>222.0</v>
      </c>
      <c r="C2122" s="64" t="s">
        <v>474</v>
      </c>
      <c r="D2122" s="64" t="s">
        <v>475</v>
      </c>
      <c r="E2122" s="64" t="s">
        <v>476</v>
      </c>
      <c r="F2122" s="63">
        <v>1500.0</v>
      </c>
      <c r="G2122" s="63">
        <v>21.0</v>
      </c>
      <c r="H2122" s="66">
        <f t="shared" si="1"/>
        <v>43.98</v>
      </c>
      <c r="I2122" s="81">
        <f>IFERROR(__xludf.DUMMYFUNCTION("IF(G2122="""", """", ROUND(G2122 / MAX(FILTER($G$2:$G5067, $D$2:$D5067=$D2122)) * 100, 2))"),51.6)</f>
        <v>51.6</v>
      </c>
      <c r="J2122" s="81">
        <f>IFERROR(__xludf.DUMMYFUNCTION("IF(H2122="""", """", ROUND(H2122 / MAX(FILTER($H$2:$H5067, $D$2:$D5067=$D2122)) * 100, 2))"),14.67)</f>
        <v>14.67</v>
      </c>
      <c r="K2122" s="2"/>
      <c r="L2122" s="49"/>
      <c r="M2122" s="49"/>
      <c r="N2122" s="49"/>
      <c r="O2122" s="49" t="str">
        <f t="shared" si="2"/>
        <v/>
      </c>
      <c r="P2122" s="49" t="str">
        <f t="shared" si="3"/>
        <v/>
      </c>
      <c r="Q2122" s="84"/>
      <c r="R2122" s="84"/>
      <c r="S2122" s="84"/>
      <c r="T2122" s="84"/>
      <c r="U2122" s="84"/>
      <c r="V2122" s="84"/>
      <c r="W2122" s="84"/>
      <c r="X2122" s="84"/>
      <c r="Y2122" s="84"/>
      <c r="Z2122" s="84"/>
      <c r="AA2122" s="84"/>
      <c r="AB2122" s="84"/>
    </row>
    <row r="2123">
      <c r="A2123" s="69">
        <v>142.0</v>
      </c>
      <c r="B2123" s="69">
        <v>222.0</v>
      </c>
      <c r="C2123" s="86" t="s">
        <v>474</v>
      </c>
      <c r="D2123" s="86" t="s">
        <v>475</v>
      </c>
      <c r="E2123" s="86" t="s">
        <v>476</v>
      </c>
      <c r="F2123" s="69">
        <v>2000.0</v>
      </c>
      <c r="G2123" s="69">
        <v>23.5</v>
      </c>
      <c r="H2123" s="68">
        <f t="shared" si="1"/>
        <v>65.62</v>
      </c>
      <c r="I2123" s="81">
        <f>IFERROR(__xludf.DUMMYFUNCTION("IF(G2123="""", """", ROUND(G2123 / MAX(FILTER($G$2:$G5067, $D$2:$D5067=$D2123)) * 100, 2))"),57.74)</f>
        <v>57.74</v>
      </c>
      <c r="J2123" s="81">
        <f>IFERROR(__xludf.DUMMYFUNCTION("IF(H2123="""", """", ROUND(H2123 / MAX(FILTER($H$2:$H5067, $D$2:$D5067=$D2123)) * 100, 2))"),21.88)</f>
        <v>21.88</v>
      </c>
      <c r="K2123" s="2"/>
      <c r="L2123" s="48"/>
      <c r="M2123" s="48"/>
      <c r="N2123" s="48"/>
      <c r="O2123" s="48" t="str">
        <f t="shared" si="2"/>
        <v/>
      </c>
      <c r="P2123" s="48" t="str">
        <f t="shared" si="3"/>
        <v/>
      </c>
      <c r="Q2123" s="84"/>
      <c r="R2123" s="84"/>
      <c r="S2123" s="84"/>
      <c r="T2123" s="84"/>
      <c r="U2123" s="84"/>
      <c r="V2123" s="84"/>
      <c r="W2123" s="84"/>
      <c r="X2123" s="84"/>
      <c r="Y2123" s="84"/>
      <c r="Z2123" s="84"/>
      <c r="AA2123" s="84"/>
      <c r="AB2123" s="84"/>
    </row>
    <row r="2124">
      <c r="A2124" s="63">
        <v>142.0</v>
      </c>
      <c r="B2124" s="63">
        <v>222.0</v>
      </c>
      <c r="C2124" s="64" t="s">
        <v>474</v>
      </c>
      <c r="D2124" s="64" t="s">
        <v>475</v>
      </c>
      <c r="E2124" s="64" t="s">
        <v>476</v>
      </c>
      <c r="F2124" s="63">
        <v>2500.0</v>
      </c>
      <c r="G2124" s="63">
        <v>26.26</v>
      </c>
      <c r="H2124" s="66">
        <f t="shared" si="1"/>
        <v>91.66</v>
      </c>
      <c r="I2124" s="81">
        <f>IFERROR(__xludf.DUMMYFUNCTION("IF(G2124="""", """", ROUND(G2124 / MAX(FILTER($G$2:$G5067, $D$2:$D5067=$D2124)) * 100, 2))"),64.52)</f>
        <v>64.52</v>
      </c>
      <c r="J2124" s="81">
        <f>IFERROR(__xludf.DUMMYFUNCTION("IF(H2124="""", """", ROUND(H2124 / MAX(FILTER($H$2:$H5067, $D$2:$D5067=$D2124)) * 100, 2))"),30.57)</f>
        <v>30.57</v>
      </c>
      <c r="K2124" s="2"/>
      <c r="L2124" s="49"/>
      <c r="M2124" s="49"/>
      <c r="N2124" s="49"/>
      <c r="O2124" s="49" t="str">
        <f t="shared" si="2"/>
        <v/>
      </c>
      <c r="P2124" s="49" t="str">
        <f t="shared" si="3"/>
        <v/>
      </c>
      <c r="Q2124" s="84"/>
      <c r="R2124" s="84"/>
      <c r="S2124" s="84"/>
      <c r="T2124" s="84"/>
      <c r="U2124" s="84"/>
      <c r="V2124" s="84"/>
      <c r="W2124" s="84"/>
      <c r="X2124" s="84"/>
      <c r="Y2124" s="84"/>
      <c r="Z2124" s="84"/>
      <c r="AA2124" s="84"/>
      <c r="AB2124" s="84"/>
    </row>
    <row r="2125">
      <c r="A2125" s="69">
        <v>142.0</v>
      </c>
      <c r="B2125" s="69">
        <v>222.0</v>
      </c>
      <c r="C2125" s="86" t="s">
        <v>474</v>
      </c>
      <c r="D2125" s="86" t="s">
        <v>475</v>
      </c>
      <c r="E2125" s="86" t="s">
        <v>476</v>
      </c>
      <c r="F2125" s="69">
        <v>3000.0</v>
      </c>
      <c r="G2125" s="69">
        <v>28.92</v>
      </c>
      <c r="H2125" s="68">
        <f t="shared" si="1"/>
        <v>121.14</v>
      </c>
      <c r="I2125" s="81">
        <f>IFERROR(__xludf.DUMMYFUNCTION("IF(G2125="""", """", ROUND(G2125 / MAX(FILTER($G$2:$G5067, $D$2:$D5067=$D2125)) * 100, 2))"),71.06)</f>
        <v>71.06</v>
      </c>
      <c r="J2125" s="81">
        <f>IFERROR(__xludf.DUMMYFUNCTION("IF(H2125="""", """", ROUND(H2125 / MAX(FILTER($H$2:$H5067, $D$2:$D5067=$D2125)) * 100, 2))"),40.4)</f>
        <v>40.4</v>
      </c>
      <c r="K2125" s="2"/>
      <c r="L2125" s="48"/>
      <c r="M2125" s="48"/>
      <c r="N2125" s="48"/>
      <c r="O2125" s="48" t="str">
        <f t="shared" si="2"/>
        <v/>
      </c>
      <c r="P2125" s="48" t="str">
        <f t="shared" si="3"/>
        <v/>
      </c>
      <c r="Q2125" s="84"/>
      <c r="R2125" s="84"/>
      <c r="S2125" s="84"/>
      <c r="T2125" s="84"/>
      <c r="U2125" s="84"/>
      <c r="V2125" s="84"/>
      <c r="W2125" s="84"/>
      <c r="X2125" s="84"/>
      <c r="Y2125" s="84"/>
      <c r="Z2125" s="84"/>
      <c r="AA2125" s="84"/>
      <c r="AB2125" s="84"/>
    </row>
    <row r="2126">
      <c r="A2126" s="63">
        <v>142.0</v>
      </c>
      <c r="B2126" s="63">
        <v>222.0</v>
      </c>
      <c r="C2126" s="64" t="s">
        <v>474</v>
      </c>
      <c r="D2126" s="64" t="s">
        <v>475</v>
      </c>
      <c r="E2126" s="64" t="s">
        <v>476</v>
      </c>
      <c r="F2126" s="63">
        <v>3500.0</v>
      </c>
      <c r="G2126" s="63">
        <v>32.77</v>
      </c>
      <c r="H2126" s="66">
        <f t="shared" si="1"/>
        <v>160.14</v>
      </c>
      <c r="I2126" s="81">
        <f>IFERROR(__xludf.DUMMYFUNCTION("IF(G2126="""", """", ROUND(G2126 / MAX(FILTER($G$2:$G5067, $D$2:$D5067=$D2126)) * 100, 2))"),80.52)</f>
        <v>80.52</v>
      </c>
      <c r="J2126" s="81">
        <f>IFERROR(__xludf.DUMMYFUNCTION("IF(H2126="""", """", ROUND(H2126 / MAX(FILTER($H$2:$H5067, $D$2:$D5067=$D2126)) * 100, 2))"),53.4)</f>
        <v>53.4</v>
      </c>
      <c r="K2126" s="2"/>
      <c r="L2126" s="49"/>
      <c r="M2126" s="49"/>
      <c r="N2126" s="49"/>
      <c r="O2126" s="49" t="str">
        <f t="shared" si="2"/>
        <v/>
      </c>
      <c r="P2126" s="49" t="str">
        <f t="shared" si="3"/>
        <v/>
      </c>
      <c r="Q2126" s="84"/>
      <c r="R2126" s="84"/>
      <c r="S2126" s="84"/>
      <c r="T2126" s="84"/>
      <c r="U2126" s="84"/>
      <c r="V2126" s="84"/>
      <c r="W2126" s="84"/>
      <c r="X2126" s="84"/>
      <c r="Y2126" s="84"/>
      <c r="Z2126" s="84"/>
      <c r="AA2126" s="84"/>
      <c r="AB2126" s="84"/>
    </row>
    <row r="2127">
      <c r="A2127" s="69">
        <v>142.0</v>
      </c>
      <c r="B2127" s="69">
        <v>222.0</v>
      </c>
      <c r="C2127" s="86" t="s">
        <v>474</v>
      </c>
      <c r="D2127" s="86" t="s">
        <v>475</v>
      </c>
      <c r="E2127" s="86" t="s">
        <v>476</v>
      </c>
      <c r="F2127" s="69">
        <v>4000.0</v>
      </c>
      <c r="G2127" s="69">
        <v>36.5</v>
      </c>
      <c r="H2127" s="68">
        <f t="shared" si="1"/>
        <v>203.85</v>
      </c>
      <c r="I2127" s="81">
        <f>IFERROR(__xludf.DUMMYFUNCTION("IF(G2127="""", """", ROUND(G2127 / MAX(FILTER($G$2:$G5067, $D$2:$D5067=$D2127)) * 100, 2))"),89.68)</f>
        <v>89.68</v>
      </c>
      <c r="J2127" s="81">
        <f>IFERROR(__xludf.DUMMYFUNCTION("IF(H2127="""", """", ROUND(H2127 / MAX(FILTER($H$2:$H5067, $D$2:$D5067=$D2127)) * 100, 2))"),67.98)</f>
        <v>67.98</v>
      </c>
      <c r="K2127" s="2"/>
      <c r="L2127" s="48"/>
      <c r="M2127" s="48"/>
      <c r="N2127" s="48"/>
      <c r="O2127" s="48" t="str">
        <f t="shared" si="2"/>
        <v/>
      </c>
      <c r="P2127" s="48" t="str">
        <f t="shared" si="3"/>
        <v/>
      </c>
      <c r="Q2127" s="84"/>
      <c r="R2127" s="84"/>
      <c r="S2127" s="84"/>
      <c r="T2127" s="84"/>
      <c r="U2127" s="84"/>
      <c r="V2127" s="84"/>
      <c r="W2127" s="84"/>
      <c r="X2127" s="84"/>
      <c r="Y2127" s="84"/>
      <c r="Z2127" s="84"/>
      <c r="AA2127" s="84"/>
      <c r="AB2127" s="84"/>
    </row>
    <row r="2128">
      <c r="A2128" s="63">
        <v>142.0</v>
      </c>
      <c r="B2128" s="63">
        <v>222.0</v>
      </c>
      <c r="C2128" s="64" t="s">
        <v>474</v>
      </c>
      <c r="D2128" s="64" t="s">
        <v>475</v>
      </c>
      <c r="E2128" s="64" t="s">
        <v>476</v>
      </c>
      <c r="F2128" s="63">
        <v>4500.0</v>
      </c>
      <c r="G2128" s="63">
        <v>40.7</v>
      </c>
      <c r="H2128" s="66">
        <f t="shared" si="1"/>
        <v>255.72</v>
      </c>
      <c r="I2128" s="81">
        <f>IFERROR(__xludf.DUMMYFUNCTION("IF(G2128="""", """", ROUND(G2128 / MAX(FILTER($G$2:$G5067, $D$2:$D5067=$D2128)) * 100, 2))"),100.0)</f>
        <v>100</v>
      </c>
      <c r="J2128" s="81">
        <f>IFERROR(__xludf.DUMMYFUNCTION("IF(H2128="""", """", ROUND(H2128 / MAX(FILTER($H$2:$H5067, $D$2:$D5067=$D2128)) * 100, 2))"),85.28)</f>
        <v>85.28</v>
      </c>
      <c r="K2128" s="2"/>
      <c r="L2128" s="49"/>
      <c r="M2128" s="49"/>
      <c r="N2128" s="49"/>
      <c r="O2128" s="49" t="str">
        <f t="shared" si="2"/>
        <v/>
      </c>
      <c r="P2128" s="49" t="str">
        <f t="shared" si="3"/>
        <v/>
      </c>
      <c r="Q2128" s="84"/>
      <c r="R2128" s="84"/>
      <c r="S2128" s="84"/>
      <c r="T2128" s="84"/>
      <c r="U2128" s="84"/>
      <c r="V2128" s="84"/>
      <c r="W2128" s="84"/>
      <c r="X2128" s="84"/>
      <c r="Y2128" s="84"/>
      <c r="Z2128" s="84"/>
      <c r="AA2128" s="84"/>
      <c r="AB2128" s="84"/>
    </row>
    <row r="2129">
      <c r="A2129" s="69">
        <v>142.0</v>
      </c>
      <c r="B2129" s="69">
        <v>222.0</v>
      </c>
      <c r="C2129" s="86" t="s">
        <v>474</v>
      </c>
      <c r="D2129" s="86" t="s">
        <v>475</v>
      </c>
      <c r="E2129" s="86" t="s">
        <v>476</v>
      </c>
      <c r="F2129" s="69">
        <v>5000.0</v>
      </c>
      <c r="G2129" s="69">
        <v>40.4</v>
      </c>
      <c r="H2129" s="68">
        <f t="shared" si="1"/>
        <v>282.04</v>
      </c>
      <c r="I2129" s="81">
        <f>IFERROR(__xludf.DUMMYFUNCTION("IF(G2129="""", """", ROUND(G2129 / MAX(FILTER($G$2:$G5067, $D$2:$D5067=$D2129)) * 100, 2))"),99.26)</f>
        <v>99.26</v>
      </c>
      <c r="J2129" s="81">
        <f>IFERROR(__xludf.DUMMYFUNCTION("IF(H2129="""", """", ROUND(H2129 / MAX(FILTER($H$2:$H5067, $D$2:$D5067=$D2129)) * 100, 2))"),94.06)</f>
        <v>94.06</v>
      </c>
      <c r="K2129" s="2"/>
      <c r="L2129" s="48"/>
      <c r="M2129" s="48"/>
      <c r="N2129" s="48"/>
      <c r="O2129" s="48" t="str">
        <f t="shared" si="2"/>
        <v/>
      </c>
      <c r="P2129" s="48" t="str">
        <f t="shared" si="3"/>
        <v/>
      </c>
      <c r="Q2129" s="84"/>
      <c r="R2129" s="84"/>
      <c r="S2129" s="84"/>
      <c r="T2129" s="84"/>
      <c r="U2129" s="84"/>
      <c r="V2129" s="84"/>
      <c r="W2129" s="84"/>
      <c r="X2129" s="84"/>
      <c r="Y2129" s="84"/>
      <c r="Z2129" s="84"/>
      <c r="AA2129" s="84"/>
      <c r="AB2129" s="84"/>
    </row>
    <row r="2130">
      <c r="A2130" s="63">
        <v>142.0</v>
      </c>
      <c r="B2130" s="63">
        <v>222.0</v>
      </c>
      <c r="C2130" s="64" t="s">
        <v>474</v>
      </c>
      <c r="D2130" s="64" t="s">
        <v>475</v>
      </c>
      <c r="E2130" s="64" t="s">
        <v>476</v>
      </c>
      <c r="F2130" s="63">
        <v>5500.0</v>
      </c>
      <c r="G2130" s="63">
        <v>38.43</v>
      </c>
      <c r="H2130" s="66">
        <f t="shared" si="1"/>
        <v>295.12</v>
      </c>
      <c r="I2130" s="81">
        <f>IFERROR(__xludf.DUMMYFUNCTION("IF(G2130="""", """", ROUND(G2130 / MAX(FILTER($G$2:$G5067, $D$2:$D5067=$D2130)) * 100, 2))"),94.42)</f>
        <v>94.42</v>
      </c>
      <c r="J2130" s="81">
        <f>IFERROR(__xludf.DUMMYFUNCTION("IF(H2130="""", """", ROUND(H2130 / MAX(FILTER($H$2:$H5067, $D$2:$D5067=$D2130)) * 100, 2))"),98.42)</f>
        <v>98.42</v>
      </c>
      <c r="K2130" s="2"/>
      <c r="L2130" s="49"/>
      <c r="M2130" s="49"/>
      <c r="N2130" s="49"/>
      <c r="O2130" s="49" t="str">
        <f t="shared" si="2"/>
        <v/>
      </c>
      <c r="P2130" s="49" t="str">
        <f t="shared" si="3"/>
        <v/>
      </c>
      <c r="Q2130" s="84"/>
      <c r="R2130" s="84"/>
      <c r="S2130" s="84"/>
      <c r="T2130" s="84"/>
      <c r="U2130" s="84"/>
      <c r="V2130" s="84"/>
      <c r="W2130" s="84"/>
      <c r="X2130" s="84"/>
      <c r="Y2130" s="84"/>
      <c r="Z2130" s="84"/>
      <c r="AA2130" s="84"/>
      <c r="AB2130" s="84"/>
    </row>
    <row r="2131">
      <c r="A2131" s="69">
        <v>142.0</v>
      </c>
      <c r="B2131" s="69">
        <v>222.0</v>
      </c>
      <c r="C2131" s="86" t="s">
        <v>474</v>
      </c>
      <c r="D2131" s="86" t="s">
        <v>475</v>
      </c>
      <c r="E2131" s="86" t="s">
        <v>476</v>
      </c>
      <c r="F2131" s="69">
        <v>6000.0</v>
      </c>
      <c r="G2131" s="69">
        <v>35.7</v>
      </c>
      <c r="H2131" s="68">
        <f t="shared" si="1"/>
        <v>299.08</v>
      </c>
      <c r="I2131" s="81">
        <f>IFERROR(__xludf.DUMMYFUNCTION("IF(G2131="""", """", ROUND(G2131 / MAX(FILTER($G$2:$G5067, $D$2:$D5067=$D2131)) * 100, 2))"),87.71)</f>
        <v>87.71</v>
      </c>
      <c r="J2131" s="81">
        <f>IFERROR(__xludf.DUMMYFUNCTION("IF(H2131="""", """", ROUND(H2131 / MAX(FILTER($H$2:$H5067, $D$2:$D5067=$D2131)) * 100, 2))"),99.74)</f>
        <v>99.74</v>
      </c>
      <c r="K2131" s="2"/>
      <c r="L2131" s="48"/>
      <c r="M2131" s="48"/>
      <c r="N2131" s="48"/>
      <c r="O2131" s="48" t="str">
        <f t="shared" si="2"/>
        <v/>
      </c>
      <c r="P2131" s="48" t="str">
        <f t="shared" si="3"/>
        <v/>
      </c>
      <c r="Q2131" s="84"/>
      <c r="R2131" s="84"/>
      <c r="S2131" s="84"/>
      <c r="T2131" s="84"/>
      <c r="U2131" s="84"/>
      <c r="V2131" s="84"/>
      <c r="W2131" s="84"/>
      <c r="X2131" s="84"/>
      <c r="Y2131" s="84"/>
      <c r="Z2131" s="84"/>
      <c r="AA2131" s="84"/>
      <c r="AB2131" s="84"/>
    </row>
    <row r="2132">
      <c r="A2132" s="63">
        <v>142.0</v>
      </c>
      <c r="B2132" s="63">
        <v>222.0</v>
      </c>
      <c r="C2132" s="64" t="s">
        <v>474</v>
      </c>
      <c r="D2132" s="64" t="s">
        <v>475</v>
      </c>
      <c r="E2132" s="64" t="s">
        <v>476</v>
      </c>
      <c r="F2132" s="63">
        <v>6500.0</v>
      </c>
      <c r="G2132" s="63">
        <v>33.03</v>
      </c>
      <c r="H2132" s="66">
        <f t="shared" si="1"/>
        <v>299.77</v>
      </c>
      <c r="I2132" s="81">
        <f>IFERROR(__xludf.DUMMYFUNCTION("IF(G2132="""", """", ROUND(G2132 / MAX(FILTER($G$2:$G5067, $D$2:$D5067=$D2132)) * 100, 2))"),81.15)</f>
        <v>81.15</v>
      </c>
      <c r="J2132" s="81">
        <f>IFERROR(__xludf.DUMMYFUNCTION("IF(H2132="""", """", ROUND(H2132 / MAX(FILTER($H$2:$H5067, $D$2:$D5067=$D2132)) * 100, 2))"),99.97)</f>
        <v>99.97</v>
      </c>
      <c r="K2132" s="2"/>
      <c r="L2132" s="49"/>
      <c r="M2132" s="49"/>
      <c r="N2132" s="49"/>
      <c r="O2132" s="49" t="str">
        <f t="shared" si="2"/>
        <v/>
      </c>
      <c r="P2132" s="49" t="str">
        <f t="shared" si="3"/>
        <v/>
      </c>
      <c r="Q2132" s="84"/>
      <c r="R2132" s="84"/>
      <c r="S2132" s="84"/>
      <c r="T2132" s="84"/>
      <c r="U2132" s="84"/>
      <c r="V2132" s="84"/>
      <c r="W2132" s="84"/>
      <c r="X2132" s="84"/>
      <c r="Y2132" s="84"/>
      <c r="Z2132" s="84"/>
      <c r="AA2132" s="84"/>
      <c r="AB2132" s="84"/>
    </row>
    <row r="2133">
      <c r="A2133" s="69">
        <v>142.0</v>
      </c>
      <c r="B2133" s="69">
        <v>222.0</v>
      </c>
      <c r="C2133" s="86" t="s">
        <v>474</v>
      </c>
      <c r="D2133" s="86" t="s">
        <v>475</v>
      </c>
      <c r="E2133" s="86" t="s">
        <v>476</v>
      </c>
      <c r="F2133" s="69">
        <v>7000.0</v>
      </c>
      <c r="G2133" s="69">
        <v>30.68</v>
      </c>
      <c r="H2133" s="68">
        <f t="shared" si="1"/>
        <v>299.86</v>
      </c>
      <c r="I2133" s="81">
        <f>IFERROR(__xludf.DUMMYFUNCTION("IF(G2133="""", """", ROUND(G2133 / MAX(FILTER($G$2:$G5067, $D$2:$D5067=$D2133)) * 100, 2))"),75.38)</f>
        <v>75.38</v>
      </c>
      <c r="J2133" s="81">
        <f>IFERROR(__xludf.DUMMYFUNCTION("IF(H2133="""", """", ROUND(H2133 / MAX(FILTER($H$2:$H5067, $D$2:$D5067=$D2133)) * 100, 2))"),100.0)</f>
        <v>100</v>
      </c>
      <c r="K2133" s="2"/>
      <c r="L2133" s="48"/>
      <c r="M2133" s="48"/>
      <c r="N2133" s="48"/>
      <c r="O2133" s="48" t="str">
        <f t="shared" si="2"/>
        <v/>
      </c>
      <c r="P2133" s="48" t="str">
        <f t="shared" si="3"/>
        <v/>
      </c>
      <c r="Q2133" s="84"/>
      <c r="R2133" s="84"/>
      <c r="S2133" s="84"/>
      <c r="T2133" s="84"/>
      <c r="U2133" s="84"/>
      <c r="V2133" s="84"/>
      <c r="W2133" s="84"/>
      <c r="X2133" s="84"/>
      <c r="Y2133" s="84"/>
      <c r="Z2133" s="84"/>
      <c r="AA2133" s="84"/>
      <c r="AB2133" s="84"/>
    </row>
    <row r="2134">
      <c r="A2134" s="63">
        <v>142.0</v>
      </c>
      <c r="B2134" s="63">
        <v>222.0</v>
      </c>
      <c r="C2134" s="64" t="s">
        <v>474</v>
      </c>
      <c r="D2134" s="64" t="s">
        <v>475</v>
      </c>
      <c r="E2134" s="64" t="s">
        <v>476</v>
      </c>
      <c r="F2134" s="63">
        <v>7500.0</v>
      </c>
      <c r="G2134" s="63">
        <v>28.5</v>
      </c>
      <c r="H2134" s="66">
        <f t="shared" si="1"/>
        <v>298.45</v>
      </c>
      <c r="I2134" s="81">
        <f>IFERROR(__xludf.DUMMYFUNCTION("IF(G2134="""", """", ROUND(G2134 / MAX(FILTER($G$2:$G5067, $D$2:$D5067=$D2134)) * 100, 2))"),70.02)</f>
        <v>70.02</v>
      </c>
      <c r="J2134" s="81">
        <f>IFERROR(__xludf.DUMMYFUNCTION("IF(H2134="""", """", ROUND(H2134 / MAX(FILTER($H$2:$H5067, $D$2:$D5067=$D2134)) * 100, 2))"),99.53)</f>
        <v>99.53</v>
      </c>
      <c r="K2134" s="2"/>
      <c r="L2134" s="49"/>
      <c r="M2134" s="49"/>
      <c r="N2134" s="49"/>
      <c r="O2134" s="49" t="str">
        <f t="shared" si="2"/>
        <v/>
      </c>
      <c r="P2134" s="49" t="str">
        <f t="shared" si="3"/>
        <v/>
      </c>
      <c r="Q2134" s="84"/>
      <c r="R2134" s="84"/>
      <c r="S2134" s="84"/>
      <c r="T2134" s="84"/>
      <c r="U2134" s="84"/>
      <c r="V2134" s="84"/>
      <c r="W2134" s="84"/>
      <c r="X2134" s="84"/>
      <c r="Y2134" s="84"/>
      <c r="Z2134" s="84"/>
      <c r="AA2134" s="84"/>
      <c r="AB2134" s="84"/>
    </row>
    <row r="2135">
      <c r="A2135" s="69">
        <v>142.0</v>
      </c>
      <c r="B2135" s="69">
        <v>222.0</v>
      </c>
      <c r="C2135" s="86" t="s">
        <v>474</v>
      </c>
      <c r="D2135" s="86" t="s">
        <v>475</v>
      </c>
      <c r="E2135" s="86" t="s">
        <v>476</v>
      </c>
      <c r="F2135" s="69">
        <v>8000.0</v>
      </c>
      <c r="G2135" s="69">
        <v>26.1</v>
      </c>
      <c r="H2135" s="68">
        <f t="shared" si="1"/>
        <v>291.54</v>
      </c>
      <c r="I2135" s="81">
        <f>IFERROR(__xludf.DUMMYFUNCTION("IF(G2135="""", """", ROUND(G2135 / MAX(FILTER($G$2:$G5067, $D$2:$D5067=$D2135)) * 100, 2))"),64.13)</f>
        <v>64.13</v>
      </c>
      <c r="J2135" s="81">
        <f>IFERROR(__xludf.DUMMYFUNCTION("IF(H2135="""", """", ROUND(H2135 / MAX(FILTER($H$2:$H5067, $D$2:$D5067=$D2135)) * 100, 2))"),97.23)</f>
        <v>97.23</v>
      </c>
      <c r="K2135" s="2"/>
      <c r="L2135" s="48"/>
      <c r="M2135" s="48"/>
      <c r="N2135" s="48"/>
      <c r="O2135" s="48" t="str">
        <f t="shared" si="2"/>
        <v/>
      </c>
      <c r="P2135" s="48" t="str">
        <f t="shared" si="3"/>
        <v/>
      </c>
      <c r="Q2135" s="84"/>
      <c r="R2135" s="84"/>
      <c r="S2135" s="84"/>
      <c r="T2135" s="84"/>
      <c r="U2135" s="84"/>
      <c r="V2135" s="84"/>
      <c r="W2135" s="84"/>
      <c r="X2135" s="84"/>
      <c r="Y2135" s="84"/>
      <c r="Z2135" s="84"/>
      <c r="AA2135" s="84"/>
      <c r="AB2135" s="84"/>
    </row>
    <row r="2136">
      <c r="A2136" s="63">
        <v>142.0</v>
      </c>
      <c r="B2136" s="63">
        <v>222.0</v>
      </c>
      <c r="C2136" s="64" t="s">
        <v>474</v>
      </c>
      <c r="D2136" s="64" t="s">
        <v>475</v>
      </c>
      <c r="E2136" s="64" t="s">
        <v>476</v>
      </c>
      <c r="F2136" s="63">
        <v>8500.0</v>
      </c>
      <c r="G2136" s="63">
        <v>23.5</v>
      </c>
      <c r="H2136" s="66">
        <f t="shared" si="1"/>
        <v>278.9</v>
      </c>
      <c r="I2136" s="81">
        <f>IFERROR(__xludf.DUMMYFUNCTION("IF(G2136="""", """", ROUND(G2136 / MAX(FILTER($G$2:$G5067, $D$2:$D5067=$D2136)) * 100, 2))"),57.74)</f>
        <v>57.74</v>
      </c>
      <c r="J2136" s="81">
        <f>IFERROR(__xludf.DUMMYFUNCTION("IF(H2136="""", """", ROUND(H2136 / MAX(FILTER($H$2:$H5067, $D$2:$D5067=$D2136)) * 100, 2))"),93.01)</f>
        <v>93.01</v>
      </c>
      <c r="K2136" s="2"/>
      <c r="L2136" s="49"/>
      <c r="M2136" s="49"/>
      <c r="N2136" s="49"/>
      <c r="O2136" s="49" t="str">
        <f t="shared" si="2"/>
        <v/>
      </c>
      <c r="P2136" s="49" t="str">
        <f t="shared" si="3"/>
        <v/>
      </c>
      <c r="Q2136" s="84"/>
      <c r="R2136" s="84"/>
      <c r="S2136" s="84"/>
      <c r="T2136" s="84"/>
      <c r="U2136" s="84"/>
      <c r="V2136" s="84"/>
      <c r="W2136" s="84"/>
      <c r="X2136" s="84"/>
      <c r="Y2136" s="84"/>
      <c r="Z2136" s="84"/>
      <c r="AA2136" s="84"/>
      <c r="AB2136" s="84"/>
    </row>
    <row r="2137">
      <c r="A2137" s="69">
        <v>143.0</v>
      </c>
      <c r="B2137" s="69">
        <v>225.0</v>
      </c>
      <c r="C2137" s="86" t="s">
        <v>477</v>
      </c>
      <c r="D2137" s="86" t="s">
        <v>478</v>
      </c>
      <c r="E2137" s="86" t="s">
        <v>479</v>
      </c>
      <c r="F2137" s="69">
        <v>500.0</v>
      </c>
      <c r="G2137" s="69">
        <v>12.15</v>
      </c>
      <c r="H2137" s="68">
        <f t="shared" si="1"/>
        <v>8.48</v>
      </c>
      <c r="I2137" s="81">
        <f>IFERROR(__xludf.DUMMYFUNCTION("IF(G2137="""", """", ROUND(G2137 / MAX(FILTER($G$2:$G5067, $D$2:$D5067=$D2137)) * 100, 2))"),58.13)</f>
        <v>58.13</v>
      </c>
      <c r="J2137" s="81">
        <f>IFERROR(__xludf.DUMMYFUNCTION("IF(H2137="""", """", ROUND(H2137 / MAX(FILTER($H$2:$H5067, $D$2:$D5067=$D2137)) * 100, 2))"),3.69)</f>
        <v>3.69</v>
      </c>
      <c r="K2137" s="2"/>
      <c r="L2137" s="48"/>
      <c r="M2137" s="48"/>
      <c r="N2137" s="48"/>
      <c r="O2137" s="48" t="str">
        <f t="shared" si="2"/>
        <v/>
      </c>
      <c r="P2137" s="48" t="str">
        <f t="shared" si="3"/>
        <v/>
      </c>
      <c r="Q2137" s="84"/>
      <c r="R2137" s="84"/>
      <c r="S2137" s="84"/>
      <c r="T2137" s="84"/>
      <c r="U2137" s="84"/>
      <c r="V2137" s="84"/>
      <c r="W2137" s="84"/>
      <c r="X2137" s="84"/>
      <c r="Y2137" s="84"/>
      <c r="Z2137" s="84"/>
      <c r="AA2137" s="84"/>
      <c r="AB2137" s="84"/>
    </row>
    <row r="2138">
      <c r="A2138" s="63">
        <v>143.0</v>
      </c>
      <c r="B2138" s="63">
        <v>225.0</v>
      </c>
      <c r="C2138" s="64" t="s">
        <v>477</v>
      </c>
      <c r="D2138" s="64" t="s">
        <v>478</v>
      </c>
      <c r="E2138" s="64" t="s">
        <v>479</v>
      </c>
      <c r="F2138" s="63">
        <v>1000.0</v>
      </c>
      <c r="G2138" s="63">
        <v>14.02</v>
      </c>
      <c r="H2138" s="66">
        <f t="shared" si="1"/>
        <v>19.58</v>
      </c>
      <c r="I2138" s="81">
        <f>IFERROR(__xludf.DUMMYFUNCTION("IF(G2138="""", """", ROUND(G2138 / MAX(FILTER($G$2:$G5067, $D$2:$D5067=$D2138)) * 100, 2))"),67.08)</f>
        <v>67.08</v>
      </c>
      <c r="J2138" s="81">
        <f>IFERROR(__xludf.DUMMYFUNCTION("IF(H2138="""", """", ROUND(H2138 / MAX(FILTER($H$2:$H5067, $D$2:$D5067=$D2138)) * 100, 2))"),8.53)</f>
        <v>8.53</v>
      </c>
      <c r="K2138" s="2"/>
      <c r="L2138" s="49"/>
      <c r="M2138" s="49"/>
      <c r="N2138" s="49"/>
      <c r="O2138" s="49" t="str">
        <f t="shared" si="2"/>
        <v/>
      </c>
      <c r="P2138" s="49" t="str">
        <f t="shared" si="3"/>
        <v/>
      </c>
      <c r="Q2138" s="84"/>
      <c r="R2138" s="84"/>
      <c r="S2138" s="84"/>
      <c r="T2138" s="84"/>
      <c r="U2138" s="84"/>
      <c r="V2138" s="84"/>
      <c r="W2138" s="84"/>
      <c r="X2138" s="84"/>
      <c r="Y2138" s="84"/>
      <c r="Z2138" s="84"/>
      <c r="AA2138" s="84"/>
      <c r="AB2138" s="84"/>
    </row>
    <row r="2139">
      <c r="A2139" s="69">
        <v>143.0</v>
      </c>
      <c r="B2139" s="69">
        <v>225.0</v>
      </c>
      <c r="C2139" s="86" t="s">
        <v>477</v>
      </c>
      <c r="D2139" s="86" t="s">
        <v>478</v>
      </c>
      <c r="E2139" s="86" t="s">
        <v>479</v>
      </c>
      <c r="F2139" s="69">
        <v>1500.0</v>
      </c>
      <c r="G2139" s="69">
        <v>15.88</v>
      </c>
      <c r="H2139" s="68">
        <f t="shared" si="1"/>
        <v>33.26</v>
      </c>
      <c r="I2139" s="81">
        <f>IFERROR(__xludf.DUMMYFUNCTION("IF(G2139="""", """", ROUND(G2139 / MAX(FILTER($G$2:$G5067, $D$2:$D5067=$D2139)) * 100, 2))"),75.98)</f>
        <v>75.98</v>
      </c>
      <c r="J2139" s="81">
        <f>IFERROR(__xludf.DUMMYFUNCTION("IF(H2139="""", """", ROUND(H2139 / MAX(FILTER($H$2:$H5067, $D$2:$D5067=$D2139)) * 100, 2))"),14.48)</f>
        <v>14.48</v>
      </c>
      <c r="K2139" s="2"/>
      <c r="L2139" s="48"/>
      <c r="M2139" s="48"/>
      <c r="N2139" s="48"/>
      <c r="O2139" s="48" t="str">
        <f t="shared" si="2"/>
        <v/>
      </c>
      <c r="P2139" s="48" t="str">
        <f t="shared" si="3"/>
        <v/>
      </c>
      <c r="Q2139" s="84"/>
      <c r="R2139" s="84"/>
      <c r="S2139" s="84"/>
      <c r="T2139" s="84"/>
      <c r="U2139" s="84"/>
      <c r="V2139" s="84"/>
      <c r="W2139" s="84"/>
      <c r="X2139" s="84"/>
      <c r="Y2139" s="84"/>
      <c r="Z2139" s="84"/>
      <c r="AA2139" s="84"/>
      <c r="AB2139" s="84"/>
    </row>
    <row r="2140">
      <c r="A2140" s="63">
        <v>143.0</v>
      </c>
      <c r="B2140" s="63">
        <v>225.0</v>
      </c>
      <c r="C2140" s="64" t="s">
        <v>477</v>
      </c>
      <c r="D2140" s="64" t="s">
        <v>478</v>
      </c>
      <c r="E2140" s="64" t="s">
        <v>479</v>
      </c>
      <c r="F2140" s="63">
        <v>2000.0</v>
      </c>
      <c r="G2140" s="63">
        <v>17.37</v>
      </c>
      <c r="H2140" s="66">
        <f t="shared" si="1"/>
        <v>48.51</v>
      </c>
      <c r="I2140" s="81">
        <f>IFERROR(__xludf.DUMMYFUNCTION("IF(G2140="""", """", ROUND(G2140 / MAX(FILTER($G$2:$G5067, $D$2:$D5067=$D2140)) * 100, 2))"),83.11)</f>
        <v>83.11</v>
      </c>
      <c r="J2140" s="81">
        <f>IFERROR(__xludf.DUMMYFUNCTION("IF(H2140="""", """", ROUND(H2140 / MAX(FILTER($H$2:$H5067, $D$2:$D5067=$D2140)) * 100, 2))"),21.12)</f>
        <v>21.12</v>
      </c>
      <c r="K2140" s="2"/>
      <c r="L2140" s="49"/>
      <c r="M2140" s="49"/>
      <c r="N2140" s="49"/>
      <c r="O2140" s="49" t="str">
        <f t="shared" si="2"/>
        <v/>
      </c>
      <c r="P2140" s="49" t="str">
        <f t="shared" si="3"/>
        <v/>
      </c>
      <c r="Q2140" s="84"/>
      <c r="R2140" s="84"/>
      <c r="S2140" s="84"/>
      <c r="T2140" s="84"/>
      <c r="U2140" s="84"/>
      <c r="V2140" s="84"/>
      <c r="W2140" s="84"/>
      <c r="X2140" s="84"/>
      <c r="Y2140" s="84"/>
      <c r="Z2140" s="84"/>
      <c r="AA2140" s="84"/>
      <c r="AB2140" s="84"/>
    </row>
    <row r="2141">
      <c r="A2141" s="69">
        <v>143.0</v>
      </c>
      <c r="B2141" s="69">
        <v>225.0</v>
      </c>
      <c r="C2141" s="86" t="s">
        <v>477</v>
      </c>
      <c r="D2141" s="86" t="s">
        <v>478</v>
      </c>
      <c r="E2141" s="86" t="s">
        <v>479</v>
      </c>
      <c r="F2141" s="69">
        <v>2500.0</v>
      </c>
      <c r="G2141" s="69">
        <v>18.52</v>
      </c>
      <c r="H2141" s="68">
        <f t="shared" si="1"/>
        <v>64.65</v>
      </c>
      <c r="I2141" s="81">
        <f>IFERROR(__xludf.DUMMYFUNCTION("IF(G2141="""", """", ROUND(G2141 / MAX(FILTER($G$2:$G5067, $D$2:$D5067=$D2141)) * 100, 2))"),88.61)</f>
        <v>88.61</v>
      </c>
      <c r="J2141" s="81">
        <f>IFERROR(__xludf.DUMMYFUNCTION("IF(H2141="""", """", ROUND(H2141 / MAX(FILTER($H$2:$H5067, $D$2:$D5067=$D2141)) * 100, 2))"),28.15)</f>
        <v>28.15</v>
      </c>
      <c r="K2141" s="2"/>
      <c r="L2141" s="48"/>
      <c r="M2141" s="48"/>
      <c r="N2141" s="48"/>
      <c r="O2141" s="48" t="str">
        <f t="shared" si="2"/>
        <v/>
      </c>
      <c r="P2141" s="48" t="str">
        <f t="shared" si="3"/>
        <v/>
      </c>
      <c r="Q2141" s="84"/>
      <c r="R2141" s="84"/>
      <c r="S2141" s="84"/>
      <c r="T2141" s="84"/>
      <c r="U2141" s="84"/>
      <c r="V2141" s="84"/>
      <c r="W2141" s="84"/>
      <c r="X2141" s="84"/>
      <c r="Y2141" s="84"/>
      <c r="Z2141" s="84"/>
      <c r="AA2141" s="84"/>
      <c r="AB2141" s="84"/>
    </row>
    <row r="2142">
      <c r="A2142" s="63">
        <v>143.0</v>
      </c>
      <c r="B2142" s="63">
        <v>225.0</v>
      </c>
      <c r="C2142" s="64" t="s">
        <v>477</v>
      </c>
      <c r="D2142" s="64" t="s">
        <v>478</v>
      </c>
      <c r="E2142" s="64" t="s">
        <v>479</v>
      </c>
      <c r="F2142" s="63">
        <v>3000.0</v>
      </c>
      <c r="G2142" s="63">
        <v>19.37</v>
      </c>
      <c r="H2142" s="66">
        <f t="shared" si="1"/>
        <v>81.14</v>
      </c>
      <c r="I2142" s="81">
        <f>IFERROR(__xludf.DUMMYFUNCTION("IF(G2142="""", """", ROUND(G2142 / MAX(FILTER($G$2:$G5067, $D$2:$D5067=$D2142)) * 100, 2))"),92.68)</f>
        <v>92.68</v>
      </c>
      <c r="J2142" s="81">
        <f>IFERROR(__xludf.DUMMYFUNCTION("IF(H2142="""", """", ROUND(H2142 / MAX(FILTER($H$2:$H5067, $D$2:$D5067=$D2142)) * 100, 2))"),35.33)</f>
        <v>35.33</v>
      </c>
      <c r="K2142" s="2"/>
      <c r="L2142" s="49"/>
      <c r="M2142" s="49"/>
      <c r="N2142" s="49"/>
      <c r="O2142" s="49" t="str">
        <f t="shared" si="2"/>
        <v/>
      </c>
      <c r="P2142" s="49" t="str">
        <f t="shared" si="3"/>
        <v/>
      </c>
      <c r="Q2142" s="84"/>
      <c r="R2142" s="84"/>
      <c r="S2142" s="84"/>
      <c r="T2142" s="84"/>
      <c r="U2142" s="84"/>
      <c r="V2142" s="84"/>
      <c r="W2142" s="84"/>
      <c r="X2142" s="84"/>
      <c r="Y2142" s="84"/>
      <c r="Z2142" s="84"/>
      <c r="AA2142" s="84"/>
      <c r="AB2142" s="84"/>
    </row>
    <row r="2143">
      <c r="A2143" s="69">
        <v>143.0</v>
      </c>
      <c r="B2143" s="69">
        <v>225.0</v>
      </c>
      <c r="C2143" s="86" t="s">
        <v>477</v>
      </c>
      <c r="D2143" s="86" t="s">
        <v>478</v>
      </c>
      <c r="E2143" s="86" t="s">
        <v>479</v>
      </c>
      <c r="F2143" s="69">
        <v>3500.0</v>
      </c>
      <c r="G2143" s="69">
        <v>19.63</v>
      </c>
      <c r="H2143" s="68">
        <f t="shared" si="1"/>
        <v>95.93</v>
      </c>
      <c r="I2143" s="81">
        <f>IFERROR(__xludf.DUMMYFUNCTION("IF(G2143="""", """", ROUND(G2143 / MAX(FILTER($G$2:$G5067, $D$2:$D5067=$D2143)) * 100, 2))"),93.92)</f>
        <v>93.92</v>
      </c>
      <c r="J2143" s="81">
        <f>IFERROR(__xludf.DUMMYFUNCTION("IF(H2143="""", """", ROUND(H2143 / MAX(FILTER($H$2:$H5067, $D$2:$D5067=$D2143)) * 100, 2))"),41.77)</f>
        <v>41.77</v>
      </c>
      <c r="K2143" s="2"/>
      <c r="L2143" s="48"/>
      <c r="M2143" s="48"/>
      <c r="N2143" s="48"/>
      <c r="O2143" s="48" t="str">
        <f t="shared" si="2"/>
        <v/>
      </c>
      <c r="P2143" s="48" t="str">
        <f t="shared" si="3"/>
        <v/>
      </c>
      <c r="Q2143" s="84"/>
      <c r="R2143" s="84"/>
      <c r="S2143" s="84"/>
      <c r="T2143" s="84"/>
      <c r="U2143" s="84"/>
      <c r="V2143" s="84"/>
      <c r="W2143" s="84"/>
      <c r="X2143" s="84"/>
      <c r="Y2143" s="84"/>
      <c r="Z2143" s="84"/>
      <c r="AA2143" s="84"/>
      <c r="AB2143" s="84"/>
    </row>
    <row r="2144">
      <c r="A2144" s="63">
        <v>143.0</v>
      </c>
      <c r="B2144" s="63">
        <v>225.0</v>
      </c>
      <c r="C2144" s="64" t="s">
        <v>477</v>
      </c>
      <c r="D2144" s="64" t="s">
        <v>478</v>
      </c>
      <c r="E2144" s="64" t="s">
        <v>479</v>
      </c>
      <c r="F2144" s="63">
        <v>4000.0</v>
      </c>
      <c r="G2144" s="63">
        <v>19.88</v>
      </c>
      <c r="H2144" s="66">
        <f t="shared" si="1"/>
        <v>111.03</v>
      </c>
      <c r="I2144" s="81">
        <f>IFERROR(__xludf.DUMMYFUNCTION("IF(G2144="""", """", ROUND(G2144 / MAX(FILTER($G$2:$G5067, $D$2:$D5067=$D2144)) * 100, 2))"),95.12)</f>
        <v>95.12</v>
      </c>
      <c r="J2144" s="81">
        <f>IFERROR(__xludf.DUMMYFUNCTION("IF(H2144="""", """", ROUND(H2144 / MAX(FILTER($H$2:$H5067, $D$2:$D5067=$D2144)) * 100, 2))"),48.35)</f>
        <v>48.35</v>
      </c>
      <c r="K2144" s="2"/>
      <c r="L2144" s="49"/>
      <c r="M2144" s="49"/>
      <c r="N2144" s="49"/>
      <c r="O2144" s="49" t="str">
        <f t="shared" si="2"/>
        <v/>
      </c>
      <c r="P2144" s="49" t="str">
        <f t="shared" si="3"/>
        <v/>
      </c>
      <c r="Q2144" s="84"/>
      <c r="R2144" s="84"/>
      <c r="S2144" s="84"/>
      <c r="T2144" s="84"/>
      <c r="U2144" s="84"/>
      <c r="V2144" s="84"/>
      <c r="W2144" s="84"/>
      <c r="X2144" s="84"/>
      <c r="Y2144" s="84"/>
      <c r="Z2144" s="84"/>
      <c r="AA2144" s="84"/>
      <c r="AB2144" s="84"/>
    </row>
    <row r="2145">
      <c r="A2145" s="69">
        <v>143.0</v>
      </c>
      <c r="B2145" s="69">
        <v>225.0</v>
      </c>
      <c r="C2145" s="86" t="s">
        <v>477</v>
      </c>
      <c r="D2145" s="86" t="s">
        <v>478</v>
      </c>
      <c r="E2145" s="86" t="s">
        <v>479</v>
      </c>
      <c r="F2145" s="69">
        <v>4500.0</v>
      </c>
      <c r="G2145" s="69">
        <v>20.23</v>
      </c>
      <c r="H2145" s="68">
        <f t="shared" si="1"/>
        <v>127.11</v>
      </c>
      <c r="I2145" s="81">
        <f>IFERROR(__xludf.DUMMYFUNCTION("IF(G2145="""", """", ROUND(G2145 / MAX(FILTER($G$2:$G5067, $D$2:$D5067=$D2145)) * 100, 2))"),96.79)</f>
        <v>96.79</v>
      </c>
      <c r="J2145" s="81">
        <f>IFERROR(__xludf.DUMMYFUNCTION("IF(H2145="""", """", ROUND(H2145 / MAX(FILTER($H$2:$H5067, $D$2:$D5067=$D2145)) * 100, 2))"),55.35)</f>
        <v>55.35</v>
      </c>
      <c r="K2145" s="2"/>
      <c r="L2145" s="48"/>
      <c r="M2145" s="48"/>
      <c r="N2145" s="48"/>
      <c r="O2145" s="48" t="str">
        <f t="shared" si="2"/>
        <v/>
      </c>
      <c r="P2145" s="48" t="str">
        <f t="shared" si="3"/>
        <v/>
      </c>
      <c r="Q2145" s="84"/>
      <c r="R2145" s="84"/>
      <c r="S2145" s="84"/>
      <c r="T2145" s="84"/>
      <c r="U2145" s="84"/>
      <c r="V2145" s="84"/>
      <c r="W2145" s="84"/>
      <c r="X2145" s="84"/>
      <c r="Y2145" s="84"/>
      <c r="Z2145" s="84"/>
      <c r="AA2145" s="84"/>
      <c r="AB2145" s="84"/>
    </row>
    <row r="2146">
      <c r="A2146" s="63">
        <v>143.0</v>
      </c>
      <c r="B2146" s="63">
        <v>225.0</v>
      </c>
      <c r="C2146" s="64" t="s">
        <v>477</v>
      </c>
      <c r="D2146" s="64" t="s">
        <v>478</v>
      </c>
      <c r="E2146" s="64" t="s">
        <v>479</v>
      </c>
      <c r="F2146" s="63">
        <v>5000.0</v>
      </c>
      <c r="G2146" s="63">
        <v>20.34</v>
      </c>
      <c r="H2146" s="66">
        <f t="shared" si="1"/>
        <v>142</v>
      </c>
      <c r="I2146" s="81">
        <f>IFERROR(__xludf.DUMMYFUNCTION("IF(G2146="""", """", ROUND(G2146 / MAX(FILTER($G$2:$G5067, $D$2:$D5067=$D2146)) * 100, 2))"),97.32)</f>
        <v>97.32</v>
      </c>
      <c r="J2146" s="81">
        <f>IFERROR(__xludf.DUMMYFUNCTION("IF(H2146="""", """", ROUND(H2146 / MAX(FILTER($H$2:$H5067, $D$2:$D5067=$D2146)) * 100, 2))"),61.83)</f>
        <v>61.83</v>
      </c>
      <c r="K2146" s="2"/>
      <c r="L2146" s="49"/>
      <c r="M2146" s="49"/>
      <c r="N2146" s="49"/>
      <c r="O2146" s="49" t="str">
        <f t="shared" si="2"/>
        <v/>
      </c>
      <c r="P2146" s="49" t="str">
        <f t="shared" si="3"/>
        <v/>
      </c>
      <c r="Q2146" s="84"/>
      <c r="R2146" s="84"/>
      <c r="S2146" s="84"/>
      <c r="T2146" s="84"/>
      <c r="U2146" s="84"/>
      <c r="V2146" s="84"/>
      <c r="W2146" s="84"/>
      <c r="X2146" s="84"/>
      <c r="Y2146" s="84"/>
      <c r="Z2146" s="84"/>
      <c r="AA2146" s="84"/>
      <c r="AB2146" s="84"/>
    </row>
    <row r="2147">
      <c r="A2147" s="69">
        <v>143.0</v>
      </c>
      <c r="B2147" s="69">
        <v>225.0</v>
      </c>
      <c r="C2147" s="86" t="s">
        <v>477</v>
      </c>
      <c r="D2147" s="86" t="s">
        <v>478</v>
      </c>
      <c r="E2147" s="86" t="s">
        <v>479</v>
      </c>
      <c r="F2147" s="69">
        <v>5500.0</v>
      </c>
      <c r="G2147" s="69">
        <v>20.9</v>
      </c>
      <c r="H2147" s="68">
        <f t="shared" si="1"/>
        <v>160.5</v>
      </c>
      <c r="I2147" s="81">
        <f>IFERROR(__xludf.DUMMYFUNCTION("IF(G2147="""", """", ROUND(G2147 / MAX(FILTER($G$2:$G5067, $D$2:$D5067=$D2147)) * 100, 2))"),100.0)</f>
        <v>100</v>
      </c>
      <c r="J2147" s="81">
        <f>IFERROR(__xludf.DUMMYFUNCTION("IF(H2147="""", """", ROUND(H2147 / MAX(FILTER($H$2:$H5067, $D$2:$D5067=$D2147)) * 100, 2))"),69.89)</f>
        <v>69.89</v>
      </c>
      <c r="K2147" s="2"/>
      <c r="L2147" s="48"/>
      <c r="M2147" s="48"/>
      <c r="N2147" s="48"/>
      <c r="O2147" s="48" t="str">
        <f t="shared" si="2"/>
        <v/>
      </c>
      <c r="P2147" s="48" t="str">
        <f t="shared" si="3"/>
        <v/>
      </c>
      <c r="Q2147" s="84"/>
      <c r="R2147" s="84"/>
      <c r="S2147" s="84"/>
      <c r="T2147" s="84"/>
      <c r="U2147" s="84"/>
      <c r="V2147" s="84"/>
      <c r="W2147" s="84"/>
      <c r="X2147" s="84"/>
      <c r="Y2147" s="84"/>
      <c r="Z2147" s="84"/>
      <c r="AA2147" s="84"/>
      <c r="AB2147" s="84"/>
    </row>
    <row r="2148">
      <c r="A2148" s="63">
        <v>143.0</v>
      </c>
      <c r="B2148" s="63">
        <v>225.0</v>
      </c>
      <c r="C2148" s="64" t="s">
        <v>477</v>
      </c>
      <c r="D2148" s="64" t="s">
        <v>478</v>
      </c>
      <c r="E2148" s="64" t="s">
        <v>479</v>
      </c>
      <c r="F2148" s="63">
        <v>6000.0</v>
      </c>
      <c r="G2148" s="63">
        <v>20.22</v>
      </c>
      <c r="H2148" s="66">
        <f t="shared" si="1"/>
        <v>169.39</v>
      </c>
      <c r="I2148" s="81">
        <f>IFERROR(__xludf.DUMMYFUNCTION("IF(G2148="""", """", ROUND(G2148 / MAX(FILTER($G$2:$G5067, $D$2:$D5067=$D2148)) * 100, 2))"),96.75)</f>
        <v>96.75</v>
      </c>
      <c r="J2148" s="81">
        <f>IFERROR(__xludf.DUMMYFUNCTION("IF(H2148="""", """", ROUND(H2148 / MAX(FILTER($H$2:$H5067, $D$2:$D5067=$D2148)) * 100, 2))"),73.76)</f>
        <v>73.76</v>
      </c>
      <c r="K2148" s="2"/>
      <c r="L2148" s="49"/>
      <c r="M2148" s="49"/>
      <c r="N2148" s="49"/>
      <c r="O2148" s="49" t="str">
        <f t="shared" si="2"/>
        <v/>
      </c>
      <c r="P2148" s="49" t="str">
        <f t="shared" si="3"/>
        <v/>
      </c>
      <c r="Q2148" s="84"/>
      <c r="R2148" s="84"/>
      <c r="S2148" s="84"/>
      <c r="T2148" s="84"/>
      <c r="U2148" s="84"/>
      <c r="V2148" s="84"/>
      <c r="W2148" s="84"/>
      <c r="X2148" s="84"/>
      <c r="Y2148" s="84"/>
      <c r="Z2148" s="84"/>
      <c r="AA2148" s="84"/>
      <c r="AB2148" s="84"/>
    </row>
    <row r="2149">
      <c r="A2149" s="69">
        <v>143.0</v>
      </c>
      <c r="B2149" s="69">
        <v>225.0</v>
      </c>
      <c r="C2149" s="86" t="s">
        <v>477</v>
      </c>
      <c r="D2149" s="86" t="s">
        <v>478</v>
      </c>
      <c r="E2149" s="86" t="s">
        <v>479</v>
      </c>
      <c r="F2149" s="69">
        <v>6500.0</v>
      </c>
      <c r="G2149" s="69">
        <v>20.47</v>
      </c>
      <c r="H2149" s="68">
        <f t="shared" si="1"/>
        <v>185.78</v>
      </c>
      <c r="I2149" s="81">
        <f>IFERROR(__xludf.DUMMYFUNCTION("IF(G2149="""", """", ROUND(G2149 / MAX(FILTER($G$2:$G5067, $D$2:$D5067=$D2149)) * 100, 2))"),97.94)</f>
        <v>97.94</v>
      </c>
      <c r="J2149" s="81">
        <f>IFERROR(__xludf.DUMMYFUNCTION("IF(H2149="""", """", ROUND(H2149 / MAX(FILTER($H$2:$H5067, $D$2:$D5067=$D2149)) * 100, 2))"),80.9)</f>
        <v>80.9</v>
      </c>
      <c r="K2149" s="2"/>
      <c r="L2149" s="48"/>
      <c r="M2149" s="48"/>
      <c r="N2149" s="48"/>
      <c r="O2149" s="48" t="str">
        <f t="shared" si="2"/>
        <v/>
      </c>
      <c r="P2149" s="48" t="str">
        <f t="shared" si="3"/>
        <v/>
      </c>
      <c r="Q2149" s="84"/>
      <c r="R2149" s="84"/>
      <c r="S2149" s="84"/>
      <c r="T2149" s="84"/>
      <c r="U2149" s="84"/>
      <c r="V2149" s="84"/>
      <c r="W2149" s="84"/>
      <c r="X2149" s="84"/>
      <c r="Y2149" s="84"/>
      <c r="Z2149" s="84"/>
      <c r="AA2149" s="84"/>
      <c r="AB2149" s="84"/>
    </row>
    <row r="2150">
      <c r="A2150" s="63">
        <v>143.0</v>
      </c>
      <c r="B2150" s="63">
        <v>225.0</v>
      </c>
      <c r="C2150" s="64" t="s">
        <v>477</v>
      </c>
      <c r="D2150" s="64" t="s">
        <v>478</v>
      </c>
      <c r="E2150" s="64" t="s">
        <v>479</v>
      </c>
      <c r="F2150" s="63">
        <v>7000.0</v>
      </c>
      <c r="G2150" s="63">
        <v>20.59</v>
      </c>
      <c r="H2150" s="66">
        <f t="shared" si="1"/>
        <v>201.24</v>
      </c>
      <c r="I2150" s="81">
        <f>IFERROR(__xludf.DUMMYFUNCTION("IF(G2150="""", """", ROUND(G2150 / MAX(FILTER($G$2:$G5067, $D$2:$D5067=$D2150)) * 100, 2))"),98.52)</f>
        <v>98.52</v>
      </c>
      <c r="J2150" s="81">
        <f>IFERROR(__xludf.DUMMYFUNCTION("IF(H2150="""", """", ROUND(H2150 / MAX(FILTER($H$2:$H5067, $D$2:$D5067=$D2150)) * 100, 2))"),87.63)</f>
        <v>87.63</v>
      </c>
      <c r="K2150" s="2"/>
      <c r="L2150" s="49"/>
      <c r="M2150" s="49"/>
      <c r="N2150" s="49"/>
      <c r="O2150" s="49" t="str">
        <f t="shared" si="2"/>
        <v/>
      </c>
      <c r="P2150" s="49" t="str">
        <f t="shared" si="3"/>
        <v/>
      </c>
      <c r="Q2150" s="84"/>
      <c r="R2150" s="84"/>
      <c r="S2150" s="84"/>
      <c r="T2150" s="84"/>
      <c r="U2150" s="84"/>
      <c r="V2150" s="84"/>
      <c r="W2150" s="84"/>
      <c r="X2150" s="84"/>
      <c r="Y2150" s="84"/>
      <c r="Z2150" s="84"/>
      <c r="AA2150" s="84"/>
      <c r="AB2150" s="84"/>
    </row>
    <row r="2151">
      <c r="A2151" s="69">
        <v>143.0</v>
      </c>
      <c r="B2151" s="69">
        <v>225.0</v>
      </c>
      <c r="C2151" s="86" t="s">
        <v>477</v>
      </c>
      <c r="D2151" s="86" t="s">
        <v>478</v>
      </c>
      <c r="E2151" s="86" t="s">
        <v>479</v>
      </c>
      <c r="F2151" s="69">
        <v>7500.0</v>
      </c>
      <c r="G2151" s="69">
        <v>20.06</v>
      </c>
      <c r="H2151" s="68">
        <f t="shared" si="1"/>
        <v>210.07</v>
      </c>
      <c r="I2151" s="81">
        <f>IFERROR(__xludf.DUMMYFUNCTION("IF(G2151="""", """", ROUND(G2151 / MAX(FILTER($G$2:$G5067, $D$2:$D5067=$D2151)) * 100, 2))"),95.98)</f>
        <v>95.98</v>
      </c>
      <c r="J2151" s="81">
        <f>IFERROR(__xludf.DUMMYFUNCTION("IF(H2151="""", """", ROUND(H2151 / MAX(FILTER($H$2:$H5067, $D$2:$D5067=$D2151)) * 100, 2))"),91.47)</f>
        <v>91.47</v>
      </c>
      <c r="K2151" s="2"/>
      <c r="L2151" s="48"/>
      <c r="M2151" s="48"/>
      <c r="N2151" s="48"/>
      <c r="O2151" s="48" t="str">
        <f t="shared" si="2"/>
        <v/>
      </c>
      <c r="P2151" s="48" t="str">
        <f t="shared" si="3"/>
        <v/>
      </c>
      <c r="Q2151" s="84"/>
      <c r="R2151" s="84"/>
      <c r="S2151" s="84"/>
      <c r="T2151" s="84"/>
      <c r="U2151" s="84"/>
      <c r="V2151" s="84"/>
      <c r="W2151" s="84"/>
      <c r="X2151" s="84"/>
      <c r="Y2151" s="84"/>
      <c r="Z2151" s="84"/>
      <c r="AA2151" s="84"/>
      <c r="AB2151" s="84"/>
    </row>
    <row r="2152">
      <c r="A2152" s="63">
        <v>143.0</v>
      </c>
      <c r="B2152" s="63">
        <v>225.0</v>
      </c>
      <c r="C2152" s="64" t="s">
        <v>477</v>
      </c>
      <c r="D2152" s="64" t="s">
        <v>478</v>
      </c>
      <c r="E2152" s="64" t="s">
        <v>479</v>
      </c>
      <c r="F2152" s="63">
        <v>8000.0</v>
      </c>
      <c r="G2152" s="63">
        <v>19.91</v>
      </c>
      <c r="H2152" s="66">
        <f t="shared" si="1"/>
        <v>222.4</v>
      </c>
      <c r="I2152" s="81">
        <f>IFERROR(__xludf.DUMMYFUNCTION("IF(G2152="""", """", ROUND(G2152 / MAX(FILTER($G$2:$G5067, $D$2:$D5067=$D2152)) * 100, 2))"),95.26)</f>
        <v>95.26</v>
      </c>
      <c r="J2152" s="81">
        <f>IFERROR(__xludf.DUMMYFUNCTION("IF(H2152="""", """", ROUND(H2152 / MAX(FILTER($H$2:$H5067, $D$2:$D5067=$D2152)) * 100, 2))"),96.84)</f>
        <v>96.84</v>
      </c>
      <c r="K2152" s="2"/>
      <c r="L2152" s="49"/>
      <c r="M2152" s="49"/>
      <c r="N2152" s="49"/>
      <c r="O2152" s="49" t="str">
        <f t="shared" si="2"/>
        <v/>
      </c>
      <c r="P2152" s="49" t="str">
        <f t="shared" si="3"/>
        <v/>
      </c>
      <c r="Q2152" s="84"/>
      <c r="R2152" s="84"/>
      <c r="S2152" s="84"/>
      <c r="T2152" s="84"/>
      <c r="U2152" s="84"/>
      <c r="V2152" s="84"/>
      <c r="W2152" s="84"/>
      <c r="X2152" s="84"/>
      <c r="Y2152" s="84"/>
      <c r="Z2152" s="84"/>
      <c r="AA2152" s="84"/>
      <c r="AB2152" s="84"/>
    </row>
    <row r="2153">
      <c r="A2153" s="69">
        <v>143.0</v>
      </c>
      <c r="B2153" s="69">
        <v>225.0</v>
      </c>
      <c r="C2153" s="86" t="s">
        <v>477</v>
      </c>
      <c r="D2153" s="86" t="s">
        <v>478</v>
      </c>
      <c r="E2153" s="86" t="s">
        <v>479</v>
      </c>
      <c r="F2153" s="69">
        <v>8500.0</v>
      </c>
      <c r="G2153" s="69">
        <v>19.35</v>
      </c>
      <c r="H2153" s="68">
        <f t="shared" si="1"/>
        <v>229.65</v>
      </c>
      <c r="I2153" s="81">
        <f>IFERROR(__xludf.DUMMYFUNCTION("IF(G2153="""", """", ROUND(G2153 / MAX(FILTER($G$2:$G5067, $D$2:$D5067=$D2153)) * 100, 2))"),92.58)</f>
        <v>92.58</v>
      </c>
      <c r="J2153" s="81">
        <f>IFERROR(__xludf.DUMMYFUNCTION("IF(H2153="""", """", ROUND(H2153 / MAX(FILTER($H$2:$H5067, $D$2:$D5067=$D2153)) * 100, 2))"),100.0)</f>
        <v>100</v>
      </c>
      <c r="K2153" s="2"/>
      <c r="L2153" s="48"/>
      <c r="M2153" s="48"/>
      <c r="N2153" s="48"/>
      <c r="O2153" s="48" t="str">
        <f t="shared" si="2"/>
        <v/>
      </c>
      <c r="P2153" s="48" t="str">
        <f t="shared" si="3"/>
        <v/>
      </c>
      <c r="Q2153" s="84"/>
      <c r="R2153" s="84"/>
      <c r="S2153" s="84"/>
      <c r="T2153" s="84"/>
      <c r="U2153" s="84"/>
      <c r="V2153" s="84"/>
      <c r="W2153" s="84"/>
      <c r="X2153" s="84"/>
      <c r="Y2153" s="84"/>
      <c r="Z2153" s="84"/>
      <c r="AA2153" s="84"/>
      <c r="AB2153" s="84"/>
    </row>
    <row r="2154">
      <c r="A2154" s="63">
        <v>143.0</v>
      </c>
      <c r="B2154" s="63">
        <v>225.0</v>
      </c>
      <c r="C2154" s="64" t="s">
        <v>477</v>
      </c>
      <c r="D2154" s="64" t="s">
        <v>478</v>
      </c>
      <c r="E2154" s="64" t="s">
        <v>479</v>
      </c>
      <c r="F2154" s="63">
        <v>9000.0</v>
      </c>
      <c r="G2154" s="63">
        <v>17.8</v>
      </c>
      <c r="H2154" s="66">
        <f t="shared" si="1"/>
        <v>223.68</v>
      </c>
      <c r="I2154" s="81">
        <f>IFERROR(__xludf.DUMMYFUNCTION("IF(G2154="""", """", ROUND(G2154 / MAX(FILTER($G$2:$G5067, $D$2:$D5067=$D2154)) * 100, 2))"),85.17)</f>
        <v>85.17</v>
      </c>
      <c r="J2154" s="81">
        <f>IFERROR(__xludf.DUMMYFUNCTION("IF(H2154="""", """", ROUND(H2154 / MAX(FILTER($H$2:$H5067, $D$2:$D5067=$D2154)) * 100, 2))"),97.4)</f>
        <v>97.4</v>
      </c>
      <c r="K2154" s="2"/>
      <c r="L2154" s="49"/>
      <c r="M2154" s="49"/>
      <c r="N2154" s="49"/>
      <c r="O2154" s="49" t="str">
        <f t="shared" si="2"/>
        <v/>
      </c>
      <c r="P2154" s="49" t="str">
        <f t="shared" si="3"/>
        <v/>
      </c>
      <c r="Q2154" s="84"/>
      <c r="R2154" s="84"/>
      <c r="S2154" s="84"/>
      <c r="T2154" s="84"/>
      <c r="U2154" s="84"/>
      <c r="V2154" s="84"/>
      <c r="W2154" s="84"/>
      <c r="X2154" s="84"/>
      <c r="Y2154" s="84"/>
      <c r="Z2154" s="84"/>
      <c r="AA2154" s="84"/>
      <c r="AB2154" s="84"/>
    </row>
    <row r="2155">
      <c r="A2155" s="69">
        <v>143.0</v>
      </c>
      <c r="B2155" s="69">
        <v>225.0</v>
      </c>
      <c r="C2155" s="86" t="s">
        <v>477</v>
      </c>
      <c r="D2155" s="86" t="s">
        <v>478</v>
      </c>
      <c r="E2155" s="86" t="s">
        <v>479</v>
      </c>
      <c r="F2155" s="69">
        <v>9500.0</v>
      </c>
      <c r="G2155" s="69">
        <v>15.22</v>
      </c>
      <c r="H2155" s="68">
        <f t="shared" si="1"/>
        <v>201.88</v>
      </c>
      <c r="I2155" s="81">
        <f>IFERROR(__xludf.DUMMYFUNCTION("IF(G2155="""", """", ROUND(G2155 / MAX(FILTER($G$2:$G5067, $D$2:$D5067=$D2155)) * 100, 2))"),72.82)</f>
        <v>72.82</v>
      </c>
      <c r="J2155" s="81">
        <f>IFERROR(__xludf.DUMMYFUNCTION("IF(H2155="""", """", ROUND(H2155 / MAX(FILTER($H$2:$H5067, $D$2:$D5067=$D2155)) * 100, 2))"),87.91)</f>
        <v>87.91</v>
      </c>
      <c r="K2155" s="2"/>
      <c r="L2155" s="48"/>
      <c r="M2155" s="48"/>
      <c r="N2155" s="48"/>
      <c r="O2155" s="48" t="str">
        <f t="shared" si="2"/>
        <v/>
      </c>
      <c r="P2155" s="48" t="str">
        <f t="shared" si="3"/>
        <v/>
      </c>
      <c r="Q2155" s="84"/>
      <c r="R2155" s="84"/>
      <c r="S2155" s="84"/>
      <c r="T2155" s="84"/>
      <c r="U2155" s="84"/>
      <c r="V2155" s="84"/>
      <c r="W2155" s="84"/>
      <c r="X2155" s="84"/>
      <c r="Y2155" s="84"/>
      <c r="Z2155" s="84"/>
      <c r="AA2155" s="84"/>
      <c r="AB2155" s="84"/>
    </row>
    <row r="2156">
      <c r="A2156" s="63">
        <v>144.0</v>
      </c>
      <c r="B2156" s="63">
        <v>229.0</v>
      </c>
      <c r="C2156" s="64" t="s">
        <v>480</v>
      </c>
      <c r="D2156" s="64" t="s">
        <v>481</v>
      </c>
      <c r="E2156" s="64" t="s">
        <v>482</v>
      </c>
      <c r="F2156" s="63">
        <v>500.0</v>
      </c>
      <c r="G2156" s="63">
        <v>14.8</v>
      </c>
      <c r="H2156" s="66">
        <f t="shared" si="1"/>
        <v>10.33</v>
      </c>
      <c r="I2156" s="81">
        <f>IFERROR(__xludf.DUMMYFUNCTION("IF(G2156="""", """", ROUND(G2156 / MAX(FILTER($G$2:$G5067, $D$2:$D5067=$D2156)) * 100, 2))"),77.08)</f>
        <v>77.08</v>
      </c>
      <c r="J2156" s="81">
        <f>IFERROR(__xludf.DUMMYFUNCTION("IF(H2156="""", """", ROUND(H2156 / MAX(FILTER($H$2:$H5067, $D$2:$D5067=$D2156)) * 100, 2))"),8.46)</f>
        <v>8.46</v>
      </c>
      <c r="K2156" s="2"/>
      <c r="L2156" s="49"/>
      <c r="M2156" s="49"/>
      <c r="N2156" s="49"/>
      <c r="O2156" s="49" t="str">
        <f t="shared" si="2"/>
        <v/>
      </c>
      <c r="P2156" s="49" t="str">
        <f t="shared" si="3"/>
        <v/>
      </c>
      <c r="Q2156" s="84"/>
      <c r="R2156" s="84"/>
      <c r="S2156" s="84"/>
      <c r="T2156" s="84"/>
      <c r="U2156" s="84"/>
      <c r="V2156" s="84"/>
      <c r="W2156" s="84"/>
      <c r="X2156" s="84"/>
      <c r="Y2156" s="84"/>
      <c r="Z2156" s="84"/>
      <c r="AA2156" s="84"/>
      <c r="AB2156" s="84"/>
    </row>
    <row r="2157">
      <c r="A2157" s="69">
        <v>144.0</v>
      </c>
      <c r="B2157" s="69">
        <v>229.0</v>
      </c>
      <c r="C2157" s="86" t="s">
        <v>480</v>
      </c>
      <c r="D2157" s="86" t="s">
        <v>481</v>
      </c>
      <c r="E2157" s="86" t="s">
        <v>482</v>
      </c>
      <c r="F2157" s="69">
        <v>1000.0</v>
      </c>
      <c r="G2157" s="69">
        <v>16.7</v>
      </c>
      <c r="H2157" s="68">
        <f t="shared" si="1"/>
        <v>23.32</v>
      </c>
      <c r="I2157" s="81">
        <f>IFERROR(__xludf.DUMMYFUNCTION("IF(G2157="""", """", ROUND(G2157 / MAX(FILTER($G$2:$G5067, $D$2:$D5067=$D2157)) * 100, 2))"),86.98)</f>
        <v>86.98</v>
      </c>
      <c r="J2157" s="81">
        <f>IFERROR(__xludf.DUMMYFUNCTION("IF(H2157="""", """", ROUND(H2157 / MAX(FILTER($H$2:$H5067, $D$2:$D5067=$D2157)) * 100, 2))"),19.11)</f>
        <v>19.11</v>
      </c>
      <c r="K2157" s="2"/>
      <c r="L2157" s="48"/>
      <c r="M2157" s="48"/>
      <c r="N2157" s="48"/>
      <c r="O2157" s="48" t="str">
        <f t="shared" si="2"/>
        <v/>
      </c>
      <c r="P2157" s="48" t="str">
        <f t="shared" si="3"/>
        <v/>
      </c>
      <c r="Q2157" s="84"/>
      <c r="R2157" s="84"/>
      <c r="S2157" s="84"/>
      <c r="T2157" s="84"/>
      <c r="U2157" s="84"/>
      <c r="V2157" s="84"/>
      <c r="W2157" s="84"/>
      <c r="X2157" s="84"/>
      <c r="Y2157" s="84"/>
      <c r="Z2157" s="84"/>
      <c r="AA2157" s="84"/>
      <c r="AB2157" s="84"/>
    </row>
    <row r="2158">
      <c r="A2158" s="63">
        <v>144.0</v>
      </c>
      <c r="B2158" s="63">
        <v>229.0</v>
      </c>
      <c r="C2158" s="64" t="s">
        <v>480</v>
      </c>
      <c r="D2158" s="64" t="s">
        <v>481</v>
      </c>
      <c r="E2158" s="64" t="s">
        <v>482</v>
      </c>
      <c r="F2158" s="63">
        <v>1500.0</v>
      </c>
      <c r="G2158" s="63">
        <v>18.05</v>
      </c>
      <c r="H2158" s="66">
        <f t="shared" si="1"/>
        <v>37.8</v>
      </c>
      <c r="I2158" s="81">
        <f>IFERROR(__xludf.DUMMYFUNCTION("IF(G2158="""", """", ROUND(G2158 / MAX(FILTER($G$2:$G5067, $D$2:$D5067=$D2158)) * 100, 2))"),94.01)</f>
        <v>94.01</v>
      </c>
      <c r="J2158" s="81">
        <f>IFERROR(__xludf.DUMMYFUNCTION("IF(H2158="""", """", ROUND(H2158 / MAX(FILTER($H$2:$H5067, $D$2:$D5067=$D2158)) * 100, 2))"),30.97)</f>
        <v>30.97</v>
      </c>
      <c r="K2158" s="2"/>
      <c r="L2158" s="49"/>
      <c r="M2158" s="49"/>
      <c r="N2158" s="49"/>
      <c r="O2158" s="49" t="str">
        <f t="shared" si="2"/>
        <v/>
      </c>
      <c r="P2158" s="49" t="str">
        <f t="shared" si="3"/>
        <v/>
      </c>
      <c r="Q2158" s="84"/>
      <c r="R2158" s="84"/>
      <c r="S2158" s="84"/>
      <c r="T2158" s="84"/>
      <c r="U2158" s="84"/>
      <c r="V2158" s="84"/>
      <c r="W2158" s="84"/>
      <c r="X2158" s="84"/>
      <c r="Y2158" s="84"/>
      <c r="Z2158" s="84"/>
      <c r="AA2158" s="84"/>
      <c r="AB2158" s="84"/>
    </row>
    <row r="2159">
      <c r="A2159" s="69">
        <v>144.0</v>
      </c>
      <c r="B2159" s="69">
        <v>229.0</v>
      </c>
      <c r="C2159" s="86" t="s">
        <v>480</v>
      </c>
      <c r="D2159" s="86" t="s">
        <v>481</v>
      </c>
      <c r="E2159" s="86" t="s">
        <v>482</v>
      </c>
      <c r="F2159" s="69">
        <v>2000.0</v>
      </c>
      <c r="G2159" s="69">
        <v>18.9</v>
      </c>
      <c r="H2159" s="68">
        <f t="shared" si="1"/>
        <v>52.78</v>
      </c>
      <c r="I2159" s="81">
        <f>IFERROR(__xludf.DUMMYFUNCTION("IF(G2159="""", """", ROUND(G2159 / MAX(FILTER($G$2:$G5067, $D$2:$D5067=$D2159)) * 100, 2))"),98.44)</f>
        <v>98.44</v>
      </c>
      <c r="J2159" s="81">
        <f>IFERROR(__xludf.DUMMYFUNCTION("IF(H2159="""", """", ROUND(H2159 / MAX(FILTER($H$2:$H5067, $D$2:$D5067=$D2159)) * 100, 2))"),43.24)</f>
        <v>43.24</v>
      </c>
      <c r="K2159" s="2"/>
      <c r="L2159" s="48"/>
      <c r="M2159" s="48"/>
      <c r="N2159" s="48"/>
      <c r="O2159" s="48" t="str">
        <f t="shared" si="2"/>
        <v/>
      </c>
      <c r="P2159" s="48" t="str">
        <f t="shared" si="3"/>
        <v/>
      </c>
      <c r="Q2159" s="84"/>
      <c r="R2159" s="84"/>
      <c r="S2159" s="84"/>
      <c r="T2159" s="84"/>
      <c r="U2159" s="84"/>
      <c r="V2159" s="84"/>
      <c r="W2159" s="84"/>
      <c r="X2159" s="84"/>
      <c r="Y2159" s="84"/>
      <c r="Z2159" s="84"/>
      <c r="AA2159" s="84"/>
      <c r="AB2159" s="84"/>
    </row>
    <row r="2160">
      <c r="A2160" s="63">
        <v>144.0</v>
      </c>
      <c r="B2160" s="63">
        <v>229.0</v>
      </c>
      <c r="C2160" s="64" t="s">
        <v>480</v>
      </c>
      <c r="D2160" s="64" t="s">
        <v>481</v>
      </c>
      <c r="E2160" s="64" t="s">
        <v>482</v>
      </c>
      <c r="F2160" s="63">
        <v>2500.0</v>
      </c>
      <c r="G2160" s="63">
        <v>19.2</v>
      </c>
      <c r="H2160" s="66">
        <f t="shared" si="1"/>
        <v>67.02</v>
      </c>
      <c r="I2160" s="81">
        <f>IFERROR(__xludf.DUMMYFUNCTION("IF(G2160="""", """", ROUND(G2160 / MAX(FILTER($G$2:$G5067, $D$2:$D5067=$D2160)) * 100, 2))"),100.0)</f>
        <v>100</v>
      </c>
      <c r="J2160" s="81">
        <f>IFERROR(__xludf.DUMMYFUNCTION("IF(H2160="""", """", ROUND(H2160 / MAX(FILTER($H$2:$H5067, $D$2:$D5067=$D2160)) * 100, 2))"),54.91)</f>
        <v>54.91</v>
      </c>
      <c r="K2160" s="2"/>
      <c r="L2160" s="49"/>
      <c r="M2160" s="49"/>
      <c r="N2160" s="49"/>
      <c r="O2160" s="49" t="str">
        <f t="shared" si="2"/>
        <v/>
      </c>
      <c r="P2160" s="49" t="str">
        <f t="shared" si="3"/>
        <v/>
      </c>
      <c r="Q2160" s="84"/>
      <c r="R2160" s="84"/>
      <c r="S2160" s="84"/>
      <c r="T2160" s="84"/>
      <c r="U2160" s="84"/>
      <c r="V2160" s="84"/>
      <c r="W2160" s="84"/>
      <c r="X2160" s="84"/>
      <c r="Y2160" s="84"/>
      <c r="Z2160" s="84"/>
      <c r="AA2160" s="84"/>
      <c r="AB2160" s="84"/>
    </row>
    <row r="2161">
      <c r="A2161" s="69">
        <v>144.0</v>
      </c>
      <c r="B2161" s="69">
        <v>229.0</v>
      </c>
      <c r="C2161" s="86" t="s">
        <v>480</v>
      </c>
      <c r="D2161" s="86" t="s">
        <v>481</v>
      </c>
      <c r="E2161" s="86" t="s">
        <v>482</v>
      </c>
      <c r="F2161" s="69">
        <v>3000.0</v>
      </c>
      <c r="G2161" s="69">
        <v>18.95</v>
      </c>
      <c r="H2161" s="68">
        <f t="shared" si="1"/>
        <v>79.38</v>
      </c>
      <c r="I2161" s="81">
        <f>IFERROR(__xludf.DUMMYFUNCTION("IF(G2161="""", """", ROUND(G2161 / MAX(FILTER($G$2:$G5067, $D$2:$D5067=$D2161)) * 100, 2))"),98.7)</f>
        <v>98.7</v>
      </c>
      <c r="J2161" s="81">
        <f>IFERROR(__xludf.DUMMYFUNCTION("IF(H2161="""", """", ROUND(H2161 / MAX(FILTER($H$2:$H5067, $D$2:$D5067=$D2161)) * 100, 2))"),65.04)</f>
        <v>65.04</v>
      </c>
      <c r="K2161" s="2"/>
      <c r="L2161" s="48"/>
      <c r="M2161" s="48"/>
      <c r="N2161" s="48"/>
      <c r="O2161" s="48" t="str">
        <f t="shared" si="2"/>
        <v/>
      </c>
      <c r="P2161" s="48" t="str">
        <f t="shared" si="3"/>
        <v/>
      </c>
      <c r="Q2161" s="84"/>
      <c r="R2161" s="84"/>
      <c r="S2161" s="84"/>
      <c r="T2161" s="84"/>
      <c r="U2161" s="84"/>
      <c r="V2161" s="84"/>
      <c r="W2161" s="84"/>
      <c r="X2161" s="84"/>
      <c r="Y2161" s="84"/>
      <c r="Z2161" s="84"/>
      <c r="AA2161" s="84"/>
      <c r="AB2161" s="84"/>
    </row>
    <row r="2162">
      <c r="A2162" s="63">
        <v>144.0</v>
      </c>
      <c r="B2162" s="63">
        <v>229.0</v>
      </c>
      <c r="C2162" s="64" t="s">
        <v>480</v>
      </c>
      <c r="D2162" s="64" t="s">
        <v>481</v>
      </c>
      <c r="E2162" s="64" t="s">
        <v>482</v>
      </c>
      <c r="F2162" s="63">
        <v>3500.0</v>
      </c>
      <c r="G2162" s="63">
        <v>18.55</v>
      </c>
      <c r="H2162" s="66">
        <f t="shared" si="1"/>
        <v>90.65</v>
      </c>
      <c r="I2162" s="81">
        <f>IFERROR(__xludf.DUMMYFUNCTION("IF(G2162="""", """", ROUND(G2162 / MAX(FILTER($G$2:$G5067, $D$2:$D5067=$D2162)) * 100, 2))"),96.61)</f>
        <v>96.61</v>
      </c>
      <c r="J2162" s="81">
        <f>IFERROR(__xludf.DUMMYFUNCTION("IF(H2162="""", """", ROUND(H2162 / MAX(FILTER($H$2:$H5067, $D$2:$D5067=$D2162)) * 100, 2))"),74.27)</f>
        <v>74.27</v>
      </c>
      <c r="K2162" s="2"/>
      <c r="L2162" s="49"/>
      <c r="M2162" s="49"/>
      <c r="N2162" s="49"/>
      <c r="O2162" s="49" t="str">
        <f t="shared" si="2"/>
        <v/>
      </c>
      <c r="P2162" s="49" t="str">
        <f t="shared" si="3"/>
        <v/>
      </c>
      <c r="Q2162" s="84"/>
      <c r="R2162" s="84"/>
      <c r="S2162" s="84"/>
      <c r="T2162" s="84"/>
      <c r="U2162" s="84"/>
      <c r="V2162" s="84"/>
      <c r="W2162" s="84"/>
      <c r="X2162" s="84"/>
      <c r="Y2162" s="84"/>
      <c r="Z2162" s="84"/>
      <c r="AA2162" s="84"/>
      <c r="AB2162" s="84"/>
    </row>
    <row r="2163">
      <c r="A2163" s="69">
        <v>144.0</v>
      </c>
      <c r="B2163" s="69">
        <v>229.0</v>
      </c>
      <c r="C2163" s="86" t="s">
        <v>480</v>
      </c>
      <c r="D2163" s="86" t="s">
        <v>481</v>
      </c>
      <c r="E2163" s="86" t="s">
        <v>482</v>
      </c>
      <c r="F2163" s="69">
        <v>4000.0</v>
      </c>
      <c r="G2163" s="69">
        <v>18.15</v>
      </c>
      <c r="H2163" s="68">
        <f t="shared" si="1"/>
        <v>101.37</v>
      </c>
      <c r="I2163" s="81">
        <f>IFERROR(__xludf.DUMMYFUNCTION("IF(G2163="""", """", ROUND(G2163 / MAX(FILTER($G$2:$G5067, $D$2:$D5067=$D2163)) * 100, 2))"),94.53)</f>
        <v>94.53</v>
      </c>
      <c r="J2163" s="81">
        <f>IFERROR(__xludf.DUMMYFUNCTION("IF(H2163="""", """", ROUND(H2163 / MAX(FILTER($H$2:$H5067, $D$2:$D5067=$D2163)) * 100, 2))"),83.06)</f>
        <v>83.06</v>
      </c>
      <c r="K2163" s="2"/>
      <c r="L2163" s="48"/>
      <c r="M2163" s="48"/>
      <c r="N2163" s="48"/>
      <c r="O2163" s="48" t="str">
        <f t="shared" si="2"/>
        <v/>
      </c>
      <c r="P2163" s="48" t="str">
        <f t="shared" si="3"/>
        <v/>
      </c>
      <c r="Q2163" s="84"/>
      <c r="R2163" s="84"/>
      <c r="S2163" s="84"/>
      <c r="T2163" s="84"/>
      <c r="U2163" s="84"/>
      <c r="V2163" s="84"/>
      <c r="W2163" s="84"/>
      <c r="X2163" s="84"/>
      <c r="Y2163" s="84"/>
      <c r="Z2163" s="84"/>
      <c r="AA2163" s="84"/>
      <c r="AB2163" s="84"/>
    </row>
    <row r="2164">
      <c r="A2164" s="63">
        <v>144.0</v>
      </c>
      <c r="B2164" s="63">
        <v>229.0</v>
      </c>
      <c r="C2164" s="64" t="s">
        <v>480</v>
      </c>
      <c r="D2164" s="64" t="s">
        <v>481</v>
      </c>
      <c r="E2164" s="64" t="s">
        <v>482</v>
      </c>
      <c r="F2164" s="63">
        <v>4500.0</v>
      </c>
      <c r="G2164" s="63">
        <v>17.65</v>
      </c>
      <c r="H2164" s="66">
        <f t="shared" si="1"/>
        <v>110.9</v>
      </c>
      <c r="I2164" s="81">
        <f>IFERROR(__xludf.DUMMYFUNCTION("IF(G2164="""", """", ROUND(G2164 / MAX(FILTER($G$2:$G5067, $D$2:$D5067=$D2164)) * 100, 2))"),91.93)</f>
        <v>91.93</v>
      </c>
      <c r="J2164" s="81">
        <f>IFERROR(__xludf.DUMMYFUNCTION("IF(H2164="""", """", ROUND(H2164 / MAX(FILTER($H$2:$H5067, $D$2:$D5067=$D2164)) * 100, 2))"),90.86)</f>
        <v>90.86</v>
      </c>
      <c r="K2164" s="2"/>
      <c r="L2164" s="49"/>
      <c r="M2164" s="49"/>
      <c r="N2164" s="49"/>
      <c r="O2164" s="49" t="str">
        <f t="shared" si="2"/>
        <v/>
      </c>
      <c r="P2164" s="49" t="str">
        <f t="shared" si="3"/>
        <v/>
      </c>
      <c r="Q2164" s="84"/>
      <c r="R2164" s="84"/>
      <c r="S2164" s="84"/>
      <c r="T2164" s="84"/>
      <c r="U2164" s="84"/>
      <c r="V2164" s="84"/>
      <c r="W2164" s="84"/>
      <c r="X2164" s="84"/>
      <c r="Y2164" s="84"/>
      <c r="Z2164" s="84"/>
      <c r="AA2164" s="84"/>
      <c r="AB2164" s="84"/>
    </row>
    <row r="2165">
      <c r="A2165" s="69">
        <v>144.0</v>
      </c>
      <c r="B2165" s="69">
        <v>229.0</v>
      </c>
      <c r="C2165" s="86" t="s">
        <v>480</v>
      </c>
      <c r="D2165" s="86" t="s">
        <v>481</v>
      </c>
      <c r="E2165" s="86" t="s">
        <v>482</v>
      </c>
      <c r="F2165" s="69">
        <v>5000.0</v>
      </c>
      <c r="G2165" s="69">
        <v>17.15</v>
      </c>
      <c r="H2165" s="68">
        <f t="shared" si="1"/>
        <v>119.73</v>
      </c>
      <c r="I2165" s="81">
        <f>IFERROR(__xludf.DUMMYFUNCTION("IF(G2165="""", """", ROUND(G2165 / MAX(FILTER($G$2:$G5067, $D$2:$D5067=$D2165)) * 100, 2))"),89.32)</f>
        <v>89.32</v>
      </c>
      <c r="J2165" s="81">
        <f>IFERROR(__xludf.DUMMYFUNCTION("IF(H2165="""", """", ROUND(H2165 / MAX(FILTER($H$2:$H5067, $D$2:$D5067=$D2165)) * 100, 2))"),98.1)</f>
        <v>98.1</v>
      </c>
      <c r="K2165" s="2"/>
      <c r="L2165" s="48"/>
      <c r="M2165" s="48"/>
      <c r="N2165" s="48"/>
      <c r="O2165" s="48" t="str">
        <f t="shared" si="2"/>
        <v/>
      </c>
      <c r="P2165" s="48" t="str">
        <f t="shared" si="3"/>
        <v/>
      </c>
      <c r="Q2165" s="84"/>
      <c r="R2165" s="84"/>
      <c r="S2165" s="84"/>
      <c r="T2165" s="84"/>
      <c r="U2165" s="84"/>
      <c r="V2165" s="84"/>
      <c r="W2165" s="84"/>
      <c r="X2165" s="84"/>
      <c r="Y2165" s="84"/>
      <c r="Z2165" s="84"/>
      <c r="AA2165" s="84"/>
      <c r="AB2165" s="84"/>
    </row>
    <row r="2166">
      <c r="A2166" s="63">
        <v>144.0</v>
      </c>
      <c r="B2166" s="63">
        <v>229.0</v>
      </c>
      <c r="C2166" s="64" t="s">
        <v>480</v>
      </c>
      <c r="D2166" s="64" t="s">
        <v>481</v>
      </c>
      <c r="E2166" s="64" t="s">
        <v>482</v>
      </c>
      <c r="F2166" s="63">
        <v>5250.0</v>
      </c>
      <c r="G2166" s="63">
        <v>16.65</v>
      </c>
      <c r="H2166" s="66">
        <f t="shared" si="1"/>
        <v>122.05</v>
      </c>
      <c r="I2166" s="81">
        <f>IFERROR(__xludf.DUMMYFUNCTION("IF(G2166="""", """", ROUND(G2166 / MAX(FILTER($G$2:$G5067, $D$2:$D5067=$D2166)) * 100, 2))"),86.72)</f>
        <v>86.72</v>
      </c>
      <c r="J2166" s="81">
        <f>IFERROR(__xludf.DUMMYFUNCTION("IF(H2166="""", """", ROUND(H2166 / MAX(FILTER($H$2:$H5067, $D$2:$D5067=$D2166)) * 100, 2))"),100.0)</f>
        <v>100</v>
      </c>
      <c r="K2166" s="2"/>
      <c r="L2166" s="49"/>
      <c r="M2166" s="49"/>
      <c r="N2166" s="49"/>
      <c r="O2166" s="49" t="str">
        <f t="shared" si="2"/>
        <v/>
      </c>
      <c r="P2166" s="49" t="str">
        <f t="shared" si="3"/>
        <v/>
      </c>
      <c r="Q2166" s="84"/>
      <c r="R2166" s="84"/>
      <c r="S2166" s="84"/>
      <c r="T2166" s="84"/>
      <c r="U2166" s="84"/>
      <c r="V2166" s="84"/>
      <c r="W2166" s="84"/>
      <c r="X2166" s="84"/>
      <c r="Y2166" s="84"/>
      <c r="Z2166" s="84"/>
      <c r="AA2166" s="84"/>
      <c r="AB2166" s="84"/>
    </row>
    <row r="2167">
      <c r="A2167" s="69">
        <v>144.0</v>
      </c>
      <c r="B2167" s="69">
        <v>229.0</v>
      </c>
      <c r="C2167" s="86" t="s">
        <v>480</v>
      </c>
      <c r="D2167" s="86" t="s">
        <v>481</v>
      </c>
      <c r="E2167" s="86" t="s">
        <v>482</v>
      </c>
      <c r="F2167" s="69">
        <v>6000.0</v>
      </c>
      <c r="G2167" s="69">
        <v>14.4</v>
      </c>
      <c r="H2167" s="68">
        <f t="shared" si="1"/>
        <v>120.64</v>
      </c>
      <c r="I2167" s="81">
        <f>IFERROR(__xludf.DUMMYFUNCTION("IF(G2167="""", """", ROUND(G2167 / MAX(FILTER($G$2:$G5067, $D$2:$D5067=$D2167)) * 100, 2))"),75.0)</f>
        <v>75</v>
      </c>
      <c r="J2167" s="81">
        <f>IFERROR(__xludf.DUMMYFUNCTION("IF(H2167="""", """", ROUND(H2167 / MAX(FILTER($H$2:$H5067, $D$2:$D5067=$D2167)) * 100, 2))"),98.84)</f>
        <v>98.84</v>
      </c>
      <c r="K2167" s="2"/>
      <c r="L2167" s="48"/>
      <c r="M2167" s="48"/>
      <c r="N2167" s="48"/>
      <c r="O2167" s="48" t="str">
        <f t="shared" si="2"/>
        <v/>
      </c>
      <c r="P2167" s="48" t="str">
        <f t="shared" si="3"/>
        <v/>
      </c>
      <c r="Q2167" s="84"/>
      <c r="R2167" s="84"/>
      <c r="S2167" s="84"/>
      <c r="T2167" s="84"/>
      <c r="U2167" s="84"/>
      <c r="V2167" s="84"/>
      <c r="W2167" s="84"/>
      <c r="X2167" s="84"/>
      <c r="Y2167" s="84"/>
      <c r="Z2167" s="84"/>
      <c r="AA2167" s="84"/>
      <c r="AB2167" s="84"/>
    </row>
    <row r="2168">
      <c r="A2168" s="63">
        <v>144.0</v>
      </c>
      <c r="B2168" s="63">
        <v>229.0</v>
      </c>
      <c r="C2168" s="64" t="s">
        <v>480</v>
      </c>
      <c r="D2168" s="64" t="s">
        <v>481</v>
      </c>
      <c r="E2168" s="64" t="s">
        <v>482</v>
      </c>
      <c r="F2168" s="63">
        <v>6500.0</v>
      </c>
      <c r="G2168" s="63">
        <v>11.9</v>
      </c>
      <c r="H2168" s="66">
        <f t="shared" si="1"/>
        <v>108</v>
      </c>
      <c r="I2168" s="81">
        <f>IFERROR(__xludf.DUMMYFUNCTION("IF(G2168="""", """", ROUND(G2168 / MAX(FILTER($G$2:$G5067, $D$2:$D5067=$D2168)) * 100, 2))"),61.98)</f>
        <v>61.98</v>
      </c>
      <c r="J2168" s="81">
        <f>IFERROR(__xludf.DUMMYFUNCTION("IF(H2168="""", """", ROUND(H2168 / MAX(FILTER($H$2:$H5067, $D$2:$D5067=$D2168)) * 100, 2))"),88.49)</f>
        <v>88.49</v>
      </c>
      <c r="K2168" s="2"/>
      <c r="L2168" s="49"/>
      <c r="M2168" s="49"/>
      <c r="N2168" s="49"/>
      <c r="O2168" s="49" t="str">
        <f t="shared" si="2"/>
        <v/>
      </c>
      <c r="P2168" s="49" t="str">
        <f t="shared" si="3"/>
        <v/>
      </c>
      <c r="Q2168" s="84"/>
      <c r="R2168" s="84"/>
      <c r="S2168" s="84"/>
      <c r="T2168" s="84"/>
      <c r="U2168" s="84"/>
      <c r="V2168" s="84"/>
      <c r="W2168" s="84"/>
      <c r="X2168" s="84"/>
      <c r="Y2168" s="84"/>
      <c r="Z2168" s="84"/>
      <c r="AA2168" s="84"/>
      <c r="AB2168" s="84"/>
    </row>
    <row r="2169">
      <c r="A2169" s="69">
        <v>144.0</v>
      </c>
      <c r="B2169" s="69">
        <v>229.0</v>
      </c>
      <c r="C2169" s="86" t="s">
        <v>480</v>
      </c>
      <c r="D2169" s="86" t="s">
        <v>481</v>
      </c>
      <c r="E2169" s="86" t="s">
        <v>482</v>
      </c>
      <c r="F2169" s="69">
        <v>7000.0</v>
      </c>
      <c r="G2169" s="69">
        <v>9.0</v>
      </c>
      <c r="H2169" s="68">
        <f t="shared" si="1"/>
        <v>87.96</v>
      </c>
      <c r="I2169" s="81">
        <f>IFERROR(__xludf.DUMMYFUNCTION("IF(G2169="""", """", ROUND(G2169 / MAX(FILTER($G$2:$G5067, $D$2:$D5067=$D2169)) * 100, 2))"),46.88)</f>
        <v>46.88</v>
      </c>
      <c r="J2169" s="81">
        <f>IFERROR(__xludf.DUMMYFUNCTION("IF(H2169="""", """", ROUND(H2169 / MAX(FILTER($H$2:$H5067, $D$2:$D5067=$D2169)) * 100, 2))"),72.07)</f>
        <v>72.07</v>
      </c>
      <c r="K2169" s="2"/>
      <c r="L2169" s="48"/>
      <c r="M2169" s="48"/>
      <c r="N2169" s="48"/>
      <c r="O2169" s="48" t="str">
        <f t="shared" si="2"/>
        <v/>
      </c>
      <c r="P2169" s="48" t="str">
        <f t="shared" si="3"/>
        <v/>
      </c>
      <c r="Q2169" s="84"/>
      <c r="R2169" s="84"/>
      <c r="S2169" s="84"/>
      <c r="T2169" s="84"/>
      <c r="U2169" s="84"/>
      <c r="V2169" s="84"/>
      <c r="W2169" s="84"/>
      <c r="X2169" s="84"/>
      <c r="Y2169" s="84"/>
      <c r="Z2169" s="84"/>
      <c r="AA2169" s="84"/>
      <c r="AB2169" s="84"/>
    </row>
    <row r="2170">
      <c r="A2170" s="63">
        <v>145.0</v>
      </c>
      <c r="B2170" s="63">
        <v>230.0</v>
      </c>
      <c r="C2170" s="64" t="s">
        <v>483</v>
      </c>
      <c r="D2170" s="64" t="s">
        <v>484</v>
      </c>
      <c r="E2170" s="64" t="s">
        <v>485</v>
      </c>
      <c r="F2170" s="63">
        <v>500.0</v>
      </c>
      <c r="G2170" s="63">
        <v>14.8</v>
      </c>
      <c r="H2170" s="66">
        <f t="shared" si="1"/>
        <v>10.33</v>
      </c>
      <c r="I2170" s="81">
        <f>IFERROR(__xludf.DUMMYFUNCTION("IF(G2170="""", """", ROUND(G2170 / MAX(FILTER($G$2:$G5067, $D$2:$D5067=$D2170)) * 100, 2))"),46.25)</f>
        <v>46.25</v>
      </c>
      <c r="J2170" s="81">
        <f>IFERROR(__xludf.DUMMYFUNCTION("IF(H2170="""", """", ROUND(H2170 / MAX(FILTER($H$2:$H5067, $D$2:$D5067=$D2170)) * 100, 2))"),4.98)</f>
        <v>4.98</v>
      </c>
      <c r="K2170" s="2"/>
      <c r="L2170" s="49"/>
      <c r="M2170" s="49"/>
      <c r="N2170" s="49"/>
      <c r="O2170" s="49" t="str">
        <f t="shared" si="2"/>
        <v/>
      </c>
      <c r="P2170" s="49" t="str">
        <f t="shared" si="3"/>
        <v/>
      </c>
      <c r="Q2170" s="84"/>
      <c r="R2170" s="84"/>
      <c r="S2170" s="84"/>
      <c r="T2170" s="84"/>
      <c r="U2170" s="84"/>
      <c r="V2170" s="84"/>
      <c r="W2170" s="84"/>
      <c r="X2170" s="84"/>
      <c r="Y2170" s="84"/>
      <c r="Z2170" s="84"/>
      <c r="AA2170" s="84"/>
      <c r="AB2170" s="84"/>
    </row>
    <row r="2171">
      <c r="A2171" s="69">
        <v>145.0</v>
      </c>
      <c r="B2171" s="69">
        <v>230.0</v>
      </c>
      <c r="C2171" s="86" t="s">
        <v>483</v>
      </c>
      <c r="D2171" s="86" t="s">
        <v>484</v>
      </c>
      <c r="E2171" s="86" t="s">
        <v>485</v>
      </c>
      <c r="F2171" s="69">
        <v>1000.0</v>
      </c>
      <c r="G2171" s="69">
        <v>15.6</v>
      </c>
      <c r="H2171" s="68">
        <f t="shared" si="1"/>
        <v>21.78</v>
      </c>
      <c r="I2171" s="81">
        <f>IFERROR(__xludf.DUMMYFUNCTION("IF(G2171="""", """", ROUND(G2171 / MAX(FILTER($G$2:$G5067, $D$2:$D5067=$D2171)) * 100, 2))"),48.75)</f>
        <v>48.75</v>
      </c>
      <c r="J2171" s="81">
        <f>IFERROR(__xludf.DUMMYFUNCTION("IF(H2171="""", """", ROUND(H2171 / MAX(FILTER($H$2:$H5067, $D$2:$D5067=$D2171)) * 100, 2))"),10.5)</f>
        <v>10.5</v>
      </c>
      <c r="K2171" s="2"/>
      <c r="L2171" s="48"/>
      <c r="M2171" s="48"/>
      <c r="N2171" s="48"/>
      <c r="O2171" s="48" t="str">
        <f t="shared" si="2"/>
        <v/>
      </c>
      <c r="P2171" s="48" t="str">
        <f t="shared" si="3"/>
        <v/>
      </c>
      <c r="Q2171" s="84"/>
      <c r="R2171" s="84"/>
      <c r="S2171" s="84"/>
      <c r="T2171" s="84"/>
      <c r="U2171" s="84"/>
      <c r="V2171" s="84"/>
      <c r="W2171" s="84"/>
      <c r="X2171" s="84"/>
      <c r="Y2171" s="84"/>
      <c r="Z2171" s="84"/>
      <c r="AA2171" s="84"/>
      <c r="AB2171" s="84"/>
    </row>
    <row r="2172">
      <c r="A2172" s="63">
        <v>145.0</v>
      </c>
      <c r="B2172" s="63">
        <v>230.0</v>
      </c>
      <c r="C2172" s="64" t="s">
        <v>483</v>
      </c>
      <c r="D2172" s="64" t="s">
        <v>484</v>
      </c>
      <c r="E2172" s="64" t="s">
        <v>485</v>
      </c>
      <c r="F2172" s="63">
        <v>1500.0</v>
      </c>
      <c r="G2172" s="63">
        <v>16.8</v>
      </c>
      <c r="H2172" s="66">
        <f t="shared" si="1"/>
        <v>35.19</v>
      </c>
      <c r="I2172" s="81">
        <f>IFERROR(__xludf.DUMMYFUNCTION("IF(G2172="""", """", ROUND(G2172 / MAX(FILTER($G$2:$G5067, $D$2:$D5067=$D2172)) * 100, 2))"),52.5)</f>
        <v>52.5</v>
      </c>
      <c r="J2172" s="81">
        <f>IFERROR(__xludf.DUMMYFUNCTION("IF(H2172="""", """", ROUND(H2172 / MAX(FILTER($H$2:$H5067, $D$2:$D5067=$D2172)) * 100, 2))"),16.97)</f>
        <v>16.97</v>
      </c>
      <c r="K2172" s="2"/>
      <c r="L2172" s="49"/>
      <c r="M2172" s="49"/>
      <c r="N2172" s="49"/>
      <c r="O2172" s="49" t="str">
        <f t="shared" si="2"/>
        <v/>
      </c>
      <c r="P2172" s="49" t="str">
        <f t="shared" si="3"/>
        <v/>
      </c>
      <c r="Q2172" s="84"/>
      <c r="R2172" s="84"/>
      <c r="S2172" s="84"/>
      <c r="T2172" s="84"/>
      <c r="U2172" s="84"/>
      <c r="V2172" s="84"/>
      <c r="W2172" s="84"/>
      <c r="X2172" s="84"/>
      <c r="Y2172" s="84"/>
      <c r="Z2172" s="84"/>
      <c r="AA2172" s="84"/>
      <c r="AB2172" s="84"/>
    </row>
    <row r="2173">
      <c r="A2173" s="69">
        <v>145.0</v>
      </c>
      <c r="B2173" s="69">
        <v>230.0</v>
      </c>
      <c r="C2173" s="86" t="s">
        <v>483</v>
      </c>
      <c r="D2173" s="86" t="s">
        <v>484</v>
      </c>
      <c r="E2173" s="86" t="s">
        <v>485</v>
      </c>
      <c r="F2173" s="69">
        <v>2000.0</v>
      </c>
      <c r="G2173" s="69">
        <v>19.8</v>
      </c>
      <c r="H2173" s="68">
        <f t="shared" si="1"/>
        <v>55.29</v>
      </c>
      <c r="I2173" s="81">
        <f>IFERROR(__xludf.DUMMYFUNCTION("IF(G2173="""", """", ROUND(G2173 / MAX(FILTER($G$2:$G5067, $D$2:$D5067=$D2173)) * 100, 2))"),61.88)</f>
        <v>61.88</v>
      </c>
      <c r="J2173" s="81">
        <f>IFERROR(__xludf.DUMMYFUNCTION("IF(H2173="""", """", ROUND(H2173 / MAX(FILTER($H$2:$H5067, $D$2:$D5067=$D2173)) * 100, 2))"),26.67)</f>
        <v>26.67</v>
      </c>
      <c r="K2173" s="2"/>
      <c r="L2173" s="48"/>
      <c r="M2173" s="48"/>
      <c r="N2173" s="48"/>
      <c r="O2173" s="48" t="str">
        <f t="shared" si="2"/>
        <v/>
      </c>
      <c r="P2173" s="48" t="str">
        <f t="shared" si="3"/>
        <v/>
      </c>
      <c r="Q2173" s="84"/>
      <c r="R2173" s="84"/>
      <c r="S2173" s="84"/>
      <c r="T2173" s="84"/>
      <c r="U2173" s="84"/>
      <c r="V2173" s="84"/>
      <c r="W2173" s="84"/>
      <c r="X2173" s="84"/>
      <c r="Y2173" s="84"/>
      <c r="Z2173" s="84"/>
      <c r="AA2173" s="84"/>
      <c r="AB2173" s="84"/>
    </row>
    <row r="2174">
      <c r="A2174" s="63">
        <v>145.0</v>
      </c>
      <c r="B2174" s="63">
        <v>230.0</v>
      </c>
      <c r="C2174" s="64" t="s">
        <v>483</v>
      </c>
      <c r="D2174" s="64" t="s">
        <v>484</v>
      </c>
      <c r="E2174" s="64" t="s">
        <v>485</v>
      </c>
      <c r="F2174" s="63">
        <v>2500.0</v>
      </c>
      <c r="G2174" s="63">
        <v>26.5</v>
      </c>
      <c r="H2174" s="66">
        <f t="shared" si="1"/>
        <v>92.5</v>
      </c>
      <c r="I2174" s="81">
        <f>IFERROR(__xludf.DUMMYFUNCTION("IF(G2174="""", """", ROUND(G2174 / MAX(FILTER($G$2:$G5067, $D$2:$D5067=$D2174)) * 100, 2))"),82.81)</f>
        <v>82.81</v>
      </c>
      <c r="J2174" s="81">
        <f>IFERROR(__xludf.DUMMYFUNCTION("IF(H2174="""", """", ROUND(H2174 / MAX(FILTER($H$2:$H5067, $D$2:$D5067=$D2174)) * 100, 2))"),44.61)</f>
        <v>44.61</v>
      </c>
      <c r="K2174" s="2"/>
      <c r="L2174" s="49"/>
      <c r="M2174" s="49"/>
      <c r="N2174" s="49"/>
      <c r="O2174" s="49" t="str">
        <f t="shared" si="2"/>
        <v/>
      </c>
      <c r="P2174" s="49" t="str">
        <f t="shared" si="3"/>
        <v/>
      </c>
      <c r="Q2174" s="84"/>
      <c r="R2174" s="84"/>
      <c r="S2174" s="84"/>
      <c r="T2174" s="84"/>
      <c r="U2174" s="84"/>
      <c r="V2174" s="84"/>
      <c r="W2174" s="84"/>
      <c r="X2174" s="84"/>
      <c r="Y2174" s="84"/>
      <c r="Z2174" s="84"/>
      <c r="AA2174" s="84"/>
      <c r="AB2174" s="84"/>
    </row>
    <row r="2175">
      <c r="A2175" s="69">
        <v>145.0</v>
      </c>
      <c r="B2175" s="69">
        <v>230.0</v>
      </c>
      <c r="C2175" s="86" t="s">
        <v>483</v>
      </c>
      <c r="D2175" s="86" t="s">
        <v>484</v>
      </c>
      <c r="E2175" s="86" t="s">
        <v>485</v>
      </c>
      <c r="F2175" s="69">
        <v>3000.0</v>
      </c>
      <c r="G2175" s="69">
        <v>30.0</v>
      </c>
      <c r="H2175" s="68">
        <f t="shared" si="1"/>
        <v>125.66</v>
      </c>
      <c r="I2175" s="81">
        <f>IFERROR(__xludf.DUMMYFUNCTION("IF(G2175="""", """", ROUND(G2175 / MAX(FILTER($G$2:$G5067, $D$2:$D5067=$D2175)) * 100, 2))"),93.75)</f>
        <v>93.75</v>
      </c>
      <c r="J2175" s="81">
        <f>IFERROR(__xludf.DUMMYFUNCTION("IF(H2175="""", """", ROUND(H2175 / MAX(FILTER($H$2:$H5067, $D$2:$D5067=$D2175)) * 100, 2))"),60.61)</f>
        <v>60.61</v>
      </c>
      <c r="K2175" s="2"/>
      <c r="L2175" s="48"/>
      <c r="M2175" s="48"/>
      <c r="N2175" s="48"/>
      <c r="O2175" s="48" t="str">
        <f t="shared" si="2"/>
        <v/>
      </c>
      <c r="P2175" s="48" t="str">
        <f t="shared" si="3"/>
        <v/>
      </c>
      <c r="Q2175" s="84"/>
      <c r="R2175" s="84"/>
      <c r="S2175" s="84"/>
      <c r="T2175" s="84"/>
      <c r="U2175" s="84"/>
      <c r="V2175" s="84"/>
      <c r="W2175" s="84"/>
      <c r="X2175" s="84"/>
      <c r="Y2175" s="84"/>
      <c r="Z2175" s="84"/>
      <c r="AA2175" s="84"/>
      <c r="AB2175" s="84"/>
    </row>
    <row r="2176">
      <c r="A2176" s="63">
        <v>145.0</v>
      </c>
      <c r="B2176" s="63">
        <v>230.0</v>
      </c>
      <c r="C2176" s="64" t="s">
        <v>483</v>
      </c>
      <c r="D2176" s="64" t="s">
        <v>484</v>
      </c>
      <c r="E2176" s="64" t="s">
        <v>485</v>
      </c>
      <c r="F2176" s="63">
        <v>3500.0</v>
      </c>
      <c r="G2176" s="63">
        <v>31.58</v>
      </c>
      <c r="H2176" s="66">
        <f t="shared" si="1"/>
        <v>154.33</v>
      </c>
      <c r="I2176" s="81">
        <f>IFERROR(__xludf.DUMMYFUNCTION("IF(G2176="""", """", ROUND(G2176 / MAX(FILTER($G$2:$G5067, $D$2:$D5067=$D2176)) * 100, 2))"),98.69)</f>
        <v>98.69</v>
      </c>
      <c r="J2176" s="81">
        <f>IFERROR(__xludf.DUMMYFUNCTION("IF(H2176="""", """", ROUND(H2176 / MAX(FILTER($H$2:$H5067, $D$2:$D5067=$D2176)) * 100, 2))"),74.43)</f>
        <v>74.43</v>
      </c>
      <c r="K2176" s="2"/>
      <c r="L2176" s="49"/>
      <c r="M2176" s="49"/>
      <c r="N2176" s="49"/>
      <c r="O2176" s="49" t="str">
        <f t="shared" si="2"/>
        <v/>
      </c>
      <c r="P2176" s="49" t="str">
        <f t="shared" si="3"/>
        <v/>
      </c>
      <c r="Q2176" s="84"/>
      <c r="R2176" s="84"/>
      <c r="S2176" s="84"/>
      <c r="T2176" s="84"/>
      <c r="U2176" s="84"/>
      <c r="V2176" s="84"/>
      <c r="W2176" s="84"/>
      <c r="X2176" s="84"/>
      <c r="Y2176" s="84"/>
      <c r="Z2176" s="84"/>
      <c r="AA2176" s="84"/>
      <c r="AB2176" s="84"/>
    </row>
    <row r="2177">
      <c r="A2177" s="69">
        <v>145.0</v>
      </c>
      <c r="B2177" s="69">
        <v>230.0</v>
      </c>
      <c r="C2177" s="86" t="s">
        <v>483</v>
      </c>
      <c r="D2177" s="86" t="s">
        <v>484</v>
      </c>
      <c r="E2177" s="86" t="s">
        <v>485</v>
      </c>
      <c r="F2177" s="69">
        <v>4000.0</v>
      </c>
      <c r="G2177" s="69">
        <v>32.0</v>
      </c>
      <c r="H2177" s="68">
        <f t="shared" si="1"/>
        <v>178.72</v>
      </c>
      <c r="I2177" s="81">
        <f>IFERROR(__xludf.DUMMYFUNCTION("IF(G2177="""", """", ROUND(G2177 / MAX(FILTER($G$2:$G5067, $D$2:$D5067=$D2177)) * 100, 2))"),100.0)</f>
        <v>100</v>
      </c>
      <c r="J2177" s="81">
        <f>IFERROR(__xludf.DUMMYFUNCTION("IF(H2177="""", """", ROUND(H2177 / MAX(FILTER($H$2:$H5067, $D$2:$D5067=$D2177)) * 100, 2))"),86.2)</f>
        <v>86.2</v>
      </c>
      <c r="K2177" s="2"/>
      <c r="L2177" s="48"/>
      <c r="M2177" s="48"/>
      <c r="N2177" s="48"/>
      <c r="O2177" s="48" t="str">
        <f t="shared" si="2"/>
        <v/>
      </c>
      <c r="P2177" s="48" t="str">
        <f t="shared" si="3"/>
        <v/>
      </c>
      <c r="Q2177" s="84"/>
      <c r="R2177" s="84"/>
      <c r="S2177" s="84"/>
      <c r="T2177" s="84"/>
      <c r="U2177" s="84"/>
      <c r="V2177" s="84"/>
      <c r="W2177" s="84"/>
      <c r="X2177" s="84"/>
      <c r="Y2177" s="84"/>
      <c r="Z2177" s="84"/>
      <c r="AA2177" s="84"/>
      <c r="AB2177" s="84"/>
    </row>
    <row r="2178">
      <c r="A2178" s="63">
        <v>145.0</v>
      </c>
      <c r="B2178" s="63">
        <v>230.0</v>
      </c>
      <c r="C2178" s="64" t="s">
        <v>483</v>
      </c>
      <c r="D2178" s="64" t="s">
        <v>484</v>
      </c>
      <c r="E2178" s="64" t="s">
        <v>485</v>
      </c>
      <c r="F2178" s="63">
        <v>4500.0</v>
      </c>
      <c r="G2178" s="63">
        <v>30.84</v>
      </c>
      <c r="H2178" s="66">
        <f t="shared" si="1"/>
        <v>193.77</v>
      </c>
      <c r="I2178" s="81">
        <f>IFERROR(__xludf.DUMMYFUNCTION("IF(G2178="""", """", ROUND(G2178 / MAX(FILTER($G$2:$G5067, $D$2:$D5067=$D2178)) * 100, 2))"),96.38)</f>
        <v>96.38</v>
      </c>
      <c r="J2178" s="81">
        <f>IFERROR(__xludf.DUMMYFUNCTION("IF(H2178="""", """", ROUND(H2178 / MAX(FILTER($H$2:$H5067, $D$2:$D5067=$D2178)) * 100, 2))"),93.46)</f>
        <v>93.46</v>
      </c>
      <c r="K2178" s="2"/>
      <c r="L2178" s="49"/>
      <c r="M2178" s="49"/>
      <c r="N2178" s="49"/>
      <c r="O2178" s="49" t="str">
        <f t="shared" si="2"/>
        <v/>
      </c>
      <c r="P2178" s="49" t="str">
        <f t="shared" si="3"/>
        <v/>
      </c>
      <c r="Q2178" s="84"/>
      <c r="R2178" s="84"/>
      <c r="S2178" s="84"/>
      <c r="T2178" s="84"/>
      <c r="U2178" s="84"/>
      <c r="V2178" s="84"/>
      <c r="W2178" s="84"/>
      <c r="X2178" s="84"/>
      <c r="Y2178" s="84"/>
      <c r="Z2178" s="84"/>
      <c r="AA2178" s="84"/>
      <c r="AB2178" s="84"/>
    </row>
    <row r="2179">
      <c r="A2179" s="69">
        <v>145.0</v>
      </c>
      <c r="B2179" s="69">
        <v>230.0</v>
      </c>
      <c r="C2179" s="86" t="s">
        <v>483</v>
      </c>
      <c r="D2179" s="86" t="s">
        <v>484</v>
      </c>
      <c r="E2179" s="86" t="s">
        <v>485</v>
      </c>
      <c r="F2179" s="69">
        <v>5000.0</v>
      </c>
      <c r="G2179" s="69">
        <v>28.97</v>
      </c>
      <c r="H2179" s="68">
        <f t="shared" si="1"/>
        <v>202.25</v>
      </c>
      <c r="I2179" s="81">
        <f>IFERROR(__xludf.DUMMYFUNCTION("IF(G2179="""", """", ROUND(G2179 / MAX(FILTER($G$2:$G5067, $D$2:$D5067=$D2179)) * 100, 2))"),90.53)</f>
        <v>90.53</v>
      </c>
      <c r="J2179" s="81">
        <f>IFERROR(__xludf.DUMMYFUNCTION("IF(H2179="""", """", ROUND(H2179 / MAX(FILTER($H$2:$H5067, $D$2:$D5067=$D2179)) * 100, 2))"),97.55)</f>
        <v>97.55</v>
      </c>
      <c r="K2179" s="2"/>
      <c r="L2179" s="48"/>
      <c r="M2179" s="48"/>
      <c r="N2179" s="48"/>
      <c r="O2179" s="48" t="str">
        <f t="shared" si="2"/>
        <v/>
      </c>
      <c r="P2179" s="48" t="str">
        <f t="shared" si="3"/>
        <v/>
      </c>
      <c r="Q2179" s="84"/>
      <c r="R2179" s="84"/>
      <c r="S2179" s="84"/>
      <c r="T2179" s="84"/>
      <c r="U2179" s="84"/>
      <c r="V2179" s="84"/>
      <c r="W2179" s="84"/>
      <c r="X2179" s="84"/>
      <c r="Y2179" s="84"/>
      <c r="Z2179" s="84"/>
      <c r="AA2179" s="84"/>
      <c r="AB2179" s="84"/>
    </row>
    <row r="2180">
      <c r="A2180" s="63">
        <v>145.0</v>
      </c>
      <c r="B2180" s="63">
        <v>230.0</v>
      </c>
      <c r="C2180" s="64" t="s">
        <v>483</v>
      </c>
      <c r="D2180" s="64" t="s">
        <v>484</v>
      </c>
      <c r="E2180" s="64" t="s">
        <v>485</v>
      </c>
      <c r="F2180" s="63">
        <v>5500.0</v>
      </c>
      <c r="G2180" s="63">
        <v>27.0</v>
      </c>
      <c r="H2180" s="66">
        <f t="shared" si="1"/>
        <v>207.34</v>
      </c>
      <c r="I2180" s="81">
        <f>IFERROR(__xludf.DUMMYFUNCTION("IF(G2180="""", """", ROUND(G2180 / MAX(FILTER($G$2:$G5067, $D$2:$D5067=$D2180)) * 100, 2))"),84.38)</f>
        <v>84.38</v>
      </c>
      <c r="J2180" s="81">
        <f>IFERROR(__xludf.DUMMYFUNCTION("IF(H2180="""", """", ROUND(H2180 / MAX(FILTER($H$2:$H5067, $D$2:$D5067=$D2180)) * 100, 2))"),100.0)</f>
        <v>100</v>
      </c>
      <c r="K2180" s="2"/>
      <c r="L2180" s="49"/>
      <c r="M2180" s="49"/>
      <c r="N2180" s="49"/>
      <c r="O2180" s="49" t="str">
        <f t="shared" si="2"/>
        <v/>
      </c>
      <c r="P2180" s="49" t="str">
        <f t="shared" si="3"/>
        <v/>
      </c>
      <c r="Q2180" s="84"/>
      <c r="R2180" s="84"/>
      <c r="S2180" s="84"/>
      <c r="T2180" s="84"/>
      <c r="U2180" s="84"/>
      <c r="V2180" s="84"/>
      <c r="W2180" s="84"/>
      <c r="X2180" s="84"/>
      <c r="Y2180" s="84"/>
      <c r="Z2180" s="84"/>
      <c r="AA2180" s="84"/>
      <c r="AB2180" s="84"/>
    </row>
    <row r="2181">
      <c r="A2181" s="69">
        <v>145.0</v>
      </c>
      <c r="B2181" s="69">
        <v>230.0</v>
      </c>
      <c r="C2181" s="86" t="s">
        <v>483</v>
      </c>
      <c r="D2181" s="86" t="s">
        <v>484</v>
      </c>
      <c r="E2181" s="86" t="s">
        <v>485</v>
      </c>
      <c r="F2181" s="69">
        <v>5750.0</v>
      </c>
      <c r="G2181" s="69">
        <v>25.8</v>
      </c>
      <c r="H2181" s="68">
        <f t="shared" si="1"/>
        <v>207.13</v>
      </c>
      <c r="I2181" s="81">
        <f>IFERROR(__xludf.DUMMYFUNCTION("IF(G2181="""", """", ROUND(G2181 / MAX(FILTER($G$2:$G5067, $D$2:$D5067=$D2181)) * 100, 2))"),80.63)</f>
        <v>80.63</v>
      </c>
      <c r="J2181" s="81">
        <f>IFERROR(__xludf.DUMMYFUNCTION("IF(H2181="""", """", ROUND(H2181 / MAX(FILTER($H$2:$H5067, $D$2:$D5067=$D2181)) * 100, 2))"),99.9)</f>
        <v>99.9</v>
      </c>
      <c r="K2181" s="2"/>
      <c r="L2181" s="48"/>
      <c r="M2181" s="48"/>
      <c r="N2181" s="48"/>
      <c r="O2181" s="48" t="str">
        <f t="shared" si="2"/>
        <v/>
      </c>
      <c r="P2181" s="48" t="str">
        <f t="shared" si="3"/>
        <v/>
      </c>
      <c r="Q2181" s="84"/>
      <c r="R2181" s="84"/>
      <c r="S2181" s="84"/>
      <c r="T2181" s="84"/>
      <c r="U2181" s="84"/>
      <c r="V2181" s="84"/>
      <c r="W2181" s="84"/>
      <c r="X2181" s="84"/>
      <c r="Y2181" s="84"/>
      <c r="Z2181" s="84"/>
      <c r="AA2181" s="84"/>
      <c r="AB2181" s="84"/>
    </row>
    <row r="2182">
      <c r="A2182" s="63">
        <v>145.0</v>
      </c>
      <c r="B2182" s="63">
        <v>230.0</v>
      </c>
      <c r="C2182" s="64" t="s">
        <v>483</v>
      </c>
      <c r="D2182" s="64" t="s">
        <v>484</v>
      </c>
      <c r="E2182" s="64" t="s">
        <v>485</v>
      </c>
      <c r="F2182" s="63">
        <v>6200.0</v>
      </c>
      <c r="G2182" s="63">
        <v>23.7</v>
      </c>
      <c r="H2182" s="66">
        <f t="shared" si="1"/>
        <v>205.17</v>
      </c>
      <c r="I2182" s="81">
        <f>IFERROR(__xludf.DUMMYFUNCTION("IF(G2182="""", """", ROUND(G2182 / MAX(FILTER($G$2:$G5067, $D$2:$D5067=$D2182)) * 100, 2))"),74.06)</f>
        <v>74.06</v>
      </c>
      <c r="J2182" s="81">
        <f>IFERROR(__xludf.DUMMYFUNCTION("IF(H2182="""", """", ROUND(H2182 / MAX(FILTER($H$2:$H5067, $D$2:$D5067=$D2182)) * 100, 2))"),98.95)</f>
        <v>98.95</v>
      </c>
      <c r="K2182" s="2"/>
      <c r="L2182" s="49"/>
      <c r="M2182" s="49"/>
      <c r="N2182" s="49"/>
      <c r="O2182" s="49" t="str">
        <f t="shared" si="2"/>
        <v/>
      </c>
      <c r="P2182" s="49" t="str">
        <f t="shared" si="3"/>
        <v/>
      </c>
      <c r="Q2182" s="84"/>
      <c r="R2182" s="84"/>
      <c r="S2182" s="84"/>
      <c r="T2182" s="84"/>
      <c r="U2182" s="84"/>
      <c r="V2182" s="84"/>
      <c r="W2182" s="84"/>
      <c r="X2182" s="84"/>
      <c r="Y2182" s="84"/>
      <c r="Z2182" s="84"/>
      <c r="AA2182" s="84"/>
      <c r="AB2182" s="84"/>
    </row>
    <row r="2183">
      <c r="A2183" s="69">
        <v>145.0</v>
      </c>
      <c r="B2183" s="69">
        <v>230.0</v>
      </c>
      <c r="C2183" s="86" t="s">
        <v>483</v>
      </c>
      <c r="D2183" s="86" t="s">
        <v>484</v>
      </c>
      <c r="E2183" s="86" t="s">
        <v>485</v>
      </c>
      <c r="F2183" s="69">
        <v>6800.0</v>
      </c>
      <c r="G2183" s="69">
        <v>20.3</v>
      </c>
      <c r="H2183" s="68">
        <f t="shared" si="1"/>
        <v>192.74</v>
      </c>
      <c r="I2183" s="81">
        <f>IFERROR(__xludf.DUMMYFUNCTION("IF(G2183="""", """", ROUND(G2183 / MAX(FILTER($G$2:$G5067, $D$2:$D5067=$D2183)) * 100, 2))"),63.44)</f>
        <v>63.44</v>
      </c>
      <c r="J2183" s="81">
        <f>IFERROR(__xludf.DUMMYFUNCTION("IF(H2183="""", """", ROUND(H2183 / MAX(FILTER($H$2:$H5067, $D$2:$D5067=$D2183)) * 100, 2))"),92.96)</f>
        <v>92.96</v>
      </c>
      <c r="K2183" s="2"/>
      <c r="L2183" s="48"/>
      <c r="M2183" s="48"/>
      <c r="N2183" s="48"/>
      <c r="O2183" s="48" t="str">
        <f t="shared" si="2"/>
        <v/>
      </c>
      <c r="P2183" s="48" t="str">
        <f t="shared" si="3"/>
        <v/>
      </c>
      <c r="Q2183" s="84"/>
      <c r="R2183" s="84"/>
      <c r="S2183" s="84"/>
      <c r="T2183" s="84"/>
      <c r="U2183" s="84"/>
      <c r="V2183" s="84"/>
      <c r="W2183" s="84"/>
      <c r="X2183" s="84"/>
      <c r="Y2183" s="84"/>
      <c r="Z2183" s="84"/>
      <c r="AA2183" s="84"/>
      <c r="AB2183" s="84"/>
    </row>
    <row r="2184">
      <c r="A2184" s="63">
        <v>145.0</v>
      </c>
      <c r="B2184" s="63">
        <v>230.0</v>
      </c>
      <c r="C2184" s="64" t="s">
        <v>483</v>
      </c>
      <c r="D2184" s="64" t="s">
        <v>484</v>
      </c>
      <c r="E2184" s="64" t="s">
        <v>485</v>
      </c>
      <c r="F2184" s="63">
        <v>7500.0</v>
      </c>
      <c r="G2184" s="63">
        <v>16.0</v>
      </c>
      <c r="H2184" s="66">
        <f t="shared" si="1"/>
        <v>167.55</v>
      </c>
      <c r="I2184" s="81">
        <f>IFERROR(__xludf.DUMMYFUNCTION("IF(G2184="""", """", ROUND(G2184 / MAX(FILTER($G$2:$G5067, $D$2:$D5067=$D2184)) * 100, 2))"),50.0)</f>
        <v>50</v>
      </c>
      <c r="J2184" s="81">
        <f>IFERROR(__xludf.DUMMYFUNCTION("IF(H2184="""", """", ROUND(H2184 / MAX(FILTER($H$2:$H5067, $D$2:$D5067=$D2184)) * 100, 2))"),80.81)</f>
        <v>80.81</v>
      </c>
      <c r="K2184" s="2"/>
      <c r="L2184" s="49"/>
      <c r="M2184" s="49"/>
      <c r="N2184" s="49"/>
      <c r="O2184" s="49" t="str">
        <f t="shared" si="2"/>
        <v/>
      </c>
      <c r="P2184" s="49" t="str">
        <f t="shared" si="3"/>
        <v/>
      </c>
      <c r="Q2184" s="84"/>
      <c r="R2184" s="84"/>
      <c r="S2184" s="84"/>
      <c r="T2184" s="84"/>
      <c r="U2184" s="84"/>
      <c r="V2184" s="84"/>
      <c r="W2184" s="84"/>
      <c r="X2184" s="84"/>
      <c r="Y2184" s="84"/>
      <c r="Z2184" s="84"/>
      <c r="AA2184" s="84"/>
      <c r="AB2184" s="84"/>
    </row>
    <row r="2185">
      <c r="A2185" s="69">
        <v>146.0</v>
      </c>
      <c r="B2185" s="69">
        <v>231.0</v>
      </c>
      <c r="C2185" s="86" t="s">
        <v>486</v>
      </c>
      <c r="D2185" s="86" t="s">
        <v>487</v>
      </c>
      <c r="E2185" s="86" t="s">
        <v>488</v>
      </c>
      <c r="F2185" s="69">
        <v>500.0</v>
      </c>
      <c r="G2185" s="69">
        <v>9.05</v>
      </c>
      <c r="H2185" s="68">
        <f t="shared" si="1"/>
        <v>6.32</v>
      </c>
      <c r="I2185" s="81">
        <f>IFERROR(__xludf.DUMMYFUNCTION("IF(G2185="""", """", ROUND(G2185 / MAX(FILTER($G$2:$G5067, $D$2:$D5067=$D2185)) * 100, 2))"),69.62)</f>
        <v>69.62</v>
      </c>
      <c r="J2185" s="81">
        <f>IFERROR(__xludf.DUMMYFUNCTION("IF(H2185="""", """", ROUND(H2185 / MAX(FILTER($H$2:$H5067, $D$2:$D5067=$D2185)) * 100, 2))"),6.74)</f>
        <v>6.74</v>
      </c>
      <c r="K2185" s="2"/>
      <c r="L2185" s="48"/>
      <c r="M2185" s="48"/>
      <c r="N2185" s="48"/>
      <c r="O2185" s="48" t="str">
        <f t="shared" si="2"/>
        <v/>
      </c>
      <c r="P2185" s="48" t="str">
        <f t="shared" si="3"/>
        <v/>
      </c>
      <c r="Q2185" s="84"/>
      <c r="R2185" s="84"/>
      <c r="S2185" s="84"/>
      <c r="T2185" s="84"/>
      <c r="U2185" s="84"/>
      <c r="V2185" s="84"/>
      <c r="W2185" s="84"/>
      <c r="X2185" s="84"/>
      <c r="Y2185" s="84"/>
      <c r="Z2185" s="84"/>
      <c r="AA2185" s="84"/>
      <c r="AB2185" s="84"/>
    </row>
    <row r="2186">
      <c r="A2186" s="63">
        <v>146.0</v>
      </c>
      <c r="B2186" s="63">
        <v>231.0</v>
      </c>
      <c r="C2186" s="64" t="s">
        <v>486</v>
      </c>
      <c r="D2186" s="64" t="s">
        <v>487</v>
      </c>
      <c r="E2186" s="64" t="s">
        <v>488</v>
      </c>
      <c r="F2186" s="63">
        <v>1000.0</v>
      </c>
      <c r="G2186" s="63">
        <v>9.7</v>
      </c>
      <c r="H2186" s="66">
        <f t="shared" si="1"/>
        <v>13.54</v>
      </c>
      <c r="I2186" s="81">
        <f>IFERROR(__xludf.DUMMYFUNCTION("IF(G2186="""", """", ROUND(G2186 / MAX(FILTER($G$2:$G5067, $D$2:$D5067=$D2186)) * 100, 2))"),74.62)</f>
        <v>74.62</v>
      </c>
      <c r="J2186" s="81">
        <f>IFERROR(__xludf.DUMMYFUNCTION("IF(H2186="""", """", ROUND(H2186 / MAX(FILTER($H$2:$H5067, $D$2:$D5067=$D2186)) * 100, 2))"),14.43)</f>
        <v>14.43</v>
      </c>
      <c r="K2186" s="2"/>
      <c r="L2186" s="49"/>
      <c r="M2186" s="49"/>
      <c r="N2186" s="49"/>
      <c r="O2186" s="49" t="str">
        <f t="shared" si="2"/>
        <v/>
      </c>
      <c r="P2186" s="49" t="str">
        <f t="shared" si="3"/>
        <v/>
      </c>
      <c r="Q2186" s="84"/>
      <c r="R2186" s="84"/>
      <c r="S2186" s="84"/>
      <c r="T2186" s="84"/>
      <c r="U2186" s="84"/>
      <c r="V2186" s="84"/>
      <c r="W2186" s="84"/>
      <c r="X2186" s="84"/>
      <c r="Y2186" s="84"/>
      <c r="Z2186" s="84"/>
      <c r="AA2186" s="84"/>
      <c r="AB2186" s="84"/>
    </row>
    <row r="2187">
      <c r="A2187" s="69">
        <v>146.0</v>
      </c>
      <c r="B2187" s="69">
        <v>231.0</v>
      </c>
      <c r="C2187" s="86" t="s">
        <v>486</v>
      </c>
      <c r="D2187" s="86" t="s">
        <v>487</v>
      </c>
      <c r="E2187" s="86" t="s">
        <v>488</v>
      </c>
      <c r="F2187" s="69">
        <v>1500.0</v>
      </c>
      <c r="G2187" s="69">
        <v>10.45</v>
      </c>
      <c r="H2187" s="68">
        <f t="shared" si="1"/>
        <v>21.89</v>
      </c>
      <c r="I2187" s="81">
        <f>IFERROR(__xludf.DUMMYFUNCTION("IF(G2187="""", """", ROUND(G2187 / MAX(FILTER($G$2:$G5067, $D$2:$D5067=$D2187)) * 100, 2))"),80.38)</f>
        <v>80.38</v>
      </c>
      <c r="J2187" s="81">
        <f>IFERROR(__xludf.DUMMYFUNCTION("IF(H2187="""", """", ROUND(H2187 / MAX(FILTER($H$2:$H5067, $D$2:$D5067=$D2187)) * 100, 2))"),23.33)</f>
        <v>23.33</v>
      </c>
      <c r="K2187" s="2"/>
      <c r="L2187" s="48"/>
      <c r="M2187" s="48"/>
      <c r="N2187" s="48"/>
      <c r="O2187" s="48" t="str">
        <f t="shared" si="2"/>
        <v/>
      </c>
      <c r="P2187" s="48" t="str">
        <f t="shared" si="3"/>
        <v/>
      </c>
      <c r="Q2187" s="84"/>
      <c r="R2187" s="84"/>
      <c r="S2187" s="84"/>
      <c r="T2187" s="84"/>
      <c r="U2187" s="84"/>
      <c r="V2187" s="84"/>
      <c r="W2187" s="84"/>
      <c r="X2187" s="84"/>
      <c r="Y2187" s="84"/>
      <c r="Z2187" s="84"/>
      <c r="AA2187" s="84"/>
      <c r="AB2187" s="84"/>
    </row>
    <row r="2188">
      <c r="A2188" s="63">
        <v>146.0</v>
      </c>
      <c r="B2188" s="63">
        <v>231.0</v>
      </c>
      <c r="C2188" s="64" t="s">
        <v>486</v>
      </c>
      <c r="D2188" s="64" t="s">
        <v>487</v>
      </c>
      <c r="E2188" s="64" t="s">
        <v>488</v>
      </c>
      <c r="F2188" s="63">
        <v>2000.0</v>
      </c>
      <c r="G2188" s="63">
        <v>11.35</v>
      </c>
      <c r="H2188" s="66">
        <f t="shared" si="1"/>
        <v>31.7</v>
      </c>
      <c r="I2188" s="81">
        <f>IFERROR(__xludf.DUMMYFUNCTION("IF(G2188="""", """", ROUND(G2188 / MAX(FILTER($G$2:$G5067, $D$2:$D5067=$D2188)) * 100, 2))"),87.31)</f>
        <v>87.31</v>
      </c>
      <c r="J2188" s="81">
        <f>IFERROR(__xludf.DUMMYFUNCTION("IF(H2188="""", """", ROUND(H2188 / MAX(FILTER($H$2:$H5067, $D$2:$D5067=$D2188)) * 100, 2))"),33.78)</f>
        <v>33.78</v>
      </c>
      <c r="K2188" s="2"/>
      <c r="L2188" s="49"/>
      <c r="M2188" s="49"/>
      <c r="N2188" s="49"/>
      <c r="O2188" s="49" t="str">
        <f t="shared" si="2"/>
        <v/>
      </c>
      <c r="P2188" s="49" t="str">
        <f t="shared" si="3"/>
        <v/>
      </c>
      <c r="Q2188" s="84"/>
      <c r="R2188" s="84"/>
      <c r="S2188" s="84"/>
      <c r="T2188" s="84"/>
      <c r="U2188" s="84"/>
      <c r="V2188" s="84"/>
      <c r="W2188" s="84"/>
      <c r="X2188" s="84"/>
      <c r="Y2188" s="84"/>
      <c r="Z2188" s="84"/>
      <c r="AA2188" s="84"/>
      <c r="AB2188" s="84"/>
    </row>
    <row r="2189">
      <c r="A2189" s="69">
        <v>146.0</v>
      </c>
      <c r="B2189" s="69">
        <v>231.0</v>
      </c>
      <c r="C2189" s="86" t="s">
        <v>486</v>
      </c>
      <c r="D2189" s="86" t="s">
        <v>487</v>
      </c>
      <c r="E2189" s="86" t="s">
        <v>488</v>
      </c>
      <c r="F2189" s="69">
        <v>2500.0</v>
      </c>
      <c r="G2189" s="69">
        <v>12.2</v>
      </c>
      <c r="H2189" s="68">
        <f t="shared" si="1"/>
        <v>42.59</v>
      </c>
      <c r="I2189" s="81">
        <f>IFERROR(__xludf.DUMMYFUNCTION("IF(G2189="""", """", ROUND(G2189 / MAX(FILTER($G$2:$G5067, $D$2:$D5067=$D2189)) * 100, 2))"),93.85)</f>
        <v>93.85</v>
      </c>
      <c r="J2189" s="81">
        <f>IFERROR(__xludf.DUMMYFUNCTION("IF(H2189="""", """", ROUND(H2189 / MAX(FILTER($H$2:$H5067, $D$2:$D5067=$D2189)) * 100, 2))"),45.39)</f>
        <v>45.39</v>
      </c>
      <c r="K2189" s="2"/>
      <c r="L2189" s="48"/>
      <c r="M2189" s="48"/>
      <c r="N2189" s="48"/>
      <c r="O2189" s="48" t="str">
        <f t="shared" si="2"/>
        <v/>
      </c>
      <c r="P2189" s="48" t="str">
        <f t="shared" si="3"/>
        <v/>
      </c>
      <c r="Q2189" s="84"/>
      <c r="R2189" s="84"/>
      <c r="S2189" s="84"/>
      <c r="T2189" s="84"/>
      <c r="U2189" s="84"/>
      <c r="V2189" s="84"/>
      <c r="W2189" s="84"/>
      <c r="X2189" s="84"/>
      <c r="Y2189" s="84"/>
      <c r="Z2189" s="84"/>
      <c r="AA2189" s="84"/>
      <c r="AB2189" s="84"/>
    </row>
    <row r="2190">
      <c r="A2190" s="63">
        <v>146.0</v>
      </c>
      <c r="B2190" s="63">
        <v>231.0</v>
      </c>
      <c r="C2190" s="64" t="s">
        <v>486</v>
      </c>
      <c r="D2190" s="64" t="s">
        <v>487</v>
      </c>
      <c r="E2190" s="64" t="s">
        <v>488</v>
      </c>
      <c r="F2190" s="63">
        <v>3000.0</v>
      </c>
      <c r="G2190" s="63">
        <v>12.65</v>
      </c>
      <c r="H2190" s="66">
        <f t="shared" si="1"/>
        <v>52.99</v>
      </c>
      <c r="I2190" s="81">
        <f>IFERROR(__xludf.DUMMYFUNCTION("IF(G2190="""", """", ROUND(G2190 / MAX(FILTER($G$2:$G5067, $D$2:$D5067=$D2190)) * 100, 2))"),97.31)</f>
        <v>97.31</v>
      </c>
      <c r="J2190" s="81">
        <f>IFERROR(__xludf.DUMMYFUNCTION("IF(H2190="""", """", ROUND(H2190 / MAX(FILTER($H$2:$H5067, $D$2:$D5067=$D2190)) * 100, 2))"),56.47)</f>
        <v>56.47</v>
      </c>
      <c r="K2190" s="2"/>
      <c r="L2190" s="49"/>
      <c r="M2190" s="49"/>
      <c r="N2190" s="49"/>
      <c r="O2190" s="49" t="str">
        <f t="shared" si="2"/>
        <v/>
      </c>
      <c r="P2190" s="49" t="str">
        <f t="shared" si="3"/>
        <v/>
      </c>
      <c r="Q2190" s="84"/>
      <c r="R2190" s="84"/>
      <c r="S2190" s="84"/>
      <c r="T2190" s="84"/>
      <c r="U2190" s="84"/>
      <c r="V2190" s="84"/>
      <c r="W2190" s="84"/>
      <c r="X2190" s="84"/>
      <c r="Y2190" s="84"/>
      <c r="Z2190" s="84"/>
      <c r="AA2190" s="84"/>
      <c r="AB2190" s="84"/>
    </row>
    <row r="2191">
      <c r="A2191" s="69">
        <v>146.0</v>
      </c>
      <c r="B2191" s="69">
        <v>231.0</v>
      </c>
      <c r="C2191" s="86" t="s">
        <v>486</v>
      </c>
      <c r="D2191" s="86" t="s">
        <v>487</v>
      </c>
      <c r="E2191" s="86" t="s">
        <v>488</v>
      </c>
      <c r="F2191" s="69">
        <v>3500.0</v>
      </c>
      <c r="G2191" s="69">
        <v>12.9</v>
      </c>
      <c r="H2191" s="68">
        <f t="shared" si="1"/>
        <v>63.04</v>
      </c>
      <c r="I2191" s="81">
        <f>IFERROR(__xludf.DUMMYFUNCTION("IF(G2191="""", """", ROUND(G2191 / MAX(FILTER($G$2:$G5067, $D$2:$D5067=$D2191)) * 100, 2))"),99.23)</f>
        <v>99.23</v>
      </c>
      <c r="J2191" s="81">
        <f>IFERROR(__xludf.DUMMYFUNCTION("IF(H2191="""", """", ROUND(H2191 / MAX(FILTER($H$2:$H5067, $D$2:$D5067=$D2191)) * 100, 2))"),67.19)</f>
        <v>67.19</v>
      </c>
      <c r="K2191" s="2"/>
      <c r="L2191" s="48"/>
      <c r="M2191" s="48"/>
      <c r="N2191" s="48"/>
      <c r="O2191" s="48" t="str">
        <f t="shared" si="2"/>
        <v/>
      </c>
      <c r="P2191" s="48" t="str">
        <f t="shared" si="3"/>
        <v/>
      </c>
      <c r="Q2191" s="84"/>
      <c r="R2191" s="84"/>
      <c r="S2191" s="84"/>
      <c r="T2191" s="84"/>
      <c r="U2191" s="84"/>
      <c r="V2191" s="84"/>
      <c r="W2191" s="84"/>
      <c r="X2191" s="84"/>
      <c r="Y2191" s="84"/>
      <c r="Z2191" s="84"/>
      <c r="AA2191" s="84"/>
      <c r="AB2191" s="84"/>
    </row>
    <row r="2192">
      <c r="A2192" s="63">
        <v>146.0</v>
      </c>
      <c r="B2192" s="63">
        <v>231.0</v>
      </c>
      <c r="C2192" s="64" t="s">
        <v>486</v>
      </c>
      <c r="D2192" s="64" t="s">
        <v>487</v>
      </c>
      <c r="E2192" s="64" t="s">
        <v>488</v>
      </c>
      <c r="F2192" s="63">
        <v>4000.0</v>
      </c>
      <c r="G2192" s="63">
        <v>13.0</v>
      </c>
      <c r="H2192" s="66">
        <f t="shared" si="1"/>
        <v>72.61</v>
      </c>
      <c r="I2192" s="81">
        <f>IFERROR(__xludf.DUMMYFUNCTION("IF(G2192="""", """", ROUND(G2192 / MAX(FILTER($G$2:$G5067, $D$2:$D5067=$D2192)) * 100, 2))"),100.0)</f>
        <v>100</v>
      </c>
      <c r="J2192" s="81">
        <f>IFERROR(__xludf.DUMMYFUNCTION("IF(H2192="""", """", ROUND(H2192 / MAX(FILTER($H$2:$H5067, $D$2:$D5067=$D2192)) * 100, 2))"),77.38)</f>
        <v>77.38</v>
      </c>
      <c r="K2192" s="2"/>
      <c r="L2192" s="49"/>
      <c r="M2192" s="49"/>
      <c r="N2192" s="49"/>
      <c r="O2192" s="49" t="str">
        <f t="shared" si="2"/>
        <v/>
      </c>
      <c r="P2192" s="49" t="str">
        <f t="shared" si="3"/>
        <v/>
      </c>
      <c r="Q2192" s="84"/>
      <c r="R2192" s="84"/>
      <c r="S2192" s="84"/>
      <c r="T2192" s="84"/>
      <c r="U2192" s="84"/>
      <c r="V2192" s="84"/>
      <c r="W2192" s="84"/>
      <c r="X2192" s="84"/>
      <c r="Y2192" s="84"/>
      <c r="Z2192" s="84"/>
      <c r="AA2192" s="84"/>
      <c r="AB2192" s="84"/>
    </row>
    <row r="2193">
      <c r="A2193" s="69">
        <v>146.0</v>
      </c>
      <c r="B2193" s="69">
        <v>231.0</v>
      </c>
      <c r="C2193" s="86" t="s">
        <v>486</v>
      </c>
      <c r="D2193" s="86" t="s">
        <v>487</v>
      </c>
      <c r="E2193" s="86" t="s">
        <v>488</v>
      </c>
      <c r="F2193" s="69">
        <v>4500.0</v>
      </c>
      <c r="G2193" s="69">
        <v>12.95</v>
      </c>
      <c r="H2193" s="68">
        <f t="shared" si="1"/>
        <v>81.37</v>
      </c>
      <c r="I2193" s="81">
        <f>IFERROR(__xludf.DUMMYFUNCTION("IF(G2193="""", """", ROUND(G2193 / MAX(FILTER($G$2:$G5067, $D$2:$D5067=$D2193)) * 100, 2))"),99.62)</f>
        <v>99.62</v>
      </c>
      <c r="J2193" s="81">
        <f>IFERROR(__xludf.DUMMYFUNCTION("IF(H2193="""", """", ROUND(H2193 / MAX(FILTER($H$2:$H5067, $D$2:$D5067=$D2193)) * 100, 2))"),86.72)</f>
        <v>86.72</v>
      </c>
      <c r="K2193" s="2"/>
      <c r="L2193" s="48"/>
      <c r="M2193" s="48"/>
      <c r="N2193" s="48"/>
      <c r="O2193" s="48" t="str">
        <f t="shared" si="2"/>
        <v/>
      </c>
      <c r="P2193" s="48" t="str">
        <f t="shared" si="3"/>
        <v/>
      </c>
      <c r="Q2193" s="84"/>
      <c r="R2193" s="84"/>
      <c r="S2193" s="84"/>
      <c r="T2193" s="84"/>
      <c r="U2193" s="84"/>
      <c r="V2193" s="84"/>
      <c r="W2193" s="84"/>
      <c r="X2193" s="84"/>
      <c r="Y2193" s="84"/>
      <c r="Z2193" s="84"/>
      <c r="AA2193" s="84"/>
      <c r="AB2193" s="84"/>
    </row>
    <row r="2194">
      <c r="A2194" s="63">
        <v>146.0</v>
      </c>
      <c r="B2194" s="63">
        <v>231.0</v>
      </c>
      <c r="C2194" s="64" t="s">
        <v>486</v>
      </c>
      <c r="D2194" s="64" t="s">
        <v>487</v>
      </c>
      <c r="E2194" s="64" t="s">
        <v>488</v>
      </c>
      <c r="F2194" s="63">
        <v>5000.0</v>
      </c>
      <c r="G2194" s="63">
        <v>12.65</v>
      </c>
      <c r="H2194" s="66">
        <f t="shared" si="1"/>
        <v>88.31</v>
      </c>
      <c r="I2194" s="81">
        <f>IFERROR(__xludf.DUMMYFUNCTION("IF(G2194="""", """", ROUND(G2194 / MAX(FILTER($G$2:$G5067, $D$2:$D5067=$D2194)) * 100, 2))"),97.31)</f>
        <v>97.31</v>
      </c>
      <c r="J2194" s="81">
        <f>IFERROR(__xludf.DUMMYFUNCTION("IF(H2194="""", """", ROUND(H2194 / MAX(FILTER($H$2:$H5067, $D$2:$D5067=$D2194)) * 100, 2))"),94.12)</f>
        <v>94.12</v>
      </c>
      <c r="K2194" s="2"/>
      <c r="L2194" s="49"/>
      <c r="M2194" s="49"/>
      <c r="N2194" s="49"/>
      <c r="O2194" s="49" t="str">
        <f t="shared" si="2"/>
        <v/>
      </c>
      <c r="P2194" s="49" t="str">
        <f t="shared" si="3"/>
        <v/>
      </c>
      <c r="Q2194" s="84"/>
      <c r="R2194" s="84"/>
      <c r="S2194" s="84"/>
      <c r="T2194" s="84"/>
      <c r="U2194" s="84"/>
      <c r="V2194" s="84"/>
      <c r="W2194" s="84"/>
      <c r="X2194" s="84"/>
      <c r="Y2194" s="84"/>
      <c r="Z2194" s="84"/>
      <c r="AA2194" s="84"/>
      <c r="AB2194" s="84"/>
    </row>
    <row r="2195">
      <c r="A2195" s="69">
        <v>146.0</v>
      </c>
      <c r="B2195" s="69">
        <v>231.0</v>
      </c>
      <c r="C2195" s="86" t="s">
        <v>486</v>
      </c>
      <c r="D2195" s="86" t="s">
        <v>487</v>
      </c>
      <c r="E2195" s="86" t="s">
        <v>488</v>
      </c>
      <c r="F2195" s="69">
        <v>5500.0</v>
      </c>
      <c r="G2195" s="69">
        <v>12.05</v>
      </c>
      <c r="H2195" s="68">
        <f t="shared" si="1"/>
        <v>92.54</v>
      </c>
      <c r="I2195" s="81">
        <f>IFERROR(__xludf.DUMMYFUNCTION("IF(G2195="""", """", ROUND(G2195 / MAX(FILTER($G$2:$G5067, $D$2:$D5067=$D2195)) * 100, 2))"),92.69)</f>
        <v>92.69</v>
      </c>
      <c r="J2195" s="81">
        <f>IFERROR(__xludf.DUMMYFUNCTION("IF(H2195="""", """", ROUND(H2195 / MAX(FILTER($H$2:$H5067, $D$2:$D5067=$D2195)) * 100, 2))"),98.63)</f>
        <v>98.63</v>
      </c>
      <c r="K2195" s="2"/>
      <c r="L2195" s="48"/>
      <c r="M2195" s="48"/>
      <c r="N2195" s="48"/>
      <c r="O2195" s="48" t="str">
        <f t="shared" si="2"/>
        <v/>
      </c>
      <c r="P2195" s="48" t="str">
        <f t="shared" si="3"/>
        <v/>
      </c>
      <c r="Q2195" s="84"/>
      <c r="R2195" s="84"/>
      <c r="S2195" s="84"/>
      <c r="T2195" s="84"/>
      <c r="U2195" s="84"/>
      <c r="V2195" s="84"/>
      <c r="W2195" s="84"/>
      <c r="X2195" s="84"/>
      <c r="Y2195" s="84"/>
      <c r="Z2195" s="84"/>
      <c r="AA2195" s="84"/>
      <c r="AB2195" s="84"/>
    </row>
    <row r="2196">
      <c r="A2196" s="63">
        <v>146.0</v>
      </c>
      <c r="B2196" s="63">
        <v>231.0</v>
      </c>
      <c r="C2196" s="64" t="s">
        <v>486</v>
      </c>
      <c r="D2196" s="64" t="s">
        <v>487</v>
      </c>
      <c r="E2196" s="64" t="s">
        <v>488</v>
      </c>
      <c r="F2196" s="63">
        <v>6000.0</v>
      </c>
      <c r="G2196" s="63">
        <v>11.2</v>
      </c>
      <c r="H2196" s="66">
        <f t="shared" si="1"/>
        <v>93.83</v>
      </c>
      <c r="I2196" s="81">
        <f>IFERROR(__xludf.DUMMYFUNCTION("IF(G2196="""", """", ROUND(G2196 / MAX(FILTER($G$2:$G5067, $D$2:$D5067=$D2196)) * 100, 2))"),86.15)</f>
        <v>86.15</v>
      </c>
      <c r="J2196" s="81">
        <f>IFERROR(__xludf.DUMMYFUNCTION("IF(H2196="""", """", ROUND(H2196 / MAX(FILTER($H$2:$H5067, $D$2:$D5067=$D2196)) * 100, 2))"),100.0)</f>
        <v>100</v>
      </c>
      <c r="K2196" s="2"/>
      <c r="L2196" s="49"/>
      <c r="M2196" s="49"/>
      <c r="N2196" s="49"/>
      <c r="O2196" s="49" t="str">
        <f t="shared" si="2"/>
        <v/>
      </c>
      <c r="P2196" s="49" t="str">
        <f t="shared" si="3"/>
        <v/>
      </c>
      <c r="Q2196" s="84"/>
      <c r="R2196" s="84"/>
      <c r="S2196" s="84"/>
      <c r="T2196" s="84"/>
      <c r="U2196" s="84"/>
      <c r="V2196" s="84"/>
      <c r="W2196" s="84"/>
      <c r="X2196" s="84"/>
      <c r="Y2196" s="84"/>
      <c r="Z2196" s="84"/>
      <c r="AA2196" s="84"/>
      <c r="AB2196" s="84"/>
    </row>
    <row r="2197">
      <c r="A2197" s="69">
        <v>146.0</v>
      </c>
      <c r="B2197" s="69">
        <v>231.0</v>
      </c>
      <c r="C2197" s="86" t="s">
        <v>486</v>
      </c>
      <c r="D2197" s="86" t="s">
        <v>487</v>
      </c>
      <c r="E2197" s="86" t="s">
        <v>488</v>
      </c>
      <c r="F2197" s="69">
        <v>6500.0</v>
      </c>
      <c r="G2197" s="69">
        <v>10.15</v>
      </c>
      <c r="H2197" s="68">
        <f t="shared" si="1"/>
        <v>92.12</v>
      </c>
      <c r="I2197" s="81">
        <f>IFERROR(__xludf.DUMMYFUNCTION("IF(G2197="""", """", ROUND(G2197 / MAX(FILTER($G$2:$G5067, $D$2:$D5067=$D2197)) * 100, 2))"),78.08)</f>
        <v>78.08</v>
      </c>
      <c r="J2197" s="81">
        <f>IFERROR(__xludf.DUMMYFUNCTION("IF(H2197="""", """", ROUND(H2197 / MAX(FILTER($H$2:$H5067, $D$2:$D5067=$D2197)) * 100, 2))"),98.18)</f>
        <v>98.18</v>
      </c>
      <c r="K2197" s="2"/>
      <c r="L2197" s="48"/>
      <c r="M2197" s="48"/>
      <c r="N2197" s="48"/>
      <c r="O2197" s="48" t="str">
        <f t="shared" si="2"/>
        <v/>
      </c>
      <c r="P2197" s="48" t="str">
        <f t="shared" si="3"/>
        <v/>
      </c>
      <c r="Q2197" s="84"/>
      <c r="R2197" s="84"/>
      <c r="S2197" s="84"/>
      <c r="T2197" s="84"/>
      <c r="U2197" s="84"/>
      <c r="V2197" s="84"/>
      <c r="W2197" s="84"/>
      <c r="X2197" s="84"/>
      <c r="Y2197" s="84"/>
      <c r="Z2197" s="84"/>
      <c r="AA2197" s="84"/>
      <c r="AB2197" s="84"/>
    </row>
    <row r="2198">
      <c r="A2198" s="63">
        <v>146.0</v>
      </c>
      <c r="B2198" s="63">
        <v>231.0</v>
      </c>
      <c r="C2198" s="64" t="s">
        <v>486</v>
      </c>
      <c r="D2198" s="64" t="s">
        <v>487</v>
      </c>
      <c r="E2198" s="64" t="s">
        <v>488</v>
      </c>
      <c r="F2198" s="63">
        <v>7000.0</v>
      </c>
      <c r="G2198" s="63">
        <v>8.85</v>
      </c>
      <c r="H2198" s="66">
        <f t="shared" si="1"/>
        <v>86.5</v>
      </c>
      <c r="I2198" s="81">
        <f>IFERROR(__xludf.DUMMYFUNCTION("IF(G2198="""", """", ROUND(G2198 / MAX(FILTER($G$2:$G5067, $D$2:$D5067=$D2198)) * 100, 2))"),68.08)</f>
        <v>68.08</v>
      </c>
      <c r="J2198" s="81">
        <f>IFERROR(__xludf.DUMMYFUNCTION("IF(H2198="""", """", ROUND(H2198 / MAX(FILTER($H$2:$H5067, $D$2:$D5067=$D2198)) * 100, 2))"),92.19)</f>
        <v>92.19</v>
      </c>
      <c r="K2198" s="2"/>
      <c r="L2198" s="49"/>
      <c r="M2198" s="49"/>
      <c r="N2198" s="49"/>
      <c r="O2198" s="49" t="str">
        <f t="shared" si="2"/>
        <v/>
      </c>
      <c r="P2198" s="49" t="str">
        <f t="shared" si="3"/>
        <v/>
      </c>
      <c r="Q2198" s="84"/>
      <c r="R2198" s="84"/>
      <c r="S2198" s="84"/>
      <c r="T2198" s="84"/>
      <c r="U2198" s="84"/>
      <c r="V2198" s="84"/>
      <c r="W2198" s="84"/>
      <c r="X2198" s="84"/>
      <c r="Y2198" s="84"/>
      <c r="Z2198" s="84"/>
      <c r="AA2198" s="84"/>
      <c r="AB2198" s="84"/>
    </row>
    <row r="2199">
      <c r="A2199" s="69">
        <v>147.0</v>
      </c>
      <c r="B2199" s="69">
        <v>232.0</v>
      </c>
      <c r="C2199" s="86" t="s">
        <v>489</v>
      </c>
      <c r="D2199" s="86" t="s">
        <v>490</v>
      </c>
      <c r="E2199" s="86" t="s">
        <v>491</v>
      </c>
      <c r="F2199" s="69">
        <v>500.0</v>
      </c>
      <c r="G2199" s="69">
        <v>38.85</v>
      </c>
      <c r="H2199" s="68">
        <f t="shared" si="1"/>
        <v>27.12</v>
      </c>
      <c r="I2199" s="81">
        <f>IFERROR(__xludf.DUMMYFUNCTION("IF(G2199="""", """", ROUND(G2199 / MAX(FILTER($G$2:$G5067, $D$2:$D5067=$D2199)) * 100, 2))"),70.64)</f>
        <v>70.64</v>
      </c>
      <c r="J2199" s="81">
        <f>IFERROR(__xludf.DUMMYFUNCTION("IF(H2199="""", """", ROUND(H2199 / MAX(FILTER($H$2:$H5067, $D$2:$D5067=$D2199)) * 100, 2))"),8.9)</f>
        <v>8.9</v>
      </c>
      <c r="K2199" s="2"/>
      <c r="L2199" s="48"/>
      <c r="M2199" s="48"/>
      <c r="N2199" s="48"/>
      <c r="O2199" s="48" t="str">
        <f t="shared" si="2"/>
        <v/>
      </c>
      <c r="P2199" s="48" t="str">
        <f t="shared" si="3"/>
        <v/>
      </c>
      <c r="Q2199" s="84"/>
      <c r="R2199" s="84"/>
      <c r="S2199" s="84"/>
      <c r="T2199" s="84"/>
      <c r="U2199" s="84"/>
      <c r="V2199" s="84"/>
      <c r="W2199" s="84"/>
      <c r="X2199" s="84"/>
      <c r="Y2199" s="84"/>
      <c r="Z2199" s="84"/>
      <c r="AA2199" s="84"/>
      <c r="AB2199" s="84"/>
    </row>
    <row r="2200">
      <c r="A2200" s="63">
        <v>147.0</v>
      </c>
      <c r="B2200" s="63">
        <v>232.0</v>
      </c>
      <c r="C2200" s="64" t="s">
        <v>489</v>
      </c>
      <c r="D2200" s="64" t="s">
        <v>490</v>
      </c>
      <c r="E2200" s="64" t="s">
        <v>491</v>
      </c>
      <c r="F2200" s="63">
        <v>1000.0</v>
      </c>
      <c r="G2200" s="63">
        <v>44.1</v>
      </c>
      <c r="H2200" s="66">
        <f t="shared" si="1"/>
        <v>61.57</v>
      </c>
      <c r="I2200" s="81">
        <f>IFERROR(__xludf.DUMMYFUNCTION("IF(G2200="""", """", ROUND(G2200 / MAX(FILTER($G$2:$G5067, $D$2:$D5067=$D2200)) * 100, 2))"),80.18)</f>
        <v>80.18</v>
      </c>
      <c r="J2200" s="81">
        <f>IFERROR(__xludf.DUMMYFUNCTION("IF(H2200="""", """", ROUND(H2200 / MAX(FILTER($H$2:$H5067, $D$2:$D5067=$D2200)) * 100, 2))"),20.21)</f>
        <v>20.21</v>
      </c>
      <c r="K2200" s="2"/>
      <c r="L2200" s="49"/>
      <c r="M2200" s="49"/>
      <c r="N2200" s="49"/>
      <c r="O2200" s="49" t="str">
        <f t="shared" si="2"/>
        <v/>
      </c>
      <c r="P2200" s="49" t="str">
        <f t="shared" si="3"/>
        <v/>
      </c>
      <c r="Q2200" s="84"/>
      <c r="R2200" s="84"/>
      <c r="S2200" s="84"/>
      <c r="T2200" s="84"/>
      <c r="U2200" s="84"/>
      <c r="V2200" s="84"/>
      <c r="W2200" s="84"/>
      <c r="X2200" s="84"/>
      <c r="Y2200" s="84"/>
      <c r="Z2200" s="84"/>
      <c r="AA2200" s="84"/>
      <c r="AB2200" s="84"/>
    </row>
    <row r="2201">
      <c r="A2201" s="69">
        <v>147.0</v>
      </c>
      <c r="B2201" s="69">
        <v>232.0</v>
      </c>
      <c r="C2201" s="86" t="s">
        <v>489</v>
      </c>
      <c r="D2201" s="86" t="s">
        <v>490</v>
      </c>
      <c r="E2201" s="86" t="s">
        <v>491</v>
      </c>
      <c r="F2201" s="69">
        <v>1500.0</v>
      </c>
      <c r="G2201" s="69">
        <v>48.15</v>
      </c>
      <c r="H2201" s="68">
        <f t="shared" si="1"/>
        <v>100.84</v>
      </c>
      <c r="I2201" s="81">
        <f>IFERROR(__xludf.DUMMYFUNCTION("IF(G2201="""", """", ROUND(G2201 / MAX(FILTER($G$2:$G5067, $D$2:$D5067=$D2201)) * 100, 2))"),87.55)</f>
        <v>87.55</v>
      </c>
      <c r="J2201" s="81">
        <f>IFERROR(__xludf.DUMMYFUNCTION("IF(H2201="""", """", ROUND(H2201 / MAX(FILTER($H$2:$H5067, $D$2:$D5067=$D2201)) * 100, 2))"),33.1)</f>
        <v>33.1</v>
      </c>
      <c r="K2201" s="2"/>
      <c r="L2201" s="48"/>
      <c r="M2201" s="48"/>
      <c r="N2201" s="48"/>
      <c r="O2201" s="48" t="str">
        <f t="shared" si="2"/>
        <v/>
      </c>
      <c r="P2201" s="48" t="str">
        <f t="shared" si="3"/>
        <v/>
      </c>
      <c r="Q2201" s="84"/>
      <c r="R2201" s="84"/>
      <c r="S2201" s="84"/>
      <c r="T2201" s="84"/>
      <c r="U2201" s="84"/>
      <c r="V2201" s="84"/>
      <c r="W2201" s="84"/>
      <c r="X2201" s="84"/>
      <c r="Y2201" s="84"/>
      <c r="Z2201" s="84"/>
      <c r="AA2201" s="84"/>
      <c r="AB2201" s="84"/>
    </row>
    <row r="2202">
      <c r="A2202" s="63">
        <v>147.0</v>
      </c>
      <c r="B2202" s="63">
        <v>232.0</v>
      </c>
      <c r="C2202" s="64" t="s">
        <v>489</v>
      </c>
      <c r="D2202" s="64" t="s">
        <v>490</v>
      </c>
      <c r="E2202" s="64" t="s">
        <v>491</v>
      </c>
      <c r="F2202" s="63">
        <v>2000.0</v>
      </c>
      <c r="G2202" s="63">
        <v>51.3</v>
      </c>
      <c r="H2202" s="66">
        <f t="shared" si="1"/>
        <v>143.26</v>
      </c>
      <c r="I2202" s="81">
        <f>IFERROR(__xludf.DUMMYFUNCTION("IF(G2202="""", """", ROUND(G2202 / MAX(FILTER($G$2:$G5067, $D$2:$D5067=$D2202)) * 100, 2))"),93.27)</f>
        <v>93.27</v>
      </c>
      <c r="J2202" s="81">
        <f>IFERROR(__xludf.DUMMYFUNCTION("IF(H2202="""", """", ROUND(H2202 / MAX(FILTER($H$2:$H5067, $D$2:$D5067=$D2202)) * 100, 2))"),47.02)</f>
        <v>47.02</v>
      </c>
      <c r="K2202" s="2"/>
      <c r="L2202" s="49"/>
      <c r="M2202" s="49"/>
      <c r="N2202" s="49"/>
      <c r="O2202" s="49" t="str">
        <f t="shared" si="2"/>
        <v/>
      </c>
      <c r="P2202" s="49" t="str">
        <f t="shared" si="3"/>
        <v/>
      </c>
      <c r="Q2202" s="84"/>
      <c r="R2202" s="84"/>
      <c r="S2202" s="84"/>
      <c r="T2202" s="84"/>
      <c r="U2202" s="84"/>
      <c r="V2202" s="84"/>
      <c r="W2202" s="84"/>
      <c r="X2202" s="84"/>
      <c r="Y2202" s="84"/>
      <c r="Z2202" s="84"/>
      <c r="AA2202" s="84"/>
      <c r="AB2202" s="84"/>
    </row>
    <row r="2203">
      <c r="A2203" s="69">
        <v>147.0</v>
      </c>
      <c r="B2203" s="69">
        <v>232.0</v>
      </c>
      <c r="C2203" s="86" t="s">
        <v>489</v>
      </c>
      <c r="D2203" s="86" t="s">
        <v>490</v>
      </c>
      <c r="E2203" s="86" t="s">
        <v>491</v>
      </c>
      <c r="F2203" s="69">
        <v>2500.0</v>
      </c>
      <c r="G2203" s="69">
        <v>53.25</v>
      </c>
      <c r="H2203" s="68">
        <f t="shared" si="1"/>
        <v>185.88</v>
      </c>
      <c r="I2203" s="81">
        <f>IFERROR(__xludf.DUMMYFUNCTION("IF(G2203="""", """", ROUND(G2203 / MAX(FILTER($G$2:$G5067, $D$2:$D5067=$D2203)) * 100, 2))"),96.82)</f>
        <v>96.82</v>
      </c>
      <c r="J2203" s="81">
        <f>IFERROR(__xludf.DUMMYFUNCTION("IF(H2203="""", """", ROUND(H2203 / MAX(FILTER($H$2:$H5067, $D$2:$D5067=$D2203)) * 100, 2))"),61.01)</f>
        <v>61.01</v>
      </c>
      <c r="K2203" s="2"/>
      <c r="L2203" s="48"/>
      <c r="M2203" s="48"/>
      <c r="N2203" s="48"/>
      <c r="O2203" s="48" t="str">
        <f t="shared" si="2"/>
        <v/>
      </c>
      <c r="P2203" s="48" t="str">
        <f t="shared" si="3"/>
        <v/>
      </c>
      <c r="Q2203" s="84"/>
      <c r="R2203" s="84"/>
      <c r="S2203" s="84"/>
      <c r="T2203" s="84"/>
      <c r="U2203" s="84"/>
      <c r="V2203" s="84"/>
      <c r="W2203" s="84"/>
      <c r="X2203" s="84"/>
      <c r="Y2203" s="84"/>
      <c r="Z2203" s="84"/>
      <c r="AA2203" s="84"/>
      <c r="AB2203" s="84"/>
    </row>
    <row r="2204">
      <c r="A2204" s="63">
        <v>147.0</v>
      </c>
      <c r="B2204" s="63">
        <v>232.0</v>
      </c>
      <c r="C2204" s="64" t="s">
        <v>489</v>
      </c>
      <c r="D2204" s="64" t="s">
        <v>490</v>
      </c>
      <c r="E2204" s="64" t="s">
        <v>491</v>
      </c>
      <c r="F2204" s="63">
        <v>3000.0</v>
      </c>
      <c r="G2204" s="63">
        <v>54.6</v>
      </c>
      <c r="H2204" s="66">
        <f t="shared" si="1"/>
        <v>228.71</v>
      </c>
      <c r="I2204" s="81">
        <f>IFERROR(__xludf.DUMMYFUNCTION("IF(G2204="""", """", ROUND(G2204 / MAX(FILTER($G$2:$G5067, $D$2:$D5067=$D2204)) * 100, 2))"),99.27)</f>
        <v>99.27</v>
      </c>
      <c r="J2204" s="81">
        <f>IFERROR(__xludf.DUMMYFUNCTION("IF(H2204="""", """", ROUND(H2204 / MAX(FILTER($H$2:$H5067, $D$2:$D5067=$D2204)) * 100, 2))"),75.07)</f>
        <v>75.07</v>
      </c>
      <c r="K2204" s="2"/>
      <c r="L2204" s="49"/>
      <c r="M2204" s="49"/>
      <c r="N2204" s="49"/>
      <c r="O2204" s="49" t="str">
        <f t="shared" si="2"/>
        <v/>
      </c>
      <c r="P2204" s="49" t="str">
        <f t="shared" si="3"/>
        <v/>
      </c>
      <c r="Q2204" s="84"/>
      <c r="R2204" s="84"/>
      <c r="S2204" s="84"/>
      <c r="T2204" s="84"/>
      <c r="U2204" s="84"/>
      <c r="V2204" s="84"/>
      <c r="W2204" s="84"/>
      <c r="X2204" s="84"/>
      <c r="Y2204" s="84"/>
      <c r="Z2204" s="84"/>
      <c r="AA2204" s="84"/>
      <c r="AB2204" s="84"/>
    </row>
    <row r="2205">
      <c r="A2205" s="69">
        <v>147.0</v>
      </c>
      <c r="B2205" s="69">
        <v>232.0</v>
      </c>
      <c r="C2205" s="86" t="s">
        <v>489</v>
      </c>
      <c r="D2205" s="86" t="s">
        <v>490</v>
      </c>
      <c r="E2205" s="86" t="s">
        <v>491</v>
      </c>
      <c r="F2205" s="69">
        <v>3600.0</v>
      </c>
      <c r="G2205" s="69">
        <v>55.0</v>
      </c>
      <c r="H2205" s="68">
        <f t="shared" si="1"/>
        <v>276.46</v>
      </c>
      <c r="I2205" s="81">
        <f>IFERROR(__xludf.DUMMYFUNCTION("IF(G2205="""", """", ROUND(G2205 / MAX(FILTER($G$2:$G5067, $D$2:$D5067=$D2205)) * 100, 2))"),100.0)</f>
        <v>100</v>
      </c>
      <c r="J2205" s="81">
        <f>IFERROR(__xludf.DUMMYFUNCTION("IF(H2205="""", """", ROUND(H2205 / MAX(FILTER($H$2:$H5067, $D$2:$D5067=$D2205)) * 100, 2))"),90.74)</f>
        <v>90.74</v>
      </c>
      <c r="K2205" s="2"/>
      <c r="L2205" s="48"/>
      <c r="M2205" s="48"/>
      <c r="N2205" s="48"/>
      <c r="O2205" s="48" t="str">
        <f t="shared" si="2"/>
        <v/>
      </c>
      <c r="P2205" s="48" t="str">
        <f t="shared" si="3"/>
        <v/>
      </c>
      <c r="Q2205" s="84"/>
      <c r="R2205" s="84"/>
      <c r="S2205" s="84"/>
      <c r="T2205" s="84"/>
      <c r="U2205" s="84"/>
      <c r="V2205" s="84"/>
      <c r="W2205" s="84"/>
      <c r="X2205" s="84"/>
      <c r="Y2205" s="84"/>
      <c r="Z2205" s="84"/>
      <c r="AA2205" s="84"/>
      <c r="AB2205" s="84"/>
    </row>
    <row r="2206">
      <c r="A2206" s="63">
        <v>147.0</v>
      </c>
      <c r="B2206" s="63">
        <v>232.0</v>
      </c>
      <c r="C2206" s="64" t="s">
        <v>489</v>
      </c>
      <c r="D2206" s="64" t="s">
        <v>490</v>
      </c>
      <c r="E2206" s="64" t="s">
        <v>491</v>
      </c>
      <c r="F2206" s="63">
        <v>4000.0</v>
      </c>
      <c r="G2206" s="63">
        <v>54.55</v>
      </c>
      <c r="H2206" s="66">
        <f t="shared" si="1"/>
        <v>304.66</v>
      </c>
      <c r="I2206" s="81">
        <f>IFERROR(__xludf.DUMMYFUNCTION("IF(G2206="""", """", ROUND(G2206 / MAX(FILTER($G$2:$G5067, $D$2:$D5067=$D2206)) * 100, 2))"),99.18)</f>
        <v>99.18</v>
      </c>
      <c r="J2206" s="81">
        <f>IFERROR(__xludf.DUMMYFUNCTION("IF(H2206="""", """", ROUND(H2206 / MAX(FILTER($H$2:$H5067, $D$2:$D5067=$D2206)) * 100, 2))"),100.0)</f>
        <v>100</v>
      </c>
      <c r="K2206" s="2"/>
      <c r="L2206" s="49"/>
      <c r="M2206" s="49"/>
      <c r="N2206" s="49"/>
      <c r="O2206" s="49" t="str">
        <f t="shared" si="2"/>
        <v/>
      </c>
      <c r="P2206" s="49" t="str">
        <f t="shared" si="3"/>
        <v/>
      </c>
      <c r="Q2206" s="84"/>
      <c r="R2206" s="84"/>
      <c r="S2206" s="84"/>
      <c r="T2206" s="84"/>
      <c r="U2206" s="84"/>
      <c r="V2206" s="84"/>
      <c r="W2206" s="84"/>
      <c r="X2206" s="84"/>
      <c r="Y2206" s="84"/>
      <c r="Z2206" s="84"/>
      <c r="AA2206" s="84"/>
      <c r="AB2206" s="84"/>
    </row>
    <row r="2207">
      <c r="A2207" s="69">
        <v>147.0</v>
      </c>
      <c r="B2207" s="69">
        <v>232.0</v>
      </c>
      <c r="C2207" s="86" t="s">
        <v>489</v>
      </c>
      <c r="D2207" s="86" t="s">
        <v>490</v>
      </c>
      <c r="E2207" s="86" t="s">
        <v>491</v>
      </c>
      <c r="F2207" s="69">
        <v>4500.0</v>
      </c>
      <c r="G2207" s="69">
        <v>48.0</v>
      </c>
      <c r="H2207" s="68">
        <f t="shared" si="1"/>
        <v>301.59</v>
      </c>
      <c r="I2207" s="81">
        <f>IFERROR(__xludf.DUMMYFUNCTION("IF(G2207="""", """", ROUND(G2207 / MAX(FILTER($G$2:$G5067, $D$2:$D5067=$D2207)) * 100, 2))"),87.27)</f>
        <v>87.27</v>
      </c>
      <c r="J2207" s="81">
        <f>IFERROR(__xludf.DUMMYFUNCTION("IF(H2207="""", """", ROUND(H2207 / MAX(FILTER($H$2:$H5067, $D$2:$D5067=$D2207)) * 100, 2))"),98.99)</f>
        <v>98.99</v>
      </c>
      <c r="K2207" s="2"/>
      <c r="L2207" s="48"/>
      <c r="M2207" s="48"/>
      <c r="N2207" s="48"/>
      <c r="O2207" s="48" t="str">
        <f t="shared" si="2"/>
        <v/>
      </c>
      <c r="P2207" s="48" t="str">
        <f t="shared" si="3"/>
        <v/>
      </c>
      <c r="Q2207" s="84"/>
      <c r="R2207" s="84"/>
      <c r="S2207" s="84"/>
      <c r="T2207" s="84"/>
      <c r="U2207" s="84"/>
      <c r="V2207" s="84"/>
      <c r="W2207" s="84"/>
      <c r="X2207" s="84"/>
      <c r="Y2207" s="84"/>
      <c r="Z2207" s="84"/>
      <c r="AA2207" s="84"/>
      <c r="AB2207" s="84"/>
    </row>
    <row r="2208">
      <c r="A2208" s="63">
        <v>147.0</v>
      </c>
      <c r="B2208" s="63">
        <v>232.0</v>
      </c>
      <c r="C2208" s="64" t="s">
        <v>489</v>
      </c>
      <c r="D2208" s="64" t="s">
        <v>490</v>
      </c>
      <c r="E2208" s="64" t="s">
        <v>491</v>
      </c>
      <c r="F2208" s="63">
        <v>5000.0</v>
      </c>
      <c r="G2208" s="63">
        <v>41.1</v>
      </c>
      <c r="H2208" s="66">
        <f t="shared" si="1"/>
        <v>286.93</v>
      </c>
      <c r="I2208" s="81">
        <f>IFERROR(__xludf.DUMMYFUNCTION("IF(G2208="""", """", ROUND(G2208 / MAX(FILTER($G$2:$G5067, $D$2:$D5067=$D2208)) * 100, 2))"),74.73)</f>
        <v>74.73</v>
      </c>
      <c r="J2208" s="81">
        <f>IFERROR(__xludf.DUMMYFUNCTION("IF(H2208="""", """", ROUND(H2208 / MAX(FILTER($H$2:$H5067, $D$2:$D5067=$D2208)) * 100, 2))"),94.18)</f>
        <v>94.18</v>
      </c>
      <c r="K2208" s="2"/>
      <c r="L2208" s="49"/>
      <c r="M2208" s="49"/>
      <c r="N2208" s="49"/>
      <c r="O2208" s="49" t="str">
        <f t="shared" si="2"/>
        <v/>
      </c>
      <c r="P2208" s="49" t="str">
        <f t="shared" si="3"/>
        <v/>
      </c>
      <c r="Q2208" s="84"/>
      <c r="R2208" s="84"/>
      <c r="S2208" s="84"/>
      <c r="T2208" s="84"/>
      <c r="U2208" s="84"/>
      <c r="V2208" s="84"/>
      <c r="W2208" s="84"/>
      <c r="X2208" s="84"/>
      <c r="Y2208" s="84"/>
      <c r="Z2208" s="84"/>
      <c r="AA2208" s="84"/>
      <c r="AB2208" s="84"/>
    </row>
    <row r="2209">
      <c r="A2209" s="69">
        <v>147.0</v>
      </c>
      <c r="B2209" s="69">
        <v>232.0</v>
      </c>
      <c r="C2209" s="86" t="s">
        <v>489</v>
      </c>
      <c r="D2209" s="86" t="s">
        <v>490</v>
      </c>
      <c r="E2209" s="86" t="s">
        <v>491</v>
      </c>
      <c r="F2209" s="69">
        <v>5500.0</v>
      </c>
      <c r="G2209" s="69">
        <v>34.35</v>
      </c>
      <c r="H2209" s="68">
        <f t="shared" si="1"/>
        <v>263.79</v>
      </c>
      <c r="I2209" s="81">
        <f>IFERROR(__xludf.DUMMYFUNCTION("IF(G2209="""", """", ROUND(G2209 / MAX(FILTER($G$2:$G5067, $D$2:$D5067=$D2209)) * 100, 2))"),62.45)</f>
        <v>62.45</v>
      </c>
      <c r="J2209" s="81">
        <f>IFERROR(__xludf.DUMMYFUNCTION("IF(H2209="""", """", ROUND(H2209 / MAX(FILTER($H$2:$H5067, $D$2:$D5067=$D2209)) * 100, 2))"),86.59)</f>
        <v>86.59</v>
      </c>
      <c r="K2209" s="2"/>
      <c r="L2209" s="48"/>
      <c r="M2209" s="48"/>
      <c r="N2209" s="48"/>
      <c r="O2209" s="48" t="str">
        <f t="shared" si="2"/>
        <v/>
      </c>
      <c r="P2209" s="48" t="str">
        <f t="shared" si="3"/>
        <v/>
      </c>
      <c r="Q2209" s="84"/>
      <c r="R2209" s="84"/>
      <c r="S2209" s="84"/>
      <c r="T2209" s="84"/>
      <c r="U2209" s="84"/>
      <c r="V2209" s="84"/>
      <c r="W2209" s="84"/>
      <c r="X2209" s="84"/>
      <c r="Y2209" s="84"/>
      <c r="Z2209" s="84"/>
      <c r="AA2209" s="84"/>
      <c r="AB2209" s="84"/>
    </row>
    <row r="2210">
      <c r="A2210" s="63">
        <v>147.0</v>
      </c>
      <c r="B2210" s="63">
        <v>232.0</v>
      </c>
      <c r="C2210" s="64" t="s">
        <v>489</v>
      </c>
      <c r="D2210" s="64" t="s">
        <v>490</v>
      </c>
      <c r="E2210" s="64" t="s">
        <v>491</v>
      </c>
      <c r="F2210" s="63">
        <v>6000.0</v>
      </c>
      <c r="G2210" s="63">
        <v>26.25</v>
      </c>
      <c r="H2210" s="66">
        <f t="shared" si="1"/>
        <v>219.91</v>
      </c>
      <c r="I2210" s="81">
        <f>IFERROR(__xludf.DUMMYFUNCTION("IF(G2210="""", """", ROUND(G2210 / MAX(FILTER($G$2:$G5067, $D$2:$D5067=$D2210)) * 100, 2))"),47.73)</f>
        <v>47.73</v>
      </c>
      <c r="J2210" s="81">
        <f>IFERROR(__xludf.DUMMYFUNCTION("IF(H2210="""", """", ROUND(H2210 / MAX(FILTER($H$2:$H5067, $D$2:$D5067=$D2210)) * 100, 2))"),72.18)</f>
        <v>72.18</v>
      </c>
      <c r="K2210" s="2"/>
      <c r="L2210" s="49"/>
      <c r="M2210" s="49"/>
      <c r="N2210" s="49"/>
      <c r="O2210" s="49" t="str">
        <f t="shared" si="2"/>
        <v/>
      </c>
      <c r="P2210" s="49" t="str">
        <f t="shared" si="3"/>
        <v/>
      </c>
      <c r="Q2210" s="84"/>
      <c r="R2210" s="84"/>
      <c r="S2210" s="84"/>
      <c r="T2210" s="84"/>
      <c r="U2210" s="84"/>
      <c r="V2210" s="84"/>
      <c r="W2210" s="84"/>
      <c r="X2210" s="84"/>
      <c r="Y2210" s="84"/>
      <c r="Z2210" s="84"/>
      <c r="AA2210" s="84"/>
      <c r="AB2210" s="84"/>
    </row>
    <row r="2211">
      <c r="A2211" s="69">
        <v>148.0</v>
      </c>
      <c r="B2211" s="69">
        <v>233.0</v>
      </c>
      <c r="C2211" s="86" t="s">
        <v>492</v>
      </c>
      <c r="D2211" s="86" t="s">
        <v>493</v>
      </c>
      <c r="E2211" s="86" t="s">
        <v>494</v>
      </c>
      <c r="F2211" s="69">
        <v>500.0</v>
      </c>
      <c r="G2211" s="69">
        <v>7.43</v>
      </c>
      <c r="H2211" s="68">
        <f t="shared" si="1"/>
        <v>5.19</v>
      </c>
      <c r="I2211" s="81">
        <f>IFERROR(__xludf.DUMMYFUNCTION("IF(G2211="""", """", ROUND(G2211 / MAX(FILTER($G$2:$G5067, $D$2:$D5067=$D2211)) * 100, 2))"),53.19)</f>
        <v>53.19</v>
      </c>
      <c r="J2211" s="81">
        <f>IFERROR(__xludf.DUMMYFUNCTION("IF(H2211="""", """", ROUND(H2211 / MAX(FILTER($H$2:$H5067, $D$2:$D5067=$D2211)) * 100, 2))"),5.35)</f>
        <v>5.35</v>
      </c>
      <c r="K2211" s="2"/>
      <c r="L2211" s="48"/>
      <c r="M2211" s="48"/>
      <c r="N2211" s="48"/>
      <c r="O2211" s="48" t="str">
        <f t="shared" si="2"/>
        <v/>
      </c>
      <c r="P2211" s="48" t="str">
        <f t="shared" si="3"/>
        <v/>
      </c>
      <c r="Q2211" s="84"/>
      <c r="R2211" s="84"/>
      <c r="S2211" s="84"/>
      <c r="T2211" s="84"/>
      <c r="U2211" s="84"/>
      <c r="V2211" s="84"/>
      <c r="W2211" s="84"/>
      <c r="X2211" s="84"/>
      <c r="Y2211" s="84"/>
      <c r="Z2211" s="84"/>
      <c r="AA2211" s="84"/>
      <c r="AB2211" s="84"/>
    </row>
    <row r="2212">
      <c r="A2212" s="63">
        <v>148.0</v>
      </c>
      <c r="B2212" s="63">
        <v>233.0</v>
      </c>
      <c r="C2212" s="64" t="s">
        <v>492</v>
      </c>
      <c r="D2212" s="64" t="s">
        <v>493</v>
      </c>
      <c r="E2212" s="64" t="s">
        <v>494</v>
      </c>
      <c r="F2212" s="63">
        <v>1000.0</v>
      </c>
      <c r="G2212" s="63">
        <v>8.67</v>
      </c>
      <c r="H2212" s="66">
        <f t="shared" si="1"/>
        <v>12.11</v>
      </c>
      <c r="I2212" s="81">
        <f>IFERROR(__xludf.DUMMYFUNCTION("IF(G2212="""", """", ROUND(G2212 / MAX(FILTER($G$2:$G5067, $D$2:$D5067=$D2212)) * 100, 2))"),62.06)</f>
        <v>62.06</v>
      </c>
      <c r="J2212" s="81">
        <f>IFERROR(__xludf.DUMMYFUNCTION("IF(H2212="""", """", ROUND(H2212 / MAX(FILTER($H$2:$H5067, $D$2:$D5067=$D2212)) * 100, 2))"),12.47)</f>
        <v>12.47</v>
      </c>
      <c r="K2212" s="2"/>
      <c r="L2212" s="49"/>
      <c r="M2212" s="49"/>
      <c r="N2212" s="49"/>
      <c r="O2212" s="49" t="str">
        <f t="shared" si="2"/>
        <v/>
      </c>
      <c r="P2212" s="49" t="str">
        <f t="shared" si="3"/>
        <v/>
      </c>
      <c r="Q2212" s="84"/>
      <c r="R2212" s="84"/>
      <c r="S2212" s="84"/>
      <c r="T2212" s="84"/>
      <c r="U2212" s="84"/>
      <c r="V2212" s="84"/>
      <c r="W2212" s="84"/>
      <c r="X2212" s="84"/>
      <c r="Y2212" s="84"/>
      <c r="Z2212" s="84"/>
      <c r="AA2212" s="84"/>
      <c r="AB2212" s="84"/>
    </row>
    <row r="2213">
      <c r="A2213" s="69">
        <v>148.0</v>
      </c>
      <c r="B2213" s="69">
        <v>233.0</v>
      </c>
      <c r="C2213" s="86" t="s">
        <v>492</v>
      </c>
      <c r="D2213" s="86" t="s">
        <v>493</v>
      </c>
      <c r="E2213" s="86" t="s">
        <v>494</v>
      </c>
      <c r="F2213" s="69">
        <v>1500.0</v>
      </c>
      <c r="G2213" s="69">
        <v>10.25</v>
      </c>
      <c r="H2213" s="68">
        <f t="shared" si="1"/>
        <v>21.47</v>
      </c>
      <c r="I2213" s="81">
        <f>IFERROR(__xludf.DUMMYFUNCTION("IF(G2213="""", """", ROUND(G2213 / MAX(FILTER($G$2:$G5067, $D$2:$D5067=$D2213)) * 100, 2))"),73.37)</f>
        <v>73.37</v>
      </c>
      <c r="J2213" s="81">
        <f>IFERROR(__xludf.DUMMYFUNCTION("IF(H2213="""", """", ROUND(H2213 / MAX(FILTER($H$2:$H5067, $D$2:$D5067=$D2213)) * 100, 2))"),22.11)</f>
        <v>22.11</v>
      </c>
      <c r="K2213" s="2"/>
      <c r="L2213" s="48"/>
      <c r="M2213" s="48"/>
      <c r="N2213" s="48"/>
      <c r="O2213" s="48" t="str">
        <f t="shared" si="2"/>
        <v/>
      </c>
      <c r="P2213" s="48" t="str">
        <f t="shared" si="3"/>
        <v/>
      </c>
      <c r="Q2213" s="84"/>
      <c r="R2213" s="84"/>
      <c r="S2213" s="84"/>
      <c r="T2213" s="84"/>
      <c r="U2213" s="84"/>
      <c r="V2213" s="84"/>
      <c r="W2213" s="84"/>
      <c r="X2213" s="84"/>
      <c r="Y2213" s="84"/>
      <c r="Z2213" s="84"/>
      <c r="AA2213" s="84"/>
      <c r="AB2213" s="84"/>
    </row>
    <row r="2214">
      <c r="A2214" s="63">
        <v>148.0</v>
      </c>
      <c r="B2214" s="63">
        <v>233.0</v>
      </c>
      <c r="C2214" s="64" t="s">
        <v>492</v>
      </c>
      <c r="D2214" s="64" t="s">
        <v>493</v>
      </c>
      <c r="E2214" s="64" t="s">
        <v>494</v>
      </c>
      <c r="F2214" s="63">
        <v>2000.0</v>
      </c>
      <c r="G2214" s="63">
        <v>11.67</v>
      </c>
      <c r="H2214" s="66">
        <f t="shared" si="1"/>
        <v>32.59</v>
      </c>
      <c r="I2214" s="81">
        <f>IFERROR(__xludf.DUMMYFUNCTION("IF(G2214="""", """", ROUND(G2214 / MAX(FILTER($G$2:$G5067, $D$2:$D5067=$D2214)) * 100, 2))"),83.54)</f>
        <v>83.54</v>
      </c>
      <c r="J2214" s="81">
        <f>IFERROR(__xludf.DUMMYFUNCTION("IF(H2214="""", """", ROUND(H2214 / MAX(FILTER($H$2:$H5067, $D$2:$D5067=$D2214)) * 100, 2))"),33.56)</f>
        <v>33.56</v>
      </c>
      <c r="K2214" s="2"/>
      <c r="L2214" s="49"/>
      <c r="M2214" s="49"/>
      <c r="N2214" s="49"/>
      <c r="O2214" s="49" t="str">
        <f t="shared" si="2"/>
        <v/>
      </c>
      <c r="P2214" s="49" t="str">
        <f t="shared" si="3"/>
        <v/>
      </c>
      <c r="Q2214" s="84"/>
      <c r="R2214" s="84"/>
      <c r="S2214" s="84"/>
      <c r="T2214" s="84"/>
      <c r="U2214" s="84"/>
      <c r="V2214" s="84"/>
      <c r="W2214" s="84"/>
      <c r="X2214" s="84"/>
      <c r="Y2214" s="84"/>
      <c r="Z2214" s="84"/>
      <c r="AA2214" s="84"/>
      <c r="AB2214" s="84"/>
    </row>
    <row r="2215">
      <c r="A2215" s="69">
        <v>148.0</v>
      </c>
      <c r="B2215" s="69">
        <v>233.0</v>
      </c>
      <c r="C2215" s="86" t="s">
        <v>492</v>
      </c>
      <c r="D2215" s="86" t="s">
        <v>493</v>
      </c>
      <c r="E2215" s="86" t="s">
        <v>494</v>
      </c>
      <c r="F2215" s="69">
        <v>2500.0</v>
      </c>
      <c r="G2215" s="69">
        <v>13.08</v>
      </c>
      <c r="H2215" s="68">
        <f t="shared" si="1"/>
        <v>45.66</v>
      </c>
      <c r="I2215" s="81">
        <f>IFERROR(__xludf.DUMMYFUNCTION("IF(G2215="""", """", ROUND(G2215 / MAX(FILTER($G$2:$G5067, $D$2:$D5067=$D2215)) * 100, 2))"),93.63)</f>
        <v>93.63</v>
      </c>
      <c r="J2215" s="81">
        <f>IFERROR(__xludf.DUMMYFUNCTION("IF(H2215="""", """", ROUND(H2215 / MAX(FILTER($H$2:$H5067, $D$2:$D5067=$D2215)) * 100, 2))"),47.02)</f>
        <v>47.02</v>
      </c>
      <c r="K2215" s="2"/>
      <c r="L2215" s="48"/>
      <c r="M2215" s="48"/>
      <c r="N2215" s="48"/>
      <c r="O2215" s="48" t="str">
        <f t="shared" si="2"/>
        <v/>
      </c>
      <c r="P2215" s="48" t="str">
        <f t="shared" si="3"/>
        <v/>
      </c>
      <c r="Q2215" s="84"/>
      <c r="R2215" s="84"/>
      <c r="S2215" s="84"/>
      <c r="T2215" s="84"/>
      <c r="U2215" s="84"/>
      <c r="V2215" s="84"/>
      <c r="W2215" s="84"/>
      <c r="X2215" s="84"/>
      <c r="Y2215" s="84"/>
      <c r="Z2215" s="84"/>
      <c r="AA2215" s="84"/>
      <c r="AB2215" s="84"/>
    </row>
    <row r="2216">
      <c r="A2216" s="63">
        <v>148.0</v>
      </c>
      <c r="B2216" s="63">
        <v>233.0</v>
      </c>
      <c r="C2216" s="64" t="s">
        <v>492</v>
      </c>
      <c r="D2216" s="64" t="s">
        <v>493</v>
      </c>
      <c r="E2216" s="64" t="s">
        <v>494</v>
      </c>
      <c r="F2216" s="63">
        <v>3000.0</v>
      </c>
      <c r="G2216" s="63">
        <v>13.97</v>
      </c>
      <c r="H2216" s="66">
        <f t="shared" si="1"/>
        <v>58.52</v>
      </c>
      <c r="I2216" s="81">
        <f>IFERROR(__xludf.DUMMYFUNCTION("IF(G2216="""", """", ROUND(G2216 / MAX(FILTER($G$2:$G5067, $D$2:$D5067=$D2216)) * 100, 2))"),100.0)</f>
        <v>100</v>
      </c>
      <c r="J2216" s="81">
        <f>IFERROR(__xludf.DUMMYFUNCTION("IF(H2216="""", """", ROUND(H2216 / MAX(FILTER($H$2:$H5067, $D$2:$D5067=$D2216)) * 100, 2))"),60.27)</f>
        <v>60.27</v>
      </c>
      <c r="K2216" s="2"/>
      <c r="L2216" s="49"/>
      <c r="M2216" s="49"/>
      <c r="N2216" s="49"/>
      <c r="O2216" s="49" t="str">
        <f t="shared" si="2"/>
        <v/>
      </c>
      <c r="P2216" s="49" t="str">
        <f t="shared" si="3"/>
        <v/>
      </c>
      <c r="Q2216" s="84"/>
      <c r="R2216" s="84"/>
      <c r="S2216" s="84"/>
      <c r="T2216" s="84"/>
      <c r="U2216" s="84"/>
      <c r="V2216" s="84"/>
      <c r="W2216" s="84"/>
      <c r="X2216" s="84"/>
      <c r="Y2216" s="84"/>
      <c r="Z2216" s="84"/>
      <c r="AA2216" s="84"/>
      <c r="AB2216" s="84"/>
    </row>
    <row r="2217">
      <c r="A2217" s="69">
        <v>148.0</v>
      </c>
      <c r="B2217" s="69">
        <v>233.0</v>
      </c>
      <c r="C2217" s="86" t="s">
        <v>492</v>
      </c>
      <c r="D2217" s="86" t="s">
        <v>493</v>
      </c>
      <c r="E2217" s="86" t="s">
        <v>494</v>
      </c>
      <c r="F2217" s="69">
        <v>3500.0</v>
      </c>
      <c r="G2217" s="69">
        <v>13.82</v>
      </c>
      <c r="H2217" s="68">
        <f t="shared" si="1"/>
        <v>67.54</v>
      </c>
      <c r="I2217" s="81">
        <f>IFERROR(__xludf.DUMMYFUNCTION("IF(G2217="""", """", ROUND(G2217 / MAX(FILTER($G$2:$G5067, $D$2:$D5067=$D2217)) * 100, 2))"),98.93)</f>
        <v>98.93</v>
      </c>
      <c r="J2217" s="81">
        <f>IFERROR(__xludf.DUMMYFUNCTION("IF(H2217="""", """", ROUND(H2217 / MAX(FILTER($H$2:$H5067, $D$2:$D5067=$D2217)) * 100, 2))"),69.56)</f>
        <v>69.56</v>
      </c>
      <c r="K2217" s="2"/>
      <c r="L2217" s="48"/>
      <c r="M2217" s="48"/>
      <c r="N2217" s="48"/>
      <c r="O2217" s="48" t="str">
        <f t="shared" si="2"/>
        <v/>
      </c>
      <c r="P2217" s="48" t="str">
        <f t="shared" si="3"/>
        <v/>
      </c>
      <c r="Q2217" s="84"/>
      <c r="R2217" s="84"/>
      <c r="S2217" s="84"/>
      <c r="T2217" s="84"/>
      <c r="U2217" s="84"/>
      <c r="V2217" s="84"/>
      <c r="W2217" s="84"/>
      <c r="X2217" s="84"/>
      <c r="Y2217" s="84"/>
      <c r="Z2217" s="84"/>
      <c r="AA2217" s="84"/>
      <c r="AB2217" s="84"/>
    </row>
    <row r="2218">
      <c r="A2218" s="63">
        <v>148.0</v>
      </c>
      <c r="B2218" s="63">
        <v>233.0</v>
      </c>
      <c r="C2218" s="64" t="s">
        <v>492</v>
      </c>
      <c r="D2218" s="64" t="s">
        <v>493</v>
      </c>
      <c r="E2218" s="64" t="s">
        <v>494</v>
      </c>
      <c r="F2218" s="63">
        <v>4000.0</v>
      </c>
      <c r="G2218" s="63">
        <v>13.66</v>
      </c>
      <c r="H2218" s="66">
        <f t="shared" si="1"/>
        <v>76.29</v>
      </c>
      <c r="I2218" s="81">
        <f>IFERROR(__xludf.DUMMYFUNCTION("IF(G2218="""", """", ROUND(G2218 / MAX(FILTER($G$2:$G5067, $D$2:$D5067=$D2218)) * 100, 2))"),97.78)</f>
        <v>97.78</v>
      </c>
      <c r="J2218" s="81">
        <f>IFERROR(__xludf.DUMMYFUNCTION("IF(H2218="""", """", ROUND(H2218 / MAX(FILTER($H$2:$H5067, $D$2:$D5067=$D2218)) * 100, 2))"),78.57)</f>
        <v>78.57</v>
      </c>
      <c r="K2218" s="2"/>
      <c r="L2218" s="49"/>
      <c r="M2218" s="49"/>
      <c r="N2218" s="49"/>
      <c r="O2218" s="49" t="str">
        <f t="shared" si="2"/>
        <v/>
      </c>
      <c r="P2218" s="49" t="str">
        <f t="shared" si="3"/>
        <v/>
      </c>
      <c r="Q2218" s="84"/>
      <c r="R2218" s="84"/>
      <c r="S2218" s="84"/>
      <c r="T2218" s="84"/>
      <c r="U2218" s="84"/>
      <c r="V2218" s="84"/>
      <c r="W2218" s="84"/>
      <c r="X2218" s="84"/>
      <c r="Y2218" s="84"/>
      <c r="Z2218" s="84"/>
      <c r="AA2218" s="84"/>
      <c r="AB2218" s="84"/>
    </row>
    <row r="2219">
      <c r="A2219" s="69">
        <v>148.0</v>
      </c>
      <c r="B2219" s="69">
        <v>233.0</v>
      </c>
      <c r="C2219" s="86" t="s">
        <v>492</v>
      </c>
      <c r="D2219" s="86" t="s">
        <v>493</v>
      </c>
      <c r="E2219" s="86" t="s">
        <v>494</v>
      </c>
      <c r="F2219" s="69">
        <v>4500.0</v>
      </c>
      <c r="G2219" s="69">
        <v>13.46</v>
      </c>
      <c r="H2219" s="68">
        <f t="shared" si="1"/>
        <v>84.57</v>
      </c>
      <c r="I2219" s="81">
        <f>IFERROR(__xludf.DUMMYFUNCTION("IF(G2219="""", """", ROUND(G2219 / MAX(FILTER($G$2:$G5067, $D$2:$D5067=$D2219)) * 100, 2))"),96.35)</f>
        <v>96.35</v>
      </c>
      <c r="J2219" s="81">
        <f>IFERROR(__xludf.DUMMYFUNCTION("IF(H2219="""", """", ROUND(H2219 / MAX(FILTER($H$2:$H5067, $D$2:$D5067=$D2219)) * 100, 2))"),87.1)</f>
        <v>87.1</v>
      </c>
      <c r="K2219" s="2"/>
      <c r="L2219" s="48"/>
      <c r="M2219" s="48"/>
      <c r="N2219" s="48"/>
      <c r="O2219" s="48" t="str">
        <f t="shared" si="2"/>
        <v/>
      </c>
      <c r="P2219" s="48" t="str">
        <f t="shared" si="3"/>
        <v/>
      </c>
      <c r="Q2219" s="84"/>
      <c r="R2219" s="84"/>
      <c r="S2219" s="84"/>
      <c r="T2219" s="84"/>
      <c r="U2219" s="84"/>
      <c r="V2219" s="84"/>
      <c r="W2219" s="84"/>
      <c r="X2219" s="84"/>
      <c r="Y2219" s="84"/>
      <c r="Z2219" s="84"/>
      <c r="AA2219" s="84"/>
      <c r="AB2219" s="84"/>
    </row>
    <row r="2220">
      <c r="A2220" s="63">
        <v>148.0</v>
      </c>
      <c r="B2220" s="63">
        <v>233.0</v>
      </c>
      <c r="C2220" s="64" t="s">
        <v>492</v>
      </c>
      <c r="D2220" s="64" t="s">
        <v>493</v>
      </c>
      <c r="E2220" s="64" t="s">
        <v>494</v>
      </c>
      <c r="F2220" s="63">
        <v>5000.0</v>
      </c>
      <c r="G2220" s="63">
        <v>13.26</v>
      </c>
      <c r="H2220" s="66">
        <f t="shared" si="1"/>
        <v>92.57</v>
      </c>
      <c r="I2220" s="81">
        <f>IFERROR(__xludf.DUMMYFUNCTION("IF(G2220="""", """", ROUND(G2220 / MAX(FILTER($G$2:$G5067, $D$2:$D5067=$D2220)) * 100, 2))"),94.92)</f>
        <v>94.92</v>
      </c>
      <c r="J2220" s="81">
        <f>IFERROR(__xludf.DUMMYFUNCTION("IF(H2220="""", """", ROUND(H2220 / MAX(FILTER($H$2:$H5067, $D$2:$D5067=$D2220)) * 100, 2))"),95.33)</f>
        <v>95.33</v>
      </c>
      <c r="K2220" s="2"/>
      <c r="L2220" s="49"/>
      <c r="M2220" s="49"/>
      <c r="N2220" s="49"/>
      <c r="O2220" s="49" t="str">
        <f t="shared" si="2"/>
        <v/>
      </c>
      <c r="P2220" s="49" t="str">
        <f t="shared" si="3"/>
        <v/>
      </c>
      <c r="Q2220" s="84"/>
      <c r="R2220" s="84"/>
      <c r="S2220" s="84"/>
      <c r="T2220" s="84"/>
      <c r="U2220" s="84"/>
      <c r="V2220" s="84"/>
      <c r="W2220" s="84"/>
      <c r="X2220" s="84"/>
      <c r="Y2220" s="84"/>
      <c r="Z2220" s="84"/>
      <c r="AA2220" s="84"/>
      <c r="AB2220" s="84"/>
    </row>
    <row r="2221">
      <c r="A2221" s="69">
        <v>148.0</v>
      </c>
      <c r="B2221" s="69">
        <v>233.0</v>
      </c>
      <c r="C2221" s="86" t="s">
        <v>492</v>
      </c>
      <c r="D2221" s="86" t="s">
        <v>493</v>
      </c>
      <c r="E2221" s="86" t="s">
        <v>494</v>
      </c>
      <c r="F2221" s="69">
        <v>5500.0</v>
      </c>
      <c r="G2221" s="69">
        <v>12.44</v>
      </c>
      <c r="H2221" s="68">
        <f t="shared" si="1"/>
        <v>95.53</v>
      </c>
      <c r="I2221" s="81">
        <f>IFERROR(__xludf.DUMMYFUNCTION("IF(G2221="""", """", ROUND(G2221 / MAX(FILTER($G$2:$G5067, $D$2:$D5067=$D2221)) * 100, 2))"),89.05)</f>
        <v>89.05</v>
      </c>
      <c r="J2221" s="81">
        <f>IFERROR(__xludf.DUMMYFUNCTION("IF(H2221="""", """", ROUND(H2221 / MAX(FILTER($H$2:$H5067, $D$2:$D5067=$D2221)) * 100, 2))"),98.38)</f>
        <v>98.38</v>
      </c>
      <c r="K2221" s="2"/>
      <c r="L2221" s="48"/>
      <c r="M2221" s="48"/>
      <c r="N2221" s="48"/>
      <c r="O2221" s="48" t="str">
        <f t="shared" si="2"/>
        <v/>
      </c>
      <c r="P2221" s="48" t="str">
        <f t="shared" si="3"/>
        <v/>
      </c>
      <c r="Q2221" s="84"/>
      <c r="R2221" s="84"/>
      <c r="S2221" s="84"/>
      <c r="T2221" s="84"/>
      <c r="U2221" s="84"/>
      <c r="V2221" s="84"/>
      <c r="W2221" s="84"/>
      <c r="X2221" s="84"/>
      <c r="Y2221" s="84"/>
      <c r="Z2221" s="84"/>
      <c r="AA2221" s="84"/>
      <c r="AB2221" s="84"/>
    </row>
    <row r="2222">
      <c r="A2222" s="63">
        <v>148.0</v>
      </c>
      <c r="B2222" s="63">
        <v>233.0</v>
      </c>
      <c r="C2222" s="64" t="s">
        <v>492</v>
      </c>
      <c r="D2222" s="64" t="s">
        <v>493</v>
      </c>
      <c r="E2222" s="64" t="s">
        <v>494</v>
      </c>
      <c r="F2222" s="63">
        <v>6000.0</v>
      </c>
      <c r="G2222" s="63">
        <v>11.59</v>
      </c>
      <c r="H2222" s="66">
        <f t="shared" si="1"/>
        <v>97.1</v>
      </c>
      <c r="I2222" s="81">
        <f>IFERROR(__xludf.DUMMYFUNCTION("IF(G2222="""", """", ROUND(G2222 / MAX(FILTER($G$2:$G5067, $D$2:$D5067=$D2222)) * 100, 2))"),82.96)</f>
        <v>82.96</v>
      </c>
      <c r="J2222" s="81">
        <f>IFERROR(__xludf.DUMMYFUNCTION("IF(H2222="""", """", ROUND(H2222 / MAX(FILTER($H$2:$H5067, $D$2:$D5067=$D2222)) * 100, 2))"),100.0)</f>
        <v>100</v>
      </c>
      <c r="K2222" s="2"/>
      <c r="L2222" s="49"/>
      <c r="M2222" s="49"/>
      <c r="N2222" s="49"/>
      <c r="O2222" s="49" t="str">
        <f t="shared" si="2"/>
        <v/>
      </c>
      <c r="P2222" s="49" t="str">
        <f t="shared" si="3"/>
        <v/>
      </c>
      <c r="Q2222" s="84"/>
      <c r="R2222" s="84"/>
      <c r="S2222" s="84"/>
      <c r="T2222" s="84"/>
      <c r="U2222" s="84"/>
      <c r="V2222" s="84"/>
      <c r="W2222" s="84"/>
      <c r="X2222" s="84"/>
      <c r="Y2222" s="84"/>
      <c r="Z2222" s="84"/>
      <c r="AA2222" s="84"/>
      <c r="AB2222" s="84"/>
    </row>
    <row r="2223">
      <c r="A2223" s="69">
        <v>148.0</v>
      </c>
      <c r="B2223" s="69">
        <v>233.0</v>
      </c>
      <c r="C2223" s="86" t="s">
        <v>492</v>
      </c>
      <c r="D2223" s="86" t="s">
        <v>493</v>
      </c>
      <c r="E2223" s="86" t="s">
        <v>494</v>
      </c>
      <c r="F2223" s="69">
        <v>6500.0</v>
      </c>
      <c r="G2223" s="69">
        <v>10.55</v>
      </c>
      <c r="H2223" s="68">
        <f t="shared" si="1"/>
        <v>95.75</v>
      </c>
      <c r="I2223" s="81">
        <f>IFERROR(__xludf.DUMMYFUNCTION("IF(G2223="""", """", ROUND(G2223 / MAX(FILTER($G$2:$G5067, $D$2:$D5067=$D2223)) * 100, 2))"),75.52)</f>
        <v>75.52</v>
      </c>
      <c r="J2223" s="81">
        <f>IFERROR(__xludf.DUMMYFUNCTION("IF(H2223="""", """", ROUND(H2223 / MAX(FILTER($H$2:$H5067, $D$2:$D5067=$D2223)) * 100, 2))"),98.61)</f>
        <v>98.61</v>
      </c>
      <c r="K2223" s="2"/>
      <c r="L2223" s="48"/>
      <c r="M2223" s="48"/>
      <c r="N2223" s="48"/>
      <c r="O2223" s="48" t="str">
        <f t="shared" si="2"/>
        <v/>
      </c>
      <c r="P2223" s="48" t="str">
        <f t="shared" si="3"/>
        <v/>
      </c>
      <c r="Q2223" s="84"/>
      <c r="R2223" s="84"/>
      <c r="S2223" s="84"/>
      <c r="T2223" s="84"/>
      <c r="U2223" s="84"/>
      <c r="V2223" s="84"/>
      <c r="W2223" s="84"/>
      <c r="X2223" s="84"/>
      <c r="Y2223" s="84"/>
      <c r="Z2223" s="84"/>
      <c r="AA2223" s="84"/>
      <c r="AB2223" s="84"/>
    </row>
    <row r="2224">
      <c r="A2224" s="63">
        <v>148.0</v>
      </c>
      <c r="B2224" s="63">
        <v>233.0</v>
      </c>
      <c r="C2224" s="64" t="s">
        <v>492</v>
      </c>
      <c r="D2224" s="64" t="s">
        <v>493</v>
      </c>
      <c r="E2224" s="64" t="s">
        <v>494</v>
      </c>
      <c r="F2224" s="63">
        <v>7000.0</v>
      </c>
      <c r="G2224" s="63">
        <v>9.15</v>
      </c>
      <c r="H2224" s="66">
        <f t="shared" si="1"/>
        <v>89.43</v>
      </c>
      <c r="I2224" s="81">
        <f>IFERROR(__xludf.DUMMYFUNCTION("IF(G2224="""", """", ROUND(G2224 / MAX(FILTER($G$2:$G5067, $D$2:$D5067=$D2224)) * 100, 2))"),65.5)</f>
        <v>65.5</v>
      </c>
      <c r="J2224" s="81">
        <f>IFERROR(__xludf.DUMMYFUNCTION("IF(H2224="""", """", ROUND(H2224 / MAX(FILTER($H$2:$H5067, $D$2:$D5067=$D2224)) * 100, 2))"),92.1)</f>
        <v>92.1</v>
      </c>
      <c r="K2224" s="2"/>
      <c r="L2224" s="49"/>
      <c r="M2224" s="49"/>
      <c r="N2224" s="49"/>
      <c r="O2224" s="49" t="str">
        <f t="shared" si="2"/>
        <v/>
      </c>
      <c r="P2224" s="49" t="str">
        <f t="shared" si="3"/>
        <v/>
      </c>
      <c r="Q2224" s="84"/>
      <c r="R2224" s="84"/>
      <c r="S2224" s="84"/>
      <c r="T2224" s="84"/>
      <c r="U2224" s="84"/>
      <c r="V2224" s="84"/>
      <c r="W2224" s="84"/>
      <c r="X2224" s="84"/>
      <c r="Y2224" s="84"/>
      <c r="Z2224" s="84"/>
      <c r="AA2224" s="84"/>
      <c r="AB2224" s="84"/>
    </row>
    <row r="2225">
      <c r="A2225" s="69">
        <v>149.0</v>
      </c>
      <c r="B2225" s="69">
        <v>236.0</v>
      </c>
      <c r="C2225" s="86" t="s">
        <v>495</v>
      </c>
      <c r="D2225" s="86" t="s">
        <v>496</v>
      </c>
      <c r="E2225" s="86" t="s">
        <v>497</v>
      </c>
      <c r="F2225" s="69">
        <v>500.0</v>
      </c>
      <c r="G2225" s="69">
        <v>13.45</v>
      </c>
      <c r="H2225" s="68">
        <f t="shared" si="1"/>
        <v>9.39</v>
      </c>
      <c r="I2225" s="81">
        <f>IFERROR(__xludf.DUMMYFUNCTION("IF(G2225="""", """", ROUND(G2225 / MAX(FILTER($G$2:$G5067, $D$2:$D5067=$D2225)) * 100, 2))"),64.02)</f>
        <v>64.02</v>
      </c>
      <c r="J2225" s="81">
        <f>IFERROR(__xludf.DUMMYFUNCTION("IF(H2225="""", """", ROUND(H2225 / MAX(FILTER($H$2:$H5067, $D$2:$D5067=$D2225)) * 100, 2))"),4.27)</f>
        <v>4.27</v>
      </c>
      <c r="K2225" s="2"/>
      <c r="L2225" s="48"/>
      <c r="M2225" s="48"/>
      <c r="N2225" s="48"/>
      <c r="O2225" s="48" t="str">
        <f t="shared" si="2"/>
        <v/>
      </c>
      <c r="P2225" s="48" t="str">
        <f t="shared" si="3"/>
        <v/>
      </c>
      <c r="Q2225" s="84"/>
      <c r="R2225" s="84"/>
      <c r="S2225" s="84"/>
      <c r="T2225" s="84"/>
      <c r="U2225" s="84"/>
      <c r="V2225" s="84"/>
      <c r="W2225" s="84"/>
      <c r="X2225" s="84"/>
      <c r="Y2225" s="84"/>
      <c r="Z2225" s="84"/>
      <c r="AA2225" s="84"/>
      <c r="AB2225" s="84"/>
    </row>
    <row r="2226">
      <c r="A2226" s="63">
        <v>149.0</v>
      </c>
      <c r="B2226" s="63">
        <v>236.0</v>
      </c>
      <c r="C2226" s="64" t="s">
        <v>495</v>
      </c>
      <c r="D2226" s="64" t="s">
        <v>496</v>
      </c>
      <c r="E2226" s="64" t="s">
        <v>497</v>
      </c>
      <c r="F2226" s="63">
        <v>1000.0</v>
      </c>
      <c r="G2226" s="63">
        <v>15.19</v>
      </c>
      <c r="H2226" s="66">
        <f t="shared" si="1"/>
        <v>21.21</v>
      </c>
      <c r="I2226" s="81">
        <f>IFERROR(__xludf.DUMMYFUNCTION("IF(G2226="""", """", ROUND(G2226 / MAX(FILTER($G$2:$G5067, $D$2:$D5067=$D2226)) * 100, 2))"),72.3)</f>
        <v>72.3</v>
      </c>
      <c r="J2226" s="81">
        <f>IFERROR(__xludf.DUMMYFUNCTION("IF(H2226="""", """", ROUND(H2226 / MAX(FILTER($H$2:$H5067, $D$2:$D5067=$D2226)) * 100, 2))"),9.65)</f>
        <v>9.65</v>
      </c>
      <c r="K2226" s="2"/>
      <c r="L2226" s="49"/>
      <c r="M2226" s="49"/>
      <c r="N2226" s="49"/>
      <c r="O2226" s="49" t="str">
        <f t="shared" si="2"/>
        <v/>
      </c>
      <c r="P2226" s="49" t="str">
        <f t="shared" si="3"/>
        <v/>
      </c>
      <c r="Q2226" s="84"/>
      <c r="R2226" s="84"/>
      <c r="S2226" s="84"/>
      <c r="T2226" s="84"/>
      <c r="U2226" s="84"/>
      <c r="V2226" s="84"/>
      <c r="W2226" s="84"/>
      <c r="X2226" s="84"/>
      <c r="Y2226" s="84"/>
      <c r="Z2226" s="84"/>
      <c r="AA2226" s="84"/>
      <c r="AB2226" s="84"/>
    </row>
    <row r="2227">
      <c r="A2227" s="69">
        <v>149.0</v>
      </c>
      <c r="B2227" s="69">
        <v>236.0</v>
      </c>
      <c r="C2227" s="86" t="s">
        <v>495</v>
      </c>
      <c r="D2227" s="86" t="s">
        <v>496</v>
      </c>
      <c r="E2227" s="86" t="s">
        <v>497</v>
      </c>
      <c r="F2227" s="69">
        <v>1500.0</v>
      </c>
      <c r="G2227" s="69">
        <v>16.52</v>
      </c>
      <c r="H2227" s="68">
        <f t="shared" si="1"/>
        <v>34.6</v>
      </c>
      <c r="I2227" s="81">
        <f>IFERROR(__xludf.DUMMYFUNCTION("IF(G2227="""", """", ROUND(G2227 / MAX(FILTER($G$2:$G5067, $D$2:$D5067=$D2227)) * 100, 2))"),78.63)</f>
        <v>78.63</v>
      </c>
      <c r="J2227" s="81">
        <f>IFERROR(__xludf.DUMMYFUNCTION("IF(H2227="""", """", ROUND(H2227 / MAX(FILTER($H$2:$H5067, $D$2:$D5067=$D2227)) * 100, 2))"),15.74)</f>
        <v>15.74</v>
      </c>
      <c r="K2227" s="2"/>
      <c r="L2227" s="48"/>
      <c r="M2227" s="48"/>
      <c r="N2227" s="48"/>
      <c r="O2227" s="48" t="str">
        <f t="shared" si="2"/>
        <v/>
      </c>
      <c r="P2227" s="48" t="str">
        <f t="shared" si="3"/>
        <v/>
      </c>
      <c r="Q2227" s="84"/>
      <c r="R2227" s="84"/>
      <c r="S2227" s="84"/>
      <c r="T2227" s="84"/>
      <c r="U2227" s="84"/>
      <c r="V2227" s="84"/>
      <c r="W2227" s="84"/>
      <c r="X2227" s="84"/>
      <c r="Y2227" s="84"/>
      <c r="Z2227" s="84"/>
      <c r="AA2227" s="84"/>
      <c r="AB2227" s="84"/>
    </row>
    <row r="2228">
      <c r="A2228" s="63">
        <v>149.0</v>
      </c>
      <c r="B2228" s="63">
        <v>236.0</v>
      </c>
      <c r="C2228" s="64" t="s">
        <v>495</v>
      </c>
      <c r="D2228" s="64" t="s">
        <v>496</v>
      </c>
      <c r="E2228" s="64" t="s">
        <v>497</v>
      </c>
      <c r="F2228" s="63">
        <v>2000.0</v>
      </c>
      <c r="G2228" s="63">
        <v>17.85</v>
      </c>
      <c r="H2228" s="66">
        <f t="shared" si="1"/>
        <v>49.85</v>
      </c>
      <c r="I2228" s="81">
        <f>IFERROR(__xludf.DUMMYFUNCTION("IF(G2228="""", """", ROUND(G2228 / MAX(FILTER($G$2:$G5067, $D$2:$D5067=$D2228)) * 100, 2))"),84.96)</f>
        <v>84.96</v>
      </c>
      <c r="J2228" s="81">
        <f>IFERROR(__xludf.DUMMYFUNCTION("IF(H2228="""", """", ROUND(H2228 / MAX(FILTER($H$2:$H5067, $D$2:$D5067=$D2228)) * 100, 2))"),22.68)</f>
        <v>22.68</v>
      </c>
      <c r="K2228" s="2"/>
      <c r="L2228" s="49"/>
      <c r="M2228" s="49"/>
      <c r="N2228" s="49"/>
      <c r="O2228" s="49" t="str">
        <f t="shared" si="2"/>
        <v/>
      </c>
      <c r="P2228" s="49" t="str">
        <f t="shared" si="3"/>
        <v/>
      </c>
      <c r="Q2228" s="84"/>
      <c r="R2228" s="84"/>
      <c r="S2228" s="84"/>
      <c r="T2228" s="84"/>
      <c r="U2228" s="84"/>
      <c r="V2228" s="84"/>
      <c r="W2228" s="84"/>
      <c r="X2228" s="84"/>
      <c r="Y2228" s="84"/>
      <c r="Z2228" s="84"/>
      <c r="AA2228" s="84"/>
      <c r="AB2228" s="84"/>
    </row>
    <row r="2229">
      <c r="A2229" s="69">
        <v>149.0</v>
      </c>
      <c r="B2229" s="69">
        <v>236.0</v>
      </c>
      <c r="C2229" s="86" t="s">
        <v>495</v>
      </c>
      <c r="D2229" s="86" t="s">
        <v>496</v>
      </c>
      <c r="E2229" s="86" t="s">
        <v>497</v>
      </c>
      <c r="F2229" s="69">
        <v>2500.0</v>
      </c>
      <c r="G2229" s="69">
        <v>18.61</v>
      </c>
      <c r="H2229" s="68">
        <f t="shared" si="1"/>
        <v>64.96</v>
      </c>
      <c r="I2229" s="81">
        <f>IFERROR(__xludf.DUMMYFUNCTION("IF(G2229="""", """", ROUND(G2229 / MAX(FILTER($G$2:$G5067, $D$2:$D5067=$D2229)) * 100, 2))"),88.58)</f>
        <v>88.58</v>
      </c>
      <c r="J2229" s="81">
        <f>IFERROR(__xludf.DUMMYFUNCTION("IF(H2229="""", """", ROUND(H2229 / MAX(FILTER($H$2:$H5067, $D$2:$D5067=$D2229)) * 100, 2))"),29.55)</f>
        <v>29.55</v>
      </c>
      <c r="K2229" s="2"/>
      <c r="L2229" s="48"/>
      <c r="M2229" s="48"/>
      <c r="N2229" s="48"/>
      <c r="O2229" s="48" t="str">
        <f t="shared" si="2"/>
        <v/>
      </c>
      <c r="P2229" s="48" t="str">
        <f t="shared" si="3"/>
        <v/>
      </c>
      <c r="Q2229" s="84"/>
      <c r="R2229" s="84"/>
      <c r="S2229" s="84"/>
      <c r="T2229" s="84"/>
      <c r="U2229" s="84"/>
      <c r="V2229" s="84"/>
      <c r="W2229" s="84"/>
      <c r="X2229" s="84"/>
      <c r="Y2229" s="84"/>
      <c r="Z2229" s="84"/>
      <c r="AA2229" s="84"/>
      <c r="AB2229" s="84"/>
    </row>
    <row r="2230">
      <c r="A2230" s="63">
        <v>149.0</v>
      </c>
      <c r="B2230" s="63">
        <v>236.0</v>
      </c>
      <c r="C2230" s="64" t="s">
        <v>495</v>
      </c>
      <c r="D2230" s="64" t="s">
        <v>496</v>
      </c>
      <c r="E2230" s="64" t="s">
        <v>497</v>
      </c>
      <c r="F2230" s="63">
        <v>3000.0</v>
      </c>
      <c r="G2230" s="63">
        <v>19.37</v>
      </c>
      <c r="H2230" s="66">
        <f t="shared" si="1"/>
        <v>81.14</v>
      </c>
      <c r="I2230" s="81">
        <f>IFERROR(__xludf.DUMMYFUNCTION("IF(G2230="""", """", ROUND(G2230 / MAX(FILTER($G$2:$G5067, $D$2:$D5067=$D2230)) * 100, 2))"),92.19)</f>
        <v>92.19</v>
      </c>
      <c r="J2230" s="81">
        <f>IFERROR(__xludf.DUMMYFUNCTION("IF(H2230="""", """", ROUND(H2230 / MAX(FILTER($H$2:$H5067, $D$2:$D5067=$D2230)) * 100, 2))"),36.91)</f>
        <v>36.91</v>
      </c>
      <c r="K2230" s="2"/>
      <c r="L2230" s="49"/>
      <c r="M2230" s="49"/>
      <c r="N2230" s="49"/>
      <c r="O2230" s="49" t="str">
        <f t="shared" si="2"/>
        <v/>
      </c>
      <c r="P2230" s="49" t="str">
        <f t="shared" si="3"/>
        <v/>
      </c>
      <c r="Q2230" s="84"/>
      <c r="R2230" s="84"/>
      <c r="S2230" s="84"/>
      <c r="T2230" s="84"/>
      <c r="U2230" s="84"/>
      <c r="V2230" s="84"/>
      <c r="W2230" s="84"/>
      <c r="X2230" s="84"/>
      <c r="Y2230" s="84"/>
      <c r="Z2230" s="84"/>
      <c r="AA2230" s="84"/>
      <c r="AB2230" s="84"/>
    </row>
    <row r="2231">
      <c r="A2231" s="69">
        <v>149.0</v>
      </c>
      <c r="B2231" s="69">
        <v>236.0</v>
      </c>
      <c r="C2231" s="86" t="s">
        <v>495</v>
      </c>
      <c r="D2231" s="86" t="s">
        <v>496</v>
      </c>
      <c r="E2231" s="86" t="s">
        <v>497</v>
      </c>
      <c r="F2231" s="69">
        <v>3500.0</v>
      </c>
      <c r="G2231" s="69">
        <v>19.32</v>
      </c>
      <c r="H2231" s="68">
        <f t="shared" si="1"/>
        <v>94.41</v>
      </c>
      <c r="I2231" s="81">
        <f>IFERROR(__xludf.DUMMYFUNCTION("IF(G2231="""", """", ROUND(G2231 / MAX(FILTER($G$2:$G5067, $D$2:$D5067=$D2231)) * 100, 2))"),91.96)</f>
        <v>91.96</v>
      </c>
      <c r="J2231" s="81">
        <f>IFERROR(__xludf.DUMMYFUNCTION("IF(H2231="""", """", ROUND(H2231 / MAX(FILTER($H$2:$H5067, $D$2:$D5067=$D2231)) * 100, 2))"),42.95)</f>
        <v>42.95</v>
      </c>
      <c r="K2231" s="2"/>
      <c r="L2231" s="48"/>
      <c r="M2231" s="48"/>
      <c r="N2231" s="48"/>
      <c r="O2231" s="48" t="str">
        <f t="shared" si="2"/>
        <v/>
      </c>
      <c r="P2231" s="48" t="str">
        <f t="shared" si="3"/>
        <v/>
      </c>
      <c r="Q2231" s="84"/>
      <c r="R2231" s="84"/>
      <c r="S2231" s="84"/>
      <c r="T2231" s="84"/>
      <c r="U2231" s="84"/>
      <c r="V2231" s="84"/>
      <c r="W2231" s="84"/>
      <c r="X2231" s="84"/>
      <c r="Y2231" s="84"/>
      <c r="Z2231" s="84"/>
      <c r="AA2231" s="84"/>
      <c r="AB2231" s="84"/>
    </row>
    <row r="2232">
      <c r="A2232" s="63">
        <v>149.0</v>
      </c>
      <c r="B2232" s="63">
        <v>236.0</v>
      </c>
      <c r="C2232" s="64" t="s">
        <v>495</v>
      </c>
      <c r="D2232" s="64" t="s">
        <v>496</v>
      </c>
      <c r="E2232" s="64" t="s">
        <v>497</v>
      </c>
      <c r="F2232" s="63">
        <v>4000.0</v>
      </c>
      <c r="G2232" s="63">
        <v>19.37</v>
      </c>
      <c r="H2232" s="66">
        <f t="shared" si="1"/>
        <v>108.18</v>
      </c>
      <c r="I2232" s="81">
        <f>IFERROR(__xludf.DUMMYFUNCTION("IF(G2232="""", """", ROUND(G2232 / MAX(FILTER($G$2:$G5067, $D$2:$D5067=$D2232)) * 100, 2))"),92.19)</f>
        <v>92.19</v>
      </c>
      <c r="J2232" s="81">
        <f>IFERROR(__xludf.DUMMYFUNCTION("IF(H2232="""", """", ROUND(H2232 / MAX(FILTER($H$2:$H5067, $D$2:$D5067=$D2232)) * 100, 2))"),49.21)</f>
        <v>49.21</v>
      </c>
      <c r="K2232" s="2"/>
      <c r="L2232" s="49"/>
      <c r="M2232" s="49"/>
      <c r="N2232" s="49"/>
      <c r="O2232" s="49" t="str">
        <f t="shared" si="2"/>
        <v/>
      </c>
      <c r="P2232" s="49" t="str">
        <f t="shared" si="3"/>
        <v/>
      </c>
      <c r="Q2232" s="84"/>
      <c r="R2232" s="84"/>
      <c r="S2232" s="84"/>
      <c r="T2232" s="84"/>
      <c r="U2232" s="84"/>
      <c r="V2232" s="84"/>
      <c r="W2232" s="84"/>
      <c r="X2232" s="84"/>
      <c r="Y2232" s="84"/>
      <c r="Z2232" s="84"/>
      <c r="AA2232" s="84"/>
      <c r="AB2232" s="84"/>
    </row>
    <row r="2233">
      <c r="A2233" s="69">
        <v>149.0</v>
      </c>
      <c r="B2233" s="69">
        <v>236.0</v>
      </c>
      <c r="C2233" s="86" t="s">
        <v>495</v>
      </c>
      <c r="D2233" s="86" t="s">
        <v>496</v>
      </c>
      <c r="E2233" s="86" t="s">
        <v>497</v>
      </c>
      <c r="F2233" s="69">
        <v>4500.0</v>
      </c>
      <c r="G2233" s="69">
        <v>19.58</v>
      </c>
      <c r="H2233" s="68">
        <f t="shared" si="1"/>
        <v>123.02</v>
      </c>
      <c r="I2233" s="81">
        <f>IFERROR(__xludf.DUMMYFUNCTION("IF(G2233="""", """", ROUND(G2233 / MAX(FILTER($G$2:$G5067, $D$2:$D5067=$D2233)) * 100, 2))"),93.19)</f>
        <v>93.19</v>
      </c>
      <c r="J2233" s="81">
        <f>IFERROR(__xludf.DUMMYFUNCTION("IF(H2233="""", """", ROUND(H2233 / MAX(FILTER($H$2:$H5067, $D$2:$D5067=$D2233)) * 100, 2))"),55.96)</f>
        <v>55.96</v>
      </c>
      <c r="K2233" s="2"/>
      <c r="L2233" s="48"/>
      <c r="M2233" s="48"/>
      <c r="N2233" s="48"/>
      <c r="O2233" s="48" t="str">
        <f t="shared" si="2"/>
        <v/>
      </c>
      <c r="P2233" s="48" t="str">
        <f t="shared" si="3"/>
        <v/>
      </c>
      <c r="Q2233" s="84"/>
      <c r="R2233" s="84"/>
      <c r="S2233" s="84"/>
      <c r="T2233" s="84"/>
      <c r="U2233" s="84"/>
      <c r="V2233" s="84"/>
      <c r="W2233" s="84"/>
      <c r="X2233" s="84"/>
      <c r="Y2233" s="84"/>
      <c r="Z2233" s="84"/>
      <c r="AA2233" s="84"/>
      <c r="AB2233" s="84"/>
    </row>
    <row r="2234">
      <c r="A2234" s="63">
        <v>149.0</v>
      </c>
      <c r="B2234" s="63">
        <v>236.0</v>
      </c>
      <c r="C2234" s="64" t="s">
        <v>495</v>
      </c>
      <c r="D2234" s="64" t="s">
        <v>496</v>
      </c>
      <c r="E2234" s="64" t="s">
        <v>497</v>
      </c>
      <c r="F2234" s="63">
        <v>5000.0</v>
      </c>
      <c r="G2234" s="63">
        <v>19.88</v>
      </c>
      <c r="H2234" s="66">
        <f t="shared" si="1"/>
        <v>138.79</v>
      </c>
      <c r="I2234" s="81">
        <f>IFERROR(__xludf.DUMMYFUNCTION("IF(G2234="""", """", ROUND(G2234 / MAX(FILTER($G$2:$G5067, $D$2:$D5067=$D2234)) * 100, 2))"),94.62)</f>
        <v>94.62</v>
      </c>
      <c r="J2234" s="81">
        <f>IFERROR(__xludf.DUMMYFUNCTION("IF(H2234="""", """", ROUND(H2234 / MAX(FILTER($H$2:$H5067, $D$2:$D5067=$D2234)) * 100, 2))"),63.14)</f>
        <v>63.14</v>
      </c>
      <c r="K2234" s="2"/>
      <c r="L2234" s="49"/>
      <c r="M2234" s="49"/>
      <c r="N2234" s="49"/>
      <c r="O2234" s="49" t="str">
        <f t="shared" si="2"/>
        <v/>
      </c>
      <c r="P2234" s="49" t="str">
        <f t="shared" si="3"/>
        <v/>
      </c>
      <c r="Q2234" s="84"/>
      <c r="R2234" s="84"/>
      <c r="S2234" s="84"/>
      <c r="T2234" s="84"/>
      <c r="U2234" s="84"/>
      <c r="V2234" s="84"/>
      <c r="W2234" s="84"/>
      <c r="X2234" s="84"/>
      <c r="Y2234" s="84"/>
      <c r="Z2234" s="84"/>
      <c r="AA2234" s="84"/>
      <c r="AB2234" s="84"/>
    </row>
    <row r="2235">
      <c r="A2235" s="69">
        <v>149.0</v>
      </c>
      <c r="B2235" s="69">
        <v>236.0</v>
      </c>
      <c r="C2235" s="86" t="s">
        <v>495</v>
      </c>
      <c r="D2235" s="86" t="s">
        <v>496</v>
      </c>
      <c r="E2235" s="86" t="s">
        <v>497</v>
      </c>
      <c r="F2235" s="69">
        <v>5500.0</v>
      </c>
      <c r="G2235" s="69">
        <v>20.66</v>
      </c>
      <c r="H2235" s="68">
        <f t="shared" si="1"/>
        <v>158.66</v>
      </c>
      <c r="I2235" s="81">
        <f>IFERROR(__xludf.DUMMYFUNCTION("IF(G2235="""", """", ROUND(G2235 / MAX(FILTER($G$2:$G5067, $D$2:$D5067=$D2235)) * 100, 2))"),98.33)</f>
        <v>98.33</v>
      </c>
      <c r="J2235" s="81">
        <f>IFERROR(__xludf.DUMMYFUNCTION("IF(H2235="""", """", ROUND(H2235 / MAX(FILTER($H$2:$H5067, $D$2:$D5067=$D2235)) * 100, 2))"),72.17)</f>
        <v>72.17</v>
      </c>
      <c r="K2235" s="2"/>
      <c r="L2235" s="48"/>
      <c r="M2235" s="48"/>
      <c r="N2235" s="48"/>
      <c r="O2235" s="48" t="str">
        <f t="shared" si="2"/>
        <v/>
      </c>
      <c r="P2235" s="48" t="str">
        <f t="shared" si="3"/>
        <v/>
      </c>
      <c r="Q2235" s="84"/>
      <c r="R2235" s="84"/>
      <c r="S2235" s="84"/>
      <c r="T2235" s="84"/>
      <c r="U2235" s="84"/>
      <c r="V2235" s="84"/>
      <c r="W2235" s="84"/>
      <c r="X2235" s="84"/>
      <c r="Y2235" s="84"/>
      <c r="Z2235" s="84"/>
      <c r="AA2235" s="84"/>
      <c r="AB2235" s="84"/>
    </row>
    <row r="2236">
      <c r="A2236" s="63">
        <v>149.0</v>
      </c>
      <c r="B2236" s="63">
        <v>236.0</v>
      </c>
      <c r="C2236" s="64" t="s">
        <v>495</v>
      </c>
      <c r="D2236" s="64" t="s">
        <v>496</v>
      </c>
      <c r="E2236" s="64" t="s">
        <v>497</v>
      </c>
      <c r="F2236" s="63">
        <v>6000.0</v>
      </c>
      <c r="G2236" s="63">
        <v>21.01</v>
      </c>
      <c r="H2236" s="66">
        <f t="shared" si="1"/>
        <v>176.01</v>
      </c>
      <c r="I2236" s="81">
        <f>IFERROR(__xludf.DUMMYFUNCTION("IF(G2236="""", """", ROUND(G2236 / MAX(FILTER($G$2:$G5067, $D$2:$D5067=$D2236)) * 100, 2))"),100.0)</f>
        <v>100</v>
      </c>
      <c r="J2236" s="81">
        <f>IFERROR(__xludf.DUMMYFUNCTION("IF(H2236="""", """", ROUND(H2236 / MAX(FILTER($H$2:$H5067, $D$2:$D5067=$D2236)) * 100, 2))"),80.07)</f>
        <v>80.07</v>
      </c>
      <c r="K2236" s="2"/>
      <c r="L2236" s="49"/>
      <c r="M2236" s="49"/>
      <c r="N2236" s="49"/>
      <c r="O2236" s="49" t="str">
        <f t="shared" si="2"/>
        <v/>
      </c>
      <c r="P2236" s="49" t="str">
        <f t="shared" si="3"/>
        <v/>
      </c>
      <c r="Q2236" s="84"/>
      <c r="R2236" s="84"/>
      <c r="S2236" s="84"/>
      <c r="T2236" s="84"/>
      <c r="U2236" s="84"/>
      <c r="V2236" s="84"/>
      <c r="W2236" s="84"/>
      <c r="X2236" s="84"/>
      <c r="Y2236" s="84"/>
      <c r="Z2236" s="84"/>
      <c r="AA2236" s="84"/>
      <c r="AB2236" s="84"/>
    </row>
    <row r="2237">
      <c r="A2237" s="69">
        <v>149.0</v>
      </c>
      <c r="B2237" s="69">
        <v>236.0</v>
      </c>
      <c r="C2237" s="86" t="s">
        <v>495</v>
      </c>
      <c r="D2237" s="86" t="s">
        <v>496</v>
      </c>
      <c r="E2237" s="86" t="s">
        <v>497</v>
      </c>
      <c r="F2237" s="69">
        <v>6500.0</v>
      </c>
      <c r="G2237" s="69">
        <v>20.85</v>
      </c>
      <c r="H2237" s="68">
        <f t="shared" si="1"/>
        <v>189.23</v>
      </c>
      <c r="I2237" s="81">
        <f>IFERROR(__xludf.DUMMYFUNCTION("IF(G2237="""", """", ROUND(G2237 / MAX(FILTER($G$2:$G5067, $D$2:$D5067=$D2237)) * 100, 2))"),99.24)</f>
        <v>99.24</v>
      </c>
      <c r="J2237" s="81">
        <f>IFERROR(__xludf.DUMMYFUNCTION("IF(H2237="""", """", ROUND(H2237 / MAX(FILTER($H$2:$H5067, $D$2:$D5067=$D2237)) * 100, 2))"),86.08)</f>
        <v>86.08</v>
      </c>
      <c r="K2237" s="2"/>
      <c r="L2237" s="48"/>
      <c r="M2237" s="48"/>
      <c r="N2237" s="48"/>
      <c r="O2237" s="48" t="str">
        <f t="shared" si="2"/>
        <v/>
      </c>
      <c r="P2237" s="48" t="str">
        <f t="shared" si="3"/>
        <v/>
      </c>
      <c r="Q2237" s="84"/>
      <c r="R2237" s="84"/>
      <c r="S2237" s="84"/>
      <c r="T2237" s="84"/>
      <c r="U2237" s="84"/>
      <c r="V2237" s="84"/>
      <c r="W2237" s="84"/>
      <c r="X2237" s="84"/>
      <c r="Y2237" s="84"/>
      <c r="Z2237" s="84"/>
      <c r="AA2237" s="84"/>
      <c r="AB2237" s="84"/>
    </row>
    <row r="2238">
      <c r="A2238" s="63">
        <v>149.0</v>
      </c>
      <c r="B2238" s="63">
        <v>236.0</v>
      </c>
      <c r="C2238" s="64" t="s">
        <v>495</v>
      </c>
      <c r="D2238" s="64" t="s">
        <v>496</v>
      </c>
      <c r="E2238" s="64" t="s">
        <v>497</v>
      </c>
      <c r="F2238" s="63">
        <v>7000.0</v>
      </c>
      <c r="G2238" s="63">
        <v>20.66</v>
      </c>
      <c r="H2238" s="66">
        <f t="shared" si="1"/>
        <v>201.93</v>
      </c>
      <c r="I2238" s="81">
        <f>IFERROR(__xludf.DUMMYFUNCTION("IF(G2238="""", """", ROUND(G2238 / MAX(FILTER($G$2:$G5067, $D$2:$D5067=$D2238)) * 100, 2))"),98.33)</f>
        <v>98.33</v>
      </c>
      <c r="J2238" s="81">
        <f>IFERROR(__xludf.DUMMYFUNCTION("IF(H2238="""", """", ROUND(H2238 / MAX(FILTER($H$2:$H5067, $D$2:$D5067=$D2238)) * 100, 2))"),91.86)</f>
        <v>91.86</v>
      </c>
      <c r="K2238" s="2"/>
      <c r="L2238" s="49"/>
      <c r="M2238" s="49"/>
      <c r="N2238" s="49"/>
      <c r="O2238" s="49" t="str">
        <f t="shared" si="2"/>
        <v/>
      </c>
      <c r="P2238" s="49" t="str">
        <f t="shared" si="3"/>
        <v/>
      </c>
      <c r="Q2238" s="84"/>
      <c r="R2238" s="84"/>
      <c r="S2238" s="84"/>
      <c r="T2238" s="84"/>
      <c r="U2238" s="84"/>
      <c r="V2238" s="84"/>
      <c r="W2238" s="84"/>
      <c r="X2238" s="84"/>
      <c r="Y2238" s="84"/>
      <c r="Z2238" s="84"/>
      <c r="AA2238" s="84"/>
      <c r="AB2238" s="84"/>
    </row>
    <row r="2239">
      <c r="A2239" s="69">
        <v>149.0</v>
      </c>
      <c r="B2239" s="69">
        <v>236.0</v>
      </c>
      <c r="C2239" s="86" t="s">
        <v>495</v>
      </c>
      <c r="D2239" s="86" t="s">
        <v>496</v>
      </c>
      <c r="E2239" s="86" t="s">
        <v>497</v>
      </c>
      <c r="F2239" s="69">
        <v>7500.0</v>
      </c>
      <c r="G2239" s="69">
        <v>20.39</v>
      </c>
      <c r="H2239" s="68">
        <f t="shared" si="1"/>
        <v>213.52</v>
      </c>
      <c r="I2239" s="81">
        <f>IFERROR(__xludf.DUMMYFUNCTION("IF(G2239="""", """", ROUND(G2239 / MAX(FILTER($G$2:$G5067, $D$2:$D5067=$D2239)) * 100, 2))"),97.05)</f>
        <v>97.05</v>
      </c>
      <c r="J2239" s="81">
        <f>IFERROR(__xludf.DUMMYFUNCTION("IF(H2239="""", """", ROUND(H2239 / MAX(FILTER($H$2:$H5067, $D$2:$D5067=$D2239)) * 100, 2))"),97.13)</f>
        <v>97.13</v>
      </c>
      <c r="K2239" s="2"/>
      <c r="L2239" s="48"/>
      <c r="M2239" s="48"/>
      <c r="N2239" s="48"/>
      <c r="O2239" s="48" t="str">
        <f t="shared" si="2"/>
        <v/>
      </c>
      <c r="P2239" s="48" t="str">
        <f t="shared" si="3"/>
        <v/>
      </c>
      <c r="Q2239" s="84"/>
      <c r="R2239" s="84"/>
      <c r="S2239" s="84"/>
      <c r="T2239" s="84"/>
      <c r="U2239" s="84"/>
      <c r="V2239" s="84"/>
      <c r="W2239" s="84"/>
      <c r="X2239" s="84"/>
      <c r="Y2239" s="84"/>
      <c r="Z2239" s="84"/>
      <c r="AA2239" s="84"/>
      <c r="AB2239" s="84"/>
    </row>
    <row r="2240">
      <c r="A2240" s="63">
        <v>149.0</v>
      </c>
      <c r="B2240" s="63">
        <v>236.0</v>
      </c>
      <c r="C2240" s="64" t="s">
        <v>495</v>
      </c>
      <c r="D2240" s="64" t="s">
        <v>496</v>
      </c>
      <c r="E2240" s="64" t="s">
        <v>497</v>
      </c>
      <c r="F2240" s="63">
        <v>8000.0</v>
      </c>
      <c r="G2240" s="63">
        <v>19.68</v>
      </c>
      <c r="H2240" s="66">
        <f t="shared" si="1"/>
        <v>219.83</v>
      </c>
      <c r="I2240" s="81">
        <f>IFERROR(__xludf.DUMMYFUNCTION("IF(G2240="""", """", ROUND(G2240 / MAX(FILTER($G$2:$G5067, $D$2:$D5067=$D2240)) * 100, 2))"),93.67)</f>
        <v>93.67</v>
      </c>
      <c r="J2240" s="81">
        <f>IFERROR(__xludf.DUMMYFUNCTION("IF(H2240="""", """", ROUND(H2240 / MAX(FILTER($H$2:$H5067, $D$2:$D5067=$D2240)) * 100, 2))"),100.0)</f>
        <v>100</v>
      </c>
      <c r="K2240" s="2"/>
      <c r="L2240" s="49"/>
      <c r="M2240" s="49"/>
      <c r="N2240" s="49"/>
      <c r="O2240" s="49" t="str">
        <f t="shared" si="2"/>
        <v/>
      </c>
      <c r="P2240" s="49" t="str">
        <f t="shared" si="3"/>
        <v/>
      </c>
      <c r="Q2240" s="84"/>
      <c r="R2240" s="84"/>
      <c r="S2240" s="84"/>
      <c r="T2240" s="84"/>
      <c r="U2240" s="84"/>
      <c r="V2240" s="84"/>
      <c r="W2240" s="84"/>
      <c r="X2240" s="84"/>
      <c r="Y2240" s="84"/>
      <c r="Z2240" s="84"/>
      <c r="AA2240" s="84"/>
      <c r="AB2240" s="84"/>
    </row>
    <row r="2241">
      <c r="A2241" s="69">
        <v>149.0</v>
      </c>
      <c r="B2241" s="69">
        <v>236.0</v>
      </c>
      <c r="C2241" s="86" t="s">
        <v>495</v>
      </c>
      <c r="D2241" s="86" t="s">
        <v>496</v>
      </c>
      <c r="E2241" s="86" t="s">
        <v>497</v>
      </c>
      <c r="F2241" s="69">
        <v>8500.0</v>
      </c>
      <c r="G2241" s="69">
        <v>18.38</v>
      </c>
      <c r="H2241" s="68">
        <f t="shared" si="1"/>
        <v>218.14</v>
      </c>
      <c r="I2241" s="81">
        <f>IFERROR(__xludf.DUMMYFUNCTION("IF(G2241="""", """", ROUND(G2241 / MAX(FILTER($G$2:$G5067, $D$2:$D5067=$D2241)) * 100, 2))"),87.48)</f>
        <v>87.48</v>
      </c>
      <c r="J2241" s="81">
        <f>IFERROR(__xludf.DUMMYFUNCTION("IF(H2241="""", """", ROUND(H2241 / MAX(FILTER($H$2:$H5067, $D$2:$D5067=$D2241)) * 100, 2))"),99.23)</f>
        <v>99.23</v>
      </c>
      <c r="K2241" s="2"/>
      <c r="L2241" s="48"/>
      <c r="M2241" s="48"/>
      <c r="N2241" s="48"/>
      <c r="O2241" s="48" t="str">
        <f t="shared" si="2"/>
        <v/>
      </c>
      <c r="P2241" s="48" t="str">
        <f t="shared" si="3"/>
        <v/>
      </c>
      <c r="Q2241" s="84"/>
      <c r="R2241" s="84"/>
      <c r="S2241" s="84"/>
      <c r="T2241" s="84"/>
      <c r="U2241" s="84"/>
      <c r="V2241" s="84"/>
      <c r="W2241" s="84"/>
      <c r="X2241" s="84"/>
      <c r="Y2241" s="84"/>
      <c r="Z2241" s="84"/>
      <c r="AA2241" s="84"/>
      <c r="AB2241" s="84"/>
    </row>
    <row r="2242">
      <c r="A2242" s="63">
        <v>149.0</v>
      </c>
      <c r="B2242" s="63">
        <v>236.0</v>
      </c>
      <c r="C2242" s="64" t="s">
        <v>495</v>
      </c>
      <c r="D2242" s="64" t="s">
        <v>496</v>
      </c>
      <c r="E2242" s="64" t="s">
        <v>497</v>
      </c>
      <c r="F2242" s="63">
        <v>9000.0</v>
      </c>
      <c r="G2242" s="63">
        <v>16.13</v>
      </c>
      <c r="H2242" s="66">
        <f t="shared" si="1"/>
        <v>202.69</v>
      </c>
      <c r="I2242" s="81">
        <f>IFERROR(__xludf.DUMMYFUNCTION("IF(G2242="""", """", ROUND(G2242 / MAX(FILTER($G$2:$G5067, $D$2:$D5067=$D2242)) * 100, 2))"),76.77)</f>
        <v>76.77</v>
      </c>
      <c r="J2242" s="81">
        <f>IFERROR(__xludf.DUMMYFUNCTION("IF(H2242="""", """", ROUND(H2242 / MAX(FILTER($H$2:$H5067, $D$2:$D5067=$D2242)) * 100, 2))"),92.2)</f>
        <v>92.2</v>
      </c>
      <c r="K2242" s="2"/>
      <c r="L2242" s="49"/>
      <c r="M2242" s="49"/>
      <c r="N2242" s="49"/>
      <c r="O2242" s="49" t="str">
        <f t="shared" si="2"/>
        <v/>
      </c>
      <c r="P2242" s="49" t="str">
        <f t="shared" si="3"/>
        <v/>
      </c>
      <c r="Q2242" s="84"/>
      <c r="R2242" s="84"/>
      <c r="S2242" s="84"/>
      <c r="T2242" s="84"/>
      <c r="U2242" s="84"/>
      <c r="V2242" s="84"/>
      <c r="W2242" s="84"/>
      <c r="X2242" s="84"/>
      <c r="Y2242" s="84"/>
      <c r="Z2242" s="84"/>
      <c r="AA2242" s="84"/>
      <c r="AB2242" s="84"/>
    </row>
    <row r="2243">
      <c r="A2243" s="69">
        <v>150.0</v>
      </c>
      <c r="B2243" s="69">
        <v>237.0</v>
      </c>
      <c r="C2243" s="86" t="s">
        <v>498</v>
      </c>
      <c r="D2243" s="86" t="s">
        <v>499</v>
      </c>
      <c r="E2243" s="86" t="s">
        <v>500</v>
      </c>
      <c r="F2243" s="69">
        <v>500.0</v>
      </c>
      <c r="G2243" s="69">
        <v>14.45</v>
      </c>
      <c r="H2243" s="68">
        <f t="shared" si="1"/>
        <v>10.09</v>
      </c>
      <c r="I2243" s="81">
        <f>IFERROR(__xludf.DUMMYFUNCTION("IF(G2243="""", """", ROUND(G2243 / MAX(FILTER($G$2:$G5067, $D$2:$D5067=$D2243)) * 100, 2))"),45.87)</f>
        <v>45.87</v>
      </c>
      <c r="J2243" s="81">
        <f>IFERROR(__xludf.DUMMYFUNCTION("IF(H2243="""", """", ROUND(H2243 / MAX(FILTER($H$2:$H5067, $D$2:$D5067=$D2243)) * 100, 2))"),3.74)</f>
        <v>3.74</v>
      </c>
      <c r="K2243" s="2"/>
      <c r="L2243" s="48"/>
      <c r="M2243" s="48"/>
      <c r="N2243" s="48"/>
      <c r="O2243" s="48" t="str">
        <f t="shared" si="2"/>
        <v/>
      </c>
      <c r="P2243" s="48" t="str">
        <f t="shared" si="3"/>
        <v/>
      </c>
      <c r="Q2243" s="84"/>
      <c r="R2243" s="84"/>
      <c r="S2243" s="84"/>
      <c r="T2243" s="84"/>
      <c r="U2243" s="84"/>
      <c r="V2243" s="84"/>
      <c r="W2243" s="84"/>
      <c r="X2243" s="84"/>
      <c r="Y2243" s="84"/>
      <c r="Z2243" s="84"/>
      <c r="AA2243" s="84"/>
      <c r="AB2243" s="84"/>
    </row>
    <row r="2244">
      <c r="A2244" s="63">
        <v>150.0</v>
      </c>
      <c r="B2244" s="63">
        <v>237.0</v>
      </c>
      <c r="C2244" s="64" t="s">
        <v>498</v>
      </c>
      <c r="D2244" s="64" t="s">
        <v>499</v>
      </c>
      <c r="E2244" s="64" t="s">
        <v>500</v>
      </c>
      <c r="F2244" s="63">
        <v>1000.0</v>
      </c>
      <c r="G2244" s="63">
        <v>18.3</v>
      </c>
      <c r="H2244" s="66">
        <f t="shared" si="1"/>
        <v>25.55</v>
      </c>
      <c r="I2244" s="81">
        <f>IFERROR(__xludf.DUMMYFUNCTION("IF(G2244="""", """", ROUND(G2244 / MAX(FILTER($G$2:$G5067, $D$2:$D5067=$D2244)) * 100, 2))"),58.1)</f>
        <v>58.1</v>
      </c>
      <c r="J2244" s="81">
        <f>IFERROR(__xludf.DUMMYFUNCTION("IF(H2244="""", """", ROUND(H2244 / MAX(FILTER($H$2:$H5067, $D$2:$D5067=$D2244)) * 100, 2))"),9.48)</f>
        <v>9.48</v>
      </c>
      <c r="K2244" s="2"/>
      <c r="L2244" s="49"/>
      <c r="M2244" s="49"/>
      <c r="N2244" s="49"/>
      <c r="O2244" s="49" t="str">
        <f t="shared" si="2"/>
        <v/>
      </c>
      <c r="P2244" s="49" t="str">
        <f t="shared" si="3"/>
        <v/>
      </c>
      <c r="Q2244" s="84"/>
      <c r="R2244" s="84"/>
      <c r="S2244" s="84"/>
      <c r="T2244" s="84"/>
      <c r="U2244" s="84"/>
      <c r="V2244" s="84"/>
      <c r="W2244" s="84"/>
      <c r="X2244" s="84"/>
      <c r="Y2244" s="84"/>
      <c r="Z2244" s="84"/>
      <c r="AA2244" s="84"/>
      <c r="AB2244" s="84"/>
    </row>
    <row r="2245">
      <c r="A2245" s="69">
        <v>150.0</v>
      </c>
      <c r="B2245" s="69">
        <v>237.0</v>
      </c>
      <c r="C2245" s="86" t="s">
        <v>498</v>
      </c>
      <c r="D2245" s="86" t="s">
        <v>499</v>
      </c>
      <c r="E2245" s="86" t="s">
        <v>500</v>
      </c>
      <c r="F2245" s="69">
        <v>1500.0</v>
      </c>
      <c r="G2245" s="69">
        <v>21.66</v>
      </c>
      <c r="H2245" s="68">
        <f t="shared" si="1"/>
        <v>45.36</v>
      </c>
      <c r="I2245" s="81">
        <f>IFERROR(__xludf.DUMMYFUNCTION("IF(G2245="""", """", ROUND(G2245 / MAX(FILTER($G$2:$G5067, $D$2:$D5067=$D2245)) * 100, 2))"),68.76)</f>
        <v>68.76</v>
      </c>
      <c r="J2245" s="81">
        <f>IFERROR(__xludf.DUMMYFUNCTION("IF(H2245="""", """", ROUND(H2245 / MAX(FILTER($H$2:$H5067, $D$2:$D5067=$D2245)) * 100, 2))"),16.83)</f>
        <v>16.83</v>
      </c>
      <c r="K2245" s="2"/>
      <c r="L2245" s="48"/>
      <c r="M2245" s="48"/>
      <c r="N2245" s="48"/>
      <c r="O2245" s="48" t="str">
        <f t="shared" si="2"/>
        <v/>
      </c>
      <c r="P2245" s="48" t="str">
        <f t="shared" si="3"/>
        <v/>
      </c>
      <c r="Q2245" s="84"/>
      <c r="R2245" s="84"/>
      <c r="S2245" s="84"/>
      <c r="T2245" s="84"/>
      <c r="U2245" s="84"/>
      <c r="V2245" s="84"/>
      <c r="W2245" s="84"/>
      <c r="X2245" s="84"/>
      <c r="Y2245" s="84"/>
      <c r="Z2245" s="84"/>
      <c r="AA2245" s="84"/>
      <c r="AB2245" s="84"/>
    </row>
    <row r="2246">
      <c r="A2246" s="63">
        <v>150.0</v>
      </c>
      <c r="B2246" s="63">
        <v>237.0</v>
      </c>
      <c r="C2246" s="64" t="s">
        <v>498</v>
      </c>
      <c r="D2246" s="64" t="s">
        <v>499</v>
      </c>
      <c r="E2246" s="64" t="s">
        <v>500</v>
      </c>
      <c r="F2246" s="63">
        <v>2000.0</v>
      </c>
      <c r="G2246" s="63">
        <v>25.88</v>
      </c>
      <c r="H2246" s="66">
        <f t="shared" si="1"/>
        <v>72.27</v>
      </c>
      <c r="I2246" s="81">
        <f>IFERROR(__xludf.DUMMYFUNCTION("IF(G2246="""", """", ROUND(G2246 / MAX(FILTER($G$2:$G5067, $D$2:$D5067=$D2246)) * 100, 2))"),82.16)</f>
        <v>82.16</v>
      </c>
      <c r="J2246" s="81">
        <f>IFERROR(__xludf.DUMMYFUNCTION("IF(H2246="""", """", ROUND(H2246 / MAX(FILTER($H$2:$H5067, $D$2:$D5067=$D2246)) * 100, 2))"),26.81)</f>
        <v>26.81</v>
      </c>
      <c r="K2246" s="2"/>
      <c r="L2246" s="49"/>
      <c r="M2246" s="49"/>
      <c r="N2246" s="49"/>
      <c r="O2246" s="49" t="str">
        <f t="shared" si="2"/>
        <v/>
      </c>
      <c r="P2246" s="49" t="str">
        <f t="shared" si="3"/>
        <v/>
      </c>
      <c r="Q2246" s="84"/>
      <c r="R2246" s="84"/>
      <c r="S2246" s="84"/>
      <c r="T2246" s="84"/>
      <c r="U2246" s="84"/>
      <c r="V2246" s="84"/>
      <c r="W2246" s="84"/>
      <c r="X2246" s="84"/>
      <c r="Y2246" s="84"/>
      <c r="Z2246" s="84"/>
      <c r="AA2246" s="84"/>
      <c r="AB2246" s="84"/>
    </row>
    <row r="2247">
      <c r="A2247" s="69">
        <v>150.0</v>
      </c>
      <c r="B2247" s="69">
        <v>237.0</v>
      </c>
      <c r="C2247" s="86" t="s">
        <v>498</v>
      </c>
      <c r="D2247" s="86" t="s">
        <v>499</v>
      </c>
      <c r="E2247" s="86" t="s">
        <v>500</v>
      </c>
      <c r="F2247" s="69">
        <v>2500.0</v>
      </c>
      <c r="G2247" s="69">
        <v>29.2</v>
      </c>
      <c r="H2247" s="68">
        <f t="shared" si="1"/>
        <v>101.93</v>
      </c>
      <c r="I2247" s="81">
        <f>IFERROR(__xludf.DUMMYFUNCTION("IF(G2247="""", """", ROUND(G2247 / MAX(FILTER($G$2:$G5067, $D$2:$D5067=$D2247)) * 100, 2))"),92.7)</f>
        <v>92.7</v>
      </c>
      <c r="J2247" s="81">
        <f>IFERROR(__xludf.DUMMYFUNCTION("IF(H2247="""", """", ROUND(H2247 / MAX(FILTER($H$2:$H5067, $D$2:$D5067=$D2247)) * 100, 2))"),37.81)</f>
        <v>37.81</v>
      </c>
      <c r="K2247" s="2"/>
      <c r="L2247" s="48"/>
      <c r="M2247" s="48"/>
      <c r="N2247" s="48"/>
      <c r="O2247" s="48" t="str">
        <f t="shared" si="2"/>
        <v/>
      </c>
      <c r="P2247" s="48" t="str">
        <f t="shared" si="3"/>
        <v/>
      </c>
      <c r="Q2247" s="84"/>
      <c r="R2247" s="84"/>
      <c r="S2247" s="84"/>
      <c r="T2247" s="84"/>
      <c r="U2247" s="84"/>
      <c r="V2247" s="84"/>
      <c r="W2247" s="84"/>
      <c r="X2247" s="84"/>
      <c r="Y2247" s="84"/>
      <c r="Z2247" s="84"/>
      <c r="AA2247" s="84"/>
      <c r="AB2247" s="84"/>
    </row>
    <row r="2248">
      <c r="A2248" s="63">
        <v>150.0</v>
      </c>
      <c r="B2248" s="63">
        <v>237.0</v>
      </c>
      <c r="C2248" s="64" t="s">
        <v>498</v>
      </c>
      <c r="D2248" s="64" t="s">
        <v>499</v>
      </c>
      <c r="E2248" s="64" t="s">
        <v>500</v>
      </c>
      <c r="F2248" s="63">
        <v>3000.0</v>
      </c>
      <c r="G2248" s="63">
        <v>31.5</v>
      </c>
      <c r="H2248" s="66">
        <f t="shared" si="1"/>
        <v>131.95</v>
      </c>
      <c r="I2248" s="81">
        <f>IFERROR(__xludf.DUMMYFUNCTION("IF(G2248="""", """", ROUND(G2248 / MAX(FILTER($G$2:$G5067, $D$2:$D5067=$D2248)) * 100, 2))"),100.0)</f>
        <v>100</v>
      </c>
      <c r="J2248" s="81">
        <f>IFERROR(__xludf.DUMMYFUNCTION("IF(H2248="""", """", ROUND(H2248 / MAX(FILTER($H$2:$H5067, $D$2:$D5067=$D2248)) * 100, 2))"),48.95)</f>
        <v>48.95</v>
      </c>
      <c r="K2248" s="2"/>
      <c r="L2248" s="49"/>
      <c r="M2248" s="49"/>
      <c r="N2248" s="49"/>
      <c r="O2248" s="49" t="str">
        <f t="shared" si="2"/>
        <v/>
      </c>
      <c r="P2248" s="49" t="str">
        <f t="shared" si="3"/>
        <v/>
      </c>
      <c r="Q2248" s="84"/>
      <c r="R2248" s="84"/>
      <c r="S2248" s="84"/>
      <c r="T2248" s="84"/>
      <c r="U2248" s="84"/>
      <c r="V2248" s="84"/>
      <c r="W2248" s="84"/>
      <c r="X2248" s="84"/>
      <c r="Y2248" s="84"/>
      <c r="Z2248" s="84"/>
      <c r="AA2248" s="84"/>
      <c r="AB2248" s="84"/>
    </row>
    <row r="2249">
      <c r="A2249" s="69">
        <v>150.0</v>
      </c>
      <c r="B2249" s="69">
        <v>237.0</v>
      </c>
      <c r="C2249" s="86" t="s">
        <v>498</v>
      </c>
      <c r="D2249" s="86" t="s">
        <v>499</v>
      </c>
      <c r="E2249" s="86" t="s">
        <v>500</v>
      </c>
      <c r="F2249" s="69">
        <v>3500.0</v>
      </c>
      <c r="G2249" s="69">
        <v>31.5</v>
      </c>
      <c r="H2249" s="68">
        <f t="shared" si="1"/>
        <v>153.94</v>
      </c>
      <c r="I2249" s="81">
        <f>IFERROR(__xludf.DUMMYFUNCTION("IF(G2249="""", """", ROUND(G2249 / MAX(FILTER($G$2:$G5067, $D$2:$D5067=$D2249)) * 100, 2))"),100.0)</f>
        <v>100</v>
      </c>
      <c r="J2249" s="81">
        <f>IFERROR(__xludf.DUMMYFUNCTION("IF(H2249="""", """", ROUND(H2249 / MAX(FILTER($H$2:$H5067, $D$2:$D5067=$D2249)) * 100, 2))"),57.11)</f>
        <v>57.11</v>
      </c>
      <c r="K2249" s="2"/>
      <c r="L2249" s="48"/>
      <c r="M2249" s="48"/>
      <c r="N2249" s="48"/>
      <c r="O2249" s="48" t="str">
        <f t="shared" si="2"/>
        <v/>
      </c>
      <c r="P2249" s="48" t="str">
        <f t="shared" si="3"/>
        <v/>
      </c>
      <c r="Q2249" s="84"/>
      <c r="R2249" s="84"/>
      <c r="S2249" s="84"/>
      <c r="T2249" s="84"/>
      <c r="U2249" s="84"/>
      <c r="V2249" s="84"/>
      <c r="W2249" s="84"/>
      <c r="X2249" s="84"/>
      <c r="Y2249" s="84"/>
      <c r="Z2249" s="84"/>
      <c r="AA2249" s="84"/>
      <c r="AB2249" s="84"/>
    </row>
    <row r="2250">
      <c r="A2250" s="63">
        <v>150.0</v>
      </c>
      <c r="B2250" s="63">
        <v>237.0</v>
      </c>
      <c r="C2250" s="64" t="s">
        <v>498</v>
      </c>
      <c r="D2250" s="64" t="s">
        <v>499</v>
      </c>
      <c r="E2250" s="64" t="s">
        <v>500</v>
      </c>
      <c r="F2250" s="63">
        <v>4000.0</v>
      </c>
      <c r="G2250" s="63">
        <v>31.5</v>
      </c>
      <c r="H2250" s="66">
        <f t="shared" si="1"/>
        <v>175.93</v>
      </c>
      <c r="I2250" s="81">
        <f>IFERROR(__xludf.DUMMYFUNCTION("IF(G2250="""", """", ROUND(G2250 / MAX(FILTER($G$2:$G5067, $D$2:$D5067=$D2250)) * 100, 2))"),100.0)</f>
        <v>100</v>
      </c>
      <c r="J2250" s="81">
        <f>IFERROR(__xludf.DUMMYFUNCTION("IF(H2250="""", """", ROUND(H2250 / MAX(FILTER($H$2:$H5067, $D$2:$D5067=$D2250)) * 100, 2))"),65.27)</f>
        <v>65.27</v>
      </c>
      <c r="K2250" s="2"/>
      <c r="L2250" s="49"/>
      <c r="M2250" s="49"/>
      <c r="N2250" s="49"/>
      <c r="O2250" s="49" t="str">
        <f t="shared" si="2"/>
        <v/>
      </c>
      <c r="P2250" s="49" t="str">
        <f t="shared" si="3"/>
        <v/>
      </c>
      <c r="Q2250" s="84"/>
      <c r="R2250" s="84"/>
      <c r="S2250" s="84"/>
      <c r="T2250" s="84"/>
      <c r="U2250" s="84"/>
      <c r="V2250" s="84"/>
      <c r="W2250" s="84"/>
      <c r="X2250" s="84"/>
      <c r="Y2250" s="84"/>
      <c r="Z2250" s="84"/>
      <c r="AA2250" s="84"/>
      <c r="AB2250" s="84"/>
    </row>
    <row r="2251">
      <c r="A2251" s="69">
        <v>150.0</v>
      </c>
      <c r="B2251" s="69">
        <v>237.0</v>
      </c>
      <c r="C2251" s="86" t="s">
        <v>498</v>
      </c>
      <c r="D2251" s="86" t="s">
        <v>499</v>
      </c>
      <c r="E2251" s="86" t="s">
        <v>500</v>
      </c>
      <c r="F2251" s="69">
        <v>4500.0</v>
      </c>
      <c r="G2251" s="69">
        <v>31.5</v>
      </c>
      <c r="H2251" s="68">
        <f t="shared" si="1"/>
        <v>197.92</v>
      </c>
      <c r="I2251" s="81">
        <f>IFERROR(__xludf.DUMMYFUNCTION("IF(G2251="""", """", ROUND(G2251 / MAX(FILTER($G$2:$G5067, $D$2:$D5067=$D2251)) * 100, 2))"),100.0)</f>
        <v>100</v>
      </c>
      <c r="J2251" s="81">
        <f>IFERROR(__xludf.DUMMYFUNCTION("IF(H2251="""", """", ROUND(H2251 / MAX(FILTER($H$2:$H5067, $D$2:$D5067=$D2251)) * 100, 2))"),73.43)</f>
        <v>73.43</v>
      </c>
      <c r="K2251" s="2"/>
      <c r="L2251" s="48"/>
      <c r="M2251" s="48"/>
      <c r="N2251" s="48"/>
      <c r="O2251" s="48" t="str">
        <f t="shared" si="2"/>
        <v/>
      </c>
      <c r="P2251" s="48" t="str">
        <f t="shared" si="3"/>
        <v/>
      </c>
      <c r="Q2251" s="84"/>
      <c r="R2251" s="84"/>
      <c r="S2251" s="84"/>
      <c r="T2251" s="84"/>
      <c r="U2251" s="84"/>
      <c r="V2251" s="84"/>
      <c r="W2251" s="84"/>
      <c r="X2251" s="84"/>
      <c r="Y2251" s="84"/>
      <c r="Z2251" s="84"/>
      <c r="AA2251" s="84"/>
      <c r="AB2251" s="84"/>
    </row>
    <row r="2252">
      <c r="A2252" s="63">
        <v>150.0</v>
      </c>
      <c r="B2252" s="63">
        <v>237.0</v>
      </c>
      <c r="C2252" s="64" t="s">
        <v>498</v>
      </c>
      <c r="D2252" s="64" t="s">
        <v>499</v>
      </c>
      <c r="E2252" s="64" t="s">
        <v>500</v>
      </c>
      <c r="F2252" s="63">
        <v>5000.0</v>
      </c>
      <c r="G2252" s="63">
        <v>31.5</v>
      </c>
      <c r="H2252" s="66">
        <f t="shared" si="1"/>
        <v>219.91</v>
      </c>
      <c r="I2252" s="81">
        <f>IFERROR(__xludf.DUMMYFUNCTION("IF(G2252="""", """", ROUND(G2252 / MAX(FILTER($G$2:$G5067, $D$2:$D5067=$D2252)) * 100, 2))"),100.0)</f>
        <v>100</v>
      </c>
      <c r="J2252" s="81">
        <f>IFERROR(__xludf.DUMMYFUNCTION("IF(H2252="""", """", ROUND(H2252 / MAX(FILTER($H$2:$H5067, $D$2:$D5067=$D2252)) * 100, 2))"),81.58)</f>
        <v>81.58</v>
      </c>
      <c r="K2252" s="2"/>
      <c r="L2252" s="49"/>
      <c r="M2252" s="49"/>
      <c r="N2252" s="49"/>
      <c r="O2252" s="49" t="str">
        <f t="shared" si="2"/>
        <v/>
      </c>
      <c r="P2252" s="49" t="str">
        <f t="shared" si="3"/>
        <v/>
      </c>
      <c r="Q2252" s="84"/>
      <c r="R2252" s="84"/>
      <c r="S2252" s="84"/>
      <c r="T2252" s="84"/>
      <c r="U2252" s="84"/>
      <c r="V2252" s="84"/>
      <c r="W2252" s="84"/>
      <c r="X2252" s="84"/>
      <c r="Y2252" s="84"/>
      <c r="Z2252" s="84"/>
      <c r="AA2252" s="84"/>
      <c r="AB2252" s="84"/>
    </row>
    <row r="2253">
      <c r="A2253" s="69">
        <v>150.0</v>
      </c>
      <c r="B2253" s="69">
        <v>237.0</v>
      </c>
      <c r="C2253" s="86" t="s">
        <v>498</v>
      </c>
      <c r="D2253" s="86" t="s">
        <v>499</v>
      </c>
      <c r="E2253" s="86" t="s">
        <v>500</v>
      </c>
      <c r="F2253" s="69">
        <v>5500.0</v>
      </c>
      <c r="G2253" s="69">
        <v>31.5</v>
      </c>
      <c r="H2253" s="68">
        <f t="shared" si="1"/>
        <v>241.9</v>
      </c>
      <c r="I2253" s="81">
        <f>IFERROR(__xludf.DUMMYFUNCTION("IF(G2253="""", """", ROUND(G2253 / MAX(FILTER($G$2:$G5067, $D$2:$D5067=$D2253)) * 100, 2))"),100.0)</f>
        <v>100</v>
      </c>
      <c r="J2253" s="81">
        <f>IFERROR(__xludf.DUMMYFUNCTION("IF(H2253="""", """", ROUND(H2253 / MAX(FILTER($H$2:$H5067, $D$2:$D5067=$D2253)) * 100, 2))"),89.74)</f>
        <v>89.74</v>
      </c>
      <c r="K2253" s="2"/>
      <c r="L2253" s="48"/>
      <c r="M2253" s="48"/>
      <c r="N2253" s="48"/>
      <c r="O2253" s="48" t="str">
        <f t="shared" si="2"/>
        <v/>
      </c>
      <c r="P2253" s="48" t="str">
        <f t="shared" si="3"/>
        <v/>
      </c>
      <c r="Q2253" s="84"/>
      <c r="R2253" s="84"/>
      <c r="S2253" s="84"/>
      <c r="T2253" s="84"/>
      <c r="U2253" s="84"/>
      <c r="V2253" s="84"/>
      <c r="W2253" s="84"/>
      <c r="X2253" s="84"/>
      <c r="Y2253" s="84"/>
      <c r="Z2253" s="84"/>
      <c r="AA2253" s="84"/>
      <c r="AB2253" s="84"/>
    </row>
    <row r="2254">
      <c r="A2254" s="63">
        <v>150.0</v>
      </c>
      <c r="B2254" s="63">
        <v>237.0</v>
      </c>
      <c r="C2254" s="64" t="s">
        <v>498</v>
      </c>
      <c r="D2254" s="64" t="s">
        <v>499</v>
      </c>
      <c r="E2254" s="64" t="s">
        <v>500</v>
      </c>
      <c r="F2254" s="63">
        <v>6000.0</v>
      </c>
      <c r="G2254" s="63">
        <v>31.5</v>
      </c>
      <c r="H2254" s="66">
        <f t="shared" si="1"/>
        <v>263.89</v>
      </c>
      <c r="I2254" s="81">
        <f>IFERROR(__xludf.DUMMYFUNCTION("IF(G2254="""", """", ROUND(G2254 / MAX(FILTER($G$2:$G5067, $D$2:$D5067=$D2254)) * 100, 2))"),100.0)</f>
        <v>100</v>
      </c>
      <c r="J2254" s="81">
        <f>IFERROR(__xludf.DUMMYFUNCTION("IF(H2254="""", """", ROUND(H2254 / MAX(FILTER($H$2:$H5067, $D$2:$D5067=$D2254)) * 100, 2))"),97.9)</f>
        <v>97.9</v>
      </c>
      <c r="K2254" s="2"/>
      <c r="L2254" s="49"/>
      <c r="M2254" s="49"/>
      <c r="N2254" s="49"/>
      <c r="O2254" s="49" t="str">
        <f t="shared" si="2"/>
        <v/>
      </c>
      <c r="P2254" s="49" t="str">
        <f t="shared" si="3"/>
        <v/>
      </c>
      <c r="Q2254" s="84"/>
      <c r="R2254" s="84"/>
      <c r="S2254" s="84"/>
      <c r="T2254" s="84"/>
      <c r="U2254" s="84"/>
      <c r="V2254" s="84"/>
      <c r="W2254" s="84"/>
      <c r="X2254" s="84"/>
      <c r="Y2254" s="84"/>
      <c r="Z2254" s="84"/>
      <c r="AA2254" s="84"/>
      <c r="AB2254" s="84"/>
    </row>
    <row r="2255">
      <c r="A2255" s="69">
        <v>150.0</v>
      </c>
      <c r="B2255" s="69">
        <v>237.0</v>
      </c>
      <c r="C2255" s="86" t="s">
        <v>498</v>
      </c>
      <c r="D2255" s="86" t="s">
        <v>499</v>
      </c>
      <c r="E2255" s="86" t="s">
        <v>500</v>
      </c>
      <c r="F2255" s="69">
        <v>6500.0</v>
      </c>
      <c r="G2255" s="69">
        <v>29.7</v>
      </c>
      <c r="H2255" s="68">
        <f t="shared" si="1"/>
        <v>269.55</v>
      </c>
      <c r="I2255" s="81">
        <f>IFERROR(__xludf.DUMMYFUNCTION("IF(G2255="""", """", ROUND(G2255 / MAX(FILTER($G$2:$G5067, $D$2:$D5067=$D2255)) * 100, 2))"),94.29)</f>
        <v>94.29</v>
      </c>
      <c r="J2255" s="81">
        <f>IFERROR(__xludf.DUMMYFUNCTION("IF(H2255="""", """", ROUND(H2255 / MAX(FILTER($H$2:$H5067, $D$2:$D5067=$D2255)) * 100, 2))"),100.0)</f>
        <v>100</v>
      </c>
      <c r="K2255" s="2"/>
      <c r="L2255" s="48"/>
      <c r="M2255" s="48"/>
      <c r="N2255" s="48"/>
      <c r="O2255" s="48" t="str">
        <f t="shared" si="2"/>
        <v/>
      </c>
      <c r="P2255" s="48" t="str">
        <f t="shared" si="3"/>
        <v/>
      </c>
      <c r="Q2255" s="84"/>
      <c r="R2255" s="84"/>
      <c r="S2255" s="84"/>
      <c r="T2255" s="84"/>
      <c r="U2255" s="84"/>
      <c r="V2255" s="84"/>
      <c r="W2255" s="84"/>
      <c r="X2255" s="84"/>
      <c r="Y2255" s="84"/>
      <c r="Z2255" s="84"/>
      <c r="AA2255" s="84"/>
      <c r="AB2255" s="84"/>
    </row>
    <row r="2256">
      <c r="A2256" s="63">
        <v>150.0</v>
      </c>
      <c r="B2256" s="63">
        <v>237.0</v>
      </c>
      <c r="C2256" s="64" t="s">
        <v>498</v>
      </c>
      <c r="D2256" s="64" t="s">
        <v>499</v>
      </c>
      <c r="E2256" s="64" t="s">
        <v>500</v>
      </c>
      <c r="F2256" s="63">
        <v>7000.0</v>
      </c>
      <c r="G2256" s="63">
        <v>27.3</v>
      </c>
      <c r="H2256" s="66">
        <f t="shared" si="1"/>
        <v>266.82</v>
      </c>
      <c r="I2256" s="81">
        <f>IFERROR(__xludf.DUMMYFUNCTION("IF(G2256="""", """", ROUND(G2256 / MAX(FILTER($G$2:$G5067, $D$2:$D5067=$D2256)) * 100, 2))"),86.67)</f>
        <v>86.67</v>
      </c>
      <c r="J2256" s="81">
        <f>IFERROR(__xludf.DUMMYFUNCTION("IF(H2256="""", """", ROUND(H2256 / MAX(FILTER($H$2:$H5067, $D$2:$D5067=$D2256)) * 100, 2))"),98.99)</f>
        <v>98.99</v>
      </c>
      <c r="K2256" s="2"/>
      <c r="L2256" s="49"/>
      <c r="M2256" s="49"/>
      <c r="N2256" s="49"/>
      <c r="O2256" s="49" t="str">
        <f t="shared" si="2"/>
        <v/>
      </c>
      <c r="P2256" s="49" t="str">
        <f t="shared" si="3"/>
        <v/>
      </c>
      <c r="Q2256" s="84"/>
      <c r="R2256" s="84"/>
      <c r="S2256" s="84"/>
      <c r="T2256" s="84"/>
      <c r="U2256" s="84"/>
      <c r="V2256" s="84"/>
      <c r="W2256" s="84"/>
      <c r="X2256" s="84"/>
      <c r="Y2256" s="84"/>
      <c r="Z2256" s="84"/>
      <c r="AA2256" s="84"/>
      <c r="AB2256" s="84"/>
    </row>
    <row r="2257">
      <c r="A2257" s="69">
        <v>150.0</v>
      </c>
      <c r="B2257" s="69">
        <v>237.0</v>
      </c>
      <c r="C2257" s="86" t="s">
        <v>498</v>
      </c>
      <c r="D2257" s="86" t="s">
        <v>499</v>
      </c>
      <c r="E2257" s="86" t="s">
        <v>500</v>
      </c>
      <c r="F2257" s="69">
        <v>7500.0</v>
      </c>
      <c r="G2257" s="69">
        <v>24.3</v>
      </c>
      <c r="H2257" s="68">
        <f t="shared" si="1"/>
        <v>254.47</v>
      </c>
      <c r="I2257" s="81">
        <f>IFERROR(__xludf.DUMMYFUNCTION("IF(G2257="""", """", ROUND(G2257 / MAX(FILTER($G$2:$G5067, $D$2:$D5067=$D2257)) * 100, 2))"),77.14)</f>
        <v>77.14</v>
      </c>
      <c r="J2257" s="81">
        <f>IFERROR(__xludf.DUMMYFUNCTION("IF(H2257="""", """", ROUND(H2257 / MAX(FILTER($H$2:$H5067, $D$2:$D5067=$D2257)) * 100, 2))"),94.41)</f>
        <v>94.41</v>
      </c>
      <c r="K2257" s="2"/>
      <c r="L2257" s="48"/>
      <c r="M2257" s="48"/>
      <c r="N2257" s="48"/>
      <c r="O2257" s="48" t="str">
        <f t="shared" si="2"/>
        <v/>
      </c>
      <c r="P2257" s="48" t="str">
        <f t="shared" si="3"/>
        <v/>
      </c>
      <c r="Q2257" s="84"/>
      <c r="R2257" s="84"/>
      <c r="S2257" s="84"/>
      <c r="T2257" s="84"/>
      <c r="U2257" s="84"/>
      <c r="V2257" s="84"/>
      <c r="W2257" s="84"/>
      <c r="X2257" s="84"/>
      <c r="Y2257" s="84"/>
      <c r="Z2257" s="84"/>
      <c r="AA2257" s="84"/>
      <c r="AB2257" s="84"/>
    </row>
    <row r="2258">
      <c r="A2258" s="63">
        <v>151.0</v>
      </c>
      <c r="B2258" s="63">
        <v>239.0</v>
      </c>
      <c r="C2258" s="64" t="s">
        <v>501</v>
      </c>
      <c r="D2258" s="64" t="s">
        <v>502</v>
      </c>
      <c r="E2258" s="64" t="s">
        <v>503</v>
      </c>
      <c r="F2258" s="63">
        <v>500.0</v>
      </c>
      <c r="G2258" s="63">
        <v>18.98</v>
      </c>
      <c r="H2258" s="66">
        <f t="shared" si="1"/>
        <v>13.25</v>
      </c>
      <c r="I2258" s="81">
        <f>IFERROR(__xludf.DUMMYFUNCTION("IF(G2258="""", """", ROUND(G2258 / MAX(FILTER($G$2:$G5067, $D$2:$D5067=$D2258)) * 100, 2))"),42.18)</f>
        <v>42.18</v>
      </c>
      <c r="J2258" s="81">
        <f>IFERROR(__xludf.DUMMYFUNCTION("IF(H2258="""", """", ROUND(H2258 / MAX(FILTER($H$2:$H5067, $D$2:$D5067=$D2258)) * 100, 2))"),4.14)</f>
        <v>4.14</v>
      </c>
      <c r="K2258" s="2"/>
      <c r="L2258" s="49"/>
      <c r="M2258" s="49"/>
      <c r="N2258" s="49"/>
      <c r="O2258" s="49" t="str">
        <f t="shared" si="2"/>
        <v/>
      </c>
      <c r="P2258" s="49" t="str">
        <f t="shared" si="3"/>
        <v/>
      </c>
      <c r="Q2258" s="84"/>
      <c r="R2258" s="84"/>
      <c r="S2258" s="84"/>
      <c r="T2258" s="84"/>
      <c r="U2258" s="84"/>
      <c r="V2258" s="84"/>
      <c r="W2258" s="84"/>
      <c r="X2258" s="84"/>
      <c r="Y2258" s="84"/>
      <c r="Z2258" s="84"/>
      <c r="AA2258" s="84"/>
      <c r="AB2258" s="84"/>
    </row>
    <row r="2259">
      <c r="A2259" s="69">
        <v>151.0</v>
      </c>
      <c r="B2259" s="69">
        <v>239.0</v>
      </c>
      <c r="C2259" s="86" t="s">
        <v>501</v>
      </c>
      <c r="D2259" s="86" t="s">
        <v>502</v>
      </c>
      <c r="E2259" s="86" t="s">
        <v>503</v>
      </c>
      <c r="F2259" s="69">
        <v>1000.0</v>
      </c>
      <c r="G2259" s="69">
        <v>23.9</v>
      </c>
      <c r="H2259" s="68">
        <f t="shared" si="1"/>
        <v>33.37</v>
      </c>
      <c r="I2259" s="81">
        <f>IFERROR(__xludf.DUMMYFUNCTION("IF(G2259="""", """", ROUND(G2259 / MAX(FILTER($G$2:$G5067, $D$2:$D5067=$D2259)) * 100, 2))"),53.11)</f>
        <v>53.11</v>
      </c>
      <c r="J2259" s="81">
        <f>IFERROR(__xludf.DUMMYFUNCTION("IF(H2259="""", """", ROUND(H2259 / MAX(FILTER($H$2:$H5067, $D$2:$D5067=$D2259)) * 100, 2))"),10.43)</f>
        <v>10.43</v>
      </c>
      <c r="K2259" s="2"/>
      <c r="L2259" s="48"/>
      <c r="M2259" s="48"/>
      <c r="N2259" s="48"/>
      <c r="O2259" s="48" t="str">
        <f t="shared" si="2"/>
        <v/>
      </c>
      <c r="P2259" s="48" t="str">
        <f t="shared" si="3"/>
        <v/>
      </c>
      <c r="Q2259" s="84"/>
      <c r="R2259" s="84"/>
      <c r="S2259" s="84"/>
      <c r="T2259" s="84"/>
      <c r="U2259" s="84"/>
      <c r="V2259" s="84"/>
      <c r="W2259" s="84"/>
      <c r="X2259" s="84"/>
      <c r="Y2259" s="84"/>
      <c r="Z2259" s="84"/>
      <c r="AA2259" s="84"/>
      <c r="AB2259" s="84"/>
    </row>
    <row r="2260">
      <c r="A2260" s="63">
        <v>151.0</v>
      </c>
      <c r="B2260" s="63">
        <v>239.0</v>
      </c>
      <c r="C2260" s="64" t="s">
        <v>501</v>
      </c>
      <c r="D2260" s="64" t="s">
        <v>502</v>
      </c>
      <c r="E2260" s="64" t="s">
        <v>503</v>
      </c>
      <c r="F2260" s="63">
        <v>1500.0</v>
      </c>
      <c r="G2260" s="63">
        <v>30.85</v>
      </c>
      <c r="H2260" s="66">
        <f t="shared" si="1"/>
        <v>64.61</v>
      </c>
      <c r="I2260" s="81">
        <f>IFERROR(__xludf.DUMMYFUNCTION("IF(G2260="""", """", ROUND(G2260 / MAX(FILTER($G$2:$G5067, $D$2:$D5067=$D2260)) * 100, 2))"),68.56)</f>
        <v>68.56</v>
      </c>
      <c r="J2260" s="81">
        <f>IFERROR(__xludf.DUMMYFUNCTION("IF(H2260="""", """", ROUND(H2260 / MAX(FILTER($H$2:$H5067, $D$2:$D5067=$D2260)) * 100, 2))"),20.19)</f>
        <v>20.19</v>
      </c>
      <c r="K2260" s="2"/>
      <c r="L2260" s="49"/>
      <c r="M2260" s="49"/>
      <c r="N2260" s="49"/>
      <c r="O2260" s="49" t="str">
        <f t="shared" si="2"/>
        <v/>
      </c>
      <c r="P2260" s="49" t="str">
        <f t="shared" si="3"/>
        <v/>
      </c>
      <c r="Q2260" s="84"/>
      <c r="R2260" s="84"/>
      <c r="S2260" s="84"/>
      <c r="T2260" s="84"/>
      <c r="U2260" s="84"/>
      <c r="V2260" s="84"/>
      <c r="W2260" s="84"/>
      <c r="X2260" s="84"/>
      <c r="Y2260" s="84"/>
      <c r="Z2260" s="84"/>
      <c r="AA2260" s="84"/>
      <c r="AB2260" s="84"/>
    </row>
    <row r="2261">
      <c r="A2261" s="69">
        <v>151.0</v>
      </c>
      <c r="B2261" s="69">
        <v>239.0</v>
      </c>
      <c r="C2261" s="86" t="s">
        <v>501</v>
      </c>
      <c r="D2261" s="86" t="s">
        <v>502</v>
      </c>
      <c r="E2261" s="86" t="s">
        <v>503</v>
      </c>
      <c r="F2261" s="69">
        <v>2000.0</v>
      </c>
      <c r="G2261" s="69">
        <v>36.68</v>
      </c>
      <c r="H2261" s="68">
        <f t="shared" si="1"/>
        <v>102.43</v>
      </c>
      <c r="I2261" s="81">
        <f>IFERROR(__xludf.DUMMYFUNCTION("IF(G2261="""", """", ROUND(G2261 / MAX(FILTER($G$2:$G5067, $D$2:$D5067=$D2261)) * 100, 2))"),81.51)</f>
        <v>81.51</v>
      </c>
      <c r="J2261" s="81">
        <f>IFERROR(__xludf.DUMMYFUNCTION("IF(H2261="""", """", ROUND(H2261 / MAX(FILTER($H$2:$H5067, $D$2:$D5067=$D2261)) * 100, 2))"),32.01)</f>
        <v>32.01</v>
      </c>
      <c r="K2261" s="2"/>
      <c r="L2261" s="48"/>
      <c r="M2261" s="48"/>
      <c r="N2261" s="48"/>
      <c r="O2261" s="48" t="str">
        <f t="shared" si="2"/>
        <v/>
      </c>
      <c r="P2261" s="48" t="str">
        <f t="shared" si="3"/>
        <v/>
      </c>
      <c r="Q2261" s="84"/>
      <c r="R2261" s="84"/>
      <c r="S2261" s="84"/>
      <c r="T2261" s="84"/>
      <c r="U2261" s="84"/>
      <c r="V2261" s="84"/>
      <c r="W2261" s="84"/>
      <c r="X2261" s="84"/>
      <c r="Y2261" s="84"/>
      <c r="Z2261" s="84"/>
      <c r="AA2261" s="84"/>
      <c r="AB2261" s="84"/>
    </row>
    <row r="2262">
      <c r="A2262" s="63">
        <v>151.0</v>
      </c>
      <c r="B2262" s="63">
        <v>239.0</v>
      </c>
      <c r="C2262" s="64" t="s">
        <v>501</v>
      </c>
      <c r="D2262" s="64" t="s">
        <v>502</v>
      </c>
      <c r="E2262" s="64" t="s">
        <v>503</v>
      </c>
      <c r="F2262" s="63">
        <v>2500.0</v>
      </c>
      <c r="G2262" s="63">
        <v>42.72</v>
      </c>
      <c r="H2262" s="66">
        <f t="shared" si="1"/>
        <v>149.12</v>
      </c>
      <c r="I2262" s="81">
        <f>IFERROR(__xludf.DUMMYFUNCTION("IF(G2262="""", """", ROUND(G2262 / MAX(FILTER($G$2:$G5067, $D$2:$D5067=$D2262)) * 100, 2))"),94.93)</f>
        <v>94.93</v>
      </c>
      <c r="J2262" s="81">
        <f>IFERROR(__xludf.DUMMYFUNCTION("IF(H2262="""", """", ROUND(H2262 / MAX(FILTER($H$2:$H5067, $D$2:$D5067=$D2262)) * 100, 2))"),46.6)</f>
        <v>46.6</v>
      </c>
      <c r="K2262" s="2"/>
      <c r="L2262" s="49"/>
      <c r="M2262" s="49"/>
      <c r="N2262" s="49"/>
      <c r="O2262" s="49" t="str">
        <f t="shared" si="2"/>
        <v/>
      </c>
      <c r="P2262" s="49" t="str">
        <f t="shared" si="3"/>
        <v/>
      </c>
      <c r="Q2262" s="84"/>
      <c r="R2262" s="84"/>
      <c r="S2262" s="84"/>
      <c r="T2262" s="84"/>
      <c r="U2262" s="84"/>
      <c r="V2262" s="84"/>
      <c r="W2262" s="84"/>
      <c r="X2262" s="84"/>
      <c r="Y2262" s="84"/>
      <c r="Z2262" s="84"/>
      <c r="AA2262" s="84"/>
      <c r="AB2262" s="84"/>
    </row>
    <row r="2263">
      <c r="A2263" s="69">
        <v>151.0</v>
      </c>
      <c r="B2263" s="69">
        <v>239.0</v>
      </c>
      <c r="C2263" s="86" t="s">
        <v>501</v>
      </c>
      <c r="D2263" s="86" t="s">
        <v>502</v>
      </c>
      <c r="E2263" s="86" t="s">
        <v>503</v>
      </c>
      <c r="F2263" s="69">
        <v>3000.0</v>
      </c>
      <c r="G2263" s="69">
        <v>44.62</v>
      </c>
      <c r="H2263" s="68">
        <f t="shared" si="1"/>
        <v>186.9</v>
      </c>
      <c r="I2263" s="81">
        <f>IFERROR(__xludf.DUMMYFUNCTION("IF(G2263="""", """", ROUND(G2263 / MAX(FILTER($G$2:$G5067, $D$2:$D5067=$D2263)) * 100, 2))"),99.16)</f>
        <v>99.16</v>
      </c>
      <c r="J2263" s="81">
        <f>IFERROR(__xludf.DUMMYFUNCTION("IF(H2263="""", """", ROUND(H2263 / MAX(FILTER($H$2:$H5067, $D$2:$D5067=$D2263)) * 100, 2))"),58.4)</f>
        <v>58.4</v>
      </c>
      <c r="K2263" s="2"/>
      <c r="L2263" s="48"/>
      <c r="M2263" s="48"/>
      <c r="N2263" s="48"/>
      <c r="O2263" s="48" t="str">
        <f t="shared" si="2"/>
        <v/>
      </c>
      <c r="P2263" s="48" t="str">
        <f t="shared" si="3"/>
        <v/>
      </c>
      <c r="Q2263" s="84"/>
      <c r="R2263" s="84"/>
      <c r="S2263" s="84"/>
      <c r="T2263" s="84"/>
      <c r="U2263" s="84"/>
      <c r="V2263" s="84"/>
      <c r="W2263" s="84"/>
      <c r="X2263" s="84"/>
      <c r="Y2263" s="84"/>
      <c r="Z2263" s="84"/>
      <c r="AA2263" s="84"/>
      <c r="AB2263" s="84"/>
    </row>
    <row r="2264">
      <c r="A2264" s="63">
        <v>151.0</v>
      </c>
      <c r="B2264" s="63">
        <v>239.0</v>
      </c>
      <c r="C2264" s="64" t="s">
        <v>501</v>
      </c>
      <c r="D2264" s="64" t="s">
        <v>502</v>
      </c>
      <c r="E2264" s="64" t="s">
        <v>503</v>
      </c>
      <c r="F2264" s="63">
        <v>3500.0</v>
      </c>
      <c r="G2264" s="63">
        <v>45.0</v>
      </c>
      <c r="H2264" s="66">
        <f t="shared" si="1"/>
        <v>219.91</v>
      </c>
      <c r="I2264" s="81">
        <f>IFERROR(__xludf.DUMMYFUNCTION("IF(G2264="""", """", ROUND(G2264 / MAX(FILTER($G$2:$G5067, $D$2:$D5067=$D2264)) * 100, 2))"),100.0)</f>
        <v>100</v>
      </c>
      <c r="J2264" s="81">
        <f>IFERROR(__xludf.DUMMYFUNCTION("IF(H2264="""", """", ROUND(H2264 / MAX(FILTER($H$2:$H5067, $D$2:$D5067=$D2264)) * 100, 2))"),68.72)</f>
        <v>68.72</v>
      </c>
      <c r="K2264" s="2"/>
      <c r="L2264" s="49"/>
      <c r="M2264" s="49"/>
      <c r="N2264" s="49"/>
      <c r="O2264" s="49" t="str">
        <f t="shared" si="2"/>
        <v/>
      </c>
      <c r="P2264" s="49" t="str">
        <f t="shared" si="3"/>
        <v/>
      </c>
      <c r="Q2264" s="84"/>
      <c r="R2264" s="84"/>
      <c r="S2264" s="84"/>
      <c r="T2264" s="84"/>
      <c r="U2264" s="84"/>
      <c r="V2264" s="84"/>
      <c r="W2264" s="84"/>
      <c r="X2264" s="84"/>
      <c r="Y2264" s="84"/>
      <c r="Z2264" s="84"/>
      <c r="AA2264" s="84"/>
      <c r="AB2264" s="84"/>
    </row>
    <row r="2265">
      <c r="A2265" s="69">
        <v>151.0</v>
      </c>
      <c r="B2265" s="69">
        <v>239.0</v>
      </c>
      <c r="C2265" s="86" t="s">
        <v>501</v>
      </c>
      <c r="D2265" s="86" t="s">
        <v>502</v>
      </c>
      <c r="E2265" s="86" t="s">
        <v>503</v>
      </c>
      <c r="F2265" s="69">
        <v>4000.0</v>
      </c>
      <c r="G2265" s="69">
        <v>44.81</v>
      </c>
      <c r="H2265" s="68">
        <f t="shared" si="1"/>
        <v>250.27</v>
      </c>
      <c r="I2265" s="81">
        <f>IFERROR(__xludf.DUMMYFUNCTION("IF(G2265="""", """", ROUND(G2265 / MAX(FILTER($G$2:$G5067, $D$2:$D5067=$D2265)) * 100, 2))"),99.58)</f>
        <v>99.58</v>
      </c>
      <c r="J2265" s="81">
        <f>IFERROR(__xludf.DUMMYFUNCTION("IF(H2265="""", """", ROUND(H2265 / MAX(FILTER($H$2:$H5067, $D$2:$D5067=$D2265)) * 100, 2))"),78.21)</f>
        <v>78.21</v>
      </c>
      <c r="K2265" s="2"/>
      <c r="L2265" s="48"/>
      <c r="M2265" s="48"/>
      <c r="N2265" s="48"/>
      <c r="O2265" s="48" t="str">
        <f t="shared" si="2"/>
        <v/>
      </c>
      <c r="P2265" s="48" t="str">
        <f t="shared" si="3"/>
        <v/>
      </c>
      <c r="Q2265" s="84"/>
      <c r="R2265" s="84"/>
      <c r="S2265" s="84"/>
      <c r="T2265" s="84"/>
      <c r="U2265" s="84"/>
      <c r="V2265" s="84"/>
      <c r="W2265" s="84"/>
      <c r="X2265" s="84"/>
      <c r="Y2265" s="84"/>
      <c r="Z2265" s="84"/>
      <c r="AA2265" s="84"/>
      <c r="AB2265" s="84"/>
    </row>
    <row r="2266">
      <c r="A2266" s="63">
        <v>151.0</v>
      </c>
      <c r="B2266" s="63">
        <v>239.0</v>
      </c>
      <c r="C2266" s="64" t="s">
        <v>501</v>
      </c>
      <c r="D2266" s="64" t="s">
        <v>502</v>
      </c>
      <c r="E2266" s="64" t="s">
        <v>503</v>
      </c>
      <c r="F2266" s="63">
        <v>4500.0</v>
      </c>
      <c r="G2266" s="63">
        <v>44.87</v>
      </c>
      <c r="H2266" s="66">
        <f t="shared" si="1"/>
        <v>281.93</v>
      </c>
      <c r="I2266" s="81">
        <f>IFERROR(__xludf.DUMMYFUNCTION("IF(G2266="""", """", ROUND(G2266 / MAX(FILTER($G$2:$G5067, $D$2:$D5067=$D2266)) * 100, 2))"),99.71)</f>
        <v>99.71</v>
      </c>
      <c r="J2266" s="81">
        <f>IFERROR(__xludf.DUMMYFUNCTION("IF(H2266="""", """", ROUND(H2266 / MAX(FILTER($H$2:$H5067, $D$2:$D5067=$D2266)) * 100, 2))"),88.1)</f>
        <v>88.1</v>
      </c>
      <c r="K2266" s="2"/>
      <c r="L2266" s="49"/>
      <c r="M2266" s="49"/>
      <c r="N2266" s="49"/>
      <c r="O2266" s="49" t="str">
        <f t="shared" si="2"/>
        <v/>
      </c>
      <c r="P2266" s="49" t="str">
        <f t="shared" si="3"/>
        <v/>
      </c>
      <c r="Q2266" s="84"/>
      <c r="R2266" s="84"/>
      <c r="S2266" s="84"/>
      <c r="T2266" s="84"/>
      <c r="U2266" s="84"/>
      <c r="V2266" s="84"/>
      <c r="W2266" s="84"/>
      <c r="X2266" s="84"/>
      <c r="Y2266" s="84"/>
      <c r="Z2266" s="84"/>
      <c r="AA2266" s="84"/>
      <c r="AB2266" s="84"/>
    </row>
    <row r="2267">
      <c r="A2267" s="69">
        <v>151.0</v>
      </c>
      <c r="B2267" s="69">
        <v>239.0</v>
      </c>
      <c r="C2267" s="86" t="s">
        <v>501</v>
      </c>
      <c r="D2267" s="86" t="s">
        <v>502</v>
      </c>
      <c r="E2267" s="86" t="s">
        <v>503</v>
      </c>
      <c r="F2267" s="69">
        <v>5000.0</v>
      </c>
      <c r="G2267" s="69">
        <v>43.21</v>
      </c>
      <c r="H2267" s="68">
        <f t="shared" si="1"/>
        <v>301.66</v>
      </c>
      <c r="I2267" s="81">
        <f>IFERROR(__xludf.DUMMYFUNCTION("IF(G2267="""", """", ROUND(G2267 / MAX(FILTER($G$2:$G5067, $D$2:$D5067=$D2267)) * 100, 2))"),96.02)</f>
        <v>96.02</v>
      </c>
      <c r="J2267" s="81">
        <f>IFERROR(__xludf.DUMMYFUNCTION("IF(H2267="""", """", ROUND(H2267 / MAX(FILTER($H$2:$H5067, $D$2:$D5067=$D2267)) * 100, 2))"),94.27)</f>
        <v>94.27</v>
      </c>
      <c r="K2267" s="2"/>
      <c r="L2267" s="48"/>
      <c r="M2267" s="48"/>
      <c r="N2267" s="48"/>
      <c r="O2267" s="48" t="str">
        <f t="shared" si="2"/>
        <v/>
      </c>
      <c r="P2267" s="48" t="str">
        <f t="shared" si="3"/>
        <v/>
      </c>
      <c r="Q2267" s="84"/>
      <c r="R2267" s="84"/>
      <c r="S2267" s="84"/>
      <c r="T2267" s="84"/>
      <c r="U2267" s="84"/>
      <c r="V2267" s="84"/>
      <c r="W2267" s="84"/>
      <c r="X2267" s="84"/>
      <c r="Y2267" s="84"/>
      <c r="Z2267" s="84"/>
      <c r="AA2267" s="84"/>
      <c r="AB2267" s="84"/>
    </row>
    <row r="2268">
      <c r="A2268" s="63">
        <v>151.0</v>
      </c>
      <c r="B2268" s="63">
        <v>239.0</v>
      </c>
      <c r="C2268" s="64" t="s">
        <v>501</v>
      </c>
      <c r="D2268" s="64" t="s">
        <v>502</v>
      </c>
      <c r="E2268" s="64" t="s">
        <v>503</v>
      </c>
      <c r="F2268" s="63">
        <v>5500.0</v>
      </c>
      <c r="G2268" s="63">
        <v>41.05</v>
      </c>
      <c r="H2268" s="66">
        <f t="shared" si="1"/>
        <v>315.24</v>
      </c>
      <c r="I2268" s="81">
        <f>IFERROR(__xludf.DUMMYFUNCTION("IF(G2268="""", """", ROUND(G2268 / MAX(FILTER($G$2:$G5067, $D$2:$D5067=$D2268)) * 100, 2))"),91.22)</f>
        <v>91.22</v>
      </c>
      <c r="J2268" s="81">
        <f>IFERROR(__xludf.DUMMYFUNCTION("IF(H2268="""", """", ROUND(H2268 / MAX(FILTER($H$2:$H5067, $D$2:$D5067=$D2268)) * 100, 2))"),98.51)</f>
        <v>98.51</v>
      </c>
      <c r="K2268" s="2"/>
      <c r="L2268" s="49"/>
      <c r="M2268" s="49"/>
      <c r="N2268" s="49"/>
      <c r="O2268" s="49" t="str">
        <f t="shared" si="2"/>
        <v/>
      </c>
      <c r="P2268" s="49" t="str">
        <f t="shared" si="3"/>
        <v/>
      </c>
      <c r="Q2268" s="84"/>
      <c r="R2268" s="84"/>
      <c r="S2268" s="84"/>
      <c r="T2268" s="84"/>
      <c r="U2268" s="84"/>
      <c r="V2268" s="84"/>
      <c r="W2268" s="84"/>
      <c r="X2268" s="84"/>
      <c r="Y2268" s="84"/>
      <c r="Z2268" s="84"/>
      <c r="AA2268" s="84"/>
      <c r="AB2268" s="84"/>
    </row>
    <row r="2269">
      <c r="A2269" s="69">
        <v>151.0</v>
      </c>
      <c r="B2269" s="69">
        <v>239.0</v>
      </c>
      <c r="C2269" s="86" t="s">
        <v>501</v>
      </c>
      <c r="D2269" s="86" t="s">
        <v>502</v>
      </c>
      <c r="E2269" s="86" t="s">
        <v>503</v>
      </c>
      <c r="F2269" s="69">
        <v>6000.0</v>
      </c>
      <c r="G2269" s="69">
        <v>37.92</v>
      </c>
      <c r="H2269" s="68">
        <f t="shared" si="1"/>
        <v>317.68</v>
      </c>
      <c r="I2269" s="81">
        <f>IFERROR(__xludf.DUMMYFUNCTION("IF(G2269="""", """", ROUND(G2269 / MAX(FILTER($G$2:$G5067, $D$2:$D5067=$D2269)) * 100, 2))"),84.27)</f>
        <v>84.27</v>
      </c>
      <c r="J2269" s="81">
        <f>IFERROR(__xludf.DUMMYFUNCTION("IF(H2269="""", """", ROUND(H2269 / MAX(FILTER($H$2:$H5067, $D$2:$D5067=$D2269)) * 100, 2))"),99.27)</f>
        <v>99.27</v>
      </c>
      <c r="K2269" s="2"/>
      <c r="L2269" s="48"/>
      <c r="M2269" s="48"/>
      <c r="N2269" s="48"/>
      <c r="O2269" s="48" t="str">
        <f t="shared" si="2"/>
        <v/>
      </c>
      <c r="P2269" s="48" t="str">
        <f t="shared" si="3"/>
        <v/>
      </c>
      <c r="Q2269" s="84"/>
      <c r="R2269" s="84"/>
      <c r="S2269" s="84"/>
      <c r="T2269" s="84"/>
      <c r="U2269" s="84"/>
      <c r="V2269" s="84"/>
      <c r="W2269" s="84"/>
      <c r="X2269" s="84"/>
      <c r="Y2269" s="84"/>
      <c r="Z2269" s="84"/>
      <c r="AA2269" s="84"/>
      <c r="AB2269" s="84"/>
    </row>
    <row r="2270">
      <c r="A2270" s="63">
        <v>151.0</v>
      </c>
      <c r="B2270" s="63">
        <v>239.0</v>
      </c>
      <c r="C2270" s="64" t="s">
        <v>501</v>
      </c>
      <c r="D2270" s="64" t="s">
        <v>502</v>
      </c>
      <c r="E2270" s="64" t="s">
        <v>503</v>
      </c>
      <c r="F2270" s="63">
        <v>6500.0</v>
      </c>
      <c r="G2270" s="63">
        <v>35.26</v>
      </c>
      <c r="H2270" s="66">
        <f t="shared" si="1"/>
        <v>320.01</v>
      </c>
      <c r="I2270" s="81">
        <f>IFERROR(__xludf.DUMMYFUNCTION("IF(G2270="""", """", ROUND(G2270 / MAX(FILTER($G$2:$G5067, $D$2:$D5067=$D2270)) * 100, 2))"),78.36)</f>
        <v>78.36</v>
      </c>
      <c r="J2270" s="81">
        <f>IFERROR(__xludf.DUMMYFUNCTION("IF(H2270="""", """", ROUND(H2270 / MAX(FILTER($H$2:$H5067, $D$2:$D5067=$D2270)) * 100, 2))"),100.0)</f>
        <v>100</v>
      </c>
      <c r="K2270" s="2"/>
      <c r="L2270" s="49"/>
      <c r="M2270" s="49"/>
      <c r="N2270" s="49"/>
      <c r="O2270" s="49" t="str">
        <f t="shared" si="2"/>
        <v/>
      </c>
      <c r="P2270" s="49" t="str">
        <f t="shared" si="3"/>
        <v/>
      </c>
      <c r="Q2270" s="84"/>
      <c r="R2270" s="84"/>
      <c r="S2270" s="84"/>
      <c r="T2270" s="84"/>
      <c r="U2270" s="84"/>
      <c r="V2270" s="84"/>
      <c r="W2270" s="84"/>
      <c r="X2270" s="84"/>
      <c r="Y2270" s="84"/>
      <c r="Z2270" s="84"/>
      <c r="AA2270" s="84"/>
      <c r="AB2270" s="84"/>
    </row>
    <row r="2271">
      <c r="A2271" s="69">
        <v>151.0</v>
      </c>
      <c r="B2271" s="69">
        <v>239.0</v>
      </c>
      <c r="C2271" s="86" t="s">
        <v>501</v>
      </c>
      <c r="D2271" s="86" t="s">
        <v>502</v>
      </c>
      <c r="E2271" s="86" t="s">
        <v>503</v>
      </c>
      <c r="F2271" s="69">
        <v>7000.0</v>
      </c>
      <c r="G2271" s="69">
        <v>32.58</v>
      </c>
      <c r="H2271" s="68">
        <f t="shared" si="1"/>
        <v>318.43</v>
      </c>
      <c r="I2271" s="81">
        <f>IFERROR(__xludf.DUMMYFUNCTION("IF(G2271="""", """", ROUND(G2271 / MAX(FILTER($G$2:$G5067, $D$2:$D5067=$D2271)) * 100, 2))"),72.4)</f>
        <v>72.4</v>
      </c>
      <c r="J2271" s="81">
        <f>IFERROR(__xludf.DUMMYFUNCTION("IF(H2271="""", """", ROUND(H2271 / MAX(FILTER($H$2:$H5067, $D$2:$D5067=$D2271)) * 100, 2))"),99.51)</f>
        <v>99.51</v>
      </c>
      <c r="K2271" s="2"/>
      <c r="L2271" s="48"/>
      <c r="M2271" s="48"/>
      <c r="N2271" s="48"/>
      <c r="O2271" s="48" t="str">
        <f t="shared" si="2"/>
        <v/>
      </c>
      <c r="P2271" s="48" t="str">
        <f t="shared" si="3"/>
        <v/>
      </c>
      <c r="Q2271" s="84"/>
      <c r="R2271" s="84"/>
      <c r="S2271" s="84"/>
      <c r="T2271" s="84"/>
      <c r="U2271" s="84"/>
      <c r="V2271" s="84"/>
      <c r="W2271" s="84"/>
      <c r="X2271" s="84"/>
      <c r="Y2271" s="84"/>
      <c r="Z2271" s="84"/>
      <c r="AA2271" s="84"/>
      <c r="AB2271" s="84"/>
    </row>
    <row r="2272">
      <c r="A2272" s="63">
        <v>151.0</v>
      </c>
      <c r="B2272" s="63">
        <v>239.0</v>
      </c>
      <c r="C2272" s="64" t="s">
        <v>501</v>
      </c>
      <c r="D2272" s="64" t="s">
        <v>502</v>
      </c>
      <c r="E2272" s="64" t="s">
        <v>503</v>
      </c>
      <c r="F2272" s="63">
        <v>7500.0</v>
      </c>
      <c r="G2272" s="63">
        <v>30.13</v>
      </c>
      <c r="H2272" s="66">
        <f t="shared" si="1"/>
        <v>315.52</v>
      </c>
      <c r="I2272" s="81">
        <f>IFERROR(__xludf.DUMMYFUNCTION("IF(G2272="""", """", ROUND(G2272 / MAX(FILTER($G$2:$G5067, $D$2:$D5067=$D2272)) * 100, 2))"),66.96)</f>
        <v>66.96</v>
      </c>
      <c r="J2272" s="81">
        <f>IFERROR(__xludf.DUMMYFUNCTION("IF(H2272="""", """", ROUND(H2272 / MAX(FILTER($H$2:$H5067, $D$2:$D5067=$D2272)) * 100, 2))"),98.6)</f>
        <v>98.6</v>
      </c>
      <c r="K2272" s="2"/>
      <c r="L2272" s="49"/>
      <c r="M2272" s="49"/>
      <c r="N2272" s="49"/>
      <c r="O2272" s="49" t="str">
        <f t="shared" si="2"/>
        <v/>
      </c>
      <c r="P2272" s="49" t="str">
        <f t="shared" si="3"/>
        <v/>
      </c>
      <c r="Q2272" s="84"/>
      <c r="R2272" s="84"/>
      <c r="S2272" s="84"/>
      <c r="T2272" s="84"/>
      <c r="U2272" s="84"/>
      <c r="V2272" s="84"/>
      <c r="W2272" s="84"/>
      <c r="X2272" s="84"/>
      <c r="Y2272" s="84"/>
      <c r="Z2272" s="84"/>
      <c r="AA2272" s="84"/>
      <c r="AB2272" s="84"/>
    </row>
    <row r="2273">
      <c r="A2273" s="69">
        <v>151.0</v>
      </c>
      <c r="B2273" s="69">
        <v>239.0</v>
      </c>
      <c r="C2273" s="86" t="s">
        <v>501</v>
      </c>
      <c r="D2273" s="86" t="s">
        <v>502</v>
      </c>
      <c r="E2273" s="86" t="s">
        <v>503</v>
      </c>
      <c r="F2273" s="69">
        <v>8000.0</v>
      </c>
      <c r="G2273" s="69">
        <v>27.25</v>
      </c>
      <c r="H2273" s="68">
        <f t="shared" si="1"/>
        <v>304.38</v>
      </c>
      <c r="I2273" s="81">
        <f>IFERROR(__xludf.DUMMYFUNCTION("IF(G2273="""", """", ROUND(G2273 / MAX(FILTER($G$2:$G5067, $D$2:$D5067=$D2273)) * 100, 2))"),60.56)</f>
        <v>60.56</v>
      </c>
      <c r="J2273" s="81">
        <f>IFERROR(__xludf.DUMMYFUNCTION("IF(H2273="""", """", ROUND(H2273 / MAX(FILTER($H$2:$H5067, $D$2:$D5067=$D2273)) * 100, 2))"),95.12)</f>
        <v>95.12</v>
      </c>
      <c r="K2273" s="2"/>
      <c r="L2273" s="48"/>
      <c r="M2273" s="48"/>
      <c r="N2273" s="48"/>
      <c r="O2273" s="48" t="str">
        <f t="shared" si="2"/>
        <v/>
      </c>
      <c r="P2273" s="48" t="str">
        <f t="shared" si="3"/>
        <v/>
      </c>
      <c r="Q2273" s="84"/>
      <c r="R2273" s="84"/>
      <c r="S2273" s="84"/>
      <c r="T2273" s="84"/>
      <c r="U2273" s="84"/>
      <c r="V2273" s="84"/>
      <c r="W2273" s="84"/>
      <c r="X2273" s="84"/>
      <c r="Y2273" s="84"/>
      <c r="Z2273" s="84"/>
      <c r="AA2273" s="84"/>
      <c r="AB2273" s="84"/>
    </row>
    <row r="2274">
      <c r="A2274" s="63">
        <v>151.0</v>
      </c>
      <c r="B2274" s="63">
        <v>239.0</v>
      </c>
      <c r="C2274" s="64" t="s">
        <v>501</v>
      </c>
      <c r="D2274" s="64" t="s">
        <v>502</v>
      </c>
      <c r="E2274" s="64" t="s">
        <v>503</v>
      </c>
      <c r="F2274" s="63">
        <v>8500.0</v>
      </c>
      <c r="G2274" s="63">
        <v>24.13</v>
      </c>
      <c r="H2274" s="66">
        <f t="shared" si="1"/>
        <v>286.38</v>
      </c>
      <c r="I2274" s="81">
        <f>IFERROR(__xludf.DUMMYFUNCTION("IF(G2274="""", """", ROUND(G2274 / MAX(FILTER($G$2:$G5067, $D$2:$D5067=$D2274)) * 100, 2))"),53.62)</f>
        <v>53.62</v>
      </c>
      <c r="J2274" s="81">
        <f>IFERROR(__xludf.DUMMYFUNCTION("IF(H2274="""", """", ROUND(H2274 / MAX(FILTER($H$2:$H5067, $D$2:$D5067=$D2274)) * 100, 2))"),89.49)</f>
        <v>89.49</v>
      </c>
      <c r="K2274" s="2"/>
      <c r="L2274" s="49"/>
      <c r="M2274" s="49"/>
      <c r="N2274" s="49"/>
      <c r="O2274" s="49" t="str">
        <f t="shared" si="2"/>
        <v/>
      </c>
      <c r="P2274" s="49" t="str">
        <f t="shared" si="3"/>
        <v/>
      </c>
      <c r="Q2274" s="84"/>
      <c r="R2274" s="84"/>
      <c r="S2274" s="84"/>
      <c r="T2274" s="84"/>
      <c r="U2274" s="84"/>
      <c r="V2274" s="84"/>
      <c r="W2274" s="84"/>
      <c r="X2274" s="84"/>
      <c r="Y2274" s="84"/>
      <c r="Z2274" s="84"/>
      <c r="AA2274" s="84"/>
      <c r="AB2274" s="84"/>
    </row>
    <row r="2275">
      <c r="A2275" s="69">
        <v>152.0</v>
      </c>
      <c r="B2275" s="69">
        <v>240.0</v>
      </c>
      <c r="C2275" s="86" t="s">
        <v>504</v>
      </c>
      <c r="D2275" s="86" t="s">
        <v>505</v>
      </c>
      <c r="E2275" s="86" t="s">
        <v>506</v>
      </c>
      <c r="F2275" s="69">
        <v>500.0</v>
      </c>
      <c r="G2275" s="69">
        <v>11.9</v>
      </c>
      <c r="H2275" s="68">
        <f t="shared" si="1"/>
        <v>8.31</v>
      </c>
      <c r="I2275" s="81">
        <f>IFERROR(__xludf.DUMMYFUNCTION("IF(G2275="""", """", ROUND(G2275 / MAX(FILTER($G$2:$G5067, $D$2:$D5067=$D2275)) * 100, 2))"),66.11)</f>
        <v>66.11</v>
      </c>
      <c r="J2275" s="81">
        <f>IFERROR(__xludf.DUMMYFUNCTION("IF(H2275="""", """", ROUND(H2275 / MAX(FILTER($H$2:$H5067, $D$2:$D5067=$D2275)) * 100, 2))"),5.21)</f>
        <v>5.21</v>
      </c>
      <c r="K2275" s="2"/>
      <c r="L2275" s="48"/>
      <c r="M2275" s="48"/>
      <c r="N2275" s="48"/>
      <c r="O2275" s="48" t="str">
        <f t="shared" si="2"/>
        <v/>
      </c>
      <c r="P2275" s="48" t="str">
        <f t="shared" si="3"/>
        <v/>
      </c>
      <c r="Q2275" s="84"/>
      <c r="R2275" s="84"/>
      <c r="S2275" s="84"/>
      <c r="T2275" s="84"/>
      <c r="U2275" s="84"/>
      <c r="V2275" s="84"/>
      <c r="W2275" s="84"/>
      <c r="X2275" s="84"/>
      <c r="Y2275" s="84"/>
      <c r="Z2275" s="84"/>
      <c r="AA2275" s="84"/>
      <c r="AB2275" s="84"/>
    </row>
    <row r="2276">
      <c r="A2276" s="63">
        <v>152.0</v>
      </c>
      <c r="B2276" s="63">
        <v>240.0</v>
      </c>
      <c r="C2276" s="64" t="s">
        <v>504</v>
      </c>
      <c r="D2276" s="64" t="s">
        <v>505</v>
      </c>
      <c r="E2276" s="64" t="s">
        <v>506</v>
      </c>
      <c r="F2276" s="63">
        <v>1000.0</v>
      </c>
      <c r="G2276" s="63">
        <v>13.2</v>
      </c>
      <c r="H2276" s="66">
        <f t="shared" si="1"/>
        <v>18.43</v>
      </c>
      <c r="I2276" s="81">
        <f>IFERROR(__xludf.DUMMYFUNCTION("IF(G2276="""", """", ROUND(G2276 / MAX(FILTER($G$2:$G5067, $D$2:$D5067=$D2276)) * 100, 2))"),73.33)</f>
        <v>73.33</v>
      </c>
      <c r="J2276" s="81">
        <f>IFERROR(__xludf.DUMMYFUNCTION("IF(H2276="""", """", ROUND(H2276 / MAX(FILTER($H$2:$H5067, $D$2:$D5067=$D2276)) * 100, 2))"),11.55)</f>
        <v>11.55</v>
      </c>
      <c r="K2276" s="2"/>
      <c r="L2276" s="49"/>
      <c r="M2276" s="49"/>
      <c r="N2276" s="49"/>
      <c r="O2276" s="49" t="str">
        <f t="shared" si="2"/>
        <v/>
      </c>
      <c r="P2276" s="49" t="str">
        <f t="shared" si="3"/>
        <v/>
      </c>
      <c r="Q2276" s="84"/>
      <c r="R2276" s="84"/>
      <c r="S2276" s="84"/>
      <c r="T2276" s="84"/>
      <c r="U2276" s="84"/>
      <c r="V2276" s="84"/>
      <c r="W2276" s="84"/>
      <c r="X2276" s="84"/>
      <c r="Y2276" s="84"/>
      <c r="Z2276" s="84"/>
      <c r="AA2276" s="84"/>
      <c r="AB2276" s="84"/>
    </row>
    <row r="2277">
      <c r="A2277" s="69">
        <v>152.0</v>
      </c>
      <c r="B2277" s="69">
        <v>240.0</v>
      </c>
      <c r="C2277" s="86" t="s">
        <v>504</v>
      </c>
      <c r="D2277" s="86" t="s">
        <v>505</v>
      </c>
      <c r="E2277" s="86" t="s">
        <v>506</v>
      </c>
      <c r="F2277" s="69">
        <v>1500.0</v>
      </c>
      <c r="G2277" s="69">
        <v>14.35</v>
      </c>
      <c r="H2277" s="68">
        <f t="shared" si="1"/>
        <v>30.05</v>
      </c>
      <c r="I2277" s="81">
        <f>IFERROR(__xludf.DUMMYFUNCTION("IF(G2277="""", """", ROUND(G2277 / MAX(FILTER($G$2:$G5067, $D$2:$D5067=$D2277)) * 100, 2))"),79.72)</f>
        <v>79.72</v>
      </c>
      <c r="J2277" s="81">
        <f>IFERROR(__xludf.DUMMYFUNCTION("IF(H2277="""", """", ROUND(H2277 / MAX(FILTER($H$2:$H5067, $D$2:$D5067=$D2277)) * 100, 2))"),18.84)</f>
        <v>18.84</v>
      </c>
      <c r="K2277" s="2"/>
      <c r="L2277" s="48"/>
      <c r="M2277" s="48"/>
      <c r="N2277" s="48"/>
      <c r="O2277" s="48" t="str">
        <f t="shared" si="2"/>
        <v/>
      </c>
      <c r="P2277" s="48" t="str">
        <f t="shared" si="3"/>
        <v/>
      </c>
      <c r="Q2277" s="84"/>
      <c r="R2277" s="84"/>
      <c r="S2277" s="84"/>
      <c r="T2277" s="84"/>
      <c r="U2277" s="84"/>
      <c r="V2277" s="84"/>
      <c r="W2277" s="84"/>
      <c r="X2277" s="84"/>
      <c r="Y2277" s="84"/>
      <c r="Z2277" s="84"/>
      <c r="AA2277" s="84"/>
      <c r="AB2277" s="84"/>
    </row>
    <row r="2278">
      <c r="A2278" s="63">
        <v>152.0</v>
      </c>
      <c r="B2278" s="63">
        <v>240.0</v>
      </c>
      <c r="C2278" s="64" t="s">
        <v>504</v>
      </c>
      <c r="D2278" s="64" t="s">
        <v>505</v>
      </c>
      <c r="E2278" s="64" t="s">
        <v>506</v>
      </c>
      <c r="F2278" s="63">
        <v>2000.0</v>
      </c>
      <c r="G2278" s="63">
        <v>15.2</v>
      </c>
      <c r="H2278" s="66">
        <f t="shared" si="1"/>
        <v>42.45</v>
      </c>
      <c r="I2278" s="81">
        <f>IFERROR(__xludf.DUMMYFUNCTION("IF(G2278="""", """", ROUND(G2278 / MAX(FILTER($G$2:$G5067, $D$2:$D5067=$D2278)) * 100, 2))"),84.44)</f>
        <v>84.44</v>
      </c>
      <c r="J2278" s="81">
        <f>IFERROR(__xludf.DUMMYFUNCTION("IF(H2278="""", """", ROUND(H2278 / MAX(FILTER($H$2:$H5067, $D$2:$D5067=$D2278)) * 100, 2))"),26.61)</f>
        <v>26.61</v>
      </c>
      <c r="K2278" s="2"/>
      <c r="L2278" s="49"/>
      <c r="M2278" s="49"/>
      <c r="N2278" s="49"/>
      <c r="O2278" s="49" t="str">
        <f t="shared" si="2"/>
        <v/>
      </c>
      <c r="P2278" s="49" t="str">
        <f t="shared" si="3"/>
        <v/>
      </c>
      <c r="Q2278" s="84"/>
      <c r="R2278" s="84"/>
      <c r="S2278" s="84"/>
      <c r="T2278" s="84"/>
      <c r="U2278" s="84"/>
      <c r="V2278" s="84"/>
      <c r="W2278" s="84"/>
      <c r="X2278" s="84"/>
      <c r="Y2278" s="84"/>
      <c r="Z2278" s="84"/>
      <c r="AA2278" s="84"/>
      <c r="AB2278" s="84"/>
    </row>
    <row r="2279">
      <c r="A2279" s="69">
        <v>152.0</v>
      </c>
      <c r="B2279" s="69">
        <v>240.0</v>
      </c>
      <c r="C2279" s="86" t="s">
        <v>504</v>
      </c>
      <c r="D2279" s="86" t="s">
        <v>505</v>
      </c>
      <c r="E2279" s="86" t="s">
        <v>506</v>
      </c>
      <c r="F2279" s="69">
        <v>2500.0</v>
      </c>
      <c r="G2279" s="69">
        <v>15.4</v>
      </c>
      <c r="H2279" s="68">
        <f t="shared" si="1"/>
        <v>53.76</v>
      </c>
      <c r="I2279" s="81">
        <f>IFERROR(__xludf.DUMMYFUNCTION("IF(G2279="""", """", ROUND(G2279 / MAX(FILTER($G$2:$G5067, $D$2:$D5067=$D2279)) * 100, 2))"),85.56)</f>
        <v>85.56</v>
      </c>
      <c r="J2279" s="81">
        <f>IFERROR(__xludf.DUMMYFUNCTION("IF(H2279="""", """", ROUND(H2279 / MAX(FILTER($H$2:$H5067, $D$2:$D5067=$D2279)) * 100, 2))"),33.7)</f>
        <v>33.7</v>
      </c>
      <c r="K2279" s="2"/>
      <c r="L2279" s="48"/>
      <c r="M2279" s="48"/>
      <c r="N2279" s="48"/>
      <c r="O2279" s="48" t="str">
        <f t="shared" si="2"/>
        <v/>
      </c>
      <c r="P2279" s="48" t="str">
        <f t="shared" si="3"/>
        <v/>
      </c>
      <c r="Q2279" s="84"/>
      <c r="R2279" s="84"/>
      <c r="S2279" s="84"/>
      <c r="T2279" s="84"/>
      <c r="U2279" s="84"/>
      <c r="V2279" s="84"/>
      <c r="W2279" s="84"/>
      <c r="X2279" s="84"/>
      <c r="Y2279" s="84"/>
      <c r="Z2279" s="84"/>
      <c r="AA2279" s="84"/>
      <c r="AB2279" s="84"/>
    </row>
    <row r="2280">
      <c r="A2280" s="63">
        <v>152.0</v>
      </c>
      <c r="B2280" s="63">
        <v>240.0</v>
      </c>
      <c r="C2280" s="64" t="s">
        <v>504</v>
      </c>
      <c r="D2280" s="64" t="s">
        <v>505</v>
      </c>
      <c r="E2280" s="64" t="s">
        <v>506</v>
      </c>
      <c r="F2280" s="63">
        <v>3000.0</v>
      </c>
      <c r="G2280" s="63">
        <v>15.8</v>
      </c>
      <c r="H2280" s="66">
        <f t="shared" si="1"/>
        <v>66.18</v>
      </c>
      <c r="I2280" s="81">
        <f>IFERROR(__xludf.DUMMYFUNCTION("IF(G2280="""", """", ROUND(G2280 / MAX(FILTER($G$2:$G5067, $D$2:$D5067=$D2280)) * 100, 2))"),87.78)</f>
        <v>87.78</v>
      </c>
      <c r="J2280" s="81">
        <f>IFERROR(__xludf.DUMMYFUNCTION("IF(H2280="""", """", ROUND(H2280 / MAX(FILTER($H$2:$H5067, $D$2:$D5067=$D2280)) * 100, 2))"),41.49)</f>
        <v>41.49</v>
      </c>
      <c r="K2280" s="2"/>
      <c r="L2280" s="49"/>
      <c r="M2280" s="49"/>
      <c r="N2280" s="49"/>
      <c r="O2280" s="49" t="str">
        <f t="shared" si="2"/>
        <v/>
      </c>
      <c r="P2280" s="49" t="str">
        <f t="shared" si="3"/>
        <v/>
      </c>
      <c r="Q2280" s="84"/>
      <c r="R2280" s="84"/>
      <c r="S2280" s="84"/>
      <c r="T2280" s="84"/>
      <c r="U2280" s="84"/>
      <c r="V2280" s="84"/>
      <c r="W2280" s="84"/>
      <c r="X2280" s="84"/>
      <c r="Y2280" s="84"/>
      <c r="Z2280" s="84"/>
      <c r="AA2280" s="84"/>
      <c r="AB2280" s="84"/>
    </row>
    <row r="2281">
      <c r="A2281" s="69">
        <v>152.0</v>
      </c>
      <c r="B2281" s="69">
        <v>240.0</v>
      </c>
      <c r="C2281" s="86" t="s">
        <v>504</v>
      </c>
      <c r="D2281" s="86" t="s">
        <v>505</v>
      </c>
      <c r="E2281" s="86" t="s">
        <v>506</v>
      </c>
      <c r="F2281" s="69">
        <v>3500.0</v>
      </c>
      <c r="G2281" s="69">
        <v>16.65</v>
      </c>
      <c r="H2281" s="68">
        <f t="shared" si="1"/>
        <v>81.37</v>
      </c>
      <c r="I2281" s="81">
        <f>IFERROR(__xludf.DUMMYFUNCTION("IF(G2281="""", """", ROUND(G2281 / MAX(FILTER($G$2:$G5067, $D$2:$D5067=$D2281)) * 100, 2))"),92.5)</f>
        <v>92.5</v>
      </c>
      <c r="J2281" s="81">
        <f>IFERROR(__xludf.DUMMYFUNCTION("IF(H2281="""", """", ROUND(H2281 / MAX(FILTER($H$2:$H5067, $D$2:$D5067=$D2281)) * 100, 2))"),51.01)</f>
        <v>51.01</v>
      </c>
      <c r="K2281" s="2"/>
      <c r="L2281" s="48"/>
      <c r="M2281" s="48"/>
      <c r="N2281" s="48"/>
      <c r="O2281" s="48" t="str">
        <f t="shared" si="2"/>
        <v/>
      </c>
      <c r="P2281" s="48" t="str">
        <f t="shared" si="3"/>
        <v/>
      </c>
      <c r="Q2281" s="84"/>
      <c r="R2281" s="84"/>
      <c r="S2281" s="84"/>
      <c r="T2281" s="84"/>
      <c r="U2281" s="84"/>
      <c r="V2281" s="84"/>
      <c r="W2281" s="84"/>
      <c r="X2281" s="84"/>
      <c r="Y2281" s="84"/>
      <c r="Z2281" s="84"/>
      <c r="AA2281" s="84"/>
      <c r="AB2281" s="84"/>
    </row>
    <row r="2282">
      <c r="A2282" s="63">
        <v>152.0</v>
      </c>
      <c r="B2282" s="63">
        <v>240.0</v>
      </c>
      <c r="C2282" s="64" t="s">
        <v>504</v>
      </c>
      <c r="D2282" s="64" t="s">
        <v>505</v>
      </c>
      <c r="E2282" s="64" t="s">
        <v>506</v>
      </c>
      <c r="F2282" s="63">
        <v>4000.0</v>
      </c>
      <c r="G2282" s="63">
        <v>17.4</v>
      </c>
      <c r="H2282" s="66">
        <f t="shared" si="1"/>
        <v>97.18</v>
      </c>
      <c r="I2282" s="81">
        <f>IFERROR(__xludf.DUMMYFUNCTION("IF(G2282="""", """", ROUND(G2282 / MAX(FILTER($G$2:$G5067, $D$2:$D5067=$D2282)) * 100, 2))"),96.67)</f>
        <v>96.67</v>
      </c>
      <c r="J2282" s="81">
        <f>IFERROR(__xludf.DUMMYFUNCTION("IF(H2282="""", """", ROUND(H2282 / MAX(FILTER($H$2:$H5067, $D$2:$D5067=$D2282)) * 100, 2))"),60.92)</f>
        <v>60.92</v>
      </c>
      <c r="K2282" s="2"/>
      <c r="L2282" s="49"/>
      <c r="M2282" s="49"/>
      <c r="N2282" s="49"/>
      <c r="O2282" s="49" t="str">
        <f t="shared" si="2"/>
        <v/>
      </c>
      <c r="P2282" s="49" t="str">
        <f t="shared" si="3"/>
        <v/>
      </c>
      <c r="Q2282" s="84"/>
      <c r="R2282" s="84"/>
      <c r="S2282" s="84"/>
      <c r="T2282" s="84"/>
      <c r="U2282" s="84"/>
      <c r="V2282" s="84"/>
      <c r="W2282" s="84"/>
      <c r="X2282" s="84"/>
      <c r="Y2282" s="84"/>
      <c r="Z2282" s="84"/>
      <c r="AA2282" s="84"/>
      <c r="AB2282" s="84"/>
    </row>
    <row r="2283">
      <c r="A2283" s="69">
        <v>152.0</v>
      </c>
      <c r="B2283" s="69">
        <v>240.0</v>
      </c>
      <c r="C2283" s="86" t="s">
        <v>504</v>
      </c>
      <c r="D2283" s="86" t="s">
        <v>505</v>
      </c>
      <c r="E2283" s="86" t="s">
        <v>506</v>
      </c>
      <c r="F2283" s="69">
        <v>4500.0</v>
      </c>
      <c r="G2283" s="69">
        <v>17.8</v>
      </c>
      <c r="H2283" s="68">
        <f t="shared" si="1"/>
        <v>111.84</v>
      </c>
      <c r="I2283" s="81">
        <f>IFERROR(__xludf.DUMMYFUNCTION("IF(G2283="""", """", ROUND(G2283 / MAX(FILTER($G$2:$G5067, $D$2:$D5067=$D2283)) * 100, 2))"),98.89)</f>
        <v>98.89</v>
      </c>
      <c r="J2283" s="81">
        <f>IFERROR(__xludf.DUMMYFUNCTION("IF(H2283="""", """", ROUND(H2283 / MAX(FILTER($H$2:$H5067, $D$2:$D5067=$D2283)) * 100, 2))"),70.11)</f>
        <v>70.11</v>
      </c>
      <c r="K2283" s="2"/>
      <c r="L2283" s="48"/>
      <c r="M2283" s="48"/>
      <c r="N2283" s="48"/>
      <c r="O2283" s="48" t="str">
        <f t="shared" si="2"/>
        <v/>
      </c>
      <c r="P2283" s="48" t="str">
        <f t="shared" si="3"/>
        <v/>
      </c>
      <c r="Q2283" s="84"/>
      <c r="R2283" s="84"/>
      <c r="S2283" s="84"/>
      <c r="T2283" s="84"/>
      <c r="U2283" s="84"/>
      <c r="V2283" s="84"/>
      <c r="W2283" s="84"/>
      <c r="X2283" s="84"/>
      <c r="Y2283" s="84"/>
      <c r="Z2283" s="84"/>
      <c r="AA2283" s="84"/>
      <c r="AB2283" s="84"/>
    </row>
    <row r="2284">
      <c r="A2284" s="63">
        <v>152.0</v>
      </c>
      <c r="B2284" s="63">
        <v>240.0</v>
      </c>
      <c r="C2284" s="64" t="s">
        <v>504</v>
      </c>
      <c r="D2284" s="64" t="s">
        <v>505</v>
      </c>
      <c r="E2284" s="64" t="s">
        <v>506</v>
      </c>
      <c r="F2284" s="63">
        <v>5000.0</v>
      </c>
      <c r="G2284" s="63">
        <v>17.74</v>
      </c>
      <c r="H2284" s="66">
        <f t="shared" si="1"/>
        <v>123.85</v>
      </c>
      <c r="I2284" s="81">
        <f>IFERROR(__xludf.DUMMYFUNCTION("IF(G2284="""", """", ROUND(G2284 / MAX(FILTER($G$2:$G5067, $D$2:$D5067=$D2284)) * 100, 2))"),98.56)</f>
        <v>98.56</v>
      </c>
      <c r="J2284" s="81">
        <f>IFERROR(__xludf.DUMMYFUNCTION("IF(H2284="""", """", ROUND(H2284 / MAX(FILTER($H$2:$H5067, $D$2:$D5067=$D2284)) * 100, 2))"),77.64)</f>
        <v>77.64</v>
      </c>
      <c r="K2284" s="2"/>
      <c r="L2284" s="49"/>
      <c r="M2284" s="49"/>
      <c r="N2284" s="49"/>
      <c r="O2284" s="49" t="str">
        <f t="shared" si="2"/>
        <v/>
      </c>
      <c r="P2284" s="49" t="str">
        <f t="shared" si="3"/>
        <v/>
      </c>
      <c r="Q2284" s="84"/>
      <c r="R2284" s="84"/>
      <c r="S2284" s="84"/>
      <c r="T2284" s="84"/>
      <c r="U2284" s="84"/>
      <c r="V2284" s="84"/>
      <c r="W2284" s="84"/>
      <c r="X2284" s="84"/>
      <c r="Y2284" s="84"/>
      <c r="Z2284" s="84"/>
      <c r="AA2284" s="84"/>
      <c r="AB2284" s="84"/>
    </row>
    <row r="2285">
      <c r="A2285" s="69">
        <v>152.0</v>
      </c>
      <c r="B2285" s="69">
        <v>240.0</v>
      </c>
      <c r="C2285" s="86" t="s">
        <v>504</v>
      </c>
      <c r="D2285" s="86" t="s">
        <v>505</v>
      </c>
      <c r="E2285" s="86" t="s">
        <v>506</v>
      </c>
      <c r="F2285" s="69">
        <v>5500.0</v>
      </c>
      <c r="G2285" s="69">
        <v>18.0</v>
      </c>
      <c r="H2285" s="68">
        <f t="shared" si="1"/>
        <v>138.23</v>
      </c>
      <c r="I2285" s="81">
        <f>IFERROR(__xludf.DUMMYFUNCTION("IF(G2285="""", """", ROUND(G2285 / MAX(FILTER($G$2:$G5067, $D$2:$D5067=$D2285)) * 100, 2))"),100.0)</f>
        <v>100</v>
      </c>
      <c r="J2285" s="81">
        <f>IFERROR(__xludf.DUMMYFUNCTION("IF(H2285="""", """", ROUND(H2285 / MAX(FILTER($H$2:$H5067, $D$2:$D5067=$D2285)) * 100, 2))"),86.66)</f>
        <v>86.66</v>
      </c>
      <c r="K2285" s="2"/>
      <c r="L2285" s="48"/>
      <c r="M2285" s="48"/>
      <c r="N2285" s="48"/>
      <c r="O2285" s="48" t="str">
        <f t="shared" si="2"/>
        <v/>
      </c>
      <c r="P2285" s="48" t="str">
        <f t="shared" si="3"/>
        <v/>
      </c>
      <c r="Q2285" s="84"/>
      <c r="R2285" s="84"/>
      <c r="S2285" s="84"/>
      <c r="T2285" s="84"/>
      <c r="U2285" s="84"/>
      <c r="V2285" s="84"/>
      <c r="W2285" s="84"/>
      <c r="X2285" s="84"/>
      <c r="Y2285" s="84"/>
      <c r="Z2285" s="84"/>
      <c r="AA2285" s="84"/>
      <c r="AB2285" s="84"/>
    </row>
    <row r="2286">
      <c r="A2286" s="63">
        <v>152.0</v>
      </c>
      <c r="B2286" s="63">
        <v>240.0</v>
      </c>
      <c r="C2286" s="64" t="s">
        <v>504</v>
      </c>
      <c r="D2286" s="64" t="s">
        <v>505</v>
      </c>
      <c r="E2286" s="64" t="s">
        <v>506</v>
      </c>
      <c r="F2286" s="63">
        <v>6000.0</v>
      </c>
      <c r="G2286" s="63">
        <v>17.75</v>
      </c>
      <c r="H2286" s="66">
        <f t="shared" si="1"/>
        <v>148.7</v>
      </c>
      <c r="I2286" s="81">
        <f>IFERROR(__xludf.DUMMYFUNCTION("IF(G2286="""", """", ROUND(G2286 / MAX(FILTER($G$2:$G5067, $D$2:$D5067=$D2286)) * 100, 2))"),98.61)</f>
        <v>98.61</v>
      </c>
      <c r="J2286" s="81">
        <f>IFERROR(__xludf.DUMMYFUNCTION("IF(H2286="""", """", ROUND(H2286 / MAX(FILTER($H$2:$H5067, $D$2:$D5067=$D2286)) * 100, 2))"),93.22)</f>
        <v>93.22</v>
      </c>
      <c r="K2286" s="2"/>
      <c r="L2286" s="49"/>
      <c r="M2286" s="49"/>
      <c r="N2286" s="49"/>
      <c r="O2286" s="49" t="str">
        <f t="shared" si="2"/>
        <v/>
      </c>
      <c r="P2286" s="49" t="str">
        <f t="shared" si="3"/>
        <v/>
      </c>
      <c r="Q2286" s="84"/>
      <c r="R2286" s="84"/>
      <c r="S2286" s="84"/>
      <c r="T2286" s="84"/>
      <c r="U2286" s="84"/>
      <c r="V2286" s="84"/>
      <c r="W2286" s="84"/>
      <c r="X2286" s="84"/>
      <c r="Y2286" s="84"/>
      <c r="Z2286" s="84"/>
      <c r="AA2286" s="84"/>
      <c r="AB2286" s="84"/>
    </row>
    <row r="2287">
      <c r="A2287" s="69">
        <v>152.0</v>
      </c>
      <c r="B2287" s="69">
        <v>240.0</v>
      </c>
      <c r="C2287" s="86" t="s">
        <v>504</v>
      </c>
      <c r="D2287" s="86" t="s">
        <v>505</v>
      </c>
      <c r="E2287" s="86" t="s">
        <v>506</v>
      </c>
      <c r="F2287" s="69">
        <v>6500.0</v>
      </c>
      <c r="G2287" s="69">
        <v>17.5</v>
      </c>
      <c r="H2287" s="68">
        <f t="shared" si="1"/>
        <v>158.82</v>
      </c>
      <c r="I2287" s="81">
        <f>IFERROR(__xludf.DUMMYFUNCTION("IF(G2287="""", """", ROUND(G2287 / MAX(FILTER($G$2:$G5067, $D$2:$D5067=$D2287)) * 100, 2))"),97.22)</f>
        <v>97.22</v>
      </c>
      <c r="J2287" s="81">
        <f>IFERROR(__xludf.DUMMYFUNCTION("IF(H2287="""", """", ROUND(H2287 / MAX(FILTER($H$2:$H5067, $D$2:$D5067=$D2287)) * 100, 2))"),99.57)</f>
        <v>99.57</v>
      </c>
      <c r="K2287" s="2"/>
      <c r="L2287" s="48"/>
      <c r="M2287" s="48"/>
      <c r="N2287" s="48"/>
      <c r="O2287" s="48" t="str">
        <f t="shared" si="2"/>
        <v/>
      </c>
      <c r="P2287" s="48" t="str">
        <f t="shared" si="3"/>
        <v/>
      </c>
      <c r="Q2287" s="84"/>
      <c r="R2287" s="84"/>
      <c r="S2287" s="84"/>
      <c r="T2287" s="84"/>
      <c r="U2287" s="84"/>
      <c r="V2287" s="84"/>
      <c r="W2287" s="84"/>
      <c r="X2287" s="84"/>
      <c r="Y2287" s="84"/>
      <c r="Z2287" s="84"/>
      <c r="AA2287" s="84"/>
      <c r="AB2287" s="84"/>
    </row>
    <row r="2288">
      <c r="A2288" s="63">
        <v>152.0</v>
      </c>
      <c r="B2288" s="63">
        <v>240.0</v>
      </c>
      <c r="C2288" s="64" t="s">
        <v>504</v>
      </c>
      <c r="D2288" s="64" t="s">
        <v>505</v>
      </c>
      <c r="E2288" s="64" t="s">
        <v>506</v>
      </c>
      <c r="F2288" s="63">
        <v>7000.0</v>
      </c>
      <c r="G2288" s="63">
        <v>16.32</v>
      </c>
      <c r="H2288" s="66">
        <f t="shared" si="1"/>
        <v>159.51</v>
      </c>
      <c r="I2288" s="81">
        <f>IFERROR(__xludf.DUMMYFUNCTION("IF(G2288="""", """", ROUND(G2288 / MAX(FILTER($G$2:$G5067, $D$2:$D5067=$D2288)) * 100, 2))"),90.67)</f>
        <v>90.67</v>
      </c>
      <c r="J2288" s="81">
        <f>IFERROR(__xludf.DUMMYFUNCTION("IF(H2288="""", """", ROUND(H2288 / MAX(FILTER($H$2:$H5067, $D$2:$D5067=$D2288)) * 100, 2))"),100.0)</f>
        <v>100</v>
      </c>
      <c r="K2288" s="2"/>
      <c r="L2288" s="49"/>
      <c r="M2288" s="49"/>
      <c r="N2288" s="49"/>
      <c r="O2288" s="49" t="str">
        <f t="shared" si="2"/>
        <v/>
      </c>
      <c r="P2288" s="49" t="str">
        <f t="shared" si="3"/>
        <v/>
      </c>
      <c r="Q2288" s="84"/>
      <c r="R2288" s="84"/>
      <c r="S2288" s="84"/>
      <c r="T2288" s="84"/>
      <c r="U2288" s="84"/>
      <c r="V2288" s="84"/>
      <c r="W2288" s="84"/>
      <c r="X2288" s="84"/>
      <c r="Y2288" s="84"/>
      <c r="Z2288" s="84"/>
      <c r="AA2288" s="84"/>
      <c r="AB2288" s="84"/>
    </row>
    <row r="2289">
      <c r="A2289" s="69">
        <v>152.0</v>
      </c>
      <c r="B2289" s="69">
        <v>240.0</v>
      </c>
      <c r="C2289" s="86" t="s">
        <v>504</v>
      </c>
      <c r="D2289" s="86" t="s">
        <v>505</v>
      </c>
      <c r="E2289" s="86" t="s">
        <v>506</v>
      </c>
      <c r="F2289" s="69">
        <v>7500.0</v>
      </c>
      <c r="G2289" s="69">
        <v>14.9</v>
      </c>
      <c r="H2289" s="68">
        <f t="shared" si="1"/>
        <v>156.03</v>
      </c>
      <c r="I2289" s="81">
        <f>IFERROR(__xludf.DUMMYFUNCTION("IF(G2289="""", """", ROUND(G2289 / MAX(FILTER($G$2:$G5067, $D$2:$D5067=$D2289)) * 100, 2))"),82.78)</f>
        <v>82.78</v>
      </c>
      <c r="J2289" s="81">
        <f>IFERROR(__xludf.DUMMYFUNCTION("IF(H2289="""", """", ROUND(H2289 / MAX(FILTER($H$2:$H5067, $D$2:$D5067=$D2289)) * 100, 2))"),97.82)</f>
        <v>97.82</v>
      </c>
      <c r="K2289" s="2"/>
      <c r="L2289" s="48"/>
      <c r="M2289" s="48"/>
      <c r="N2289" s="48"/>
      <c r="O2289" s="48" t="str">
        <f t="shared" si="2"/>
        <v/>
      </c>
      <c r="P2289" s="48" t="str">
        <f t="shared" si="3"/>
        <v/>
      </c>
      <c r="Q2289" s="84"/>
      <c r="R2289" s="84"/>
      <c r="S2289" s="84"/>
      <c r="T2289" s="84"/>
      <c r="U2289" s="84"/>
      <c r="V2289" s="84"/>
      <c r="W2289" s="84"/>
      <c r="X2289" s="84"/>
      <c r="Y2289" s="84"/>
      <c r="Z2289" s="84"/>
      <c r="AA2289" s="84"/>
      <c r="AB2289" s="84"/>
    </row>
    <row r="2290">
      <c r="A2290" s="63">
        <v>152.0</v>
      </c>
      <c r="B2290" s="63">
        <v>240.0</v>
      </c>
      <c r="C2290" s="64" t="s">
        <v>504</v>
      </c>
      <c r="D2290" s="64" t="s">
        <v>505</v>
      </c>
      <c r="E2290" s="64" t="s">
        <v>506</v>
      </c>
      <c r="F2290" s="63">
        <v>8000.0</v>
      </c>
      <c r="G2290" s="63">
        <v>13.15</v>
      </c>
      <c r="H2290" s="66">
        <f t="shared" si="1"/>
        <v>146.89</v>
      </c>
      <c r="I2290" s="81">
        <f>IFERROR(__xludf.DUMMYFUNCTION("IF(G2290="""", """", ROUND(G2290 / MAX(FILTER($G$2:$G5067, $D$2:$D5067=$D2290)) * 100, 2))"),73.06)</f>
        <v>73.06</v>
      </c>
      <c r="J2290" s="81">
        <f>IFERROR(__xludf.DUMMYFUNCTION("IF(H2290="""", """", ROUND(H2290 / MAX(FILTER($H$2:$H5067, $D$2:$D5067=$D2290)) * 100, 2))"),92.09)</f>
        <v>92.09</v>
      </c>
      <c r="K2290" s="2"/>
      <c r="L2290" s="49"/>
      <c r="M2290" s="49"/>
      <c r="N2290" s="49"/>
      <c r="O2290" s="49" t="str">
        <f t="shared" si="2"/>
        <v/>
      </c>
      <c r="P2290" s="49" t="str">
        <f t="shared" si="3"/>
        <v/>
      </c>
      <c r="Q2290" s="84"/>
      <c r="R2290" s="84"/>
      <c r="S2290" s="84"/>
      <c r="T2290" s="84"/>
      <c r="U2290" s="84"/>
      <c r="V2290" s="84"/>
      <c r="W2290" s="84"/>
      <c r="X2290" s="84"/>
      <c r="Y2290" s="84"/>
      <c r="Z2290" s="84"/>
      <c r="AA2290" s="84"/>
      <c r="AB2290" s="84"/>
    </row>
    <row r="2291">
      <c r="A2291" s="69">
        <v>152.0</v>
      </c>
      <c r="B2291" s="69">
        <v>240.0</v>
      </c>
      <c r="C2291" s="86" t="s">
        <v>504</v>
      </c>
      <c r="D2291" s="86" t="s">
        <v>505</v>
      </c>
      <c r="E2291" s="86" t="s">
        <v>506</v>
      </c>
      <c r="F2291" s="69">
        <v>8500.0</v>
      </c>
      <c r="G2291" s="69">
        <v>11.1</v>
      </c>
      <c r="H2291" s="68">
        <f t="shared" si="1"/>
        <v>131.74</v>
      </c>
      <c r="I2291" s="81">
        <f>IFERROR(__xludf.DUMMYFUNCTION("IF(G2291="""", """", ROUND(G2291 / MAX(FILTER($G$2:$G5067, $D$2:$D5067=$D2291)) * 100, 2))"),61.67)</f>
        <v>61.67</v>
      </c>
      <c r="J2291" s="81">
        <f>IFERROR(__xludf.DUMMYFUNCTION("IF(H2291="""", """", ROUND(H2291 / MAX(FILTER($H$2:$H5067, $D$2:$D5067=$D2291)) * 100, 2))"),82.59)</f>
        <v>82.59</v>
      </c>
      <c r="K2291" s="2"/>
      <c r="L2291" s="48"/>
      <c r="M2291" s="48"/>
      <c r="N2291" s="48"/>
      <c r="O2291" s="48" t="str">
        <f t="shared" si="2"/>
        <v/>
      </c>
      <c r="P2291" s="48" t="str">
        <f t="shared" si="3"/>
        <v/>
      </c>
      <c r="Q2291" s="84"/>
      <c r="R2291" s="84"/>
      <c r="S2291" s="84"/>
      <c r="T2291" s="84"/>
      <c r="U2291" s="84"/>
      <c r="V2291" s="84"/>
      <c r="W2291" s="84"/>
      <c r="X2291" s="84"/>
      <c r="Y2291" s="84"/>
      <c r="Z2291" s="84"/>
      <c r="AA2291" s="84"/>
      <c r="AB2291" s="84"/>
    </row>
    <row r="2292">
      <c r="A2292" s="63">
        <v>153.0</v>
      </c>
      <c r="B2292" s="63">
        <v>241.0</v>
      </c>
      <c r="C2292" s="64" t="s">
        <v>507</v>
      </c>
      <c r="D2292" s="64" t="s">
        <v>508</v>
      </c>
      <c r="E2292" s="64" t="s">
        <v>509</v>
      </c>
      <c r="F2292" s="63">
        <v>500.0</v>
      </c>
      <c r="G2292" s="63">
        <v>7.53</v>
      </c>
      <c r="H2292" s="66">
        <f t="shared" si="1"/>
        <v>5.26</v>
      </c>
      <c r="I2292" s="81">
        <f>IFERROR(__xludf.DUMMYFUNCTION("IF(G2292="""", """", ROUND(G2292 / MAX(FILTER($G$2:$G5067, $D$2:$D5067=$D2292)) * 100, 2))"),46.2)</f>
        <v>46.2</v>
      </c>
      <c r="J2292" s="81">
        <f>IFERROR(__xludf.DUMMYFUNCTION("IF(H2292="""", """", ROUND(H2292 / MAX(FILTER($H$2:$H5067, $D$2:$D5067=$D2292)) * 100, 2))"),4.8)</f>
        <v>4.8</v>
      </c>
      <c r="K2292" s="2"/>
      <c r="L2292" s="49"/>
      <c r="M2292" s="49"/>
      <c r="N2292" s="49"/>
      <c r="O2292" s="49" t="str">
        <f t="shared" si="2"/>
        <v/>
      </c>
      <c r="P2292" s="49" t="str">
        <f t="shared" si="3"/>
        <v/>
      </c>
      <c r="Q2292" s="84"/>
      <c r="R2292" s="84"/>
      <c r="S2292" s="84"/>
      <c r="T2292" s="84"/>
      <c r="U2292" s="84"/>
      <c r="V2292" s="84"/>
      <c r="W2292" s="84"/>
      <c r="X2292" s="84"/>
      <c r="Y2292" s="84"/>
      <c r="Z2292" s="84"/>
      <c r="AA2292" s="84"/>
      <c r="AB2292" s="84"/>
    </row>
    <row r="2293">
      <c r="A2293" s="69">
        <v>153.0</v>
      </c>
      <c r="B2293" s="69">
        <v>241.0</v>
      </c>
      <c r="C2293" s="86" t="s">
        <v>507</v>
      </c>
      <c r="D2293" s="86" t="s">
        <v>508</v>
      </c>
      <c r="E2293" s="86" t="s">
        <v>509</v>
      </c>
      <c r="F2293" s="69">
        <v>1000.0</v>
      </c>
      <c r="G2293" s="69">
        <v>8.23</v>
      </c>
      <c r="H2293" s="68">
        <f t="shared" si="1"/>
        <v>11.49</v>
      </c>
      <c r="I2293" s="81">
        <f>IFERROR(__xludf.DUMMYFUNCTION("IF(G2293="""", """", ROUND(G2293 / MAX(FILTER($G$2:$G5067, $D$2:$D5067=$D2293)) * 100, 2))"),50.49)</f>
        <v>50.49</v>
      </c>
      <c r="J2293" s="81">
        <f>IFERROR(__xludf.DUMMYFUNCTION("IF(H2293="""", """", ROUND(H2293 / MAX(FILTER($H$2:$H5067, $D$2:$D5067=$D2293)) * 100, 2))"),10.49)</f>
        <v>10.49</v>
      </c>
      <c r="K2293" s="2"/>
      <c r="L2293" s="48"/>
      <c r="M2293" s="48"/>
      <c r="N2293" s="48"/>
      <c r="O2293" s="48" t="str">
        <f t="shared" si="2"/>
        <v/>
      </c>
      <c r="P2293" s="48" t="str">
        <f t="shared" si="3"/>
        <v/>
      </c>
      <c r="Q2293" s="84"/>
      <c r="R2293" s="84"/>
      <c r="S2293" s="84"/>
      <c r="T2293" s="84"/>
      <c r="U2293" s="84"/>
      <c r="V2293" s="84"/>
      <c r="W2293" s="84"/>
      <c r="X2293" s="84"/>
      <c r="Y2293" s="84"/>
      <c r="Z2293" s="84"/>
      <c r="AA2293" s="84"/>
      <c r="AB2293" s="84"/>
    </row>
    <row r="2294">
      <c r="A2294" s="63">
        <v>153.0</v>
      </c>
      <c r="B2294" s="63">
        <v>241.0</v>
      </c>
      <c r="C2294" s="64" t="s">
        <v>507</v>
      </c>
      <c r="D2294" s="64" t="s">
        <v>508</v>
      </c>
      <c r="E2294" s="64" t="s">
        <v>509</v>
      </c>
      <c r="F2294" s="63">
        <v>1500.0</v>
      </c>
      <c r="G2294" s="63">
        <v>9.44</v>
      </c>
      <c r="H2294" s="66">
        <f t="shared" si="1"/>
        <v>19.77</v>
      </c>
      <c r="I2294" s="81">
        <f>IFERROR(__xludf.DUMMYFUNCTION("IF(G2294="""", """", ROUND(G2294 / MAX(FILTER($G$2:$G5067, $D$2:$D5067=$D2294)) * 100, 2))"),57.91)</f>
        <v>57.91</v>
      </c>
      <c r="J2294" s="81">
        <f>IFERROR(__xludf.DUMMYFUNCTION("IF(H2294="""", """", ROUND(H2294 / MAX(FILTER($H$2:$H5067, $D$2:$D5067=$D2294)) * 100, 2))"),18.05)</f>
        <v>18.05</v>
      </c>
      <c r="K2294" s="2"/>
      <c r="L2294" s="49"/>
      <c r="M2294" s="49"/>
      <c r="N2294" s="49"/>
      <c r="O2294" s="49" t="str">
        <f t="shared" si="2"/>
        <v/>
      </c>
      <c r="P2294" s="49" t="str">
        <f t="shared" si="3"/>
        <v/>
      </c>
      <c r="Q2294" s="84"/>
      <c r="R2294" s="84"/>
      <c r="S2294" s="84"/>
      <c r="T2294" s="84"/>
      <c r="U2294" s="84"/>
      <c r="V2294" s="84"/>
      <c r="W2294" s="84"/>
      <c r="X2294" s="84"/>
      <c r="Y2294" s="84"/>
      <c r="Z2294" s="84"/>
      <c r="AA2294" s="84"/>
      <c r="AB2294" s="84"/>
    </row>
    <row r="2295">
      <c r="A2295" s="69">
        <v>153.0</v>
      </c>
      <c r="B2295" s="69">
        <v>241.0</v>
      </c>
      <c r="C2295" s="86" t="s">
        <v>507</v>
      </c>
      <c r="D2295" s="86" t="s">
        <v>508</v>
      </c>
      <c r="E2295" s="86" t="s">
        <v>509</v>
      </c>
      <c r="F2295" s="69">
        <v>2000.0</v>
      </c>
      <c r="G2295" s="69">
        <v>11.86</v>
      </c>
      <c r="H2295" s="68">
        <f t="shared" si="1"/>
        <v>33.12</v>
      </c>
      <c r="I2295" s="81">
        <f>IFERROR(__xludf.DUMMYFUNCTION("IF(G2295="""", """", ROUND(G2295 / MAX(FILTER($G$2:$G5067, $D$2:$D5067=$D2295)) * 100, 2))"),72.76)</f>
        <v>72.76</v>
      </c>
      <c r="J2295" s="81">
        <f>IFERROR(__xludf.DUMMYFUNCTION("IF(H2295="""", """", ROUND(H2295 / MAX(FILTER($H$2:$H5067, $D$2:$D5067=$D2295)) * 100, 2))"),30.24)</f>
        <v>30.24</v>
      </c>
      <c r="K2295" s="2"/>
      <c r="L2295" s="48"/>
      <c r="M2295" s="48"/>
      <c r="N2295" s="48"/>
      <c r="O2295" s="48" t="str">
        <f t="shared" si="2"/>
        <v/>
      </c>
      <c r="P2295" s="48" t="str">
        <f t="shared" si="3"/>
        <v/>
      </c>
      <c r="Q2295" s="84"/>
      <c r="R2295" s="84"/>
      <c r="S2295" s="84"/>
      <c r="T2295" s="84"/>
      <c r="U2295" s="84"/>
      <c r="V2295" s="84"/>
      <c r="W2295" s="84"/>
      <c r="X2295" s="84"/>
      <c r="Y2295" s="84"/>
      <c r="Z2295" s="84"/>
      <c r="AA2295" s="84"/>
      <c r="AB2295" s="84"/>
    </row>
    <row r="2296">
      <c r="A2296" s="63">
        <v>153.0</v>
      </c>
      <c r="B2296" s="63">
        <v>241.0</v>
      </c>
      <c r="C2296" s="64" t="s">
        <v>507</v>
      </c>
      <c r="D2296" s="64" t="s">
        <v>508</v>
      </c>
      <c r="E2296" s="64" t="s">
        <v>509</v>
      </c>
      <c r="F2296" s="63">
        <v>2500.0</v>
      </c>
      <c r="G2296" s="63">
        <v>14.6</v>
      </c>
      <c r="H2296" s="66">
        <f t="shared" si="1"/>
        <v>50.96</v>
      </c>
      <c r="I2296" s="81">
        <f>IFERROR(__xludf.DUMMYFUNCTION("IF(G2296="""", """", ROUND(G2296 / MAX(FILTER($G$2:$G5067, $D$2:$D5067=$D2296)) * 100, 2))"),89.57)</f>
        <v>89.57</v>
      </c>
      <c r="J2296" s="81">
        <f>IFERROR(__xludf.DUMMYFUNCTION("IF(H2296="""", """", ROUND(H2296 / MAX(FILTER($H$2:$H5067, $D$2:$D5067=$D2296)) * 100, 2))"),46.53)</f>
        <v>46.53</v>
      </c>
      <c r="K2296" s="2"/>
      <c r="L2296" s="49"/>
      <c r="M2296" s="49"/>
      <c r="N2296" s="49"/>
      <c r="O2296" s="49" t="str">
        <f t="shared" si="2"/>
        <v/>
      </c>
      <c r="P2296" s="49" t="str">
        <f t="shared" si="3"/>
        <v/>
      </c>
      <c r="Q2296" s="84"/>
      <c r="R2296" s="84"/>
      <c r="S2296" s="84"/>
      <c r="T2296" s="84"/>
      <c r="U2296" s="84"/>
      <c r="V2296" s="84"/>
      <c r="W2296" s="84"/>
      <c r="X2296" s="84"/>
      <c r="Y2296" s="84"/>
      <c r="Z2296" s="84"/>
      <c r="AA2296" s="84"/>
      <c r="AB2296" s="84"/>
    </row>
    <row r="2297">
      <c r="A2297" s="69">
        <v>153.0</v>
      </c>
      <c r="B2297" s="69">
        <v>241.0</v>
      </c>
      <c r="C2297" s="86" t="s">
        <v>507</v>
      </c>
      <c r="D2297" s="86" t="s">
        <v>508</v>
      </c>
      <c r="E2297" s="86" t="s">
        <v>509</v>
      </c>
      <c r="F2297" s="69">
        <v>3000.0</v>
      </c>
      <c r="G2297" s="69">
        <v>16.3</v>
      </c>
      <c r="H2297" s="68">
        <f t="shared" si="1"/>
        <v>68.28</v>
      </c>
      <c r="I2297" s="81">
        <f>IFERROR(__xludf.DUMMYFUNCTION("IF(G2297="""", """", ROUND(G2297 / MAX(FILTER($G$2:$G5067, $D$2:$D5067=$D2297)) * 100, 2))"),100.0)</f>
        <v>100</v>
      </c>
      <c r="J2297" s="81">
        <f>IFERROR(__xludf.DUMMYFUNCTION("IF(H2297="""", """", ROUND(H2297 / MAX(FILTER($H$2:$H5067, $D$2:$D5067=$D2297)) * 100, 2))"),62.35)</f>
        <v>62.35</v>
      </c>
      <c r="K2297" s="2"/>
      <c r="L2297" s="48"/>
      <c r="M2297" s="48"/>
      <c r="N2297" s="48"/>
      <c r="O2297" s="48" t="str">
        <f t="shared" si="2"/>
        <v/>
      </c>
      <c r="P2297" s="48" t="str">
        <f t="shared" si="3"/>
        <v/>
      </c>
      <c r="Q2297" s="84"/>
      <c r="R2297" s="84"/>
      <c r="S2297" s="84"/>
      <c r="T2297" s="84"/>
      <c r="U2297" s="84"/>
      <c r="V2297" s="84"/>
      <c r="W2297" s="84"/>
      <c r="X2297" s="84"/>
      <c r="Y2297" s="84"/>
      <c r="Z2297" s="84"/>
      <c r="AA2297" s="84"/>
      <c r="AB2297" s="84"/>
    </row>
    <row r="2298">
      <c r="A2298" s="63">
        <v>153.0</v>
      </c>
      <c r="B2298" s="63">
        <v>241.0</v>
      </c>
      <c r="C2298" s="64" t="s">
        <v>507</v>
      </c>
      <c r="D2298" s="64" t="s">
        <v>508</v>
      </c>
      <c r="E2298" s="64" t="s">
        <v>509</v>
      </c>
      <c r="F2298" s="63">
        <v>3500.0</v>
      </c>
      <c r="G2298" s="63">
        <v>16.19</v>
      </c>
      <c r="H2298" s="66">
        <f t="shared" si="1"/>
        <v>79.12</v>
      </c>
      <c r="I2298" s="81">
        <f>IFERROR(__xludf.DUMMYFUNCTION("IF(G2298="""", """", ROUND(G2298 / MAX(FILTER($G$2:$G5067, $D$2:$D5067=$D2298)) * 100, 2))"),99.33)</f>
        <v>99.33</v>
      </c>
      <c r="J2298" s="81">
        <f>IFERROR(__xludf.DUMMYFUNCTION("IF(H2298="""", """", ROUND(H2298 / MAX(FILTER($H$2:$H5067, $D$2:$D5067=$D2298)) * 100, 2))"),72.25)</f>
        <v>72.25</v>
      </c>
      <c r="K2298" s="2"/>
      <c r="L2298" s="49"/>
      <c r="M2298" s="49"/>
      <c r="N2298" s="49"/>
      <c r="O2298" s="49" t="str">
        <f t="shared" si="2"/>
        <v/>
      </c>
      <c r="P2298" s="49" t="str">
        <f t="shared" si="3"/>
        <v/>
      </c>
      <c r="Q2298" s="84"/>
      <c r="R2298" s="84"/>
      <c r="S2298" s="84"/>
      <c r="T2298" s="84"/>
      <c r="U2298" s="84"/>
      <c r="V2298" s="84"/>
      <c r="W2298" s="84"/>
      <c r="X2298" s="84"/>
      <c r="Y2298" s="84"/>
      <c r="Z2298" s="84"/>
      <c r="AA2298" s="84"/>
      <c r="AB2298" s="84"/>
    </row>
    <row r="2299">
      <c r="A2299" s="69">
        <v>153.0</v>
      </c>
      <c r="B2299" s="69">
        <v>241.0</v>
      </c>
      <c r="C2299" s="86" t="s">
        <v>507</v>
      </c>
      <c r="D2299" s="86" t="s">
        <v>508</v>
      </c>
      <c r="E2299" s="86" t="s">
        <v>509</v>
      </c>
      <c r="F2299" s="69">
        <v>4000.0</v>
      </c>
      <c r="G2299" s="69">
        <v>15.82</v>
      </c>
      <c r="H2299" s="68">
        <f t="shared" si="1"/>
        <v>88.36</v>
      </c>
      <c r="I2299" s="81">
        <f>IFERROR(__xludf.DUMMYFUNCTION("IF(G2299="""", """", ROUND(G2299 / MAX(FILTER($G$2:$G5067, $D$2:$D5067=$D2299)) * 100, 2))"),97.06)</f>
        <v>97.06</v>
      </c>
      <c r="J2299" s="81">
        <f>IFERROR(__xludf.DUMMYFUNCTION("IF(H2299="""", """", ROUND(H2299 / MAX(FILTER($H$2:$H5067, $D$2:$D5067=$D2299)) * 100, 2))"),80.69)</f>
        <v>80.69</v>
      </c>
      <c r="K2299" s="2"/>
      <c r="L2299" s="48"/>
      <c r="M2299" s="48"/>
      <c r="N2299" s="48"/>
      <c r="O2299" s="48" t="str">
        <f t="shared" si="2"/>
        <v/>
      </c>
      <c r="P2299" s="48" t="str">
        <f t="shared" si="3"/>
        <v/>
      </c>
      <c r="Q2299" s="84"/>
      <c r="R2299" s="84"/>
      <c r="S2299" s="84"/>
      <c r="T2299" s="84"/>
      <c r="U2299" s="84"/>
      <c r="V2299" s="84"/>
      <c r="W2299" s="84"/>
      <c r="X2299" s="84"/>
      <c r="Y2299" s="84"/>
      <c r="Z2299" s="84"/>
      <c r="AA2299" s="84"/>
      <c r="AB2299" s="84"/>
    </row>
    <row r="2300">
      <c r="A2300" s="63">
        <v>153.0</v>
      </c>
      <c r="B2300" s="63">
        <v>241.0</v>
      </c>
      <c r="C2300" s="64" t="s">
        <v>507</v>
      </c>
      <c r="D2300" s="64" t="s">
        <v>508</v>
      </c>
      <c r="E2300" s="64" t="s">
        <v>509</v>
      </c>
      <c r="F2300" s="63">
        <v>4500.0</v>
      </c>
      <c r="G2300" s="63">
        <v>15.42</v>
      </c>
      <c r="H2300" s="66">
        <f t="shared" si="1"/>
        <v>96.89</v>
      </c>
      <c r="I2300" s="81">
        <f>IFERROR(__xludf.DUMMYFUNCTION("IF(G2300="""", """", ROUND(G2300 / MAX(FILTER($G$2:$G5067, $D$2:$D5067=$D2300)) * 100, 2))"),94.6)</f>
        <v>94.6</v>
      </c>
      <c r="J2300" s="81">
        <f>IFERROR(__xludf.DUMMYFUNCTION("IF(H2300="""", """", ROUND(H2300 / MAX(FILTER($H$2:$H5067, $D$2:$D5067=$D2300)) * 100, 2))"),88.48)</f>
        <v>88.48</v>
      </c>
      <c r="K2300" s="2"/>
      <c r="L2300" s="49"/>
      <c r="M2300" s="49"/>
      <c r="N2300" s="49"/>
      <c r="O2300" s="49" t="str">
        <f t="shared" si="2"/>
        <v/>
      </c>
      <c r="P2300" s="49" t="str">
        <f t="shared" si="3"/>
        <v/>
      </c>
      <c r="Q2300" s="84"/>
      <c r="R2300" s="84"/>
      <c r="S2300" s="84"/>
      <c r="T2300" s="84"/>
      <c r="U2300" s="84"/>
      <c r="V2300" s="84"/>
      <c r="W2300" s="84"/>
      <c r="X2300" s="84"/>
      <c r="Y2300" s="84"/>
      <c r="Z2300" s="84"/>
      <c r="AA2300" s="84"/>
      <c r="AB2300" s="84"/>
    </row>
    <row r="2301">
      <c r="A2301" s="69">
        <v>153.0</v>
      </c>
      <c r="B2301" s="69">
        <v>241.0</v>
      </c>
      <c r="C2301" s="86" t="s">
        <v>507</v>
      </c>
      <c r="D2301" s="86" t="s">
        <v>508</v>
      </c>
      <c r="E2301" s="86" t="s">
        <v>509</v>
      </c>
      <c r="F2301" s="69">
        <v>5000.0</v>
      </c>
      <c r="G2301" s="69">
        <v>15.01</v>
      </c>
      <c r="H2301" s="68">
        <f t="shared" si="1"/>
        <v>104.79</v>
      </c>
      <c r="I2301" s="81">
        <f>IFERROR(__xludf.DUMMYFUNCTION("IF(G2301="""", """", ROUND(G2301 / MAX(FILTER($G$2:$G5067, $D$2:$D5067=$D2301)) * 100, 2))"),92.09)</f>
        <v>92.09</v>
      </c>
      <c r="J2301" s="81">
        <f>IFERROR(__xludf.DUMMYFUNCTION("IF(H2301="""", """", ROUND(H2301 / MAX(FILTER($H$2:$H5067, $D$2:$D5067=$D2301)) * 100, 2))"),95.69)</f>
        <v>95.69</v>
      </c>
      <c r="K2301" s="2"/>
      <c r="L2301" s="48"/>
      <c r="M2301" s="48"/>
      <c r="N2301" s="48"/>
      <c r="O2301" s="48" t="str">
        <f t="shared" si="2"/>
        <v/>
      </c>
      <c r="P2301" s="48" t="str">
        <f t="shared" si="3"/>
        <v/>
      </c>
      <c r="Q2301" s="84"/>
      <c r="R2301" s="84"/>
      <c r="S2301" s="84"/>
      <c r="T2301" s="84"/>
      <c r="U2301" s="84"/>
      <c r="V2301" s="84"/>
      <c r="W2301" s="84"/>
      <c r="X2301" s="84"/>
      <c r="Y2301" s="84"/>
      <c r="Z2301" s="84"/>
      <c r="AA2301" s="84"/>
      <c r="AB2301" s="84"/>
    </row>
    <row r="2302">
      <c r="A2302" s="63">
        <v>153.0</v>
      </c>
      <c r="B2302" s="63">
        <v>241.0</v>
      </c>
      <c r="C2302" s="64" t="s">
        <v>507</v>
      </c>
      <c r="D2302" s="64" t="s">
        <v>508</v>
      </c>
      <c r="E2302" s="64" t="s">
        <v>509</v>
      </c>
      <c r="F2302" s="63">
        <v>5500.0</v>
      </c>
      <c r="G2302" s="63">
        <v>14.26</v>
      </c>
      <c r="H2302" s="66">
        <f t="shared" si="1"/>
        <v>109.51</v>
      </c>
      <c r="I2302" s="81">
        <f>IFERROR(__xludf.DUMMYFUNCTION("IF(G2302="""", """", ROUND(G2302 / MAX(FILTER($G$2:$G5067, $D$2:$D5067=$D2302)) * 100, 2))"),87.48)</f>
        <v>87.48</v>
      </c>
      <c r="J2302" s="81">
        <f>IFERROR(__xludf.DUMMYFUNCTION("IF(H2302="""", """", ROUND(H2302 / MAX(FILTER($H$2:$H5067, $D$2:$D5067=$D2302)) * 100, 2))"),100.0)</f>
        <v>100</v>
      </c>
      <c r="K2302" s="2"/>
      <c r="L2302" s="49"/>
      <c r="M2302" s="49"/>
      <c r="N2302" s="49"/>
      <c r="O2302" s="49" t="str">
        <f t="shared" si="2"/>
        <v/>
      </c>
      <c r="P2302" s="49" t="str">
        <f t="shared" si="3"/>
        <v/>
      </c>
      <c r="Q2302" s="84"/>
      <c r="R2302" s="84"/>
      <c r="S2302" s="84"/>
      <c r="T2302" s="84"/>
      <c r="U2302" s="84"/>
      <c r="V2302" s="84"/>
      <c r="W2302" s="84"/>
      <c r="X2302" s="84"/>
      <c r="Y2302" s="84"/>
      <c r="Z2302" s="84"/>
      <c r="AA2302" s="84"/>
      <c r="AB2302" s="84"/>
    </row>
    <row r="2303">
      <c r="A2303" s="69">
        <v>153.0</v>
      </c>
      <c r="B2303" s="69">
        <v>241.0</v>
      </c>
      <c r="C2303" s="86" t="s">
        <v>507</v>
      </c>
      <c r="D2303" s="86" t="s">
        <v>508</v>
      </c>
      <c r="E2303" s="86" t="s">
        <v>509</v>
      </c>
      <c r="F2303" s="69">
        <v>6000.0</v>
      </c>
      <c r="G2303" s="69">
        <v>12.64</v>
      </c>
      <c r="H2303" s="68">
        <f t="shared" si="1"/>
        <v>105.89</v>
      </c>
      <c r="I2303" s="81">
        <f>IFERROR(__xludf.DUMMYFUNCTION("IF(G2303="""", """", ROUND(G2303 / MAX(FILTER($G$2:$G5067, $D$2:$D5067=$D2303)) * 100, 2))"),77.55)</f>
        <v>77.55</v>
      </c>
      <c r="J2303" s="81">
        <f>IFERROR(__xludf.DUMMYFUNCTION("IF(H2303="""", """", ROUND(H2303 / MAX(FILTER($H$2:$H5067, $D$2:$D5067=$D2303)) * 100, 2))"),96.69)</f>
        <v>96.69</v>
      </c>
      <c r="K2303" s="2"/>
      <c r="L2303" s="48"/>
      <c r="M2303" s="48"/>
      <c r="N2303" s="48"/>
      <c r="O2303" s="48" t="str">
        <f t="shared" si="2"/>
        <v/>
      </c>
      <c r="P2303" s="48" t="str">
        <f t="shared" si="3"/>
        <v/>
      </c>
      <c r="Q2303" s="84"/>
      <c r="R2303" s="84"/>
      <c r="S2303" s="84"/>
      <c r="T2303" s="84"/>
      <c r="U2303" s="84"/>
      <c r="V2303" s="84"/>
      <c r="W2303" s="84"/>
      <c r="X2303" s="84"/>
      <c r="Y2303" s="84"/>
      <c r="Z2303" s="84"/>
      <c r="AA2303" s="84"/>
      <c r="AB2303" s="84"/>
    </row>
    <row r="2304">
      <c r="A2304" s="63">
        <v>153.0</v>
      </c>
      <c r="B2304" s="63">
        <v>241.0</v>
      </c>
      <c r="C2304" s="64" t="s">
        <v>507</v>
      </c>
      <c r="D2304" s="64" t="s">
        <v>508</v>
      </c>
      <c r="E2304" s="64" t="s">
        <v>509</v>
      </c>
      <c r="F2304" s="63">
        <v>6500.0</v>
      </c>
      <c r="G2304" s="63">
        <v>10.19</v>
      </c>
      <c r="H2304" s="66">
        <f t="shared" si="1"/>
        <v>92.48</v>
      </c>
      <c r="I2304" s="81">
        <f>IFERROR(__xludf.DUMMYFUNCTION("IF(G2304="""", """", ROUND(G2304 / MAX(FILTER($G$2:$G5067, $D$2:$D5067=$D2304)) * 100, 2))"),62.52)</f>
        <v>62.52</v>
      </c>
      <c r="J2304" s="81">
        <f>IFERROR(__xludf.DUMMYFUNCTION("IF(H2304="""", """", ROUND(H2304 / MAX(FILTER($H$2:$H5067, $D$2:$D5067=$D2304)) * 100, 2))"),84.45)</f>
        <v>84.45</v>
      </c>
      <c r="K2304" s="2"/>
      <c r="L2304" s="49"/>
      <c r="M2304" s="49"/>
      <c r="N2304" s="49"/>
      <c r="O2304" s="49" t="str">
        <f t="shared" si="2"/>
        <v/>
      </c>
      <c r="P2304" s="49" t="str">
        <f t="shared" si="3"/>
        <v/>
      </c>
      <c r="Q2304" s="84"/>
      <c r="R2304" s="84"/>
      <c r="S2304" s="84"/>
      <c r="T2304" s="84"/>
      <c r="U2304" s="84"/>
      <c r="V2304" s="84"/>
      <c r="W2304" s="84"/>
      <c r="X2304" s="84"/>
      <c r="Y2304" s="84"/>
      <c r="Z2304" s="84"/>
      <c r="AA2304" s="84"/>
      <c r="AB2304" s="84"/>
    </row>
    <row r="2305">
      <c r="A2305" s="69">
        <v>153.0</v>
      </c>
      <c r="B2305" s="69">
        <v>241.0</v>
      </c>
      <c r="C2305" s="86" t="s">
        <v>507</v>
      </c>
      <c r="D2305" s="86" t="s">
        <v>508</v>
      </c>
      <c r="E2305" s="86" t="s">
        <v>509</v>
      </c>
      <c r="F2305" s="69">
        <v>7000.0</v>
      </c>
      <c r="G2305" s="69">
        <v>7.25</v>
      </c>
      <c r="H2305" s="68">
        <f t="shared" si="1"/>
        <v>70.86</v>
      </c>
      <c r="I2305" s="81">
        <f>IFERROR(__xludf.DUMMYFUNCTION("IF(G2305="""", """", ROUND(G2305 / MAX(FILTER($G$2:$G5067, $D$2:$D5067=$D2305)) * 100, 2))"),44.48)</f>
        <v>44.48</v>
      </c>
      <c r="J2305" s="81">
        <f>IFERROR(__xludf.DUMMYFUNCTION("IF(H2305="""", """", ROUND(H2305 / MAX(FILTER($H$2:$H5067, $D$2:$D5067=$D2305)) * 100, 2))"),64.71)</f>
        <v>64.71</v>
      </c>
      <c r="K2305" s="2"/>
      <c r="L2305" s="48"/>
      <c r="M2305" s="48"/>
      <c r="N2305" s="48"/>
      <c r="O2305" s="48" t="str">
        <f t="shared" si="2"/>
        <v/>
      </c>
      <c r="P2305" s="48" t="str">
        <f t="shared" si="3"/>
        <v/>
      </c>
      <c r="Q2305" s="84"/>
      <c r="R2305" s="84"/>
      <c r="S2305" s="84"/>
      <c r="T2305" s="84"/>
      <c r="U2305" s="84"/>
      <c r="V2305" s="84"/>
      <c r="W2305" s="84"/>
      <c r="X2305" s="84"/>
      <c r="Y2305" s="84"/>
      <c r="Z2305" s="84"/>
      <c r="AA2305" s="84"/>
      <c r="AB2305" s="84"/>
    </row>
    <row r="2306">
      <c r="A2306" s="63">
        <v>153.0</v>
      </c>
      <c r="B2306" s="63">
        <v>241.0</v>
      </c>
      <c r="C2306" s="64" t="s">
        <v>507</v>
      </c>
      <c r="D2306" s="64" t="s">
        <v>508</v>
      </c>
      <c r="E2306" s="64" t="s">
        <v>509</v>
      </c>
      <c r="F2306" s="63">
        <v>7500.0</v>
      </c>
      <c r="G2306" s="63">
        <v>4.1</v>
      </c>
      <c r="H2306" s="66">
        <f t="shared" si="1"/>
        <v>42.93</v>
      </c>
      <c r="I2306" s="81">
        <f>IFERROR(__xludf.DUMMYFUNCTION("IF(G2306="""", """", ROUND(G2306 / MAX(FILTER($G$2:$G5067, $D$2:$D5067=$D2306)) * 100, 2))"),25.15)</f>
        <v>25.15</v>
      </c>
      <c r="J2306" s="81">
        <f>IFERROR(__xludf.DUMMYFUNCTION("IF(H2306="""", """", ROUND(H2306 / MAX(FILTER($H$2:$H5067, $D$2:$D5067=$D2306)) * 100, 2))"),39.2)</f>
        <v>39.2</v>
      </c>
      <c r="K2306" s="2"/>
      <c r="L2306" s="49"/>
      <c r="M2306" s="49"/>
      <c r="N2306" s="49"/>
      <c r="O2306" s="49" t="str">
        <f t="shared" si="2"/>
        <v/>
      </c>
      <c r="P2306" s="49" t="str">
        <f t="shared" si="3"/>
        <v/>
      </c>
      <c r="Q2306" s="84"/>
      <c r="R2306" s="84"/>
      <c r="S2306" s="84"/>
      <c r="T2306" s="84"/>
      <c r="U2306" s="84"/>
      <c r="V2306" s="84"/>
      <c r="W2306" s="84"/>
      <c r="X2306" s="84"/>
      <c r="Y2306" s="84"/>
      <c r="Z2306" s="84"/>
      <c r="AA2306" s="84"/>
      <c r="AB2306" s="84"/>
    </row>
    <row r="2307">
      <c r="A2307" s="69">
        <v>154.0</v>
      </c>
      <c r="B2307" s="69">
        <v>242.0</v>
      </c>
      <c r="C2307" s="86" t="s">
        <v>510</v>
      </c>
      <c r="D2307" s="86" t="s">
        <v>511</v>
      </c>
      <c r="E2307" s="86" t="s">
        <v>512</v>
      </c>
      <c r="F2307" s="69">
        <v>500.0</v>
      </c>
      <c r="G2307" s="69">
        <v>27.3</v>
      </c>
      <c r="H2307" s="68">
        <f t="shared" si="1"/>
        <v>19.06</v>
      </c>
      <c r="I2307" s="81">
        <f>IFERROR(__xludf.DUMMYFUNCTION("IF(G2307="""", """", ROUND(G2307 / MAX(FILTER($G$2:$G5067, $D$2:$D5067=$D2307)) * 100, 2))"),49.55)</f>
        <v>49.55</v>
      </c>
      <c r="J2307" s="81">
        <f>IFERROR(__xludf.DUMMYFUNCTION("IF(H2307="""", """", ROUND(H2307 / MAX(FILTER($H$2:$H5067, $D$2:$D5067=$D2307)) * 100, 2))"),5.45)</f>
        <v>5.45</v>
      </c>
      <c r="K2307" s="2"/>
      <c r="L2307" s="48"/>
      <c r="M2307" s="48"/>
      <c r="N2307" s="48"/>
      <c r="O2307" s="48" t="str">
        <f t="shared" si="2"/>
        <v/>
      </c>
      <c r="P2307" s="48" t="str">
        <f t="shared" si="3"/>
        <v/>
      </c>
      <c r="Q2307" s="84"/>
      <c r="R2307" s="84"/>
      <c r="S2307" s="84"/>
      <c r="T2307" s="84"/>
      <c r="U2307" s="84"/>
      <c r="V2307" s="84"/>
      <c r="W2307" s="84"/>
      <c r="X2307" s="84"/>
      <c r="Y2307" s="84"/>
      <c r="Z2307" s="84"/>
      <c r="AA2307" s="84"/>
      <c r="AB2307" s="84"/>
    </row>
    <row r="2308">
      <c r="A2308" s="63">
        <v>154.0</v>
      </c>
      <c r="B2308" s="63">
        <v>242.0</v>
      </c>
      <c r="C2308" s="64" t="s">
        <v>510</v>
      </c>
      <c r="D2308" s="64" t="s">
        <v>511</v>
      </c>
      <c r="E2308" s="64" t="s">
        <v>512</v>
      </c>
      <c r="F2308" s="63">
        <v>1000.0</v>
      </c>
      <c r="G2308" s="63">
        <v>35.88</v>
      </c>
      <c r="H2308" s="66">
        <f t="shared" si="1"/>
        <v>50.1</v>
      </c>
      <c r="I2308" s="81">
        <f>IFERROR(__xludf.DUMMYFUNCTION("IF(G2308="""", """", ROUND(G2308 / MAX(FILTER($G$2:$G5067, $D$2:$D5067=$D2308)) * 100, 2))"),65.12)</f>
        <v>65.12</v>
      </c>
      <c r="J2308" s="81">
        <f>IFERROR(__xludf.DUMMYFUNCTION("IF(H2308="""", """", ROUND(H2308 / MAX(FILTER($H$2:$H5067, $D$2:$D5067=$D2308)) * 100, 2))"),14.33)</f>
        <v>14.33</v>
      </c>
      <c r="K2308" s="2"/>
      <c r="L2308" s="49"/>
      <c r="M2308" s="49"/>
      <c r="N2308" s="49"/>
      <c r="O2308" s="49" t="str">
        <f t="shared" si="2"/>
        <v/>
      </c>
      <c r="P2308" s="49" t="str">
        <f t="shared" si="3"/>
        <v/>
      </c>
      <c r="Q2308" s="84"/>
      <c r="R2308" s="84"/>
      <c r="S2308" s="84"/>
      <c r="T2308" s="84"/>
      <c r="U2308" s="84"/>
      <c r="V2308" s="84"/>
      <c r="W2308" s="84"/>
      <c r="X2308" s="84"/>
      <c r="Y2308" s="84"/>
      <c r="Z2308" s="84"/>
      <c r="AA2308" s="84"/>
      <c r="AB2308" s="84"/>
    </row>
    <row r="2309">
      <c r="A2309" s="69">
        <v>154.0</v>
      </c>
      <c r="B2309" s="69">
        <v>242.0</v>
      </c>
      <c r="C2309" s="86" t="s">
        <v>510</v>
      </c>
      <c r="D2309" s="86" t="s">
        <v>511</v>
      </c>
      <c r="E2309" s="86" t="s">
        <v>512</v>
      </c>
      <c r="F2309" s="69">
        <v>1500.0</v>
      </c>
      <c r="G2309" s="69">
        <v>42.35</v>
      </c>
      <c r="H2309" s="68">
        <f t="shared" si="1"/>
        <v>88.7</v>
      </c>
      <c r="I2309" s="81">
        <f>IFERROR(__xludf.DUMMYFUNCTION("IF(G2309="""", """", ROUND(G2309 / MAX(FILTER($G$2:$G5067, $D$2:$D5067=$D2309)) * 100, 2))"),76.86)</f>
        <v>76.86</v>
      </c>
      <c r="J2309" s="81">
        <f>IFERROR(__xludf.DUMMYFUNCTION("IF(H2309="""", """", ROUND(H2309 / MAX(FILTER($H$2:$H5067, $D$2:$D5067=$D2309)) * 100, 2))"),25.38)</f>
        <v>25.38</v>
      </c>
      <c r="K2309" s="2"/>
      <c r="L2309" s="48"/>
      <c r="M2309" s="48"/>
      <c r="N2309" s="48"/>
      <c r="O2309" s="48" t="str">
        <f t="shared" si="2"/>
        <v/>
      </c>
      <c r="P2309" s="48" t="str">
        <f t="shared" si="3"/>
        <v/>
      </c>
      <c r="Q2309" s="84"/>
      <c r="R2309" s="84"/>
      <c r="S2309" s="84"/>
      <c r="T2309" s="84"/>
      <c r="U2309" s="84"/>
      <c r="V2309" s="84"/>
      <c r="W2309" s="84"/>
      <c r="X2309" s="84"/>
      <c r="Y2309" s="84"/>
      <c r="Z2309" s="84"/>
      <c r="AA2309" s="84"/>
      <c r="AB2309" s="84"/>
    </row>
    <row r="2310">
      <c r="A2310" s="63">
        <v>154.0</v>
      </c>
      <c r="B2310" s="63">
        <v>242.0</v>
      </c>
      <c r="C2310" s="64" t="s">
        <v>510</v>
      </c>
      <c r="D2310" s="64" t="s">
        <v>511</v>
      </c>
      <c r="E2310" s="64" t="s">
        <v>512</v>
      </c>
      <c r="F2310" s="63">
        <v>2000.0</v>
      </c>
      <c r="G2310" s="63">
        <v>47.25</v>
      </c>
      <c r="H2310" s="66">
        <f t="shared" si="1"/>
        <v>131.95</v>
      </c>
      <c r="I2310" s="81">
        <f>IFERROR(__xludf.DUMMYFUNCTION("IF(G2310="""", """", ROUND(G2310 / MAX(FILTER($G$2:$G5067, $D$2:$D5067=$D2310)) * 100, 2))"),85.75)</f>
        <v>85.75</v>
      </c>
      <c r="J2310" s="81">
        <f>IFERROR(__xludf.DUMMYFUNCTION("IF(H2310="""", """", ROUND(H2310 / MAX(FILTER($H$2:$H5067, $D$2:$D5067=$D2310)) * 100, 2))"),37.75)</f>
        <v>37.75</v>
      </c>
      <c r="K2310" s="2"/>
      <c r="L2310" s="49"/>
      <c r="M2310" s="49"/>
      <c r="N2310" s="49"/>
      <c r="O2310" s="49" t="str">
        <f t="shared" si="2"/>
        <v/>
      </c>
      <c r="P2310" s="49" t="str">
        <f t="shared" si="3"/>
        <v/>
      </c>
      <c r="Q2310" s="84"/>
      <c r="R2310" s="84"/>
      <c r="S2310" s="84"/>
      <c r="T2310" s="84"/>
      <c r="U2310" s="84"/>
      <c r="V2310" s="84"/>
      <c r="W2310" s="84"/>
      <c r="X2310" s="84"/>
      <c r="Y2310" s="84"/>
      <c r="Z2310" s="84"/>
      <c r="AA2310" s="84"/>
      <c r="AB2310" s="84"/>
    </row>
    <row r="2311">
      <c r="A2311" s="69">
        <v>154.0</v>
      </c>
      <c r="B2311" s="69">
        <v>242.0</v>
      </c>
      <c r="C2311" s="86" t="s">
        <v>510</v>
      </c>
      <c r="D2311" s="86" t="s">
        <v>511</v>
      </c>
      <c r="E2311" s="86" t="s">
        <v>512</v>
      </c>
      <c r="F2311" s="69">
        <v>2500.0</v>
      </c>
      <c r="G2311" s="69">
        <v>51.1</v>
      </c>
      <c r="H2311" s="68">
        <f t="shared" si="1"/>
        <v>178.37</v>
      </c>
      <c r="I2311" s="81">
        <f>IFERROR(__xludf.DUMMYFUNCTION("IF(G2311="""", """", ROUND(G2311 / MAX(FILTER($G$2:$G5067, $D$2:$D5067=$D2311)) * 100, 2))"),92.74)</f>
        <v>92.74</v>
      </c>
      <c r="J2311" s="81">
        <f>IFERROR(__xludf.DUMMYFUNCTION("IF(H2311="""", """", ROUND(H2311 / MAX(FILTER($H$2:$H5067, $D$2:$D5067=$D2311)) * 100, 2))"),51.03)</f>
        <v>51.03</v>
      </c>
      <c r="K2311" s="2"/>
      <c r="L2311" s="48"/>
      <c r="M2311" s="48"/>
      <c r="N2311" s="48"/>
      <c r="O2311" s="48" t="str">
        <f t="shared" si="2"/>
        <v/>
      </c>
      <c r="P2311" s="48" t="str">
        <f t="shared" si="3"/>
        <v/>
      </c>
      <c r="Q2311" s="84"/>
      <c r="R2311" s="84"/>
      <c r="S2311" s="84"/>
      <c r="T2311" s="84"/>
      <c r="U2311" s="84"/>
      <c r="V2311" s="84"/>
      <c r="W2311" s="84"/>
      <c r="X2311" s="84"/>
      <c r="Y2311" s="84"/>
      <c r="Z2311" s="84"/>
      <c r="AA2311" s="84"/>
      <c r="AB2311" s="84"/>
    </row>
    <row r="2312">
      <c r="A2312" s="63">
        <v>154.0</v>
      </c>
      <c r="B2312" s="63">
        <v>242.0</v>
      </c>
      <c r="C2312" s="64" t="s">
        <v>510</v>
      </c>
      <c r="D2312" s="64" t="s">
        <v>511</v>
      </c>
      <c r="E2312" s="64" t="s">
        <v>512</v>
      </c>
      <c r="F2312" s="63">
        <v>3000.0</v>
      </c>
      <c r="G2312" s="63">
        <v>53.55</v>
      </c>
      <c r="H2312" s="66">
        <f t="shared" si="1"/>
        <v>224.31</v>
      </c>
      <c r="I2312" s="81">
        <f>IFERROR(__xludf.DUMMYFUNCTION("IF(G2312="""", """", ROUND(G2312 / MAX(FILTER($G$2:$G5067, $D$2:$D5067=$D2312)) * 100, 2))"),97.19)</f>
        <v>97.19</v>
      </c>
      <c r="J2312" s="81">
        <f>IFERROR(__xludf.DUMMYFUNCTION("IF(H2312="""", """", ROUND(H2312 / MAX(FILTER($H$2:$H5067, $D$2:$D5067=$D2312)) * 100, 2))"),64.18)</f>
        <v>64.18</v>
      </c>
      <c r="K2312" s="2"/>
      <c r="L2312" s="49"/>
      <c r="M2312" s="49"/>
      <c r="N2312" s="49"/>
      <c r="O2312" s="49" t="str">
        <f t="shared" si="2"/>
        <v/>
      </c>
      <c r="P2312" s="49" t="str">
        <f t="shared" si="3"/>
        <v/>
      </c>
      <c r="Q2312" s="84"/>
      <c r="R2312" s="84"/>
      <c r="S2312" s="84"/>
      <c r="T2312" s="84"/>
      <c r="U2312" s="84"/>
      <c r="V2312" s="84"/>
      <c r="W2312" s="84"/>
      <c r="X2312" s="84"/>
      <c r="Y2312" s="84"/>
      <c r="Z2312" s="84"/>
      <c r="AA2312" s="84"/>
      <c r="AB2312" s="84"/>
    </row>
    <row r="2313">
      <c r="A2313" s="69">
        <v>154.0</v>
      </c>
      <c r="B2313" s="69">
        <v>242.0</v>
      </c>
      <c r="C2313" s="86" t="s">
        <v>510</v>
      </c>
      <c r="D2313" s="86" t="s">
        <v>511</v>
      </c>
      <c r="E2313" s="86" t="s">
        <v>512</v>
      </c>
      <c r="F2313" s="69">
        <v>3500.0</v>
      </c>
      <c r="G2313" s="69">
        <v>54.95</v>
      </c>
      <c r="H2313" s="68">
        <f t="shared" si="1"/>
        <v>268.54</v>
      </c>
      <c r="I2313" s="81">
        <f>IFERROR(__xludf.DUMMYFUNCTION("IF(G2313="""", """", ROUND(G2313 / MAX(FILTER($G$2:$G5067, $D$2:$D5067=$D2313)) * 100, 2))"),99.73)</f>
        <v>99.73</v>
      </c>
      <c r="J2313" s="81">
        <f>IFERROR(__xludf.DUMMYFUNCTION("IF(H2313="""", """", ROUND(H2313 / MAX(FILTER($H$2:$H5067, $D$2:$D5067=$D2313)) * 100, 2))"),76.83)</f>
        <v>76.83</v>
      </c>
      <c r="K2313" s="2"/>
      <c r="L2313" s="48"/>
      <c r="M2313" s="48"/>
      <c r="N2313" s="48"/>
      <c r="O2313" s="48" t="str">
        <f t="shared" si="2"/>
        <v/>
      </c>
      <c r="P2313" s="48" t="str">
        <f t="shared" si="3"/>
        <v/>
      </c>
      <c r="Q2313" s="84"/>
      <c r="R2313" s="84"/>
      <c r="S2313" s="84"/>
      <c r="T2313" s="84"/>
      <c r="U2313" s="84"/>
      <c r="V2313" s="84"/>
      <c r="W2313" s="84"/>
      <c r="X2313" s="84"/>
      <c r="Y2313" s="84"/>
      <c r="Z2313" s="84"/>
      <c r="AA2313" s="84"/>
      <c r="AB2313" s="84"/>
    </row>
    <row r="2314">
      <c r="A2314" s="63">
        <v>154.0</v>
      </c>
      <c r="B2314" s="63">
        <v>242.0</v>
      </c>
      <c r="C2314" s="64" t="s">
        <v>510</v>
      </c>
      <c r="D2314" s="64" t="s">
        <v>511</v>
      </c>
      <c r="E2314" s="64" t="s">
        <v>512</v>
      </c>
      <c r="F2314" s="63">
        <v>4000.0</v>
      </c>
      <c r="G2314" s="63">
        <v>55.1</v>
      </c>
      <c r="H2314" s="66">
        <f t="shared" si="1"/>
        <v>307.74</v>
      </c>
      <c r="I2314" s="81">
        <f>IFERROR(__xludf.DUMMYFUNCTION("IF(G2314="""", """", ROUND(G2314 / MAX(FILTER($G$2:$G5067, $D$2:$D5067=$D2314)) * 100, 2))"),100.0)</f>
        <v>100</v>
      </c>
      <c r="J2314" s="81">
        <f>IFERROR(__xludf.DUMMYFUNCTION("IF(H2314="""", """", ROUND(H2314 / MAX(FILTER($H$2:$H5067, $D$2:$D5067=$D2314)) * 100, 2))"),88.05)</f>
        <v>88.05</v>
      </c>
      <c r="K2314" s="2"/>
      <c r="L2314" s="49"/>
      <c r="M2314" s="49"/>
      <c r="N2314" s="49"/>
      <c r="O2314" s="49" t="str">
        <f t="shared" si="2"/>
        <v/>
      </c>
      <c r="P2314" s="49" t="str">
        <f t="shared" si="3"/>
        <v/>
      </c>
      <c r="Q2314" s="84"/>
      <c r="R2314" s="84"/>
      <c r="S2314" s="84"/>
      <c r="T2314" s="84"/>
      <c r="U2314" s="84"/>
      <c r="V2314" s="84"/>
      <c r="W2314" s="84"/>
      <c r="X2314" s="84"/>
      <c r="Y2314" s="84"/>
      <c r="Z2314" s="84"/>
      <c r="AA2314" s="84"/>
      <c r="AB2314" s="84"/>
    </row>
    <row r="2315">
      <c r="A2315" s="69">
        <v>154.0</v>
      </c>
      <c r="B2315" s="69">
        <v>242.0</v>
      </c>
      <c r="C2315" s="86" t="s">
        <v>510</v>
      </c>
      <c r="D2315" s="86" t="s">
        <v>511</v>
      </c>
      <c r="E2315" s="86" t="s">
        <v>512</v>
      </c>
      <c r="F2315" s="69">
        <v>4500.0</v>
      </c>
      <c r="G2315" s="69">
        <v>52.67</v>
      </c>
      <c r="H2315" s="68">
        <f t="shared" si="1"/>
        <v>330.93</v>
      </c>
      <c r="I2315" s="81">
        <f>IFERROR(__xludf.DUMMYFUNCTION("IF(G2315="""", """", ROUND(G2315 / MAX(FILTER($G$2:$G5067, $D$2:$D5067=$D2315)) * 100, 2))"),95.59)</f>
        <v>95.59</v>
      </c>
      <c r="J2315" s="81">
        <f>IFERROR(__xludf.DUMMYFUNCTION("IF(H2315="""", """", ROUND(H2315 / MAX(FILTER($H$2:$H5067, $D$2:$D5067=$D2315)) * 100, 2))"),94.68)</f>
        <v>94.68</v>
      </c>
      <c r="K2315" s="2"/>
      <c r="L2315" s="48"/>
      <c r="M2315" s="48"/>
      <c r="N2315" s="48"/>
      <c r="O2315" s="48" t="str">
        <f t="shared" si="2"/>
        <v/>
      </c>
      <c r="P2315" s="48" t="str">
        <f t="shared" si="3"/>
        <v/>
      </c>
      <c r="Q2315" s="84"/>
      <c r="R2315" s="84"/>
      <c r="S2315" s="84"/>
      <c r="T2315" s="84"/>
      <c r="U2315" s="84"/>
      <c r="V2315" s="84"/>
      <c r="W2315" s="84"/>
      <c r="X2315" s="84"/>
      <c r="Y2315" s="84"/>
      <c r="Z2315" s="84"/>
      <c r="AA2315" s="84"/>
      <c r="AB2315" s="84"/>
    </row>
    <row r="2316">
      <c r="A2316" s="63">
        <v>154.0</v>
      </c>
      <c r="B2316" s="63">
        <v>242.0</v>
      </c>
      <c r="C2316" s="64" t="s">
        <v>510</v>
      </c>
      <c r="D2316" s="64" t="s">
        <v>511</v>
      </c>
      <c r="E2316" s="64" t="s">
        <v>512</v>
      </c>
      <c r="F2316" s="63">
        <v>5000.0</v>
      </c>
      <c r="G2316" s="63">
        <v>49.35</v>
      </c>
      <c r="H2316" s="66">
        <f t="shared" si="1"/>
        <v>344.53</v>
      </c>
      <c r="I2316" s="81">
        <f>IFERROR(__xludf.DUMMYFUNCTION("IF(G2316="""", """", ROUND(G2316 / MAX(FILTER($G$2:$G5067, $D$2:$D5067=$D2316)) * 100, 2))"),89.56)</f>
        <v>89.56</v>
      </c>
      <c r="J2316" s="81">
        <f>IFERROR(__xludf.DUMMYFUNCTION("IF(H2316="""", """", ROUND(H2316 / MAX(FILTER($H$2:$H5067, $D$2:$D5067=$D2316)) * 100, 2))"),98.58)</f>
        <v>98.58</v>
      </c>
      <c r="K2316" s="2"/>
      <c r="L2316" s="49"/>
      <c r="M2316" s="49"/>
      <c r="N2316" s="49"/>
      <c r="O2316" s="49" t="str">
        <f t="shared" si="2"/>
        <v/>
      </c>
      <c r="P2316" s="49" t="str">
        <f t="shared" si="3"/>
        <v/>
      </c>
      <c r="Q2316" s="84"/>
      <c r="R2316" s="84"/>
      <c r="S2316" s="84"/>
      <c r="T2316" s="84"/>
      <c r="U2316" s="84"/>
      <c r="V2316" s="84"/>
      <c r="W2316" s="84"/>
      <c r="X2316" s="84"/>
      <c r="Y2316" s="84"/>
      <c r="Z2316" s="84"/>
      <c r="AA2316" s="84"/>
      <c r="AB2316" s="84"/>
    </row>
    <row r="2317">
      <c r="A2317" s="69">
        <v>154.0</v>
      </c>
      <c r="B2317" s="69">
        <v>242.0</v>
      </c>
      <c r="C2317" s="86" t="s">
        <v>510</v>
      </c>
      <c r="D2317" s="86" t="s">
        <v>511</v>
      </c>
      <c r="E2317" s="86" t="s">
        <v>512</v>
      </c>
      <c r="F2317" s="69">
        <v>5600.0</v>
      </c>
      <c r="G2317" s="69">
        <v>44.7</v>
      </c>
      <c r="H2317" s="68">
        <f t="shared" si="1"/>
        <v>349.51</v>
      </c>
      <c r="I2317" s="81">
        <f>IFERROR(__xludf.DUMMYFUNCTION("IF(G2317="""", """", ROUND(G2317 / MAX(FILTER($G$2:$G5067, $D$2:$D5067=$D2317)) * 100, 2))"),81.13)</f>
        <v>81.13</v>
      </c>
      <c r="J2317" s="81">
        <f>IFERROR(__xludf.DUMMYFUNCTION("IF(H2317="""", """", ROUND(H2317 / MAX(FILTER($H$2:$H5067, $D$2:$D5067=$D2317)) * 100, 2))"),100.0)</f>
        <v>100</v>
      </c>
      <c r="K2317" s="2"/>
      <c r="L2317" s="48"/>
      <c r="M2317" s="48"/>
      <c r="N2317" s="48"/>
      <c r="O2317" s="48" t="str">
        <f t="shared" si="2"/>
        <v/>
      </c>
      <c r="P2317" s="48" t="str">
        <f t="shared" si="3"/>
        <v/>
      </c>
      <c r="Q2317" s="84"/>
      <c r="R2317" s="84"/>
      <c r="S2317" s="84"/>
      <c r="T2317" s="84"/>
      <c r="U2317" s="84"/>
      <c r="V2317" s="84"/>
      <c r="W2317" s="84"/>
      <c r="X2317" s="84"/>
      <c r="Y2317" s="84"/>
      <c r="Z2317" s="84"/>
      <c r="AA2317" s="84"/>
      <c r="AB2317" s="84"/>
    </row>
    <row r="2318">
      <c r="A2318" s="63">
        <v>154.0</v>
      </c>
      <c r="B2318" s="63">
        <v>242.0</v>
      </c>
      <c r="C2318" s="64" t="s">
        <v>510</v>
      </c>
      <c r="D2318" s="64" t="s">
        <v>511</v>
      </c>
      <c r="E2318" s="64" t="s">
        <v>512</v>
      </c>
      <c r="F2318" s="63">
        <v>6000.0</v>
      </c>
      <c r="G2318" s="63">
        <v>40.6</v>
      </c>
      <c r="H2318" s="66">
        <f t="shared" si="1"/>
        <v>340.13</v>
      </c>
      <c r="I2318" s="81">
        <f>IFERROR(__xludf.DUMMYFUNCTION("IF(G2318="""", """", ROUND(G2318 / MAX(FILTER($G$2:$G5067, $D$2:$D5067=$D2318)) * 100, 2))"),73.68)</f>
        <v>73.68</v>
      </c>
      <c r="J2318" s="81">
        <f>IFERROR(__xludf.DUMMYFUNCTION("IF(H2318="""", """", ROUND(H2318 / MAX(FILTER($H$2:$H5067, $D$2:$D5067=$D2318)) * 100, 2))"),97.32)</f>
        <v>97.32</v>
      </c>
      <c r="K2318" s="2"/>
      <c r="L2318" s="49"/>
      <c r="M2318" s="49"/>
      <c r="N2318" s="49"/>
      <c r="O2318" s="49" t="str">
        <f t="shared" si="2"/>
        <v/>
      </c>
      <c r="P2318" s="49" t="str">
        <f t="shared" si="3"/>
        <v/>
      </c>
      <c r="Q2318" s="84"/>
      <c r="R2318" s="84"/>
      <c r="S2318" s="84"/>
      <c r="T2318" s="84"/>
      <c r="U2318" s="84"/>
      <c r="V2318" s="84"/>
      <c r="W2318" s="84"/>
      <c r="X2318" s="84"/>
      <c r="Y2318" s="84"/>
      <c r="Z2318" s="84"/>
      <c r="AA2318" s="84"/>
      <c r="AB2318" s="84"/>
    </row>
    <row r="2319">
      <c r="A2319" s="69">
        <v>154.0</v>
      </c>
      <c r="B2319" s="69">
        <v>242.0</v>
      </c>
      <c r="C2319" s="86" t="s">
        <v>510</v>
      </c>
      <c r="D2319" s="86" t="s">
        <v>511</v>
      </c>
      <c r="E2319" s="86" t="s">
        <v>512</v>
      </c>
      <c r="F2319" s="69">
        <v>6500.0</v>
      </c>
      <c r="G2319" s="69">
        <v>34.83</v>
      </c>
      <c r="H2319" s="68">
        <f t="shared" si="1"/>
        <v>316.11</v>
      </c>
      <c r="I2319" s="81">
        <f>IFERROR(__xludf.DUMMYFUNCTION("IF(G2319="""", """", ROUND(G2319 / MAX(FILTER($G$2:$G5067, $D$2:$D5067=$D2319)) * 100, 2))"),63.21)</f>
        <v>63.21</v>
      </c>
      <c r="J2319" s="81">
        <f>IFERROR(__xludf.DUMMYFUNCTION("IF(H2319="""", """", ROUND(H2319 / MAX(FILTER($H$2:$H5067, $D$2:$D5067=$D2319)) * 100, 2))"),90.44)</f>
        <v>90.44</v>
      </c>
      <c r="K2319" s="2"/>
      <c r="L2319" s="48"/>
      <c r="M2319" s="48"/>
      <c r="N2319" s="48"/>
      <c r="O2319" s="48" t="str">
        <f t="shared" si="2"/>
        <v/>
      </c>
      <c r="P2319" s="48" t="str">
        <f t="shared" si="3"/>
        <v/>
      </c>
      <c r="Q2319" s="84"/>
      <c r="R2319" s="84"/>
      <c r="S2319" s="84"/>
      <c r="T2319" s="84"/>
      <c r="U2319" s="84"/>
      <c r="V2319" s="84"/>
      <c r="W2319" s="84"/>
      <c r="X2319" s="84"/>
      <c r="Y2319" s="84"/>
      <c r="Z2319" s="84"/>
      <c r="AA2319" s="84"/>
      <c r="AB2319" s="84"/>
    </row>
    <row r="2320">
      <c r="A2320" s="63">
        <v>155.0</v>
      </c>
      <c r="B2320" s="63">
        <v>244.0</v>
      </c>
      <c r="C2320" s="64" t="s">
        <v>513</v>
      </c>
      <c r="D2320" s="64" t="s">
        <v>514</v>
      </c>
      <c r="E2320" s="64" t="s">
        <v>515</v>
      </c>
      <c r="F2320" s="63">
        <v>500.0</v>
      </c>
      <c r="G2320" s="63">
        <v>9.85</v>
      </c>
      <c r="H2320" s="66">
        <f t="shared" si="1"/>
        <v>6.88</v>
      </c>
      <c r="I2320" s="81">
        <f>IFERROR(__xludf.DUMMYFUNCTION("IF(G2320="""", """", ROUND(G2320 / MAX(FILTER($G$2:$G5067, $D$2:$D5067=$D2320)) * 100, 2))"),67.47)</f>
        <v>67.47</v>
      </c>
      <c r="J2320" s="81">
        <f>IFERROR(__xludf.DUMMYFUNCTION("IF(H2320="""", """", ROUND(H2320 / MAX(FILTER($H$2:$H5067, $D$2:$D5067=$D2320)) * 100, 2))"),6.25)</f>
        <v>6.25</v>
      </c>
      <c r="K2320" s="2"/>
      <c r="L2320" s="49"/>
      <c r="M2320" s="49"/>
      <c r="N2320" s="49"/>
      <c r="O2320" s="49" t="str">
        <f t="shared" si="2"/>
        <v/>
      </c>
      <c r="P2320" s="49" t="str">
        <f t="shared" si="3"/>
        <v/>
      </c>
      <c r="Q2320" s="84"/>
      <c r="R2320" s="84"/>
      <c r="S2320" s="84"/>
      <c r="T2320" s="84"/>
      <c r="U2320" s="84"/>
      <c r="V2320" s="84"/>
      <c r="W2320" s="84"/>
      <c r="X2320" s="84"/>
      <c r="Y2320" s="84"/>
      <c r="Z2320" s="84"/>
      <c r="AA2320" s="84"/>
      <c r="AB2320" s="84"/>
    </row>
    <row r="2321">
      <c r="A2321" s="69">
        <v>155.0</v>
      </c>
      <c r="B2321" s="69">
        <v>244.0</v>
      </c>
      <c r="C2321" s="86" t="s">
        <v>513</v>
      </c>
      <c r="D2321" s="86" t="s">
        <v>514</v>
      </c>
      <c r="E2321" s="86" t="s">
        <v>515</v>
      </c>
      <c r="F2321" s="69">
        <v>1000.0</v>
      </c>
      <c r="G2321" s="69">
        <v>11.45</v>
      </c>
      <c r="H2321" s="68">
        <f t="shared" si="1"/>
        <v>15.99</v>
      </c>
      <c r="I2321" s="81">
        <f>IFERROR(__xludf.DUMMYFUNCTION("IF(G2321="""", """", ROUND(G2321 / MAX(FILTER($G$2:$G5067, $D$2:$D5067=$D2321)) * 100, 2))"),78.42)</f>
        <v>78.42</v>
      </c>
      <c r="J2321" s="81">
        <f>IFERROR(__xludf.DUMMYFUNCTION("IF(H2321="""", """", ROUND(H2321 / MAX(FILTER($H$2:$H5067, $D$2:$D5067=$D2321)) * 100, 2))"),14.52)</f>
        <v>14.52</v>
      </c>
      <c r="K2321" s="2"/>
      <c r="L2321" s="48"/>
      <c r="M2321" s="48"/>
      <c r="N2321" s="48"/>
      <c r="O2321" s="48" t="str">
        <f t="shared" si="2"/>
        <v/>
      </c>
      <c r="P2321" s="48" t="str">
        <f t="shared" si="3"/>
        <v/>
      </c>
      <c r="Q2321" s="84"/>
      <c r="R2321" s="84"/>
      <c r="S2321" s="84"/>
      <c r="T2321" s="84"/>
      <c r="U2321" s="84"/>
      <c r="V2321" s="84"/>
      <c r="W2321" s="84"/>
      <c r="X2321" s="84"/>
      <c r="Y2321" s="84"/>
      <c r="Z2321" s="84"/>
      <c r="AA2321" s="84"/>
      <c r="AB2321" s="84"/>
    </row>
    <row r="2322">
      <c r="A2322" s="63">
        <v>155.0</v>
      </c>
      <c r="B2322" s="63">
        <v>244.0</v>
      </c>
      <c r="C2322" s="64" t="s">
        <v>513</v>
      </c>
      <c r="D2322" s="64" t="s">
        <v>514</v>
      </c>
      <c r="E2322" s="64" t="s">
        <v>515</v>
      </c>
      <c r="F2322" s="63">
        <v>1500.0</v>
      </c>
      <c r="G2322" s="63">
        <v>12.25</v>
      </c>
      <c r="H2322" s="66">
        <f t="shared" si="1"/>
        <v>25.66</v>
      </c>
      <c r="I2322" s="81">
        <f>IFERROR(__xludf.DUMMYFUNCTION("IF(G2322="""", """", ROUND(G2322 / MAX(FILTER($G$2:$G5067, $D$2:$D5067=$D2322)) * 100, 2))"),83.9)</f>
        <v>83.9</v>
      </c>
      <c r="J2322" s="81">
        <f>IFERROR(__xludf.DUMMYFUNCTION("IF(H2322="""", """", ROUND(H2322 / MAX(FILTER($H$2:$H5067, $D$2:$D5067=$D2322)) * 100, 2))"),23.3)</f>
        <v>23.3</v>
      </c>
      <c r="K2322" s="2"/>
      <c r="L2322" s="49"/>
      <c r="M2322" s="49"/>
      <c r="N2322" s="49"/>
      <c r="O2322" s="49" t="str">
        <f t="shared" si="2"/>
        <v/>
      </c>
      <c r="P2322" s="49" t="str">
        <f t="shared" si="3"/>
        <v/>
      </c>
      <c r="Q2322" s="84"/>
      <c r="R2322" s="84"/>
      <c r="S2322" s="84"/>
      <c r="T2322" s="84"/>
      <c r="U2322" s="84"/>
      <c r="V2322" s="84"/>
      <c r="W2322" s="84"/>
      <c r="X2322" s="84"/>
      <c r="Y2322" s="84"/>
      <c r="Z2322" s="84"/>
      <c r="AA2322" s="84"/>
      <c r="AB2322" s="84"/>
    </row>
    <row r="2323">
      <c r="A2323" s="69">
        <v>155.0</v>
      </c>
      <c r="B2323" s="69">
        <v>244.0</v>
      </c>
      <c r="C2323" s="86" t="s">
        <v>513</v>
      </c>
      <c r="D2323" s="86" t="s">
        <v>514</v>
      </c>
      <c r="E2323" s="86" t="s">
        <v>515</v>
      </c>
      <c r="F2323" s="69">
        <v>2000.0</v>
      </c>
      <c r="G2323" s="69">
        <v>12.7</v>
      </c>
      <c r="H2323" s="68">
        <f t="shared" si="1"/>
        <v>35.46</v>
      </c>
      <c r="I2323" s="81">
        <f>IFERROR(__xludf.DUMMYFUNCTION("IF(G2323="""", """", ROUND(G2323 / MAX(FILTER($G$2:$G5067, $D$2:$D5067=$D2323)) * 100, 2))"),86.99)</f>
        <v>86.99</v>
      </c>
      <c r="J2323" s="81">
        <f>IFERROR(__xludf.DUMMYFUNCTION("IF(H2323="""", """", ROUND(H2323 / MAX(FILTER($H$2:$H5067, $D$2:$D5067=$D2323)) * 100, 2))"),32.2)</f>
        <v>32.2</v>
      </c>
      <c r="K2323" s="2"/>
      <c r="L2323" s="48"/>
      <c r="M2323" s="48"/>
      <c r="N2323" s="48"/>
      <c r="O2323" s="48" t="str">
        <f t="shared" si="2"/>
        <v/>
      </c>
      <c r="P2323" s="48" t="str">
        <f t="shared" si="3"/>
        <v/>
      </c>
      <c r="Q2323" s="84"/>
      <c r="R2323" s="84"/>
      <c r="S2323" s="84"/>
      <c r="T2323" s="84"/>
      <c r="U2323" s="84"/>
      <c r="V2323" s="84"/>
      <c r="W2323" s="84"/>
      <c r="X2323" s="84"/>
      <c r="Y2323" s="84"/>
      <c r="Z2323" s="84"/>
      <c r="AA2323" s="84"/>
      <c r="AB2323" s="84"/>
    </row>
    <row r="2324">
      <c r="A2324" s="63">
        <v>155.0</v>
      </c>
      <c r="B2324" s="63">
        <v>244.0</v>
      </c>
      <c r="C2324" s="64" t="s">
        <v>513</v>
      </c>
      <c r="D2324" s="64" t="s">
        <v>514</v>
      </c>
      <c r="E2324" s="64" t="s">
        <v>515</v>
      </c>
      <c r="F2324" s="63">
        <v>2500.0</v>
      </c>
      <c r="G2324" s="63">
        <v>12.9</v>
      </c>
      <c r="H2324" s="66">
        <f t="shared" si="1"/>
        <v>45.03</v>
      </c>
      <c r="I2324" s="81">
        <f>IFERROR(__xludf.DUMMYFUNCTION("IF(G2324="""", """", ROUND(G2324 / MAX(FILTER($G$2:$G5067, $D$2:$D5067=$D2324)) * 100, 2))"),88.36)</f>
        <v>88.36</v>
      </c>
      <c r="J2324" s="81">
        <f>IFERROR(__xludf.DUMMYFUNCTION("IF(H2324="""", """", ROUND(H2324 / MAX(FILTER($H$2:$H5067, $D$2:$D5067=$D2324)) * 100, 2))"),40.88)</f>
        <v>40.88</v>
      </c>
      <c r="K2324" s="2"/>
      <c r="L2324" s="49"/>
      <c r="M2324" s="49"/>
      <c r="N2324" s="49"/>
      <c r="O2324" s="49" t="str">
        <f t="shared" si="2"/>
        <v/>
      </c>
      <c r="P2324" s="49" t="str">
        <f t="shared" si="3"/>
        <v/>
      </c>
      <c r="Q2324" s="84"/>
      <c r="R2324" s="84"/>
      <c r="S2324" s="84"/>
      <c r="T2324" s="84"/>
      <c r="U2324" s="84"/>
      <c r="V2324" s="84"/>
      <c r="W2324" s="84"/>
      <c r="X2324" s="84"/>
      <c r="Y2324" s="84"/>
      <c r="Z2324" s="84"/>
      <c r="AA2324" s="84"/>
      <c r="AB2324" s="84"/>
    </row>
    <row r="2325">
      <c r="A2325" s="69">
        <v>155.0</v>
      </c>
      <c r="B2325" s="69">
        <v>244.0</v>
      </c>
      <c r="C2325" s="86" t="s">
        <v>513</v>
      </c>
      <c r="D2325" s="86" t="s">
        <v>514</v>
      </c>
      <c r="E2325" s="86" t="s">
        <v>515</v>
      </c>
      <c r="F2325" s="69">
        <v>3000.0</v>
      </c>
      <c r="G2325" s="69">
        <v>13.15</v>
      </c>
      <c r="H2325" s="68">
        <f t="shared" si="1"/>
        <v>55.08</v>
      </c>
      <c r="I2325" s="81">
        <f>IFERROR(__xludf.DUMMYFUNCTION("IF(G2325="""", """", ROUND(G2325 / MAX(FILTER($G$2:$G5067, $D$2:$D5067=$D2325)) * 100, 2))"),90.07)</f>
        <v>90.07</v>
      </c>
      <c r="J2325" s="81">
        <f>IFERROR(__xludf.DUMMYFUNCTION("IF(H2325="""", """", ROUND(H2325 / MAX(FILTER($H$2:$H5067, $D$2:$D5067=$D2325)) * 100, 2))"),50.01)</f>
        <v>50.01</v>
      </c>
      <c r="K2325" s="2"/>
      <c r="L2325" s="48"/>
      <c r="M2325" s="48"/>
      <c r="N2325" s="48"/>
      <c r="O2325" s="48" t="str">
        <f t="shared" si="2"/>
        <v/>
      </c>
      <c r="P2325" s="48" t="str">
        <f t="shared" si="3"/>
        <v/>
      </c>
      <c r="Q2325" s="84"/>
      <c r="R2325" s="84"/>
      <c r="S2325" s="84"/>
      <c r="T2325" s="84"/>
      <c r="U2325" s="84"/>
      <c r="V2325" s="84"/>
      <c r="W2325" s="84"/>
      <c r="X2325" s="84"/>
      <c r="Y2325" s="84"/>
      <c r="Z2325" s="84"/>
      <c r="AA2325" s="84"/>
      <c r="AB2325" s="84"/>
    </row>
    <row r="2326">
      <c r="A2326" s="63">
        <v>155.0</v>
      </c>
      <c r="B2326" s="63">
        <v>244.0</v>
      </c>
      <c r="C2326" s="64" t="s">
        <v>513</v>
      </c>
      <c r="D2326" s="64" t="s">
        <v>514</v>
      </c>
      <c r="E2326" s="64" t="s">
        <v>515</v>
      </c>
      <c r="F2326" s="63">
        <v>3500.0</v>
      </c>
      <c r="G2326" s="63">
        <v>13.45</v>
      </c>
      <c r="H2326" s="66">
        <f t="shared" si="1"/>
        <v>65.73</v>
      </c>
      <c r="I2326" s="81">
        <f>IFERROR(__xludf.DUMMYFUNCTION("IF(G2326="""", """", ROUND(G2326 / MAX(FILTER($G$2:$G5067, $D$2:$D5067=$D2326)) * 100, 2))"),92.12)</f>
        <v>92.12</v>
      </c>
      <c r="J2326" s="81">
        <f>IFERROR(__xludf.DUMMYFUNCTION("IF(H2326="""", """", ROUND(H2326 / MAX(FILTER($H$2:$H5067, $D$2:$D5067=$D2326)) * 100, 2))"),59.68)</f>
        <v>59.68</v>
      </c>
      <c r="K2326" s="2"/>
      <c r="L2326" s="49"/>
      <c r="M2326" s="49"/>
      <c r="N2326" s="49"/>
      <c r="O2326" s="49" t="str">
        <f t="shared" si="2"/>
        <v/>
      </c>
      <c r="P2326" s="49" t="str">
        <f t="shared" si="3"/>
        <v/>
      </c>
      <c r="Q2326" s="84"/>
      <c r="R2326" s="84"/>
      <c r="S2326" s="84"/>
      <c r="T2326" s="84"/>
      <c r="U2326" s="84"/>
      <c r="V2326" s="84"/>
      <c r="W2326" s="84"/>
      <c r="X2326" s="84"/>
      <c r="Y2326" s="84"/>
      <c r="Z2326" s="84"/>
      <c r="AA2326" s="84"/>
      <c r="AB2326" s="84"/>
    </row>
    <row r="2327">
      <c r="A2327" s="69">
        <v>155.0</v>
      </c>
      <c r="B2327" s="69">
        <v>244.0</v>
      </c>
      <c r="C2327" s="86" t="s">
        <v>513</v>
      </c>
      <c r="D2327" s="86" t="s">
        <v>514</v>
      </c>
      <c r="E2327" s="86" t="s">
        <v>515</v>
      </c>
      <c r="F2327" s="69">
        <v>4200.0</v>
      </c>
      <c r="G2327" s="69">
        <v>14.25</v>
      </c>
      <c r="H2327" s="68">
        <f t="shared" si="1"/>
        <v>83.57</v>
      </c>
      <c r="I2327" s="81">
        <f>IFERROR(__xludf.DUMMYFUNCTION("IF(G2327="""", """", ROUND(G2327 / MAX(FILTER($G$2:$G5067, $D$2:$D5067=$D2327)) * 100, 2))"),97.6)</f>
        <v>97.6</v>
      </c>
      <c r="J2327" s="81">
        <f>IFERROR(__xludf.DUMMYFUNCTION("IF(H2327="""", """", ROUND(H2327 / MAX(FILTER($H$2:$H5067, $D$2:$D5067=$D2327)) * 100, 2))"),75.88)</f>
        <v>75.88</v>
      </c>
      <c r="K2327" s="2"/>
      <c r="L2327" s="48"/>
      <c r="M2327" s="48"/>
      <c r="N2327" s="48"/>
      <c r="O2327" s="48" t="str">
        <f t="shared" si="2"/>
        <v/>
      </c>
      <c r="P2327" s="48" t="str">
        <f t="shared" si="3"/>
        <v/>
      </c>
      <c r="Q2327" s="84"/>
      <c r="R2327" s="84"/>
      <c r="S2327" s="84"/>
      <c r="T2327" s="84"/>
      <c r="U2327" s="84"/>
      <c r="V2327" s="84"/>
      <c r="W2327" s="84"/>
      <c r="X2327" s="84"/>
      <c r="Y2327" s="84"/>
      <c r="Z2327" s="84"/>
      <c r="AA2327" s="84"/>
      <c r="AB2327" s="84"/>
    </row>
    <row r="2328">
      <c r="A2328" s="63">
        <v>155.0</v>
      </c>
      <c r="B2328" s="63">
        <v>244.0</v>
      </c>
      <c r="C2328" s="64" t="s">
        <v>513</v>
      </c>
      <c r="D2328" s="64" t="s">
        <v>514</v>
      </c>
      <c r="E2328" s="64" t="s">
        <v>515</v>
      </c>
      <c r="F2328" s="63">
        <v>4800.0</v>
      </c>
      <c r="G2328" s="63">
        <v>14.6</v>
      </c>
      <c r="H2328" s="66">
        <f t="shared" si="1"/>
        <v>97.85</v>
      </c>
      <c r="I2328" s="81">
        <f>IFERROR(__xludf.DUMMYFUNCTION("IF(G2328="""", """", ROUND(G2328 / MAX(FILTER($G$2:$G5067, $D$2:$D5067=$D2328)) * 100, 2))"),100.0)</f>
        <v>100</v>
      </c>
      <c r="J2328" s="81">
        <f>IFERROR(__xludf.DUMMYFUNCTION("IF(H2328="""", """", ROUND(H2328 / MAX(FILTER($H$2:$H5067, $D$2:$D5067=$D2328)) * 100, 2))"),88.84)</f>
        <v>88.84</v>
      </c>
      <c r="K2328" s="2"/>
      <c r="L2328" s="49"/>
      <c r="M2328" s="49"/>
      <c r="N2328" s="49"/>
      <c r="O2328" s="49" t="str">
        <f t="shared" si="2"/>
        <v/>
      </c>
      <c r="P2328" s="49" t="str">
        <f t="shared" si="3"/>
        <v/>
      </c>
      <c r="Q2328" s="84"/>
      <c r="R2328" s="84"/>
      <c r="S2328" s="84"/>
      <c r="T2328" s="84"/>
      <c r="U2328" s="84"/>
      <c r="V2328" s="84"/>
      <c r="W2328" s="84"/>
      <c r="X2328" s="84"/>
      <c r="Y2328" s="84"/>
      <c r="Z2328" s="84"/>
      <c r="AA2328" s="84"/>
      <c r="AB2328" s="84"/>
    </row>
    <row r="2329">
      <c r="A2329" s="69">
        <v>155.0</v>
      </c>
      <c r="B2329" s="69">
        <v>244.0</v>
      </c>
      <c r="C2329" s="86" t="s">
        <v>513</v>
      </c>
      <c r="D2329" s="86" t="s">
        <v>514</v>
      </c>
      <c r="E2329" s="86" t="s">
        <v>515</v>
      </c>
      <c r="F2329" s="69">
        <v>5200.0</v>
      </c>
      <c r="G2329" s="69">
        <v>14.5</v>
      </c>
      <c r="H2329" s="68">
        <f t="shared" si="1"/>
        <v>105.28</v>
      </c>
      <c r="I2329" s="81">
        <f>IFERROR(__xludf.DUMMYFUNCTION("IF(G2329="""", """", ROUND(G2329 / MAX(FILTER($G$2:$G5067, $D$2:$D5067=$D2329)) * 100, 2))"),99.32)</f>
        <v>99.32</v>
      </c>
      <c r="J2329" s="81">
        <f>IFERROR(__xludf.DUMMYFUNCTION("IF(H2329="""", """", ROUND(H2329 / MAX(FILTER($H$2:$H5067, $D$2:$D5067=$D2329)) * 100, 2))"),95.59)</f>
        <v>95.59</v>
      </c>
      <c r="K2329" s="2"/>
      <c r="L2329" s="48"/>
      <c r="M2329" s="48"/>
      <c r="N2329" s="48"/>
      <c r="O2329" s="48" t="str">
        <f t="shared" si="2"/>
        <v/>
      </c>
      <c r="P2329" s="48" t="str">
        <f t="shared" si="3"/>
        <v/>
      </c>
      <c r="Q2329" s="84"/>
      <c r="R2329" s="84"/>
      <c r="S2329" s="84"/>
      <c r="T2329" s="84"/>
      <c r="U2329" s="84"/>
      <c r="V2329" s="84"/>
      <c r="W2329" s="84"/>
      <c r="X2329" s="84"/>
      <c r="Y2329" s="84"/>
      <c r="Z2329" s="84"/>
      <c r="AA2329" s="84"/>
      <c r="AB2329" s="84"/>
    </row>
    <row r="2330">
      <c r="A2330" s="63">
        <v>155.0</v>
      </c>
      <c r="B2330" s="63">
        <v>244.0</v>
      </c>
      <c r="C2330" s="64" t="s">
        <v>513</v>
      </c>
      <c r="D2330" s="64" t="s">
        <v>514</v>
      </c>
      <c r="E2330" s="64" t="s">
        <v>515</v>
      </c>
      <c r="F2330" s="63">
        <v>5800.0</v>
      </c>
      <c r="G2330" s="63">
        <v>13.6</v>
      </c>
      <c r="H2330" s="66">
        <f t="shared" si="1"/>
        <v>110.14</v>
      </c>
      <c r="I2330" s="81">
        <f>IFERROR(__xludf.DUMMYFUNCTION("IF(G2330="""", """", ROUND(G2330 / MAX(FILTER($G$2:$G5067, $D$2:$D5067=$D2330)) * 100, 2))"),93.15)</f>
        <v>93.15</v>
      </c>
      <c r="J2330" s="81">
        <f>IFERROR(__xludf.DUMMYFUNCTION("IF(H2330="""", """", ROUND(H2330 / MAX(FILTER($H$2:$H5067, $D$2:$D5067=$D2330)) * 100, 2))"),100.0)</f>
        <v>100</v>
      </c>
      <c r="K2330" s="2"/>
      <c r="L2330" s="49"/>
      <c r="M2330" s="49"/>
      <c r="N2330" s="49"/>
      <c r="O2330" s="49" t="str">
        <f t="shared" si="2"/>
        <v/>
      </c>
      <c r="P2330" s="49" t="str">
        <f t="shared" si="3"/>
        <v/>
      </c>
      <c r="Q2330" s="84"/>
      <c r="R2330" s="84"/>
      <c r="S2330" s="84"/>
      <c r="T2330" s="84"/>
      <c r="U2330" s="84"/>
      <c r="V2330" s="84"/>
      <c r="W2330" s="84"/>
      <c r="X2330" s="84"/>
      <c r="Y2330" s="84"/>
      <c r="Z2330" s="84"/>
      <c r="AA2330" s="84"/>
      <c r="AB2330" s="84"/>
    </row>
    <row r="2331">
      <c r="A2331" s="69">
        <v>155.0</v>
      </c>
      <c r="B2331" s="69">
        <v>244.0</v>
      </c>
      <c r="C2331" s="86" t="s">
        <v>513</v>
      </c>
      <c r="D2331" s="86" t="s">
        <v>514</v>
      </c>
      <c r="E2331" s="86" t="s">
        <v>515</v>
      </c>
      <c r="F2331" s="69">
        <v>6100.0</v>
      </c>
      <c r="G2331" s="69">
        <v>12.7</v>
      </c>
      <c r="H2331" s="68">
        <f t="shared" si="1"/>
        <v>108.17</v>
      </c>
      <c r="I2331" s="81">
        <f>IFERROR(__xludf.DUMMYFUNCTION("IF(G2331="""", """", ROUND(G2331 / MAX(FILTER($G$2:$G5067, $D$2:$D5067=$D2331)) * 100, 2))"),86.99)</f>
        <v>86.99</v>
      </c>
      <c r="J2331" s="81">
        <f>IFERROR(__xludf.DUMMYFUNCTION("IF(H2331="""", """", ROUND(H2331 / MAX(FILTER($H$2:$H5067, $D$2:$D5067=$D2331)) * 100, 2))"),98.21)</f>
        <v>98.21</v>
      </c>
      <c r="K2331" s="2"/>
      <c r="L2331" s="48"/>
      <c r="M2331" s="48"/>
      <c r="N2331" s="48"/>
      <c r="O2331" s="48" t="str">
        <f t="shared" si="2"/>
        <v/>
      </c>
      <c r="P2331" s="48" t="str">
        <f t="shared" si="3"/>
        <v/>
      </c>
      <c r="Q2331" s="84"/>
      <c r="R2331" s="84"/>
      <c r="S2331" s="84"/>
      <c r="T2331" s="84"/>
      <c r="U2331" s="84"/>
      <c r="V2331" s="84"/>
      <c r="W2331" s="84"/>
      <c r="X2331" s="84"/>
      <c r="Y2331" s="84"/>
      <c r="Z2331" s="84"/>
      <c r="AA2331" s="84"/>
      <c r="AB2331" s="84"/>
    </row>
    <row r="2332">
      <c r="A2332" s="63">
        <v>155.0</v>
      </c>
      <c r="B2332" s="63">
        <v>244.0</v>
      </c>
      <c r="C2332" s="64" t="s">
        <v>513</v>
      </c>
      <c r="D2332" s="64" t="s">
        <v>514</v>
      </c>
      <c r="E2332" s="64" t="s">
        <v>515</v>
      </c>
      <c r="F2332" s="63">
        <v>6500.0</v>
      </c>
      <c r="G2332" s="63">
        <v>11.65</v>
      </c>
      <c r="H2332" s="66">
        <f t="shared" si="1"/>
        <v>105.73</v>
      </c>
      <c r="I2332" s="81">
        <f>IFERROR(__xludf.DUMMYFUNCTION("IF(G2332="""", """", ROUND(G2332 / MAX(FILTER($G$2:$G5067, $D$2:$D5067=$D2332)) * 100, 2))"),79.79)</f>
        <v>79.79</v>
      </c>
      <c r="J2332" s="81">
        <f>IFERROR(__xludf.DUMMYFUNCTION("IF(H2332="""", """", ROUND(H2332 / MAX(FILTER($H$2:$H5067, $D$2:$D5067=$D2332)) * 100, 2))"),96.0)</f>
        <v>96</v>
      </c>
      <c r="K2332" s="2"/>
      <c r="L2332" s="49"/>
      <c r="M2332" s="49"/>
      <c r="N2332" s="49"/>
      <c r="O2332" s="49" t="str">
        <f t="shared" si="2"/>
        <v/>
      </c>
      <c r="P2332" s="49" t="str">
        <f t="shared" si="3"/>
        <v/>
      </c>
      <c r="Q2332" s="84"/>
      <c r="R2332" s="84"/>
      <c r="S2332" s="84"/>
      <c r="T2332" s="84"/>
      <c r="U2332" s="84"/>
      <c r="V2332" s="84"/>
      <c r="W2332" s="84"/>
      <c r="X2332" s="84"/>
      <c r="Y2332" s="84"/>
      <c r="Z2332" s="84"/>
      <c r="AA2332" s="84"/>
      <c r="AB2332" s="84"/>
    </row>
    <row r="2333">
      <c r="A2333" s="69">
        <v>155.0</v>
      </c>
      <c r="B2333" s="69">
        <v>244.0</v>
      </c>
      <c r="C2333" s="86" t="s">
        <v>513</v>
      </c>
      <c r="D2333" s="86" t="s">
        <v>514</v>
      </c>
      <c r="E2333" s="86" t="s">
        <v>515</v>
      </c>
      <c r="F2333" s="69">
        <v>7000.0</v>
      </c>
      <c r="G2333" s="69">
        <v>9.45</v>
      </c>
      <c r="H2333" s="68">
        <f t="shared" si="1"/>
        <v>92.36</v>
      </c>
      <c r="I2333" s="81">
        <f>IFERROR(__xludf.DUMMYFUNCTION("IF(G2333="""", """", ROUND(G2333 / MAX(FILTER($G$2:$G5067, $D$2:$D5067=$D2333)) * 100, 2))"),64.73)</f>
        <v>64.73</v>
      </c>
      <c r="J2333" s="81">
        <f>IFERROR(__xludf.DUMMYFUNCTION("IF(H2333="""", """", ROUND(H2333 / MAX(FILTER($H$2:$H5067, $D$2:$D5067=$D2333)) * 100, 2))"),83.86)</f>
        <v>83.86</v>
      </c>
      <c r="K2333" s="2"/>
      <c r="L2333" s="48"/>
      <c r="M2333" s="48"/>
      <c r="N2333" s="48"/>
      <c r="O2333" s="48" t="str">
        <f t="shared" si="2"/>
        <v/>
      </c>
      <c r="P2333" s="48" t="str">
        <f t="shared" si="3"/>
        <v/>
      </c>
      <c r="Q2333" s="84"/>
      <c r="R2333" s="84"/>
      <c r="S2333" s="84"/>
      <c r="T2333" s="84"/>
      <c r="U2333" s="84"/>
      <c r="V2333" s="84"/>
      <c r="W2333" s="84"/>
      <c r="X2333" s="84"/>
      <c r="Y2333" s="84"/>
      <c r="Z2333" s="84"/>
      <c r="AA2333" s="84"/>
      <c r="AB2333" s="84"/>
    </row>
    <row r="2334">
      <c r="A2334" s="63">
        <v>156.0</v>
      </c>
      <c r="B2334" s="63">
        <v>245.0</v>
      </c>
      <c r="C2334" s="64" t="s">
        <v>516</v>
      </c>
      <c r="D2334" s="64" t="s">
        <v>517</v>
      </c>
      <c r="E2334" s="64" t="s">
        <v>518</v>
      </c>
      <c r="F2334" s="63">
        <v>500.0</v>
      </c>
      <c r="G2334" s="63">
        <v>20.2</v>
      </c>
      <c r="H2334" s="66">
        <f t="shared" si="1"/>
        <v>14.1</v>
      </c>
      <c r="I2334" s="81">
        <f>IFERROR(__xludf.DUMMYFUNCTION("IF(G2334="""", """", ROUND(G2334 / MAX(FILTER($G$2:$G5067, $D$2:$D5067=$D2334)) * 100, 2))"),66.01)</f>
        <v>66.01</v>
      </c>
      <c r="J2334" s="81">
        <f>IFERROR(__xludf.DUMMYFUNCTION("IF(H2334="""", """", ROUND(H2334 / MAX(FILTER($H$2:$H5067, $D$2:$D5067=$D2334)) * 100, 2))"),5.66)</f>
        <v>5.66</v>
      </c>
      <c r="K2334" s="2"/>
      <c r="L2334" s="49"/>
      <c r="M2334" s="49"/>
      <c r="N2334" s="49"/>
      <c r="O2334" s="49" t="str">
        <f t="shared" si="2"/>
        <v/>
      </c>
      <c r="P2334" s="49" t="str">
        <f t="shared" si="3"/>
        <v/>
      </c>
      <c r="Q2334" s="84"/>
      <c r="R2334" s="84"/>
      <c r="S2334" s="84"/>
      <c r="T2334" s="84"/>
      <c r="U2334" s="84"/>
      <c r="V2334" s="84"/>
      <c r="W2334" s="84"/>
      <c r="X2334" s="84"/>
      <c r="Y2334" s="84"/>
      <c r="Z2334" s="84"/>
      <c r="AA2334" s="84"/>
      <c r="AB2334" s="84"/>
    </row>
    <row r="2335">
      <c r="A2335" s="69">
        <v>156.0</v>
      </c>
      <c r="B2335" s="69">
        <v>245.0</v>
      </c>
      <c r="C2335" s="86" t="s">
        <v>516</v>
      </c>
      <c r="D2335" s="86" t="s">
        <v>517</v>
      </c>
      <c r="E2335" s="86" t="s">
        <v>518</v>
      </c>
      <c r="F2335" s="69">
        <v>1000.0</v>
      </c>
      <c r="G2335" s="69">
        <v>23.0</v>
      </c>
      <c r="H2335" s="68">
        <f t="shared" si="1"/>
        <v>32.11</v>
      </c>
      <c r="I2335" s="81">
        <f>IFERROR(__xludf.DUMMYFUNCTION("IF(G2335="""", """", ROUND(G2335 / MAX(FILTER($G$2:$G5067, $D$2:$D5067=$D2335)) * 100, 2))"),75.16)</f>
        <v>75.16</v>
      </c>
      <c r="J2335" s="81">
        <f>IFERROR(__xludf.DUMMYFUNCTION("IF(H2335="""", """", ROUND(H2335 / MAX(FILTER($H$2:$H5067, $D$2:$D5067=$D2335)) * 100, 2))"),12.88)</f>
        <v>12.88</v>
      </c>
      <c r="K2335" s="2"/>
      <c r="L2335" s="48"/>
      <c r="M2335" s="48"/>
      <c r="N2335" s="48"/>
      <c r="O2335" s="48" t="str">
        <f t="shared" si="2"/>
        <v/>
      </c>
      <c r="P2335" s="48" t="str">
        <f t="shared" si="3"/>
        <v/>
      </c>
      <c r="Q2335" s="84"/>
      <c r="R2335" s="84"/>
      <c r="S2335" s="84"/>
      <c r="T2335" s="84"/>
      <c r="U2335" s="84"/>
      <c r="V2335" s="84"/>
      <c r="W2335" s="84"/>
      <c r="X2335" s="84"/>
      <c r="Y2335" s="84"/>
      <c r="Z2335" s="84"/>
      <c r="AA2335" s="84"/>
      <c r="AB2335" s="84"/>
    </row>
    <row r="2336">
      <c r="A2336" s="63">
        <v>156.0</v>
      </c>
      <c r="B2336" s="63">
        <v>245.0</v>
      </c>
      <c r="C2336" s="64" t="s">
        <v>516</v>
      </c>
      <c r="D2336" s="64" t="s">
        <v>517</v>
      </c>
      <c r="E2336" s="64" t="s">
        <v>518</v>
      </c>
      <c r="F2336" s="63">
        <v>1500.0</v>
      </c>
      <c r="G2336" s="63">
        <v>24.8</v>
      </c>
      <c r="H2336" s="66">
        <f t="shared" si="1"/>
        <v>51.94</v>
      </c>
      <c r="I2336" s="81">
        <f>IFERROR(__xludf.DUMMYFUNCTION("IF(G2336="""", """", ROUND(G2336 / MAX(FILTER($G$2:$G5067, $D$2:$D5067=$D2336)) * 100, 2))"),81.05)</f>
        <v>81.05</v>
      </c>
      <c r="J2336" s="81">
        <f>IFERROR(__xludf.DUMMYFUNCTION("IF(H2336="""", """", ROUND(H2336 / MAX(FILTER($H$2:$H5067, $D$2:$D5067=$D2336)) * 100, 2))"),20.83)</f>
        <v>20.83</v>
      </c>
      <c r="K2336" s="2"/>
      <c r="L2336" s="49"/>
      <c r="M2336" s="49"/>
      <c r="N2336" s="49"/>
      <c r="O2336" s="49" t="str">
        <f t="shared" si="2"/>
        <v/>
      </c>
      <c r="P2336" s="49" t="str">
        <f t="shared" si="3"/>
        <v/>
      </c>
      <c r="Q2336" s="84"/>
      <c r="R2336" s="84"/>
      <c r="S2336" s="84"/>
      <c r="T2336" s="84"/>
      <c r="U2336" s="84"/>
      <c r="V2336" s="84"/>
      <c r="W2336" s="84"/>
      <c r="X2336" s="84"/>
      <c r="Y2336" s="84"/>
      <c r="Z2336" s="84"/>
      <c r="AA2336" s="84"/>
      <c r="AB2336" s="84"/>
    </row>
    <row r="2337">
      <c r="A2337" s="69">
        <v>156.0</v>
      </c>
      <c r="B2337" s="69">
        <v>245.0</v>
      </c>
      <c r="C2337" s="86" t="s">
        <v>516</v>
      </c>
      <c r="D2337" s="86" t="s">
        <v>517</v>
      </c>
      <c r="E2337" s="86" t="s">
        <v>518</v>
      </c>
      <c r="F2337" s="69">
        <v>2000.0</v>
      </c>
      <c r="G2337" s="69">
        <v>25.7</v>
      </c>
      <c r="H2337" s="68">
        <f t="shared" si="1"/>
        <v>71.77</v>
      </c>
      <c r="I2337" s="81">
        <f>IFERROR(__xludf.DUMMYFUNCTION("IF(G2337="""", """", ROUND(G2337 / MAX(FILTER($G$2:$G5067, $D$2:$D5067=$D2337)) * 100, 2))"),83.99)</f>
        <v>83.99</v>
      </c>
      <c r="J2337" s="81">
        <f>IFERROR(__xludf.DUMMYFUNCTION("IF(H2337="""", """", ROUND(H2337 / MAX(FILTER($H$2:$H5067, $D$2:$D5067=$D2337)) * 100, 2))"),28.79)</f>
        <v>28.79</v>
      </c>
      <c r="K2337" s="2"/>
      <c r="L2337" s="48"/>
      <c r="M2337" s="48"/>
      <c r="N2337" s="48"/>
      <c r="O2337" s="48" t="str">
        <f t="shared" si="2"/>
        <v/>
      </c>
      <c r="P2337" s="48" t="str">
        <f t="shared" si="3"/>
        <v/>
      </c>
      <c r="Q2337" s="84"/>
      <c r="R2337" s="84"/>
      <c r="S2337" s="84"/>
      <c r="T2337" s="84"/>
      <c r="U2337" s="84"/>
      <c r="V2337" s="84"/>
      <c r="W2337" s="84"/>
      <c r="X2337" s="84"/>
      <c r="Y2337" s="84"/>
      <c r="Z2337" s="84"/>
      <c r="AA2337" s="84"/>
      <c r="AB2337" s="84"/>
    </row>
    <row r="2338">
      <c r="A2338" s="63">
        <v>156.0</v>
      </c>
      <c r="B2338" s="63">
        <v>245.0</v>
      </c>
      <c r="C2338" s="64" t="s">
        <v>516</v>
      </c>
      <c r="D2338" s="64" t="s">
        <v>517</v>
      </c>
      <c r="E2338" s="64" t="s">
        <v>518</v>
      </c>
      <c r="F2338" s="63">
        <v>2500.0</v>
      </c>
      <c r="G2338" s="63">
        <v>25.8</v>
      </c>
      <c r="H2338" s="66">
        <f t="shared" si="1"/>
        <v>90.06</v>
      </c>
      <c r="I2338" s="81">
        <f>IFERROR(__xludf.DUMMYFUNCTION("IF(G2338="""", """", ROUND(G2338 / MAX(FILTER($G$2:$G5067, $D$2:$D5067=$D2338)) * 100, 2))"),84.31)</f>
        <v>84.31</v>
      </c>
      <c r="J2338" s="81">
        <f>IFERROR(__xludf.DUMMYFUNCTION("IF(H2338="""", """", ROUND(H2338 / MAX(FILTER($H$2:$H5067, $D$2:$D5067=$D2338)) * 100, 2))"),36.12)</f>
        <v>36.12</v>
      </c>
      <c r="K2338" s="2"/>
      <c r="L2338" s="49"/>
      <c r="M2338" s="49"/>
      <c r="N2338" s="49"/>
      <c r="O2338" s="49" t="str">
        <f t="shared" si="2"/>
        <v/>
      </c>
      <c r="P2338" s="49" t="str">
        <f t="shared" si="3"/>
        <v/>
      </c>
      <c r="Q2338" s="84"/>
      <c r="R2338" s="84"/>
      <c r="S2338" s="84"/>
      <c r="T2338" s="84"/>
      <c r="U2338" s="84"/>
      <c r="V2338" s="84"/>
      <c r="W2338" s="84"/>
      <c r="X2338" s="84"/>
      <c r="Y2338" s="84"/>
      <c r="Z2338" s="84"/>
      <c r="AA2338" s="84"/>
      <c r="AB2338" s="84"/>
    </row>
    <row r="2339">
      <c r="A2339" s="69">
        <v>156.0</v>
      </c>
      <c r="B2339" s="69">
        <v>245.0</v>
      </c>
      <c r="C2339" s="86" t="s">
        <v>516</v>
      </c>
      <c r="D2339" s="86" t="s">
        <v>517</v>
      </c>
      <c r="E2339" s="86" t="s">
        <v>518</v>
      </c>
      <c r="F2339" s="69">
        <v>3000.0</v>
      </c>
      <c r="G2339" s="69">
        <v>27.2</v>
      </c>
      <c r="H2339" s="68">
        <f t="shared" si="1"/>
        <v>113.93</v>
      </c>
      <c r="I2339" s="81">
        <f>IFERROR(__xludf.DUMMYFUNCTION("IF(G2339="""", """", ROUND(G2339 / MAX(FILTER($G$2:$G5067, $D$2:$D5067=$D2339)) * 100, 2))"),88.89)</f>
        <v>88.89</v>
      </c>
      <c r="J2339" s="81">
        <f>IFERROR(__xludf.DUMMYFUNCTION("IF(H2339="""", """", ROUND(H2339 / MAX(FILTER($H$2:$H5067, $D$2:$D5067=$D2339)) * 100, 2))"),45.7)</f>
        <v>45.7</v>
      </c>
      <c r="K2339" s="2"/>
      <c r="L2339" s="48"/>
      <c r="M2339" s="48"/>
      <c r="N2339" s="48"/>
      <c r="O2339" s="48" t="str">
        <f t="shared" si="2"/>
        <v/>
      </c>
      <c r="P2339" s="48" t="str">
        <f t="shared" si="3"/>
        <v/>
      </c>
      <c r="Q2339" s="84"/>
      <c r="R2339" s="84"/>
      <c r="S2339" s="84"/>
      <c r="T2339" s="84"/>
      <c r="U2339" s="84"/>
      <c r="V2339" s="84"/>
      <c r="W2339" s="84"/>
      <c r="X2339" s="84"/>
      <c r="Y2339" s="84"/>
      <c r="Z2339" s="84"/>
      <c r="AA2339" s="84"/>
      <c r="AB2339" s="84"/>
    </row>
    <row r="2340">
      <c r="A2340" s="63">
        <v>156.0</v>
      </c>
      <c r="B2340" s="63">
        <v>245.0</v>
      </c>
      <c r="C2340" s="64" t="s">
        <v>516</v>
      </c>
      <c r="D2340" s="64" t="s">
        <v>517</v>
      </c>
      <c r="E2340" s="64" t="s">
        <v>518</v>
      </c>
      <c r="F2340" s="63">
        <v>3500.0</v>
      </c>
      <c r="G2340" s="63">
        <v>28.9</v>
      </c>
      <c r="H2340" s="66">
        <f t="shared" si="1"/>
        <v>141.23</v>
      </c>
      <c r="I2340" s="81">
        <f>IFERROR(__xludf.DUMMYFUNCTION("IF(G2340="""", """", ROUND(G2340 / MAX(FILTER($G$2:$G5067, $D$2:$D5067=$D2340)) * 100, 2))"),94.44)</f>
        <v>94.44</v>
      </c>
      <c r="J2340" s="81">
        <f>IFERROR(__xludf.DUMMYFUNCTION("IF(H2340="""", """", ROUND(H2340 / MAX(FILTER($H$2:$H5067, $D$2:$D5067=$D2340)) * 100, 2))"),56.65)</f>
        <v>56.65</v>
      </c>
      <c r="K2340" s="2"/>
      <c r="L2340" s="49"/>
      <c r="M2340" s="49"/>
      <c r="N2340" s="49"/>
      <c r="O2340" s="49" t="str">
        <f t="shared" si="2"/>
        <v/>
      </c>
      <c r="P2340" s="49" t="str">
        <f t="shared" si="3"/>
        <v/>
      </c>
      <c r="Q2340" s="84"/>
      <c r="R2340" s="84"/>
      <c r="S2340" s="84"/>
      <c r="T2340" s="84"/>
      <c r="U2340" s="84"/>
      <c r="V2340" s="84"/>
      <c r="W2340" s="84"/>
      <c r="X2340" s="84"/>
      <c r="Y2340" s="84"/>
      <c r="Z2340" s="84"/>
      <c r="AA2340" s="84"/>
      <c r="AB2340" s="84"/>
    </row>
    <row r="2341">
      <c r="A2341" s="69">
        <v>156.0</v>
      </c>
      <c r="B2341" s="69">
        <v>245.0</v>
      </c>
      <c r="C2341" s="86" t="s">
        <v>516</v>
      </c>
      <c r="D2341" s="86" t="s">
        <v>517</v>
      </c>
      <c r="E2341" s="86" t="s">
        <v>518</v>
      </c>
      <c r="F2341" s="69">
        <v>4000.0</v>
      </c>
      <c r="G2341" s="69">
        <v>30.2</v>
      </c>
      <c r="H2341" s="68">
        <f t="shared" si="1"/>
        <v>168.67</v>
      </c>
      <c r="I2341" s="81">
        <f>IFERROR(__xludf.DUMMYFUNCTION("IF(G2341="""", """", ROUND(G2341 / MAX(FILTER($G$2:$G5067, $D$2:$D5067=$D2341)) * 100, 2))"),98.69)</f>
        <v>98.69</v>
      </c>
      <c r="J2341" s="81">
        <f>IFERROR(__xludf.DUMMYFUNCTION("IF(H2341="""", """", ROUND(H2341 / MAX(FILTER($H$2:$H5067, $D$2:$D5067=$D2341)) * 100, 2))"),67.65)</f>
        <v>67.65</v>
      </c>
      <c r="K2341" s="2"/>
      <c r="L2341" s="48"/>
      <c r="M2341" s="48"/>
      <c r="N2341" s="48"/>
      <c r="O2341" s="48" t="str">
        <f t="shared" si="2"/>
        <v/>
      </c>
      <c r="P2341" s="48" t="str">
        <f t="shared" si="3"/>
        <v/>
      </c>
      <c r="Q2341" s="84"/>
      <c r="R2341" s="84"/>
      <c r="S2341" s="84"/>
      <c r="T2341" s="84"/>
      <c r="U2341" s="84"/>
      <c r="V2341" s="84"/>
      <c r="W2341" s="84"/>
      <c r="X2341" s="84"/>
      <c r="Y2341" s="84"/>
      <c r="Z2341" s="84"/>
      <c r="AA2341" s="84"/>
      <c r="AB2341" s="84"/>
    </row>
    <row r="2342">
      <c r="A2342" s="63">
        <v>156.0</v>
      </c>
      <c r="B2342" s="63">
        <v>245.0</v>
      </c>
      <c r="C2342" s="64" t="s">
        <v>516</v>
      </c>
      <c r="D2342" s="64" t="s">
        <v>517</v>
      </c>
      <c r="E2342" s="64" t="s">
        <v>518</v>
      </c>
      <c r="F2342" s="63">
        <v>4800.0</v>
      </c>
      <c r="G2342" s="63">
        <v>30.6</v>
      </c>
      <c r="H2342" s="66">
        <f t="shared" si="1"/>
        <v>205.08</v>
      </c>
      <c r="I2342" s="81">
        <f>IFERROR(__xludf.DUMMYFUNCTION("IF(G2342="""", """", ROUND(G2342 / MAX(FILTER($G$2:$G5067, $D$2:$D5067=$D2342)) * 100, 2))"),100.0)</f>
        <v>100</v>
      </c>
      <c r="J2342" s="81">
        <f>IFERROR(__xludf.DUMMYFUNCTION("IF(H2342="""", """", ROUND(H2342 / MAX(FILTER($H$2:$H5067, $D$2:$D5067=$D2342)) * 100, 2))"),82.26)</f>
        <v>82.26</v>
      </c>
      <c r="K2342" s="2"/>
      <c r="L2342" s="49"/>
      <c r="M2342" s="49"/>
      <c r="N2342" s="49"/>
      <c r="O2342" s="49" t="str">
        <f t="shared" si="2"/>
        <v/>
      </c>
      <c r="P2342" s="49" t="str">
        <f t="shared" si="3"/>
        <v/>
      </c>
      <c r="Q2342" s="84"/>
      <c r="R2342" s="84"/>
      <c r="S2342" s="84"/>
      <c r="T2342" s="84"/>
      <c r="U2342" s="84"/>
      <c r="V2342" s="84"/>
      <c r="W2342" s="84"/>
      <c r="X2342" s="84"/>
      <c r="Y2342" s="84"/>
      <c r="Z2342" s="84"/>
      <c r="AA2342" s="84"/>
      <c r="AB2342" s="84"/>
    </row>
    <row r="2343">
      <c r="A2343" s="69">
        <v>156.0</v>
      </c>
      <c r="B2343" s="69">
        <v>245.0</v>
      </c>
      <c r="C2343" s="86" t="s">
        <v>516</v>
      </c>
      <c r="D2343" s="86" t="s">
        <v>517</v>
      </c>
      <c r="E2343" s="86" t="s">
        <v>518</v>
      </c>
      <c r="F2343" s="69">
        <v>5000.0</v>
      </c>
      <c r="G2343" s="69">
        <v>30.6</v>
      </c>
      <c r="H2343" s="68">
        <f t="shared" si="1"/>
        <v>213.63</v>
      </c>
      <c r="I2343" s="81">
        <f>IFERROR(__xludf.DUMMYFUNCTION("IF(G2343="""", """", ROUND(G2343 / MAX(FILTER($G$2:$G5067, $D$2:$D5067=$D2343)) * 100, 2))"),100.0)</f>
        <v>100</v>
      </c>
      <c r="J2343" s="81">
        <f>IFERROR(__xludf.DUMMYFUNCTION("IF(H2343="""", """", ROUND(H2343 / MAX(FILTER($H$2:$H5067, $D$2:$D5067=$D2343)) * 100, 2))"),85.69)</f>
        <v>85.69</v>
      </c>
      <c r="K2343" s="2"/>
      <c r="L2343" s="48"/>
      <c r="M2343" s="48"/>
      <c r="N2343" s="48"/>
      <c r="O2343" s="48" t="str">
        <f t="shared" si="2"/>
        <v/>
      </c>
      <c r="P2343" s="48" t="str">
        <f t="shared" si="3"/>
        <v/>
      </c>
      <c r="Q2343" s="84"/>
      <c r="R2343" s="84"/>
      <c r="S2343" s="84"/>
      <c r="T2343" s="84"/>
      <c r="U2343" s="84"/>
      <c r="V2343" s="84"/>
      <c r="W2343" s="84"/>
      <c r="X2343" s="84"/>
      <c r="Y2343" s="84"/>
      <c r="Z2343" s="84"/>
      <c r="AA2343" s="84"/>
      <c r="AB2343" s="84"/>
    </row>
    <row r="2344">
      <c r="A2344" s="63">
        <v>156.0</v>
      </c>
      <c r="B2344" s="63">
        <v>245.0</v>
      </c>
      <c r="C2344" s="64" t="s">
        <v>516</v>
      </c>
      <c r="D2344" s="64" t="s">
        <v>517</v>
      </c>
      <c r="E2344" s="64" t="s">
        <v>518</v>
      </c>
      <c r="F2344" s="63">
        <v>5500.0</v>
      </c>
      <c r="G2344" s="63">
        <v>30.4</v>
      </c>
      <c r="H2344" s="66">
        <f t="shared" si="1"/>
        <v>233.45</v>
      </c>
      <c r="I2344" s="81">
        <f>IFERROR(__xludf.DUMMYFUNCTION("IF(G2344="""", """", ROUND(G2344 / MAX(FILTER($G$2:$G5067, $D$2:$D5067=$D2344)) * 100, 2))"),99.35)</f>
        <v>99.35</v>
      </c>
      <c r="J2344" s="81">
        <f>IFERROR(__xludf.DUMMYFUNCTION("IF(H2344="""", """", ROUND(H2344 / MAX(FILTER($H$2:$H5067, $D$2:$D5067=$D2344)) * 100, 2))"),93.63)</f>
        <v>93.63</v>
      </c>
      <c r="K2344" s="2"/>
      <c r="L2344" s="49"/>
      <c r="M2344" s="49"/>
      <c r="N2344" s="49"/>
      <c r="O2344" s="49" t="str">
        <f t="shared" si="2"/>
        <v/>
      </c>
      <c r="P2344" s="49" t="str">
        <f t="shared" si="3"/>
        <v/>
      </c>
      <c r="Q2344" s="84"/>
      <c r="R2344" s="84"/>
      <c r="S2344" s="84"/>
      <c r="T2344" s="84"/>
      <c r="U2344" s="84"/>
      <c r="V2344" s="84"/>
      <c r="W2344" s="84"/>
      <c r="X2344" s="84"/>
      <c r="Y2344" s="84"/>
      <c r="Z2344" s="84"/>
      <c r="AA2344" s="84"/>
      <c r="AB2344" s="84"/>
    </row>
    <row r="2345">
      <c r="A2345" s="69">
        <v>156.0</v>
      </c>
      <c r="B2345" s="69">
        <v>245.0</v>
      </c>
      <c r="C2345" s="86" t="s">
        <v>516</v>
      </c>
      <c r="D2345" s="86" t="s">
        <v>517</v>
      </c>
      <c r="E2345" s="86" t="s">
        <v>518</v>
      </c>
      <c r="F2345" s="69">
        <v>6000.0</v>
      </c>
      <c r="G2345" s="69">
        <v>29.3</v>
      </c>
      <c r="H2345" s="68">
        <f t="shared" si="1"/>
        <v>245.46</v>
      </c>
      <c r="I2345" s="81">
        <f>IFERROR(__xludf.DUMMYFUNCTION("IF(G2345="""", """", ROUND(G2345 / MAX(FILTER($G$2:$G5067, $D$2:$D5067=$D2345)) * 100, 2))"),95.75)</f>
        <v>95.75</v>
      </c>
      <c r="J2345" s="81">
        <f>IFERROR(__xludf.DUMMYFUNCTION("IF(H2345="""", """", ROUND(H2345 / MAX(FILTER($H$2:$H5067, $D$2:$D5067=$D2345)) * 100, 2))"),98.45)</f>
        <v>98.45</v>
      </c>
      <c r="K2345" s="2"/>
      <c r="L2345" s="48"/>
      <c r="M2345" s="48"/>
      <c r="N2345" s="48"/>
      <c r="O2345" s="48" t="str">
        <f t="shared" si="2"/>
        <v/>
      </c>
      <c r="P2345" s="48" t="str">
        <f t="shared" si="3"/>
        <v/>
      </c>
      <c r="Q2345" s="84"/>
      <c r="R2345" s="84"/>
      <c r="S2345" s="84"/>
      <c r="T2345" s="84"/>
      <c r="U2345" s="84"/>
      <c r="V2345" s="84"/>
      <c r="W2345" s="84"/>
      <c r="X2345" s="84"/>
      <c r="Y2345" s="84"/>
      <c r="Z2345" s="84"/>
      <c r="AA2345" s="84"/>
      <c r="AB2345" s="84"/>
    </row>
    <row r="2346">
      <c r="A2346" s="63">
        <v>156.0</v>
      </c>
      <c r="B2346" s="63">
        <v>245.0</v>
      </c>
      <c r="C2346" s="64" t="s">
        <v>516</v>
      </c>
      <c r="D2346" s="64" t="s">
        <v>517</v>
      </c>
      <c r="E2346" s="64" t="s">
        <v>518</v>
      </c>
      <c r="F2346" s="63">
        <v>6200.0</v>
      </c>
      <c r="G2346" s="63">
        <v>28.8</v>
      </c>
      <c r="H2346" s="66">
        <f t="shared" si="1"/>
        <v>249.32</v>
      </c>
      <c r="I2346" s="81">
        <f>IFERROR(__xludf.DUMMYFUNCTION("IF(G2346="""", """", ROUND(G2346 / MAX(FILTER($G$2:$G5067, $D$2:$D5067=$D2346)) * 100, 2))"),94.12)</f>
        <v>94.12</v>
      </c>
      <c r="J2346" s="81">
        <f>IFERROR(__xludf.DUMMYFUNCTION("IF(H2346="""", """", ROUND(H2346 / MAX(FILTER($H$2:$H5067, $D$2:$D5067=$D2346)) * 100, 2))"),100.0)</f>
        <v>100</v>
      </c>
      <c r="K2346" s="2"/>
      <c r="L2346" s="49"/>
      <c r="M2346" s="49"/>
      <c r="N2346" s="49"/>
      <c r="O2346" s="49" t="str">
        <f t="shared" si="2"/>
        <v/>
      </c>
      <c r="P2346" s="49" t="str">
        <f t="shared" si="3"/>
        <v/>
      </c>
      <c r="Q2346" s="84"/>
      <c r="R2346" s="84"/>
      <c r="S2346" s="84"/>
      <c r="T2346" s="84"/>
      <c r="U2346" s="84"/>
      <c r="V2346" s="84"/>
      <c r="W2346" s="84"/>
      <c r="X2346" s="84"/>
      <c r="Y2346" s="84"/>
      <c r="Z2346" s="84"/>
      <c r="AA2346" s="84"/>
      <c r="AB2346" s="84"/>
    </row>
    <row r="2347">
      <c r="A2347" s="69">
        <v>156.0</v>
      </c>
      <c r="B2347" s="69">
        <v>245.0</v>
      </c>
      <c r="C2347" s="86" t="s">
        <v>516</v>
      </c>
      <c r="D2347" s="86" t="s">
        <v>517</v>
      </c>
      <c r="E2347" s="86" t="s">
        <v>518</v>
      </c>
      <c r="F2347" s="69">
        <v>7000.0</v>
      </c>
      <c r="G2347" s="69">
        <v>25.2</v>
      </c>
      <c r="H2347" s="68">
        <f t="shared" si="1"/>
        <v>246.3</v>
      </c>
      <c r="I2347" s="81">
        <f>IFERROR(__xludf.DUMMYFUNCTION("IF(G2347="""", """", ROUND(G2347 / MAX(FILTER($G$2:$G5067, $D$2:$D5067=$D2347)) * 100, 2))"),82.35)</f>
        <v>82.35</v>
      </c>
      <c r="J2347" s="81">
        <f>IFERROR(__xludf.DUMMYFUNCTION("IF(H2347="""", """", ROUND(H2347 / MAX(FILTER($H$2:$H5067, $D$2:$D5067=$D2347)) * 100, 2))"),98.79)</f>
        <v>98.79</v>
      </c>
      <c r="K2347" s="2"/>
      <c r="L2347" s="48"/>
      <c r="M2347" s="48"/>
      <c r="N2347" s="48"/>
      <c r="O2347" s="48" t="str">
        <f t="shared" si="2"/>
        <v/>
      </c>
      <c r="P2347" s="48" t="str">
        <f t="shared" si="3"/>
        <v/>
      </c>
      <c r="Q2347" s="84"/>
      <c r="R2347" s="84"/>
      <c r="S2347" s="84"/>
      <c r="T2347" s="84"/>
      <c r="U2347" s="84"/>
      <c r="V2347" s="84"/>
      <c r="W2347" s="84"/>
      <c r="X2347" s="84"/>
      <c r="Y2347" s="84"/>
      <c r="Z2347" s="84"/>
      <c r="AA2347" s="84"/>
      <c r="AB2347" s="84"/>
    </row>
    <row r="2348">
      <c r="A2348" s="63">
        <v>156.0</v>
      </c>
      <c r="B2348" s="63">
        <v>245.0</v>
      </c>
      <c r="C2348" s="64" t="s">
        <v>516</v>
      </c>
      <c r="D2348" s="64" t="s">
        <v>517</v>
      </c>
      <c r="E2348" s="64" t="s">
        <v>518</v>
      </c>
      <c r="F2348" s="63">
        <v>7500.0</v>
      </c>
      <c r="G2348" s="63">
        <v>22.0</v>
      </c>
      <c r="H2348" s="66">
        <f t="shared" si="1"/>
        <v>230.38</v>
      </c>
      <c r="I2348" s="81">
        <f>IFERROR(__xludf.DUMMYFUNCTION("IF(G2348="""", """", ROUND(G2348 / MAX(FILTER($G$2:$G5067, $D$2:$D5067=$D2348)) * 100, 2))"),71.9)</f>
        <v>71.9</v>
      </c>
      <c r="J2348" s="81">
        <f>IFERROR(__xludf.DUMMYFUNCTION("IF(H2348="""", """", ROUND(H2348 / MAX(FILTER($H$2:$H5067, $D$2:$D5067=$D2348)) * 100, 2))"),92.4)</f>
        <v>92.4</v>
      </c>
      <c r="K2348" s="2"/>
      <c r="L2348" s="49"/>
      <c r="M2348" s="49"/>
      <c r="N2348" s="49"/>
      <c r="O2348" s="49" t="str">
        <f t="shared" si="2"/>
        <v/>
      </c>
      <c r="P2348" s="49" t="str">
        <f t="shared" si="3"/>
        <v/>
      </c>
      <c r="Q2348" s="84"/>
      <c r="R2348" s="84"/>
      <c r="S2348" s="84"/>
      <c r="T2348" s="84"/>
      <c r="U2348" s="84"/>
      <c r="V2348" s="84"/>
      <c r="W2348" s="84"/>
      <c r="X2348" s="84"/>
      <c r="Y2348" s="84"/>
      <c r="Z2348" s="84"/>
      <c r="AA2348" s="84"/>
      <c r="AB2348" s="84"/>
    </row>
    <row r="2349">
      <c r="A2349" s="69">
        <v>157.0</v>
      </c>
      <c r="B2349" s="69">
        <v>254.0</v>
      </c>
      <c r="C2349" s="86" t="s">
        <v>519</v>
      </c>
      <c r="D2349" s="86" t="s">
        <v>520</v>
      </c>
      <c r="E2349" s="86" t="s">
        <v>521</v>
      </c>
      <c r="F2349" s="69">
        <v>500.0</v>
      </c>
      <c r="G2349" s="69">
        <v>10.6</v>
      </c>
      <c r="H2349" s="68">
        <f t="shared" si="1"/>
        <v>7.4</v>
      </c>
      <c r="I2349" s="81">
        <f>IFERROR(__xludf.DUMMYFUNCTION("IF(G2349="""", """", ROUND(G2349 / MAX(FILTER($G$2:$G5067, $D$2:$D5067=$D2349)) * 100, 2))"),69.74)</f>
        <v>69.74</v>
      </c>
      <c r="J2349" s="81">
        <f>IFERROR(__xludf.DUMMYFUNCTION("IF(H2349="""", """", ROUND(H2349 / MAX(FILTER($H$2:$H5067, $D$2:$D5067=$D2349)) * 100, 2))"),8.18)</f>
        <v>8.18</v>
      </c>
      <c r="K2349" s="2"/>
      <c r="L2349" s="48"/>
      <c r="M2349" s="48"/>
      <c r="N2349" s="48"/>
      <c r="O2349" s="48" t="str">
        <f t="shared" si="2"/>
        <v/>
      </c>
      <c r="P2349" s="48" t="str">
        <f t="shared" si="3"/>
        <v/>
      </c>
      <c r="Q2349" s="84"/>
      <c r="R2349" s="84"/>
      <c r="S2349" s="84"/>
      <c r="T2349" s="84"/>
      <c r="U2349" s="84"/>
      <c r="V2349" s="84"/>
      <c r="W2349" s="84"/>
      <c r="X2349" s="84"/>
      <c r="Y2349" s="84"/>
      <c r="Z2349" s="84"/>
      <c r="AA2349" s="84"/>
      <c r="AB2349" s="84"/>
    </row>
    <row r="2350">
      <c r="A2350" s="63">
        <v>157.0</v>
      </c>
      <c r="B2350" s="63">
        <v>254.0</v>
      </c>
      <c r="C2350" s="64" t="s">
        <v>519</v>
      </c>
      <c r="D2350" s="64" t="s">
        <v>520</v>
      </c>
      <c r="E2350" s="64" t="s">
        <v>521</v>
      </c>
      <c r="F2350" s="63">
        <v>1000.0</v>
      </c>
      <c r="G2350" s="63">
        <v>12.15</v>
      </c>
      <c r="H2350" s="66">
        <f t="shared" si="1"/>
        <v>16.96</v>
      </c>
      <c r="I2350" s="81">
        <f>IFERROR(__xludf.DUMMYFUNCTION("IF(G2350="""", """", ROUND(G2350 / MAX(FILTER($G$2:$G5067, $D$2:$D5067=$D2350)) * 100, 2))"),79.93)</f>
        <v>79.93</v>
      </c>
      <c r="J2350" s="81">
        <f>IFERROR(__xludf.DUMMYFUNCTION("IF(H2350="""", """", ROUND(H2350 / MAX(FILTER($H$2:$H5067, $D$2:$D5067=$D2350)) * 100, 2))"),18.74)</f>
        <v>18.74</v>
      </c>
      <c r="K2350" s="2"/>
      <c r="L2350" s="49"/>
      <c r="M2350" s="49"/>
      <c r="N2350" s="49"/>
      <c r="O2350" s="49" t="str">
        <f t="shared" si="2"/>
        <v/>
      </c>
      <c r="P2350" s="49" t="str">
        <f t="shared" si="3"/>
        <v/>
      </c>
      <c r="Q2350" s="84"/>
      <c r="R2350" s="84"/>
      <c r="S2350" s="84"/>
      <c r="T2350" s="84"/>
      <c r="U2350" s="84"/>
      <c r="V2350" s="84"/>
      <c r="W2350" s="84"/>
      <c r="X2350" s="84"/>
      <c r="Y2350" s="84"/>
      <c r="Z2350" s="84"/>
      <c r="AA2350" s="84"/>
      <c r="AB2350" s="84"/>
    </row>
    <row r="2351">
      <c r="A2351" s="69">
        <v>157.0</v>
      </c>
      <c r="B2351" s="69">
        <v>254.0</v>
      </c>
      <c r="C2351" s="86" t="s">
        <v>519</v>
      </c>
      <c r="D2351" s="86" t="s">
        <v>520</v>
      </c>
      <c r="E2351" s="86" t="s">
        <v>521</v>
      </c>
      <c r="F2351" s="69">
        <v>1500.0</v>
      </c>
      <c r="G2351" s="69">
        <v>13.3</v>
      </c>
      <c r="H2351" s="68">
        <f t="shared" si="1"/>
        <v>27.86</v>
      </c>
      <c r="I2351" s="81">
        <f>IFERROR(__xludf.DUMMYFUNCTION("IF(G2351="""", """", ROUND(G2351 / MAX(FILTER($G$2:$G5067, $D$2:$D5067=$D2351)) * 100, 2))"),87.5)</f>
        <v>87.5</v>
      </c>
      <c r="J2351" s="81">
        <f>IFERROR(__xludf.DUMMYFUNCTION("IF(H2351="""", """", ROUND(H2351 / MAX(FILTER($H$2:$H5067, $D$2:$D5067=$D2351)) * 100, 2))"),30.79)</f>
        <v>30.79</v>
      </c>
      <c r="K2351" s="2"/>
      <c r="L2351" s="48"/>
      <c r="M2351" s="48"/>
      <c r="N2351" s="48"/>
      <c r="O2351" s="48" t="str">
        <f t="shared" si="2"/>
        <v/>
      </c>
      <c r="P2351" s="48" t="str">
        <f t="shared" si="3"/>
        <v/>
      </c>
      <c r="Q2351" s="84"/>
      <c r="R2351" s="84"/>
      <c r="S2351" s="84"/>
      <c r="T2351" s="84"/>
      <c r="U2351" s="84"/>
      <c r="V2351" s="84"/>
      <c r="W2351" s="84"/>
      <c r="X2351" s="84"/>
      <c r="Y2351" s="84"/>
      <c r="Z2351" s="84"/>
      <c r="AA2351" s="84"/>
      <c r="AB2351" s="84"/>
    </row>
    <row r="2352">
      <c r="A2352" s="63">
        <v>157.0</v>
      </c>
      <c r="B2352" s="63">
        <v>254.0</v>
      </c>
      <c r="C2352" s="64" t="s">
        <v>519</v>
      </c>
      <c r="D2352" s="64" t="s">
        <v>520</v>
      </c>
      <c r="E2352" s="64" t="s">
        <v>521</v>
      </c>
      <c r="F2352" s="63">
        <v>2000.0</v>
      </c>
      <c r="G2352" s="63">
        <v>14.25</v>
      </c>
      <c r="H2352" s="66">
        <f t="shared" si="1"/>
        <v>39.79</v>
      </c>
      <c r="I2352" s="81">
        <f>IFERROR(__xludf.DUMMYFUNCTION("IF(G2352="""", """", ROUND(G2352 / MAX(FILTER($G$2:$G5067, $D$2:$D5067=$D2352)) * 100, 2))"),93.75)</f>
        <v>93.75</v>
      </c>
      <c r="J2352" s="81">
        <f>IFERROR(__xludf.DUMMYFUNCTION("IF(H2352="""", """", ROUND(H2352 / MAX(FILTER($H$2:$H5067, $D$2:$D5067=$D2352)) * 100, 2))"),43.98)</f>
        <v>43.98</v>
      </c>
      <c r="K2352" s="2"/>
      <c r="L2352" s="49"/>
      <c r="M2352" s="49"/>
      <c r="N2352" s="49"/>
      <c r="O2352" s="49" t="str">
        <f t="shared" si="2"/>
        <v/>
      </c>
      <c r="P2352" s="49" t="str">
        <f t="shared" si="3"/>
        <v/>
      </c>
      <c r="Q2352" s="84"/>
      <c r="R2352" s="84"/>
      <c r="S2352" s="84"/>
      <c r="T2352" s="84"/>
      <c r="U2352" s="84"/>
      <c r="V2352" s="84"/>
      <c r="W2352" s="84"/>
      <c r="X2352" s="84"/>
      <c r="Y2352" s="84"/>
      <c r="Z2352" s="84"/>
      <c r="AA2352" s="84"/>
      <c r="AB2352" s="84"/>
    </row>
    <row r="2353">
      <c r="A2353" s="69">
        <v>157.0</v>
      </c>
      <c r="B2353" s="69">
        <v>254.0</v>
      </c>
      <c r="C2353" s="86" t="s">
        <v>519</v>
      </c>
      <c r="D2353" s="86" t="s">
        <v>520</v>
      </c>
      <c r="E2353" s="86" t="s">
        <v>521</v>
      </c>
      <c r="F2353" s="69">
        <v>2500.0</v>
      </c>
      <c r="G2353" s="69">
        <v>14.9</v>
      </c>
      <c r="H2353" s="68">
        <f t="shared" si="1"/>
        <v>52.01</v>
      </c>
      <c r="I2353" s="81">
        <f>IFERROR(__xludf.DUMMYFUNCTION("IF(G2353="""", """", ROUND(G2353 / MAX(FILTER($G$2:$G5067, $D$2:$D5067=$D2353)) * 100, 2))"),98.03)</f>
        <v>98.03</v>
      </c>
      <c r="J2353" s="81">
        <f>IFERROR(__xludf.DUMMYFUNCTION("IF(H2353="""", """", ROUND(H2353 / MAX(FILTER($H$2:$H5067, $D$2:$D5067=$D2353)) * 100, 2))"),57.48)</f>
        <v>57.48</v>
      </c>
      <c r="K2353" s="2"/>
      <c r="L2353" s="48"/>
      <c r="M2353" s="48"/>
      <c r="N2353" s="48"/>
      <c r="O2353" s="48" t="str">
        <f t="shared" si="2"/>
        <v/>
      </c>
      <c r="P2353" s="48" t="str">
        <f t="shared" si="3"/>
        <v/>
      </c>
      <c r="Q2353" s="84"/>
      <c r="R2353" s="84"/>
      <c r="S2353" s="84"/>
      <c r="T2353" s="84"/>
      <c r="U2353" s="84"/>
      <c r="V2353" s="84"/>
      <c r="W2353" s="84"/>
      <c r="X2353" s="84"/>
      <c r="Y2353" s="84"/>
      <c r="Z2353" s="84"/>
      <c r="AA2353" s="84"/>
      <c r="AB2353" s="84"/>
    </row>
    <row r="2354">
      <c r="A2354" s="63">
        <v>157.0</v>
      </c>
      <c r="B2354" s="63">
        <v>254.0</v>
      </c>
      <c r="C2354" s="64" t="s">
        <v>519</v>
      </c>
      <c r="D2354" s="64" t="s">
        <v>520</v>
      </c>
      <c r="E2354" s="64" t="s">
        <v>521</v>
      </c>
      <c r="F2354" s="63">
        <v>3000.0</v>
      </c>
      <c r="G2354" s="63">
        <v>15.2</v>
      </c>
      <c r="H2354" s="66">
        <f t="shared" si="1"/>
        <v>63.67</v>
      </c>
      <c r="I2354" s="81">
        <f>IFERROR(__xludf.DUMMYFUNCTION("IF(G2354="""", """", ROUND(G2354 / MAX(FILTER($G$2:$G5067, $D$2:$D5067=$D2354)) * 100, 2))"),100.0)</f>
        <v>100</v>
      </c>
      <c r="J2354" s="81">
        <f>IFERROR(__xludf.DUMMYFUNCTION("IF(H2354="""", """", ROUND(H2354 / MAX(FILTER($H$2:$H5067, $D$2:$D5067=$D2354)) * 100, 2))"),70.37)</f>
        <v>70.37</v>
      </c>
      <c r="K2354" s="2"/>
      <c r="L2354" s="49"/>
      <c r="M2354" s="49"/>
      <c r="N2354" s="49"/>
      <c r="O2354" s="49" t="str">
        <f t="shared" si="2"/>
        <v/>
      </c>
      <c r="P2354" s="49" t="str">
        <f t="shared" si="3"/>
        <v/>
      </c>
      <c r="Q2354" s="84"/>
      <c r="R2354" s="84"/>
      <c r="S2354" s="84"/>
      <c r="T2354" s="84"/>
      <c r="U2354" s="84"/>
      <c r="V2354" s="84"/>
      <c r="W2354" s="84"/>
      <c r="X2354" s="84"/>
      <c r="Y2354" s="84"/>
      <c r="Z2354" s="84"/>
      <c r="AA2354" s="84"/>
      <c r="AB2354" s="84"/>
    </row>
    <row r="2355">
      <c r="A2355" s="69">
        <v>157.0</v>
      </c>
      <c r="B2355" s="69">
        <v>254.0</v>
      </c>
      <c r="C2355" s="86" t="s">
        <v>519</v>
      </c>
      <c r="D2355" s="86" t="s">
        <v>520</v>
      </c>
      <c r="E2355" s="86" t="s">
        <v>521</v>
      </c>
      <c r="F2355" s="69">
        <v>3500.0</v>
      </c>
      <c r="G2355" s="69">
        <v>15.0</v>
      </c>
      <c r="H2355" s="68">
        <f t="shared" si="1"/>
        <v>73.3</v>
      </c>
      <c r="I2355" s="81">
        <f>IFERROR(__xludf.DUMMYFUNCTION("IF(G2355="""", """", ROUND(G2355 / MAX(FILTER($G$2:$G5067, $D$2:$D5067=$D2355)) * 100, 2))"),98.68)</f>
        <v>98.68</v>
      </c>
      <c r="J2355" s="81">
        <f>IFERROR(__xludf.DUMMYFUNCTION("IF(H2355="""", """", ROUND(H2355 / MAX(FILTER($H$2:$H5067, $D$2:$D5067=$D2355)) * 100, 2))"),81.01)</f>
        <v>81.01</v>
      </c>
      <c r="K2355" s="2"/>
      <c r="L2355" s="48"/>
      <c r="M2355" s="48"/>
      <c r="N2355" s="48"/>
      <c r="O2355" s="48" t="str">
        <f t="shared" si="2"/>
        <v/>
      </c>
      <c r="P2355" s="48" t="str">
        <f t="shared" si="3"/>
        <v/>
      </c>
      <c r="Q2355" s="84"/>
      <c r="R2355" s="84"/>
      <c r="S2355" s="84"/>
      <c r="T2355" s="84"/>
      <c r="U2355" s="84"/>
      <c r="V2355" s="84"/>
      <c r="W2355" s="84"/>
      <c r="X2355" s="84"/>
      <c r="Y2355" s="84"/>
      <c r="Z2355" s="84"/>
      <c r="AA2355" s="84"/>
      <c r="AB2355" s="84"/>
    </row>
    <row r="2356">
      <c r="A2356" s="63">
        <v>157.0</v>
      </c>
      <c r="B2356" s="63">
        <v>254.0</v>
      </c>
      <c r="C2356" s="64" t="s">
        <v>519</v>
      </c>
      <c r="D2356" s="64" t="s">
        <v>520</v>
      </c>
      <c r="E2356" s="64" t="s">
        <v>521</v>
      </c>
      <c r="F2356" s="63">
        <v>4000.0</v>
      </c>
      <c r="G2356" s="63">
        <v>14.35</v>
      </c>
      <c r="H2356" s="66">
        <f t="shared" si="1"/>
        <v>80.15</v>
      </c>
      <c r="I2356" s="81">
        <f>IFERROR(__xludf.DUMMYFUNCTION("IF(G2356="""", """", ROUND(G2356 / MAX(FILTER($G$2:$G5067, $D$2:$D5067=$D2356)) * 100, 2))"),94.41)</f>
        <v>94.41</v>
      </c>
      <c r="J2356" s="81">
        <f>IFERROR(__xludf.DUMMYFUNCTION("IF(H2356="""", """", ROUND(H2356 / MAX(FILTER($H$2:$H5067, $D$2:$D5067=$D2356)) * 100, 2))"),88.58)</f>
        <v>88.58</v>
      </c>
      <c r="K2356" s="2"/>
      <c r="L2356" s="49"/>
      <c r="M2356" s="49"/>
      <c r="N2356" s="49"/>
      <c r="O2356" s="49" t="str">
        <f t="shared" si="2"/>
        <v/>
      </c>
      <c r="P2356" s="49" t="str">
        <f t="shared" si="3"/>
        <v/>
      </c>
      <c r="Q2356" s="84"/>
      <c r="R2356" s="84"/>
      <c r="S2356" s="84"/>
      <c r="T2356" s="84"/>
      <c r="U2356" s="84"/>
      <c r="V2356" s="84"/>
      <c r="W2356" s="84"/>
      <c r="X2356" s="84"/>
      <c r="Y2356" s="84"/>
      <c r="Z2356" s="84"/>
      <c r="AA2356" s="84"/>
      <c r="AB2356" s="84"/>
    </row>
    <row r="2357">
      <c r="A2357" s="69">
        <v>157.0</v>
      </c>
      <c r="B2357" s="69">
        <v>254.0</v>
      </c>
      <c r="C2357" s="86" t="s">
        <v>519</v>
      </c>
      <c r="D2357" s="86" t="s">
        <v>520</v>
      </c>
      <c r="E2357" s="86" t="s">
        <v>521</v>
      </c>
      <c r="F2357" s="69">
        <v>4500.0</v>
      </c>
      <c r="G2357" s="69">
        <v>13.65</v>
      </c>
      <c r="H2357" s="68">
        <f t="shared" si="1"/>
        <v>85.77</v>
      </c>
      <c r="I2357" s="81">
        <f>IFERROR(__xludf.DUMMYFUNCTION("IF(G2357="""", """", ROUND(G2357 / MAX(FILTER($G$2:$G5067, $D$2:$D5067=$D2357)) * 100, 2))"),89.8)</f>
        <v>89.8</v>
      </c>
      <c r="J2357" s="81">
        <f>IFERROR(__xludf.DUMMYFUNCTION("IF(H2357="""", """", ROUND(H2357 / MAX(FILTER($H$2:$H5067, $D$2:$D5067=$D2357)) * 100, 2))"),94.79)</f>
        <v>94.79</v>
      </c>
      <c r="K2357" s="2"/>
      <c r="L2357" s="48"/>
      <c r="M2357" s="48"/>
      <c r="N2357" s="48"/>
      <c r="O2357" s="48" t="str">
        <f t="shared" si="2"/>
        <v/>
      </c>
      <c r="P2357" s="48" t="str">
        <f t="shared" si="3"/>
        <v/>
      </c>
      <c r="Q2357" s="84"/>
      <c r="R2357" s="84"/>
      <c r="S2357" s="84"/>
      <c r="T2357" s="84"/>
      <c r="U2357" s="84"/>
      <c r="V2357" s="84"/>
      <c r="W2357" s="84"/>
      <c r="X2357" s="84"/>
      <c r="Y2357" s="84"/>
      <c r="Z2357" s="84"/>
      <c r="AA2357" s="84"/>
      <c r="AB2357" s="84"/>
    </row>
    <row r="2358">
      <c r="A2358" s="63">
        <v>157.0</v>
      </c>
      <c r="B2358" s="63">
        <v>254.0</v>
      </c>
      <c r="C2358" s="64" t="s">
        <v>519</v>
      </c>
      <c r="D2358" s="64" t="s">
        <v>520</v>
      </c>
      <c r="E2358" s="64" t="s">
        <v>521</v>
      </c>
      <c r="F2358" s="63">
        <v>5000.0</v>
      </c>
      <c r="G2358" s="63">
        <v>12.8</v>
      </c>
      <c r="H2358" s="66">
        <f t="shared" si="1"/>
        <v>89.36</v>
      </c>
      <c r="I2358" s="81">
        <f>IFERROR(__xludf.DUMMYFUNCTION("IF(G2358="""", """", ROUND(G2358 / MAX(FILTER($G$2:$G5067, $D$2:$D5067=$D2358)) * 100, 2))"),84.21)</f>
        <v>84.21</v>
      </c>
      <c r="J2358" s="81">
        <f>IFERROR(__xludf.DUMMYFUNCTION("IF(H2358="""", """", ROUND(H2358 / MAX(FILTER($H$2:$H5067, $D$2:$D5067=$D2358)) * 100, 2))"),98.76)</f>
        <v>98.76</v>
      </c>
      <c r="K2358" s="2"/>
      <c r="L2358" s="49"/>
      <c r="M2358" s="49"/>
      <c r="N2358" s="49"/>
      <c r="O2358" s="49" t="str">
        <f t="shared" si="2"/>
        <v/>
      </c>
      <c r="P2358" s="49" t="str">
        <f t="shared" si="3"/>
        <v/>
      </c>
      <c r="Q2358" s="84"/>
      <c r="R2358" s="84"/>
      <c r="S2358" s="84"/>
      <c r="T2358" s="84"/>
      <c r="U2358" s="84"/>
      <c r="V2358" s="84"/>
      <c r="W2358" s="84"/>
      <c r="X2358" s="84"/>
      <c r="Y2358" s="84"/>
      <c r="Z2358" s="84"/>
      <c r="AA2358" s="84"/>
      <c r="AB2358" s="84"/>
    </row>
    <row r="2359">
      <c r="A2359" s="69">
        <v>157.0</v>
      </c>
      <c r="B2359" s="69">
        <v>254.0</v>
      </c>
      <c r="C2359" s="86" t="s">
        <v>519</v>
      </c>
      <c r="D2359" s="86" t="s">
        <v>520</v>
      </c>
      <c r="E2359" s="86" t="s">
        <v>521</v>
      </c>
      <c r="F2359" s="69">
        <v>5400.0</v>
      </c>
      <c r="G2359" s="69">
        <v>12.0</v>
      </c>
      <c r="H2359" s="68">
        <f t="shared" si="1"/>
        <v>90.48</v>
      </c>
      <c r="I2359" s="81">
        <f>IFERROR(__xludf.DUMMYFUNCTION("IF(G2359="""", """", ROUND(G2359 / MAX(FILTER($G$2:$G5067, $D$2:$D5067=$D2359)) * 100, 2))"),78.95)</f>
        <v>78.95</v>
      </c>
      <c r="J2359" s="81">
        <f>IFERROR(__xludf.DUMMYFUNCTION("IF(H2359="""", """", ROUND(H2359 / MAX(FILTER($H$2:$H5067, $D$2:$D5067=$D2359)) * 100, 2))"),100.0)</f>
        <v>100</v>
      </c>
      <c r="K2359" s="2"/>
      <c r="L2359" s="48"/>
      <c r="M2359" s="48"/>
      <c r="N2359" s="48"/>
      <c r="O2359" s="48" t="str">
        <f t="shared" si="2"/>
        <v/>
      </c>
      <c r="P2359" s="48" t="str">
        <f t="shared" si="3"/>
        <v/>
      </c>
      <c r="Q2359" s="84"/>
      <c r="R2359" s="84"/>
      <c r="S2359" s="84"/>
      <c r="T2359" s="84"/>
      <c r="U2359" s="84"/>
      <c r="V2359" s="84"/>
      <c r="W2359" s="84"/>
      <c r="X2359" s="84"/>
      <c r="Y2359" s="84"/>
      <c r="Z2359" s="84"/>
      <c r="AA2359" s="84"/>
      <c r="AB2359" s="84"/>
    </row>
    <row r="2360">
      <c r="A2360" s="63">
        <v>157.0</v>
      </c>
      <c r="B2360" s="63">
        <v>254.0</v>
      </c>
      <c r="C2360" s="64" t="s">
        <v>519</v>
      </c>
      <c r="D2360" s="64" t="s">
        <v>520</v>
      </c>
      <c r="E2360" s="64" t="s">
        <v>521</v>
      </c>
      <c r="F2360" s="63">
        <v>6000.0</v>
      </c>
      <c r="G2360" s="63">
        <v>10.6</v>
      </c>
      <c r="H2360" s="66">
        <f t="shared" si="1"/>
        <v>88.8</v>
      </c>
      <c r="I2360" s="81">
        <f>IFERROR(__xludf.DUMMYFUNCTION("IF(G2360="""", """", ROUND(G2360 / MAX(FILTER($G$2:$G5067, $D$2:$D5067=$D2360)) * 100, 2))"),69.74)</f>
        <v>69.74</v>
      </c>
      <c r="J2360" s="81">
        <f>IFERROR(__xludf.DUMMYFUNCTION("IF(H2360="""", """", ROUND(H2360 / MAX(FILTER($H$2:$H5067, $D$2:$D5067=$D2360)) * 100, 2))"),98.14)</f>
        <v>98.14</v>
      </c>
      <c r="K2360" s="2"/>
      <c r="L2360" s="49"/>
      <c r="M2360" s="49"/>
      <c r="N2360" s="49"/>
      <c r="O2360" s="49" t="str">
        <f t="shared" si="2"/>
        <v/>
      </c>
      <c r="P2360" s="49" t="str">
        <f t="shared" si="3"/>
        <v/>
      </c>
      <c r="Q2360" s="84"/>
      <c r="R2360" s="84"/>
      <c r="S2360" s="84"/>
      <c r="T2360" s="84"/>
      <c r="U2360" s="84"/>
      <c r="V2360" s="84"/>
      <c r="W2360" s="84"/>
      <c r="X2360" s="84"/>
      <c r="Y2360" s="84"/>
      <c r="Z2360" s="84"/>
      <c r="AA2360" s="84"/>
      <c r="AB2360" s="84"/>
    </row>
    <row r="2361">
      <c r="A2361" s="69">
        <v>157.0</v>
      </c>
      <c r="B2361" s="69">
        <v>254.0</v>
      </c>
      <c r="C2361" s="86" t="s">
        <v>519</v>
      </c>
      <c r="D2361" s="86" t="s">
        <v>520</v>
      </c>
      <c r="E2361" s="86" t="s">
        <v>521</v>
      </c>
      <c r="F2361" s="69">
        <v>6500.0</v>
      </c>
      <c r="G2361" s="69">
        <v>9.35</v>
      </c>
      <c r="H2361" s="68">
        <f t="shared" si="1"/>
        <v>84.86</v>
      </c>
      <c r="I2361" s="81">
        <f>IFERROR(__xludf.DUMMYFUNCTION("IF(G2361="""", """", ROUND(G2361 / MAX(FILTER($G$2:$G5067, $D$2:$D5067=$D2361)) * 100, 2))"),61.51)</f>
        <v>61.51</v>
      </c>
      <c r="J2361" s="81">
        <f>IFERROR(__xludf.DUMMYFUNCTION("IF(H2361="""", """", ROUND(H2361 / MAX(FILTER($H$2:$H5067, $D$2:$D5067=$D2361)) * 100, 2))"),93.79)</f>
        <v>93.79</v>
      </c>
      <c r="K2361" s="2"/>
      <c r="L2361" s="48"/>
      <c r="M2361" s="48"/>
      <c r="N2361" s="48"/>
      <c r="O2361" s="48" t="str">
        <f t="shared" si="2"/>
        <v/>
      </c>
      <c r="P2361" s="48" t="str">
        <f t="shared" si="3"/>
        <v/>
      </c>
      <c r="Q2361" s="84"/>
      <c r="R2361" s="84"/>
      <c r="S2361" s="84"/>
      <c r="T2361" s="84"/>
      <c r="U2361" s="84"/>
      <c r="V2361" s="84"/>
      <c r="W2361" s="84"/>
      <c r="X2361" s="84"/>
      <c r="Y2361" s="84"/>
      <c r="Z2361" s="84"/>
      <c r="AA2361" s="84"/>
      <c r="AB2361" s="84"/>
    </row>
    <row r="2362">
      <c r="A2362" s="63">
        <v>157.0</v>
      </c>
      <c r="B2362" s="63">
        <v>254.0</v>
      </c>
      <c r="C2362" s="64" t="s">
        <v>519</v>
      </c>
      <c r="D2362" s="64" t="s">
        <v>520</v>
      </c>
      <c r="E2362" s="64" t="s">
        <v>521</v>
      </c>
      <c r="F2362" s="63">
        <v>7000.0</v>
      </c>
      <c r="G2362" s="63">
        <v>7.9</v>
      </c>
      <c r="H2362" s="66">
        <f t="shared" si="1"/>
        <v>77.21</v>
      </c>
      <c r="I2362" s="81">
        <f>IFERROR(__xludf.DUMMYFUNCTION("IF(G2362="""", """", ROUND(G2362 / MAX(FILTER($G$2:$G5067, $D$2:$D5067=$D2362)) * 100, 2))"),51.97)</f>
        <v>51.97</v>
      </c>
      <c r="J2362" s="81">
        <f>IFERROR(__xludf.DUMMYFUNCTION("IF(H2362="""", """", ROUND(H2362 / MAX(FILTER($H$2:$H5067, $D$2:$D5067=$D2362)) * 100, 2))"),85.33)</f>
        <v>85.33</v>
      </c>
      <c r="K2362" s="2"/>
      <c r="L2362" s="49"/>
      <c r="M2362" s="49"/>
      <c r="N2362" s="49"/>
      <c r="O2362" s="49" t="str">
        <f t="shared" si="2"/>
        <v/>
      </c>
      <c r="P2362" s="49" t="str">
        <f t="shared" si="3"/>
        <v/>
      </c>
      <c r="Q2362" s="84"/>
      <c r="R2362" s="84"/>
      <c r="S2362" s="84"/>
      <c r="T2362" s="84"/>
      <c r="U2362" s="84"/>
      <c r="V2362" s="84"/>
      <c r="W2362" s="84"/>
      <c r="X2362" s="84"/>
      <c r="Y2362" s="84"/>
      <c r="Z2362" s="84"/>
      <c r="AA2362" s="84"/>
      <c r="AB2362" s="84"/>
    </row>
    <row r="2363">
      <c r="A2363" s="69">
        <v>158.0</v>
      </c>
      <c r="B2363" s="69">
        <v>255.0</v>
      </c>
      <c r="C2363" s="86" t="s">
        <v>522</v>
      </c>
      <c r="D2363" s="86" t="s">
        <v>523</v>
      </c>
      <c r="E2363" s="86" t="s">
        <v>524</v>
      </c>
      <c r="F2363" s="69">
        <v>500.0</v>
      </c>
      <c r="G2363" s="69">
        <v>14.7</v>
      </c>
      <c r="H2363" s="68">
        <f t="shared" si="1"/>
        <v>10.26</v>
      </c>
      <c r="I2363" s="81">
        <f>IFERROR(__xludf.DUMMYFUNCTION("IF(G2363="""", """", ROUND(G2363 / MAX(FILTER($G$2:$G5067, $D$2:$D5067=$D2363)) * 100, 2))"),44.01)</f>
        <v>44.01</v>
      </c>
      <c r="J2363" s="81">
        <f>IFERROR(__xludf.DUMMYFUNCTION("IF(H2363="""", """", ROUND(H2363 / MAX(FILTER($H$2:$H5067, $D$2:$D5067=$D2363)) * 100, 2))"),4.52)</f>
        <v>4.52</v>
      </c>
      <c r="K2363" s="2"/>
      <c r="L2363" s="48"/>
      <c r="M2363" s="48"/>
      <c r="N2363" s="48"/>
      <c r="O2363" s="48" t="str">
        <f t="shared" si="2"/>
        <v/>
      </c>
      <c r="P2363" s="48" t="str">
        <f t="shared" si="3"/>
        <v/>
      </c>
      <c r="Q2363" s="84"/>
      <c r="R2363" s="84"/>
      <c r="S2363" s="84"/>
      <c r="T2363" s="84"/>
      <c r="U2363" s="84"/>
      <c r="V2363" s="84"/>
      <c r="W2363" s="84"/>
      <c r="X2363" s="84"/>
      <c r="Y2363" s="84"/>
      <c r="Z2363" s="84"/>
      <c r="AA2363" s="84"/>
      <c r="AB2363" s="84"/>
    </row>
    <row r="2364">
      <c r="A2364" s="63">
        <v>158.0</v>
      </c>
      <c r="B2364" s="63">
        <v>255.0</v>
      </c>
      <c r="C2364" s="64" t="s">
        <v>522</v>
      </c>
      <c r="D2364" s="64" t="s">
        <v>523</v>
      </c>
      <c r="E2364" s="64" t="s">
        <v>524</v>
      </c>
      <c r="F2364" s="63">
        <v>1000.0</v>
      </c>
      <c r="G2364" s="63">
        <v>17.0</v>
      </c>
      <c r="H2364" s="66">
        <f t="shared" si="1"/>
        <v>23.74</v>
      </c>
      <c r="I2364" s="81">
        <f>IFERROR(__xludf.DUMMYFUNCTION("IF(G2364="""", """", ROUND(G2364 / MAX(FILTER($G$2:$G5067, $D$2:$D5067=$D2364)) * 100, 2))"),50.9)</f>
        <v>50.9</v>
      </c>
      <c r="J2364" s="81">
        <f>IFERROR(__xludf.DUMMYFUNCTION("IF(H2364="""", """", ROUND(H2364 / MAX(FILTER($H$2:$H5067, $D$2:$D5067=$D2364)) * 100, 2))"),10.46)</f>
        <v>10.46</v>
      </c>
      <c r="K2364" s="2"/>
      <c r="L2364" s="49"/>
      <c r="M2364" s="49"/>
      <c r="N2364" s="49"/>
      <c r="O2364" s="49" t="str">
        <f t="shared" si="2"/>
        <v/>
      </c>
      <c r="P2364" s="49" t="str">
        <f t="shared" si="3"/>
        <v/>
      </c>
      <c r="Q2364" s="84"/>
      <c r="R2364" s="84"/>
      <c r="S2364" s="84"/>
      <c r="T2364" s="84"/>
      <c r="U2364" s="84"/>
      <c r="V2364" s="84"/>
      <c r="W2364" s="84"/>
      <c r="X2364" s="84"/>
      <c r="Y2364" s="84"/>
      <c r="Z2364" s="84"/>
      <c r="AA2364" s="84"/>
      <c r="AB2364" s="84"/>
    </row>
    <row r="2365">
      <c r="A2365" s="69">
        <v>158.0</v>
      </c>
      <c r="B2365" s="69">
        <v>255.0</v>
      </c>
      <c r="C2365" s="86" t="s">
        <v>522</v>
      </c>
      <c r="D2365" s="86" t="s">
        <v>523</v>
      </c>
      <c r="E2365" s="86" t="s">
        <v>524</v>
      </c>
      <c r="F2365" s="69">
        <v>1500.0</v>
      </c>
      <c r="G2365" s="69">
        <v>19.9</v>
      </c>
      <c r="H2365" s="68">
        <f t="shared" si="1"/>
        <v>41.68</v>
      </c>
      <c r="I2365" s="81">
        <f>IFERROR(__xludf.DUMMYFUNCTION("IF(G2365="""", """", ROUND(G2365 / MAX(FILTER($G$2:$G5067, $D$2:$D5067=$D2365)) * 100, 2))"),59.58)</f>
        <v>59.58</v>
      </c>
      <c r="J2365" s="81">
        <f>IFERROR(__xludf.DUMMYFUNCTION("IF(H2365="""", """", ROUND(H2365 / MAX(FILTER($H$2:$H5067, $D$2:$D5067=$D2365)) * 100, 2))"),18.37)</f>
        <v>18.37</v>
      </c>
      <c r="K2365" s="2"/>
      <c r="L2365" s="48"/>
      <c r="M2365" s="48"/>
      <c r="N2365" s="48"/>
      <c r="O2365" s="48" t="str">
        <f t="shared" si="2"/>
        <v/>
      </c>
      <c r="P2365" s="48" t="str">
        <f t="shared" si="3"/>
        <v/>
      </c>
      <c r="Q2365" s="84"/>
      <c r="R2365" s="84"/>
      <c r="S2365" s="84"/>
      <c r="T2365" s="84"/>
      <c r="U2365" s="84"/>
      <c r="V2365" s="84"/>
      <c r="W2365" s="84"/>
      <c r="X2365" s="84"/>
      <c r="Y2365" s="84"/>
      <c r="Z2365" s="84"/>
      <c r="AA2365" s="84"/>
      <c r="AB2365" s="84"/>
    </row>
    <row r="2366">
      <c r="A2366" s="63">
        <v>158.0</v>
      </c>
      <c r="B2366" s="63">
        <v>255.0</v>
      </c>
      <c r="C2366" s="64" t="s">
        <v>522</v>
      </c>
      <c r="D2366" s="64" t="s">
        <v>523</v>
      </c>
      <c r="E2366" s="64" t="s">
        <v>524</v>
      </c>
      <c r="F2366" s="63">
        <v>2000.0</v>
      </c>
      <c r="G2366" s="63">
        <v>22.8</v>
      </c>
      <c r="H2366" s="66">
        <f t="shared" si="1"/>
        <v>63.67</v>
      </c>
      <c r="I2366" s="81">
        <f>IFERROR(__xludf.DUMMYFUNCTION("IF(G2366="""", """", ROUND(G2366 / MAX(FILTER($G$2:$G5067, $D$2:$D5067=$D2366)) * 100, 2))"),68.26)</f>
        <v>68.26</v>
      </c>
      <c r="J2366" s="81">
        <f>IFERROR(__xludf.DUMMYFUNCTION("IF(H2366="""", """", ROUND(H2366 / MAX(FILTER($H$2:$H5067, $D$2:$D5067=$D2366)) * 100, 2))"),28.05)</f>
        <v>28.05</v>
      </c>
      <c r="K2366" s="2"/>
      <c r="L2366" s="49"/>
      <c r="M2366" s="49"/>
      <c r="N2366" s="49"/>
      <c r="O2366" s="49" t="str">
        <f t="shared" si="2"/>
        <v/>
      </c>
      <c r="P2366" s="49" t="str">
        <f t="shared" si="3"/>
        <v/>
      </c>
      <c r="Q2366" s="84"/>
      <c r="R2366" s="84"/>
      <c r="S2366" s="84"/>
      <c r="T2366" s="84"/>
      <c r="U2366" s="84"/>
      <c r="V2366" s="84"/>
      <c r="W2366" s="84"/>
      <c r="X2366" s="84"/>
      <c r="Y2366" s="84"/>
      <c r="Z2366" s="84"/>
      <c r="AA2366" s="84"/>
      <c r="AB2366" s="84"/>
    </row>
    <row r="2367">
      <c r="A2367" s="69">
        <v>158.0</v>
      </c>
      <c r="B2367" s="69">
        <v>255.0</v>
      </c>
      <c r="C2367" s="86" t="s">
        <v>522</v>
      </c>
      <c r="D2367" s="86" t="s">
        <v>523</v>
      </c>
      <c r="E2367" s="86" t="s">
        <v>524</v>
      </c>
      <c r="F2367" s="69">
        <v>2500.0</v>
      </c>
      <c r="G2367" s="69">
        <v>25.6</v>
      </c>
      <c r="H2367" s="68">
        <f t="shared" si="1"/>
        <v>89.36</v>
      </c>
      <c r="I2367" s="81">
        <f>IFERROR(__xludf.DUMMYFUNCTION("IF(G2367="""", """", ROUND(G2367 / MAX(FILTER($G$2:$G5067, $D$2:$D5067=$D2367)) * 100, 2))"),76.65)</f>
        <v>76.65</v>
      </c>
      <c r="J2367" s="81">
        <f>IFERROR(__xludf.DUMMYFUNCTION("IF(H2367="""", """", ROUND(H2367 / MAX(FILTER($H$2:$H5067, $D$2:$D5067=$D2367)) * 100, 2))"),39.37)</f>
        <v>39.37</v>
      </c>
      <c r="K2367" s="2"/>
      <c r="L2367" s="48"/>
      <c r="M2367" s="48"/>
      <c r="N2367" s="48"/>
      <c r="O2367" s="48" t="str">
        <f t="shared" si="2"/>
        <v/>
      </c>
      <c r="P2367" s="48" t="str">
        <f t="shared" si="3"/>
        <v/>
      </c>
      <c r="Q2367" s="84"/>
      <c r="R2367" s="84"/>
      <c r="S2367" s="84"/>
      <c r="T2367" s="84"/>
      <c r="U2367" s="84"/>
      <c r="V2367" s="84"/>
      <c r="W2367" s="84"/>
      <c r="X2367" s="84"/>
      <c r="Y2367" s="84"/>
      <c r="Z2367" s="84"/>
      <c r="AA2367" s="84"/>
      <c r="AB2367" s="84"/>
    </row>
    <row r="2368">
      <c r="A2368" s="63">
        <v>158.0</v>
      </c>
      <c r="B2368" s="63">
        <v>255.0</v>
      </c>
      <c r="C2368" s="64" t="s">
        <v>522</v>
      </c>
      <c r="D2368" s="64" t="s">
        <v>523</v>
      </c>
      <c r="E2368" s="64" t="s">
        <v>524</v>
      </c>
      <c r="F2368" s="63">
        <v>3000.0</v>
      </c>
      <c r="G2368" s="63">
        <v>28.0</v>
      </c>
      <c r="H2368" s="66">
        <f t="shared" si="1"/>
        <v>117.29</v>
      </c>
      <c r="I2368" s="81">
        <f>IFERROR(__xludf.DUMMYFUNCTION("IF(G2368="""", """", ROUND(G2368 / MAX(FILTER($G$2:$G5067, $D$2:$D5067=$D2368)) * 100, 2))"),83.83)</f>
        <v>83.83</v>
      </c>
      <c r="J2368" s="81">
        <f>IFERROR(__xludf.DUMMYFUNCTION("IF(H2368="""", """", ROUND(H2368 / MAX(FILTER($H$2:$H5067, $D$2:$D5067=$D2368)) * 100, 2))"),51.68)</f>
        <v>51.68</v>
      </c>
      <c r="K2368" s="2"/>
      <c r="L2368" s="49"/>
      <c r="M2368" s="49"/>
      <c r="N2368" s="49"/>
      <c r="O2368" s="49" t="str">
        <f t="shared" si="2"/>
        <v/>
      </c>
      <c r="P2368" s="49" t="str">
        <f t="shared" si="3"/>
        <v/>
      </c>
      <c r="Q2368" s="84"/>
      <c r="R2368" s="84"/>
      <c r="S2368" s="84"/>
      <c r="T2368" s="84"/>
      <c r="U2368" s="84"/>
      <c r="V2368" s="84"/>
      <c r="W2368" s="84"/>
      <c r="X2368" s="84"/>
      <c r="Y2368" s="84"/>
      <c r="Z2368" s="84"/>
      <c r="AA2368" s="84"/>
      <c r="AB2368" s="84"/>
    </row>
    <row r="2369">
      <c r="A2369" s="69">
        <v>158.0</v>
      </c>
      <c r="B2369" s="69">
        <v>255.0</v>
      </c>
      <c r="C2369" s="86" t="s">
        <v>522</v>
      </c>
      <c r="D2369" s="86" t="s">
        <v>523</v>
      </c>
      <c r="E2369" s="86" t="s">
        <v>524</v>
      </c>
      <c r="F2369" s="69">
        <v>3500.0</v>
      </c>
      <c r="G2369" s="69">
        <v>30.6</v>
      </c>
      <c r="H2369" s="68">
        <f t="shared" si="1"/>
        <v>149.54</v>
      </c>
      <c r="I2369" s="81">
        <f>IFERROR(__xludf.DUMMYFUNCTION("IF(G2369="""", """", ROUND(G2369 / MAX(FILTER($G$2:$G5067, $D$2:$D5067=$D2369)) * 100, 2))"),91.62)</f>
        <v>91.62</v>
      </c>
      <c r="J2369" s="81">
        <f>IFERROR(__xludf.DUMMYFUNCTION("IF(H2369="""", """", ROUND(H2369 / MAX(FILTER($H$2:$H5067, $D$2:$D5067=$D2369)) * 100, 2))"),65.89)</f>
        <v>65.89</v>
      </c>
      <c r="K2369" s="2"/>
      <c r="L2369" s="48"/>
      <c r="M2369" s="48"/>
      <c r="N2369" s="48"/>
      <c r="O2369" s="48" t="str">
        <f t="shared" si="2"/>
        <v/>
      </c>
      <c r="P2369" s="48" t="str">
        <f t="shared" si="3"/>
        <v/>
      </c>
      <c r="Q2369" s="84"/>
      <c r="R2369" s="84"/>
      <c r="S2369" s="84"/>
      <c r="T2369" s="84"/>
      <c r="U2369" s="84"/>
      <c r="V2369" s="84"/>
      <c r="W2369" s="84"/>
      <c r="X2369" s="84"/>
      <c r="Y2369" s="84"/>
      <c r="Z2369" s="84"/>
      <c r="AA2369" s="84"/>
      <c r="AB2369" s="84"/>
    </row>
    <row r="2370">
      <c r="A2370" s="63">
        <v>158.0</v>
      </c>
      <c r="B2370" s="63">
        <v>255.0</v>
      </c>
      <c r="C2370" s="64" t="s">
        <v>522</v>
      </c>
      <c r="D2370" s="64" t="s">
        <v>523</v>
      </c>
      <c r="E2370" s="64" t="s">
        <v>524</v>
      </c>
      <c r="F2370" s="63">
        <v>4000.0</v>
      </c>
      <c r="G2370" s="63">
        <v>32.4</v>
      </c>
      <c r="H2370" s="66">
        <f t="shared" si="1"/>
        <v>180.96</v>
      </c>
      <c r="I2370" s="81">
        <f>IFERROR(__xludf.DUMMYFUNCTION("IF(G2370="""", """", ROUND(G2370 / MAX(FILTER($G$2:$G5067, $D$2:$D5067=$D2370)) * 100, 2))"),97.01)</f>
        <v>97.01</v>
      </c>
      <c r="J2370" s="81">
        <f>IFERROR(__xludf.DUMMYFUNCTION("IF(H2370="""", """", ROUND(H2370 / MAX(FILTER($H$2:$H5067, $D$2:$D5067=$D2370)) * 100, 2))"),79.74)</f>
        <v>79.74</v>
      </c>
      <c r="K2370" s="2"/>
      <c r="L2370" s="49"/>
      <c r="M2370" s="49"/>
      <c r="N2370" s="49"/>
      <c r="O2370" s="49" t="str">
        <f t="shared" si="2"/>
        <v/>
      </c>
      <c r="P2370" s="49" t="str">
        <f t="shared" si="3"/>
        <v/>
      </c>
      <c r="Q2370" s="84"/>
      <c r="R2370" s="84"/>
      <c r="S2370" s="84"/>
      <c r="T2370" s="84"/>
      <c r="U2370" s="84"/>
      <c r="V2370" s="84"/>
      <c r="W2370" s="84"/>
      <c r="X2370" s="84"/>
      <c r="Y2370" s="84"/>
      <c r="Z2370" s="84"/>
      <c r="AA2370" s="84"/>
      <c r="AB2370" s="84"/>
    </row>
    <row r="2371">
      <c r="A2371" s="69">
        <v>158.0</v>
      </c>
      <c r="B2371" s="69">
        <v>255.0</v>
      </c>
      <c r="C2371" s="86" t="s">
        <v>522</v>
      </c>
      <c r="D2371" s="86" t="s">
        <v>523</v>
      </c>
      <c r="E2371" s="86" t="s">
        <v>524</v>
      </c>
      <c r="F2371" s="69">
        <v>4500.0</v>
      </c>
      <c r="G2371" s="69">
        <v>33.4</v>
      </c>
      <c r="H2371" s="68">
        <f t="shared" si="1"/>
        <v>209.86</v>
      </c>
      <c r="I2371" s="81">
        <f>IFERROR(__xludf.DUMMYFUNCTION("IF(G2371="""", """", ROUND(G2371 / MAX(FILTER($G$2:$G5067, $D$2:$D5067=$D2371)) * 100, 2))"),100.0)</f>
        <v>100</v>
      </c>
      <c r="J2371" s="81">
        <f>IFERROR(__xludf.DUMMYFUNCTION("IF(H2371="""", """", ROUND(H2371 / MAX(FILTER($H$2:$H5067, $D$2:$D5067=$D2371)) * 100, 2))"),92.47)</f>
        <v>92.47</v>
      </c>
      <c r="K2371" s="2"/>
      <c r="L2371" s="48"/>
      <c r="M2371" s="48"/>
      <c r="N2371" s="48"/>
      <c r="O2371" s="48" t="str">
        <f t="shared" si="2"/>
        <v/>
      </c>
      <c r="P2371" s="48" t="str">
        <f t="shared" si="3"/>
        <v/>
      </c>
      <c r="Q2371" s="84"/>
      <c r="R2371" s="84"/>
      <c r="S2371" s="84"/>
      <c r="T2371" s="84"/>
      <c r="U2371" s="84"/>
      <c r="V2371" s="84"/>
      <c r="W2371" s="84"/>
      <c r="X2371" s="84"/>
      <c r="Y2371" s="84"/>
      <c r="Z2371" s="84"/>
      <c r="AA2371" s="84"/>
      <c r="AB2371" s="84"/>
    </row>
    <row r="2372">
      <c r="A2372" s="63">
        <v>158.0</v>
      </c>
      <c r="B2372" s="63">
        <v>255.0</v>
      </c>
      <c r="C2372" s="64" t="s">
        <v>522</v>
      </c>
      <c r="D2372" s="64" t="s">
        <v>523</v>
      </c>
      <c r="E2372" s="64" t="s">
        <v>524</v>
      </c>
      <c r="F2372" s="63">
        <v>5000.0</v>
      </c>
      <c r="G2372" s="63">
        <v>32.3</v>
      </c>
      <c r="H2372" s="66">
        <f t="shared" si="1"/>
        <v>225.5</v>
      </c>
      <c r="I2372" s="81">
        <f>IFERROR(__xludf.DUMMYFUNCTION("IF(G2372="""", """", ROUND(G2372 / MAX(FILTER($G$2:$G5067, $D$2:$D5067=$D2372)) * 100, 2))"),96.71)</f>
        <v>96.71</v>
      </c>
      <c r="J2372" s="81">
        <f>IFERROR(__xludf.DUMMYFUNCTION("IF(H2372="""", """", ROUND(H2372 / MAX(FILTER($H$2:$H5067, $D$2:$D5067=$D2372)) * 100, 2))"),99.36)</f>
        <v>99.36</v>
      </c>
      <c r="K2372" s="2"/>
      <c r="L2372" s="49"/>
      <c r="M2372" s="49"/>
      <c r="N2372" s="49"/>
      <c r="O2372" s="49" t="str">
        <f t="shared" si="2"/>
        <v/>
      </c>
      <c r="P2372" s="49" t="str">
        <f t="shared" si="3"/>
        <v/>
      </c>
      <c r="Q2372" s="84"/>
      <c r="R2372" s="84"/>
      <c r="S2372" s="84"/>
      <c r="T2372" s="84"/>
      <c r="U2372" s="84"/>
      <c r="V2372" s="84"/>
      <c r="W2372" s="84"/>
      <c r="X2372" s="84"/>
      <c r="Y2372" s="84"/>
      <c r="Z2372" s="84"/>
      <c r="AA2372" s="84"/>
      <c r="AB2372" s="84"/>
    </row>
    <row r="2373">
      <c r="A2373" s="69">
        <v>158.0</v>
      </c>
      <c r="B2373" s="69">
        <v>255.0</v>
      </c>
      <c r="C2373" s="86" t="s">
        <v>522</v>
      </c>
      <c r="D2373" s="86" t="s">
        <v>523</v>
      </c>
      <c r="E2373" s="86" t="s">
        <v>524</v>
      </c>
      <c r="F2373" s="69">
        <v>5400.0</v>
      </c>
      <c r="G2373" s="69">
        <v>30.1</v>
      </c>
      <c r="H2373" s="68">
        <f t="shared" si="1"/>
        <v>226.95</v>
      </c>
      <c r="I2373" s="81">
        <f>IFERROR(__xludf.DUMMYFUNCTION("IF(G2373="""", """", ROUND(G2373 / MAX(FILTER($G$2:$G5067, $D$2:$D5067=$D2373)) * 100, 2))"),90.12)</f>
        <v>90.12</v>
      </c>
      <c r="J2373" s="81">
        <f>IFERROR(__xludf.DUMMYFUNCTION("IF(H2373="""", """", ROUND(H2373 / MAX(FILTER($H$2:$H5067, $D$2:$D5067=$D2373)) * 100, 2))"),100.0)</f>
        <v>100</v>
      </c>
      <c r="K2373" s="2"/>
      <c r="L2373" s="48"/>
      <c r="M2373" s="48"/>
      <c r="N2373" s="48"/>
      <c r="O2373" s="48" t="str">
        <f t="shared" si="2"/>
        <v/>
      </c>
      <c r="P2373" s="48" t="str">
        <f t="shared" si="3"/>
        <v/>
      </c>
      <c r="Q2373" s="84"/>
      <c r="R2373" s="84"/>
      <c r="S2373" s="84"/>
      <c r="T2373" s="84"/>
      <c r="U2373" s="84"/>
      <c r="V2373" s="84"/>
      <c r="W2373" s="84"/>
      <c r="X2373" s="84"/>
      <c r="Y2373" s="84"/>
      <c r="Z2373" s="84"/>
      <c r="AA2373" s="84"/>
      <c r="AB2373" s="84"/>
    </row>
    <row r="2374">
      <c r="A2374" s="63">
        <v>158.0</v>
      </c>
      <c r="B2374" s="63">
        <v>255.0</v>
      </c>
      <c r="C2374" s="64" t="s">
        <v>522</v>
      </c>
      <c r="D2374" s="64" t="s">
        <v>523</v>
      </c>
      <c r="E2374" s="64" t="s">
        <v>524</v>
      </c>
      <c r="F2374" s="63">
        <v>6000.0</v>
      </c>
      <c r="G2374" s="63">
        <v>24.6</v>
      </c>
      <c r="H2374" s="66">
        <f t="shared" si="1"/>
        <v>206.09</v>
      </c>
      <c r="I2374" s="81">
        <f>IFERROR(__xludf.DUMMYFUNCTION("IF(G2374="""", """", ROUND(G2374 / MAX(FILTER($G$2:$G5067, $D$2:$D5067=$D2374)) * 100, 2))"),73.65)</f>
        <v>73.65</v>
      </c>
      <c r="J2374" s="81">
        <f>IFERROR(__xludf.DUMMYFUNCTION("IF(H2374="""", """", ROUND(H2374 / MAX(FILTER($H$2:$H5067, $D$2:$D5067=$D2374)) * 100, 2))"),90.81)</f>
        <v>90.81</v>
      </c>
      <c r="K2374" s="2"/>
      <c r="L2374" s="49"/>
      <c r="M2374" s="49"/>
      <c r="N2374" s="49"/>
      <c r="O2374" s="49" t="str">
        <f t="shared" si="2"/>
        <v/>
      </c>
      <c r="P2374" s="49" t="str">
        <f t="shared" si="3"/>
        <v/>
      </c>
      <c r="Q2374" s="84"/>
      <c r="R2374" s="84"/>
      <c r="S2374" s="84"/>
      <c r="T2374" s="84"/>
      <c r="U2374" s="84"/>
      <c r="V2374" s="84"/>
      <c r="W2374" s="84"/>
      <c r="X2374" s="84"/>
      <c r="Y2374" s="84"/>
      <c r="Z2374" s="84"/>
      <c r="AA2374" s="84"/>
      <c r="AB2374" s="84"/>
    </row>
    <row r="2375">
      <c r="A2375" s="69">
        <v>158.0</v>
      </c>
      <c r="B2375" s="69">
        <v>255.0</v>
      </c>
      <c r="C2375" s="86" t="s">
        <v>522</v>
      </c>
      <c r="D2375" s="86" t="s">
        <v>523</v>
      </c>
      <c r="E2375" s="86" t="s">
        <v>524</v>
      </c>
      <c r="F2375" s="69">
        <v>6500.0</v>
      </c>
      <c r="G2375" s="69">
        <v>18.9</v>
      </c>
      <c r="H2375" s="68">
        <f t="shared" si="1"/>
        <v>171.53</v>
      </c>
      <c r="I2375" s="81">
        <f>IFERROR(__xludf.DUMMYFUNCTION("IF(G2375="""", """", ROUND(G2375 / MAX(FILTER($G$2:$G5067, $D$2:$D5067=$D2375)) * 100, 2))"),56.59)</f>
        <v>56.59</v>
      </c>
      <c r="J2375" s="81">
        <f>IFERROR(__xludf.DUMMYFUNCTION("IF(H2375="""", """", ROUND(H2375 / MAX(FILTER($H$2:$H5067, $D$2:$D5067=$D2375)) * 100, 2))"),75.58)</f>
        <v>75.58</v>
      </c>
      <c r="K2375" s="2"/>
      <c r="L2375" s="48"/>
      <c r="M2375" s="48"/>
      <c r="N2375" s="48"/>
      <c r="O2375" s="48" t="str">
        <f t="shared" si="2"/>
        <v/>
      </c>
      <c r="P2375" s="48" t="str">
        <f t="shared" si="3"/>
        <v/>
      </c>
      <c r="Q2375" s="84"/>
      <c r="R2375" s="84"/>
      <c r="S2375" s="84"/>
      <c r="T2375" s="84"/>
      <c r="U2375" s="84"/>
      <c r="V2375" s="84"/>
      <c r="W2375" s="84"/>
      <c r="X2375" s="84"/>
      <c r="Y2375" s="84"/>
      <c r="Z2375" s="84"/>
      <c r="AA2375" s="84"/>
      <c r="AB2375" s="84"/>
    </row>
    <row r="2376">
      <c r="A2376" s="63">
        <v>159.0</v>
      </c>
      <c r="B2376" s="63">
        <v>256.0</v>
      </c>
      <c r="C2376" s="64" t="s">
        <v>525</v>
      </c>
      <c r="D2376" s="64" t="s">
        <v>526</v>
      </c>
      <c r="E2376" s="64" t="s">
        <v>527</v>
      </c>
      <c r="F2376" s="63">
        <v>500.0</v>
      </c>
      <c r="G2376" s="63">
        <v>21.91</v>
      </c>
      <c r="H2376" s="66">
        <f t="shared" si="1"/>
        <v>15.3</v>
      </c>
      <c r="I2376" s="81">
        <f>IFERROR(__xludf.DUMMYFUNCTION("IF(G2376="""", """", ROUND(G2376 / MAX(FILTER($G$2:$G5067, $D$2:$D5067=$D2376)) * 100, 2))"),67.15)</f>
        <v>67.15</v>
      </c>
      <c r="J2376" s="81">
        <f>IFERROR(__xludf.DUMMYFUNCTION("IF(H2376="""", """", ROUND(H2376 / MAX(FILTER($H$2:$H5067, $D$2:$D5067=$D2376)) * 100, 2))"),5.85)</f>
        <v>5.85</v>
      </c>
      <c r="K2376" s="2"/>
      <c r="L2376" s="49"/>
      <c r="M2376" s="49"/>
      <c r="N2376" s="49"/>
      <c r="O2376" s="49" t="str">
        <f t="shared" si="2"/>
        <v/>
      </c>
      <c r="P2376" s="49" t="str">
        <f t="shared" si="3"/>
        <v/>
      </c>
      <c r="Q2376" s="84"/>
      <c r="R2376" s="84"/>
      <c r="S2376" s="84"/>
      <c r="T2376" s="84"/>
      <c r="U2376" s="84"/>
      <c r="V2376" s="84"/>
      <c r="W2376" s="84"/>
      <c r="X2376" s="84"/>
      <c r="Y2376" s="84"/>
      <c r="Z2376" s="84"/>
      <c r="AA2376" s="84"/>
      <c r="AB2376" s="84"/>
    </row>
    <row r="2377">
      <c r="A2377" s="69">
        <v>159.0</v>
      </c>
      <c r="B2377" s="69">
        <v>256.0</v>
      </c>
      <c r="C2377" s="86" t="s">
        <v>525</v>
      </c>
      <c r="D2377" s="86" t="s">
        <v>526</v>
      </c>
      <c r="E2377" s="86" t="s">
        <v>527</v>
      </c>
      <c r="F2377" s="69">
        <v>1000.0</v>
      </c>
      <c r="G2377" s="69">
        <v>24.24</v>
      </c>
      <c r="H2377" s="68">
        <f t="shared" si="1"/>
        <v>33.85</v>
      </c>
      <c r="I2377" s="81">
        <f>IFERROR(__xludf.DUMMYFUNCTION("IF(G2377="""", """", ROUND(G2377 / MAX(FILTER($G$2:$G5067, $D$2:$D5067=$D2377)) * 100, 2))"),74.29)</f>
        <v>74.29</v>
      </c>
      <c r="J2377" s="81">
        <f>IFERROR(__xludf.DUMMYFUNCTION("IF(H2377="""", """", ROUND(H2377 / MAX(FILTER($H$2:$H5067, $D$2:$D5067=$D2377)) * 100, 2))"),12.95)</f>
        <v>12.95</v>
      </c>
      <c r="K2377" s="2"/>
      <c r="L2377" s="48"/>
      <c r="M2377" s="48"/>
      <c r="N2377" s="48"/>
      <c r="O2377" s="48" t="str">
        <f t="shared" si="2"/>
        <v/>
      </c>
      <c r="P2377" s="48" t="str">
        <f t="shared" si="3"/>
        <v/>
      </c>
      <c r="Q2377" s="84"/>
      <c r="R2377" s="84"/>
      <c r="S2377" s="84"/>
      <c r="T2377" s="84"/>
      <c r="U2377" s="84"/>
      <c r="V2377" s="84"/>
      <c r="W2377" s="84"/>
      <c r="X2377" s="84"/>
      <c r="Y2377" s="84"/>
      <c r="Z2377" s="84"/>
      <c r="AA2377" s="84"/>
      <c r="AB2377" s="84"/>
    </row>
    <row r="2378">
      <c r="A2378" s="63">
        <v>159.0</v>
      </c>
      <c r="B2378" s="63">
        <v>256.0</v>
      </c>
      <c r="C2378" s="64" t="s">
        <v>525</v>
      </c>
      <c r="D2378" s="64" t="s">
        <v>526</v>
      </c>
      <c r="E2378" s="64" t="s">
        <v>527</v>
      </c>
      <c r="F2378" s="63">
        <v>1500.0</v>
      </c>
      <c r="G2378" s="63">
        <v>26.34</v>
      </c>
      <c r="H2378" s="66">
        <f t="shared" si="1"/>
        <v>55.17</v>
      </c>
      <c r="I2378" s="81">
        <f>IFERROR(__xludf.DUMMYFUNCTION("IF(G2378="""", """", ROUND(G2378 / MAX(FILTER($G$2:$G5067, $D$2:$D5067=$D2378)) * 100, 2))"),80.72)</f>
        <v>80.72</v>
      </c>
      <c r="J2378" s="81">
        <f>IFERROR(__xludf.DUMMYFUNCTION("IF(H2378="""", """", ROUND(H2378 / MAX(FILTER($H$2:$H5067, $D$2:$D5067=$D2378)) * 100, 2))"),21.1)</f>
        <v>21.1</v>
      </c>
      <c r="K2378" s="2"/>
      <c r="L2378" s="49"/>
      <c r="M2378" s="49"/>
      <c r="N2378" s="49"/>
      <c r="O2378" s="49" t="str">
        <f t="shared" si="2"/>
        <v/>
      </c>
      <c r="P2378" s="49" t="str">
        <f t="shared" si="3"/>
        <v/>
      </c>
      <c r="Q2378" s="84"/>
      <c r="R2378" s="84"/>
      <c r="S2378" s="84"/>
      <c r="T2378" s="84"/>
      <c r="U2378" s="84"/>
      <c r="V2378" s="84"/>
      <c r="W2378" s="84"/>
      <c r="X2378" s="84"/>
      <c r="Y2378" s="84"/>
      <c r="Z2378" s="84"/>
      <c r="AA2378" s="84"/>
      <c r="AB2378" s="84"/>
    </row>
    <row r="2379">
      <c r="A2379" s="69">
        <v>159.0</v>
      </c>
      <c r="B2379" s="69">
        <v>256.0</v>
      </c>
      <c r="C2379" s="86" t="s">
        <v>525</v>
      </c>
      <c r="D2379" s="86" t="s">
        <v>526</v>
      </c>
      <c r="E2379" s="86" t="s">
        <v>527</v>
      </c>
      <c r="F2379" s="69">
        <v>2000.0</v>
      </c>
      <c r="G2379" s="69">
        <v>29.33</v>
      </c>
      <c r="H2379" s="68">
        <f t="shared" si="1"/>
        <v>81.9</v>
      </c>
      <c r="I2379" s="81">
        <f>IFERROR(__xludf.DUMMYFUNCTION("IF(G2379="""", """", ROUND(G2379 / MAX(FILTER($G$2:$G5067, $D$2:$D5067=$D2379)) * 100, 2))"),89.89)</f>
        <v>89.89</v>
      </c>
      <c r="J2379" s="81">
        <f>IFERROR(__xludf.DUMMYFUNCTION("IF(H2379="""", """", ROUND(H2379 / MAX(FILTER($H$2:$H5067, $D$2:$D5067=$D2379)) * 100, 2))"),31.32)</f>
        <v>31.32</v>
      </c>
      <c r="K2379" s="2"/>
      <c r="L2379" s="48"/>
      <c r="M2379" s="48"/>
      <c r="N2379" s="48"/>
      <c r="O2379" s="48" t="str">
        <f t="shared" si="2"/>
        <v/>
      </c>
      <c r="P2379" s="48" t="str">
        <f t="shared" si="3"/>
        <v/>
      </c>
      <c r="Q2379" s="84"/>
      <c r="R2379" s="84"/>
      <c r="S2379" s="84"/>
      <c r="T2379" s="84"/>
      <c r="U2379" s="84"/>
      <c r="V2379" s="84"/>
      <c r="W2379" s="84"/>
      <c r="X2379" s="84"/>
      <c r="Y2379" s="84"/>
      <c r="Z2379" s="84"/>
      <c r="AA2379" s="84"/>
      <c r="AB2379" s="84"/>
    </row>
    <row r="2380">
      <c r="A2380" s="63">
        <v>159.0</v>
      </c>
      <c r="B2380" s="63">
        <v>256.0</v>
      </c>
      <c r="C2380" s="64" t="s">
        <v>525</v>
      </c>
      <c r="D2380" s="64" t="s">
        <v>526</v>
      </c>
      <c r="E2380" s="64" t="s">
        <v>527</v>
      </c>
      <c r="F2380" s="63">
        <v>2500.0</v>
      </c>
      <c r="G2380" s="63">
        <v>32.13</v>
      </c>
      <c r="H2380" s="66">
        <f t="shared" si="1"/>
        <v>112.15</v>
      </c>
      <c r="I2380" s="81">
        <f>IFERROR(__xludf.DUMMYFUNCTION("IF(G2380="""", """", ROUND(G2380 / MAX(FILTER($G$2:$G5067, $D$2:$D5067=$D2380)) * 100, 2))"),98.47)</f>
        <v>98.47</v>
      </c>
      <c r="J2380" s="81">
        <f>IFERROR(__xludf.DUMMYFUNCTION("IF(H2380="""", """", ROUND(H2380 / MAX(FILTER($H$2:$H5067, $D$2:$D5067=$D2380)) * 100, 2))"),42.89)</f>
        <v>42.89</v>
      </c>
      <c r="K2380" s="2"/>
      <c r="L2380" s="49"/>
      <c r="M2380" s="49"/>
      <c r="N2380" s="49"/>
      <c r="O2380" s="49" t="str">
        <f t="shared" si="2"/>
        <v/>
      </c>
      <c r="P2380" s="49" t="str">
        <f t="shared" si="3"/>
        <v/>
      </c>
      <c r="Q2380" s="84"/>
      <c r="R2380" s="84"/>
      <c r="S2380" s="84"/>
      <c r="T2380" s="84"/>
      <c r="U2380" s="84"/>
      <c r="V2380" s="84"/>
      <c r="W2380" s="84"/>
      <c r="X2380" s="84"/>
      <c r="Y2380" s="84"/>
      <c r="Z2380" s="84"/>
      <c r="AA2380" s="84"/>
      <c r="AB2380" s="84"/>
    </row>
    <row r="2381">
      <c r="A2381" s="69">
        <v>159.0</v>
      </c>
      <c r="B2381" s="69">
        <v>256.0</v>
      </c>
      <c r="C2381" s="86" t="s">
        <v>525</v>
      </c>
      <c r="D2381" s="86" t="s">
        <v>526</v>
      </c>
      <c r="E2381" s="86" t="s">
        <v>527</v>
      </c>
      <c r="F2381" s="69">
        <v>3000.0</v>
      </c>
      <c r="G2381" s="69">
        <v>32.63</v>
      </c>
      <c r="H2381" s="68">
        <f t="shared" si="1"/>
        <v>136.68</v>
      </c>
      <c r="I2381" s="81">
        <f>IFERROR(__xludf.DUMMYFUNCTION("IF(G2381="""", """", ROUND(G2381 / MAX(FILTER($G$2:$G5067, $D$2:$D5067=$D2381)) * 100, 2))"),100.0)</f>
        <v>100</v>
      </c>
      <c r="J2381" s="81">
        <f>IFERROR(__xludf.DUMMYFUNCTION("IF(H2381="""", """", ROUND(H2381 / MAX(FILTER($H$2:$H5067, $D$2:$D5067=$D2381)) * 100, 2))"),52.27)</f>
        <v>52.27</v>
      </c>
      <c r="K2381" s="2"/>
      <c r="L2381" s="48"/>
      <c r="M2381" s="48"/>
      <c r="N2381" s="48"/>
      <c r="O2381" s="48" t="str">
        <f t="shared" si="2"/>
        <v/>
      </c>
      <c r="P2381" s="48" t="str">
        <f t="shared" si="3"/>
        <v/>
      </c>
      <c r="Q2381" s="84"/>
      <c r="R2381" s="84"/>
      <c r="S2381" s="84"/>
      <c r="T2381" s="84"/>
      <c r="U2381" s="84"/>
      <c r="V2381" s="84"/>
      <c r="W2381" s="84"/>
      <c r="X2381" s="84"/>
      <c r="Y2381" s="84"/>
      <c r="Z2381" s="84"/>
      <c r="AA2381" s="84"/>
      <c r="AB2381" s="84"/>
    </row>
    <row r="2382">
      <c r="A2382" s="63">
        <v>159.0</v>
      </c>
      <c r="B2382" s="63">
        <v>256.0</v>
      </c>
      <c r="C2382" s="64" t="s">
        <v>525</v>
      </c>
      <c r="D2382" s="64" t="s">
        <v>526</v>
      </c>
      <c r="E2382" s="64" t="s">
        <v>527</v>
      </c>
      <c r="F2382" s="63">
        <v>3500.0</v>
      </c>
      <c r="G2382" s="63">
        <v>32.43</v>
      </c>
      <c r="H2382" s="66">
        <f t="shared" si="1"/>
        <v>158.48</v>
      </c>
      <c r="I2382" s="81">
        <f>IFERROR(__xludf.DUMMYFUNCTION("IF(G2382="""", """", ROUND(G2382 / MAX(FILTER($G$2:$G5067, $D$2:$D5067=$D2382)) * 100, 2))"),99.39)</f>
        <v>99.39</v>
      </c>
      <c r="J2382" s="81">
        <f>IFERROR(__xludf.DUMMYFUNCTION("IF(H2382="""", """", ROUND(H2382 / MAX(FILTER($H$2:$H5067, $D$2:$D5067=$D2382)) * 100, 2))"),60.61)</f>
        <v>60.61</v>
      </c>
      <c r="K2382" s="2"/>
      <c r="L2382" s="49"/>
      <c r="M2382" s="49"/>
      <c r="N2382" s="49"/>
      <c r="O2382" s="49" t="str">
        <f t="shared" si="2"/>
        <v/>
      </c>
      <c r="P2382" s="49" t="str">
        <f t="shared" si="3"/>
        <v/>
      </c>
      <c r="Q2382" s="84"/>
      <c r="R2382" s="84"/>
      <c r="S2382" s="84"/>
      <c r="T2382" s="84"/>
      <c r="U2382" s="84"/>
      <c r="V2382" s="84"/>
      <c r="W2382" s="84"/>
      <c r="X2382" s="84"/>
      <c r="Y2382" s="84"/>
      <c r="Z2382" s="84"/>
      <c r="AA2382" s="84"/>
      <c r="AB2382" s="84"/>
    </row>
    <row r="2383">
      <c r="A2383" s="69">
        <v>159.0</v>
      </c>
      <c r="B2383" s="69">
        <v>256.0</v>
      </c>
      <c r="C2383" s="86" t="s">
        <v>525</v>
      </c>
      <c r="D2383" s="86" t="s">
        <v>526</v>
      </c>
      <c r="E2383" s="86" t="s">
        <v>527</v>
      </c>
      <c r="F2383" s="69">
        <v>4000.0</v>
      </c>
      <c r="G2383" s="69">
        <v>32.17</v>
      </c>
      <c r="H2383" s="68">
        <f t="shared" si="1"/>
        <v>179.67</v>
      </c>
      <c r="I2383" s="81">
        <f>IFERROR(__xludf.DUMMYFUNCTION("IF(G2383="""", """", ROUND(G2383 / MAX(FILTER($G$2:$G5067, $D$2:$D5067=$D2383)) * 100, 2))"),98.59)</f>
        <v>98.59</v>
      </c>
      <c r="J2383" s="81">
        <f>IFERROR(__xludf.DUMMYFUNCTION("IF(H2383="""", """", ROUND(H2383 / MAX(FILTER($H$2:$H5067, $D$2:$D5067=$D2383)) * 100, 2))"),68.72)</f>
        <v>68.72</v>
      </c>
      <c r="K2383" s="2"/>
      <c r="L2383" s="48"/>
      <c r="M2383" s="48"/>
      <c r="N2383" s="48"/>
      <c r="O2383" s="48" t="str">
        <f t="shared" si="2"/>
        <v/>
      </c>
      <c r="P2383" s="48" t="str">
        <f t="shared" si="3"/>
        <v/>
      </c>
      <c r="Q2383" s="84"/>
      <c r="R2383" s="84"/>
      <c r="S2383" s="84"/>
      <c r="T2383" s="84"/>
      <c r="U2383" s="84"/>
      <c r="V2383" s="84"/>
      <c r="W2383" s="84"/>
      <c r="X2383" s="84"/>
      <c r="Y2383" s="84"/>
      <c r="Z2383" s="84"/>
      <c r="AA2383" s="84"/>
      <c r="AB2383" s="84"/>
    </row>
    <row r="2384">
      <c r="A2384" s="63">
        <v>159.0</v>
      </c>
      <c r="B2384" s="63">
        <v>256.0</v>
      </c>
      <c r="C2384" s="64" t="s">
        <v>525</v>
      </c>
      <c r="D2384" s="64" t="s">
        <v>526</v>
      </c>
      <c r="E2384" s="64" t="s">
        <v>527</v>
      </c>
      <c r="F2384" s="63">
        <v>4500.0</v>
      </c>
      <c r="G2384" s="63">
        <v>31.74</v>
      </c>
      <c r="H2384" s="66">
        <f t="shared" si="1"/>
        <v>199.43</v>
      </c>
      <c r="I2384" s="81">
        <f>IFERROR(__xludf.DUMMYFUNCTION("IF(G2384="""", """", ROUND(G2384 / MAX(FILTER($G$2:$G5067, $D$2:$D5067=$D2384)) * 100, 2))"),97.27)</f>
        <v>97.27</v>
      </c>
      <c r="J2384" s="81">
        <f>IFERROR(__xludf.DUMMYFUNCTION("IF(H2384="""", """", ROUND(H2384 / MAX(FILTER($H$2:$H5067, $D$2:$D5067=$D2384)) * 100, 2))"),76.27)</f>
        <v>76.27</v>
      </c>
      <c r="K2384" s="2"/>
      <c r="L2384" s="49"/>
      <c r="M2384" s="49"/>
      <c r="N2384" s="49"/>
      <c r="O2384" s="49" t="str">
        <f t="shared" si="2"/>
        <v/>
      </c>
      <c r="P2384" s="49" t="str">
        <f t="shared" si="3"/>
        <v/>
      </c>
      <c r="Q2384" s="84"/>
      <c r="R2384" s="84"/>
      <c r="S2384" s="84"/>
      <c r="T2384" s="84"/>
      <c r="U2384" s="84"/>
      <c r="V2384" s="84"/>
      <c r="W2384" s="84"/>
      <c r="X2384" s="84"/>
      <c r="Y2384" s="84"/>
      <c r="Z2384" s="84"/>
      <c r="AA2384" s="84"/>
      <c r="AB2384" s="84"/>
    </row>
    <row r="2385">
      <c r="A2385" s="69">
        <v>159.0</v>
      </c>
      <c r="B2385" s="69">
        <v>256.0</v>
      </c>
      <c r="C2385" s="86" t="s">
        <v>525</v>
      </c>
      <c r="D2385" s="86" t="s">
        <v>526</v>
      </c>
      <c r="E2385" s="86" t="s">
        <v>527</v>
      </c>
      <c r="F2385" s="69">
        <v>5000.0</v>
      </c>
      <c r="G2385" s="69">
        <v>31.44</v>
      </c>
      <c r="H2385" s="68">
        <f t="shared" si="1"/>
        <v>219.49</v>
      </c>
      <c r="I2385" s="81">
        <f>IFERROR(__xludf.DUMMYFUNCTION("IF(G2385="""", """", ROUND(G2385 / MAX(FILTER($G$2:$G5067, $D$2:$D5067=$D2385)) * 100, 2))"),96.35)</f>
        <v>96.35</v>
      </c>
      <c r="J2385" s="81">
        <f>IFERROR(__xludf.DUMMYFUNCTION("IF(H2385="""", """", ROUND(H2385 / MAX(FILTER($H$2:$H5067, $D$2:$D5067=$D2385)) * 100, 2))"),83.94)</f>
        <v>83.94</v>
      </c>
      <c r="K2385" s="2"/>
      <c r="L2385" s="48"/>
      <c r="M2385" s="48"/>
      <c r="N2385" s="48"/>
      <c r="O2385" s="48" t="str">
        <f t="shared" si="2"/>
        <v/>
      </c>
      <c r="P2385" s="48" t="str">
        <f t="shared" si="3"/>
        <v/>
      </c>
      <c r="Q2385" s="84"/>
      <c r="R2385" s="84"/>
      <c r="S2385" s="84"/>
      <c r="T2385" s="84"/>
      <c r="U2385" s="84"/>
      <c r="V2385" s="84"/>
      <c r="W2385" s="84"/>
      <c r="X2385" s="84"/>
      <c r="Y2385" s="84"/>
      <c r="Z2385" s="84"/>
      <c r="AA2385" s="84"/>
      <c r="AB2385" s="84"/>
    </row>
    <row r="2386">
      <c r="A2386" s="63">
        <v>159.0</v>
      </c>
      <c r="B2386" s="63">
        <v>256.0</v>
      </c>
      <c r="C2386" s="64" t="s">
        <v>525</v>
      </c>
      <c r="D2386" s="64" t="s">
        <v>526</v>
      </c>
      <c r="E2386" s="64" t="s">
        <v>527</v>
      </c>
      <c r="F2386" s="63">
        <v>5500.0</v>
      </c>
      <c r="G2386" s="63">
        <v>31.3</v>
      </c>
      <c r="H2386" s="66">
        <f t="shared" si="1"/>
        <v>240.37</v>
      </c>
      <c r="I2386" s="81">
        <f>IFERROR(__xludf.DUMMYFUNCTION("IF(G2386="""", """", ROUND(G2386 / MAX(FILTER($G$2:$G5067, $D$2:$D5067=$D2386)) * 100, 2))"),95.92)</f>
        <v>95.92</v>
      </c>
      <c r="J2386" s="81">
        <f>IFERROR(__xludf.DUMMYFUNCTION("IF(H2386="""", """", ROUND(H2386 / MAX(FILTER($H$2:$H5067, $D$2:$D5067=$D2386)) * 100, 2))"),91.93)</f>
        <v>91.93</v>
      </c>
      <c r="K2386" s="2"/>
      <c r="L2386" s="49"/>
      <c r="M2386" s="49"/>
      <c r="N2386" s="49"/>
      <c r="O2386" s="49" t="str">
        <f t="shared" si="2"/>
        <v/>
      </c>
      <c r="P2386" s="49" t="str">
        <f t="shared" si="3"/>
        <v/>
      </c>
      <c r="Q2386" s="84"/>
      <c r="R2386" s="84"/>
      <c r="S2386" s="84"/>
      <c r="T2386" s="84"/>
      <c r="U2386" s="84"/>
      <c r="V2386" s="84"/>
      <c r="W2386" s="84"/>
      <c r="X2386" s="84"/>
      <c r="Y2386" s="84"/>
      <c r="Z2386" s="84"/>
      <c r="AA2386" s="84"/>
      <c r="AB2386" s="84"/>
    </row>
    <row r="2387">
      <c r="A2387" s="69">
        <v>159.0</v>
      </c>
      <c r="B2387" s="69">
        <v>256.0</v>
      </c>
      <c r="C2387" s="86" t="s">
        <v>525</v>
      </c>
      <c r="D2387" s="86" t="s">
        <v>526</v>
      </c>
      <c r="E2387" s="86" t="s">
        <v>527</v>
      </c>
      <c r="F2387" s="69">
        <v>6300.0</v>
      </c>
      <c r="G2387" s="69">
        <v>29.5</v>
      </c>
      <c r="H2387" s="68">
        <f t="shared" si="1"/>
        <v>259.49</v>
      </c>
      <c r="I2387" s="81">
        <f>IFERROR(__xludf.DUMMYFUNCTION("IF(G2387="""", """", ROUND(G2387 / MAX(FILTER($G$2:$G5067, $D$2:$D5067=$D2387)) * 100, 2))"),90.41)</f>
        <v>90.41</v>
      </c>
      <c r="J2387" s="81">
        <f>IFERROR(__xludf.DUMMYFUNCTION("IF(H2387="""", """", ROUND(H2387 / MAX(FILTER($H$2:$H5067, $D$2:$D5067=$D2387)) * 100, 2))"),99.24)</f>
        <v>99.24</v>
      </c>
      <c r="K2387" s="2"/>
      <c r="L2387" s="48"/>
      <c r="M2387" s="48"/>
      <c r="N2387" s="48"/>
      <c r="O2387" s="48" t="str">
        <f t="shared" si="2"/>
        <v/>
      </c>
      <c r="P2387" s="48" t="str">
        <f t="shared" si="3"/>
        <v/>
      </c>
      <c r="Q2387" s="84"/>
      <c r="R2387" s="84"/>
      <c r="S2387" s="84"/>
      <c r="T2387" s="84"/>
      <c r="U2387" s="84"/>
      <c r="V2387" s="84"/>
      <c r="W2387" s="84"/>
      <c r="X2387" s="84"/>
      <c r="Y2387" s="84"/>
      <c r="Z2387" s="84"/>
      <c r="AA2387" s="84"/>
      <c r="AB2387" s="84"/>
    </row>
    <row r="2388">
      <c r="A2388" s="63">
        <v>159.0</v>
      </c>
      <c r="B2388" s="63">
        <v>256.0</v>
      </c>
      <c r="C2388" s="64" t="s">
        <v>525</v>
      </c>
      <c r="D2388" s="64" t="s">
        <v>526</v>
      </c>
      <c r="E2388" s="64" t="s">
        <v>527</v>
      </c>
      <c r="F2388" s="63">
        <v>6500.0</v>
      </c>
      <c r="G2388" s="63">
        <v>28.81</v>
      </c>
      <c r="H2388" s="66">
        <f t="shared" si="1"/>
        <v>261.47</v>
      </c>
      <c r="I2388" s="81">
        <f>IFERROR(__xludf.DUMMYFUNCTION("IF(G2388="""", """", ROUND(G2388 / MAX(FILTER($G$2:$G5067, $D$2:$D5067=$D2388)) * 100, 2))"),88.29)</f>
        <v>88.29</v>
      </c>
      <c r="J2388" s="81">
        <f>IFERROR(__xludf.DUMMYFUNCTION("IF(H2388="""", """", ROUND(H2388 / MAX(FILTER($H$2:$H5067, $D$2:$D5067=$D2388)) * 100, 2))"),100.0)</f>
        <v>100</v>
      </c>
      <c r="K2388" s="2"/>
      <c r="L2388" s="49"/>
      <c r="M2388" s="49"/>
      <c r="N2388" s="49"/>
      <c r="O2388" s="49" t="str">
        <f t="shared" si="2"/>
        <v/>
      </c>
      <c r="P2388" s="49" t="str">
        <f t="shared" si="3"/>
        <v/>
      </c>
      <c r="Q2388" s="84"/>
      <c r="R2388" s="84"/>
      <c r="S2388" s="84"/>
      <c r="T2388" s="84"/>
      <c r="U2388" s="84"/>
      <c r="V2388" s="84"/>
      <c r="W2388" s="84"/>
      <c r="X2388" s="84"/>
      <c r="Y2388" s="84"/>
      <c r="Z2388" s="84"/>
      <c r="AA2388" s="84"/>
      <c r="AB2388" s="84"/>
    </row>
    <row r="2389">
      <c r="A2389" s="69">
        <v>159.0</v>
      </c>
      <c r="B2389" s="69">
        <v>256.0</v>
      </c>
      <c r="C2389" s="86" t="s">
        <v>525</v>
      </c>
      <c r="D2389" s="86" t="s">
        <v>526</v>
      </c>
      <c r="E2389" s="86" t="s">
        <v>527</v>
      </c>
      <c r="F2389" s="69">
        <v>7000.0</v>
      </c>
      <c r="G2389" s="69">
        <v>26.56</v>
      </c>
      <c r="H2389" s="68">
        <f t="shared" si="1"/>
        <v>259.59</v>
      </c>
      <c r="I2389" s="81">
        <f>IFERROR(__xludf.DUMMYFUNCTION("IF(G2389="""", """", ROUND(G2389 / MAX(FILTER($G$2:$G5067, $D$2:$D5067=$D2389)) * 100, 2))"),81.4)</f>
        <v>81.4</v>
      </c>
      <c r="J2389" s="81">
        <f>IFERROR(__xludf.DUMMYFUNCTION("IF(H2389="""", """", ROUND(H2389 / MAX(FILTER($H$2:$H5067, $D$2:$D5067=$D2389)) * 100, 2))"),99.28)</f>
        <v>99.28</v>
      </c>
      <c r="K2389" s="2"/>
      <c r="L2389" s="48"/>
      <c r="M2389" s="48"/>
      <c r="N2389" s="48"/>
      <c r="O2389" s="48" t="str">
        <f t="shared" si="2"/>
        <v/>
      </c>
      <c r="P2389" s="48" t="str">
        <f t="shared" si="3"/>
        <v/>
      </c>
      <c r="Q2389" s="84"/>
      <c r="R2389" s="84"/>
      <c r="S2389" s="84"/>
      <c r="T2389" s="84"/>
      <c r="U2389" s="84"/>
      <c r="V2389" s="84"/>
      <c r="W2389" s="84"/>
      <c r="X2389" s="84"/>
      <c r="Y2389" s="84"/>
      <c r="Z2389" s="84"/>
      <c r="AA2389" s="84"/>
      <c r="AB2389" s="84"/>
    </row>
    <row r="2390">
      <c r="A2390" s="63">
        <v>160.0</v>
      </c>
      <c r="B2390" s="63">
        <v>258.0</v>
      </c>
      <c r="C2390" s="64" t="s">
        <v>528</v>
      </c>
      <c r="D2390" s="64" t="s">
        <v>529</v>
      </c>
      <c r="E2390" s="64" t="s">
        <v>530</v>
      </c>
      <c r="F2390" s="63">
        <v>500.0</v>
      </c>
      <c r="G2390" s="63">
        <v>13.87</v>
      </c>
      <c r="H2390" s="66">
        <f t="shared" si="1"/>
        <v>9.68</v>
      </c>
      <c r="I2390" s="81">
        <f>IFERROR(__xludf.DUMMYFUNCTION("IF(G2390="""", """", ROUND(G2390 / MAX(FILTER($G$2:$G5067, $D$2:$D5067=$D2390)) * 100, 2))"),53.24)</f>
        <v>53.24</v>
      </c>
      <c r="J2390" s="81">
        <f>IFERROR(__xludf.DUMMYFUNCTION("IF(H2390="""", """", ROUND(H2390 / MAX(FILTER($H$2:$H5067, $D$2:$D5067=$D2390)) * 100, 2))"),5.08)</f>
        <v>5.08</v>
      </c>
      <c r="K2390" s="2"/>
      <c r="L2390" s="49"/>
      <c r="M2390" s="49"/>
      <c r="N2390" s="49"/>
      <c r="O2390" s="49" t="str">
        <f t="shared" si="2"/>
        <v/>
      </c>
      <c r="P2390" s="49" t="str">
        <f t="shared" si="3"/>
        <v/>
      </c>
      <c r="Q2390" s="84"/>
      <c r="R2390" s="84"/>
      <c r="S2390" s="84"/>
      <c r="T2390" s="84"/>
      <c r="U2390" s="84"/>
      <c r="V2390" s="84"/>
      <c r="W2390" s="84"/>
      <c r="X2390" s="84"/>
      <c r="Y2390" s="84"/>
      <c r="Z2390" s="84"/>
      <c r="AA2390" s="84"/>
      <c r="AB2390" s="84"/>
    </row>
    <row r="2391">
      <c r="A2391" s="69">
        <v>160.0</v>
      </c>
      <c r="B2391" s="69">
        <v>258.0</v>
      </c>
      <c r="C2391" s="86" t="s">
        <v>528</v>
      </c>
      <c r="D2391" s="86" t="s">
        <v>529</v>
      </c>
      <c r="E2391" s="86" t="s">
        <v>530</v>
      </c>
      <c r="F2391" s="69">
        <v>1000.0</v>
      </c>
      <c r="G2391" s="69">
        <v>16.57</v>
      </c>
      <c r="H2391" s="68">
        <f t="shared" si="1"/>
        <v>23.14</v>
      </c>
      <c r="I2391" s="81">
        <f>IFERROR(__xludf.DUMMYFUNCTION("IF(G2391="""", """", ROUND(G2391 / MAX(FILTER($G$2:$G5067, $D$2:$D5067=$D2391)) * 100, 2))"),63.61)</f>
        <v>63.61</v>
      </c>
      <c r="J2391" s="81">
        <f>IFERROR(__xludf.DUMMYFUNCTION("IF(H2391="""", """", ROUND(H2391 / MAX(FILTER($H$2:$H5067, $D$2:$D5067=$D2391)) * 100, 2))"),12.15)</f>
        <v>12.15</v>
      </c>
      <c r="K2391" s="2"/>
      <c r="L2391" s="48"/>
      <c r="M2391" s="48"/>
      <c r="N2391" s="48"/>
      <c r="O2391" s="48" t="str">
        <f t="shared" si="2"/>
        <v/>
      </c>
      <c r="P2391" s="48" t="str">
        <f t="shared" si="3"/>
        <v/>
      </c>
      <c r="Q2391" s="84"/>
      <c r="R2391" s="84"/>
      <c r="S2391" s="84"/>
      <c r="T2391" s="84"/>
      <c r="U2391" s="84"/>
      <c r="V2391" s="84"/>
      <c r="W2391" s="84"/>
      <c r="X2391" s="84"/>
      <c r="Y2391" s="84"/>
      <c r="Z2391" s="84"/>
      <c r="AA2391" s="84"/>
      <c r="AB2391" s="84"/>
    </row>
    <row r="2392">
      <c r="A2392" s="63">
        <v>160.0</v>
      </c>
      <c r="B2392" s="63">
        <v>258.0</v>
      </c>
      <c r="C2392" s="64" t="s">
        <v>528</v>
      </c>
      <c r="D2392" s="64" t="s">
        <v>529</v>
      </c>
      <c r="E2392" s="64" t="s">
        <v>530</v>
      </c>
      <c r="F2392" s="63">
        <v>1500.0</v>
      </c>
      <c r="G2392" s="63">
        <v>18.68</v>
      </c>
      <c r="H2392" s="66">
        <f t="shared" si="1"/>
        <v>39.12</v>
      </c>
      <c r="I2392" s="81">
        <f>IFERROR(__xludf.DUMMYFUNCTION("IF(G2392="""", """", ROUND(G2392 / MAX(FILTER($G$2:$G5067, $D$2:$D5067=$D2392)) * 100, 2))"),71.71)</f>
        <v>71.71</v>
      </c>
      <c r="J2392" s="81">
        <f>IFERROR(__xludf.DUMMYFUNCTION("IF(H2392="""", """", ROUND(H2392 / MAX(FILTER($H$2:$H5067, $D$2:$D5067=$D2392)) * 100, 2))"),20.54)</f>
        <v>20.54</v>
      </c>
      <c r="K2392" s="2"/>
      <c r="L2392" s="49"/>
      <c r="M2392" s="49"/>
      <c r="N2392" s="49"/>
      <c r="O2392" s="49" t="str">
        <f t="shared" si="2"/>
        <v/>
      </c>
      <c r="P2392" s="49" t="str">
        <f t="shared" si="3"/>
        <v/>
      </c>
      <c r="Q2392" s="84"/>
      <c r="R2392" s="84"/>
      <c r="S2392" s="84"/>
      <c r="T2392" s="84"/>
      <c r="U2392" s="84"/>
      <c r="V2392" s="84"/>
      <c r="W2392" s="84"/>
      <c r="X2392" s="84"/>
      <c r="Y2392" s="84"/>
      <c r="Z2392" s="84"/>
      <c r="AA2392" s="84"/>
      <c r="AB2392" s="84"/>
    </row>
    <row r="2393">
      <c r="A2393" s="69">
        <v>160.0</v>
      </c>
      <c r="B2393" s="69">
        <v>258.0</v>
      </c>
      <c r="C2393" s="86" t="s">
        <v>528</v>
      </c>
      <c r="D2393" s="86" t="s">
        <v>529</v>
      </c>
      <c r="E2393" s="86" t="s">
        <v>530</v>
      </c>
      <c r="F2393" s="69">
        <v>2000.0</v>
      </c>
      <c r="G2393" s="69">
        <v>20.63</v>
      </c>
      <c r="H2393" s="68">
        <f t="shared" si="1"/>
        <v>57.61</v>
      </c>
      <c r="I2393" s="81">
        <f>IFERROR(__xludf.DUMMYFUNCTION("IF(G2393="""", """", ROUND(G2393 / MAX(FILTER($G$2:$G5067, $D$2:$D5067=$D2393)) * 100, 2))"),79.19)</f>
        <v>79.19</v>
      </c>
      <c r="J2393" s="81">
        <f>IFERROR(__xludf.DUMMYFUNCTION("IF(H2393="""", """", ROUND(H2393 / MAX(FILTER($H$2:$H5067, $D$2:$D5067=$D2393)) * 100, 2))"),30.25)</f>
        <v>30.25</v>
      </c>
      <c r="K2393" s="2"/>
      <c r="L2393" s="48"/>
      <c r="M2393" s="48"/>
      <c r="N2393" s="48"/>
      <c r="O2393" s="48" t="str">
        <f t="shared" si="2"/>
        <v/>
      </c>
      <c r="P2393" s="48" t="str">
        <f t="shared" si="3"/>
        <v/>
      </c>
      <c r="Q2393" s="84"/>
      <c r="R2393" s="84"/>
      <c r="S2393" s="84"/>
      <c r="T2393" s="84"/>
      <c r="U2393" s="84"/>
      <c r="V2393" s="84"/>
      <c r="W2393" s="84"/>
      <c r="X2393" s="84"/>
      <c r="Y2393" s="84"/>
      <c r="Z2393" s="84"/>
      <c r="AA2393" s="84"/>
      <c r="AB2393" s="84"/>
    </row>
    <row r="2394">
      <c r="A2394" s="63">
        <v>160.0</v>
      </c>
      <c r="B2394" s="63">
        <v>258.0</v>
      </c>
      <c r="C2394" s="64" t="s">
        <v>528</v>
      </c>
      <c r="D2394" s="64" t="s">
        <v>529</v>
      </c>
      <c r="E2394" s="64" t="s">
        <v>530</v>
      </c>
      <c r="F2394" s="63">
        <v>2500.0</v>
      </c>
      <c r="G2394" s="63">
        <v>22.27</v>
      </c>
      <c r="H2394" s="66">
        <f t="shared" si="1"/>
        <v>77.74</v>
      </c>
      <c r="I2394" s="81">
        <f>IFERROR(__xludf.DUMMYFUNCTION("IF(G2394="""", """", ROUND(G2394 / MAX(FILTER($G$2:$G5067, $D$2:$D5067=$D2394)) * 100, 2))"),85.49)</f>
        <v>85.49</v>
      </c>
      <c r="J2394" s="81">
        <f>IFERROR(__xludf.DUMMYFUNCTION("IF(H2394="""", """", ROUND(H2394 / MAX(FILTER($H$2:$H5067, $D$2:$D5067=$D2394)) * 100, 2))"),40.81)</f>
        <v>40.81</v>
      </c>
      <c r="K2394" s="2"/>
      <c r="L2394" s="49"/>
      <c r="M2394" s="49"/>
      <c r="N2394" s="49"/>
      <c r="O2394" s="49" t="str">
        <f t="shared" si="2"/>
        <v/>
      </c>
      <c r="P2394" s="49" t="str">
        <f t="shared" si="3"/>
        <v/>
      </c>
      <c r="Q2394" s="84"/>
      <c r="R2394" s="84"/>
      <c r="S2394" s="84"/>
      <c r="T2394" s="84"/>
      <c r="U2394" s="84"/>
      <c r="V2394" s="84"/>
      <c r="W2394" s="84"/>
      <c r="X2394" s="84"/>
      <c r="Y2394" s="84"/>
      <c r="Z2394" s="84"/>
      <c r="AA2394" s="84"/>
      <c r="AB2394" s="84"/>
    </row>
    <row r="2395">
      <c r="A2395" s="69">
        <v>160.0</v>
      </c>
      <c r="B2395" s="69">
        <v>258.0</v>
      </c>
      <c r="C2395" s="86" t="s">
        <v>528</v>
      </c>
      <c r="D2395" s="86" t="s">
        <v>529</v>
      </c>
      <c r="E2395" s="86" t="s">
        <v>530</v>
      </c>
      <c r="F2395" s="69">
        <v>3000.0</v>
      </c>
      <c r="G2395" s="69">
        <v>23.62</v>
      </c>
      <c r="H2395" s="68">
        <f t="shared" si="1"/>
        <v>98.94</v>
      </c>
      <c r="I2395" s="81">
        <f>IFERROR(__xludf.DUMMYFUNCTION("IF(G2395="""", """", ROUND(G2395 / MAX(FILTER($G$2:$G5067, $D$2:$D5067=$D2395)) * 100, 2))"),90.67)</f>
        <v>90.67</v>
      </c>
      <c r="J2395" s="81">
        <f>IFERROR(__xludf.DUMMYFUNCTION("IF(H2395="""", """", ROUND(H2395 / MAX(FILTER($H$2:$H5067, $D$2:$D5067=$D2395)) * 100, 2))"),51.95)</f>
        <v>51.95</v>
      </c>
      <c r="K2395" s="2"/>
      <c r="L2395" s="48"/>
      <c r="M2395" s="48"/>
      <c r="N2395" s="48"/>
      <c r="O2395" s="48" t="str">
        <f t="shared" si="2"/>
        <v/>
      </c>
      <c r="P2395" s="48" t="str">
        <f t="shared" si="3"/>
        <v/>
      </c>
      <c r="Q2395" s="84"/>
      <c r="R2395" s="84"/>
      <c r="S2395" s="84"/>
      <c r="T2395" s="84"/>
      <c r="U2395" s="84"/>
      <c r="V2395" s="84"/>
      <c r="W2395" s="84"/>
      <c r="X2395" s="84"/>
      <c r="Y2395" s="84"/>
      <c r="Z2395" s="84"/>
      <c r="AA2395" s="84"/>
      <c r="AB2395" s="84"/>
    </row>
    <row r="2396">
      <c r="A2396" s="63">
        <v>160.0</v>
      </c>
      <c r="B2396" s="63">
        <v>258.0</v>
      </c>
      <c r="C2396" s="64" t="s">
        <v>528</v>
      </c>
      <c r="D2396" s="64" t="s">
        <v>529</v>
      </c>
      <c r="E2396" s="64" t="s">
        <v>530</v>
      </c>
      <c r="F2396" s="63">
        <v>3500.0</v>
      </c>
      <c r="G2396" s="63">
        <v>24.75</v>
      </c>
      <c r="H2396" s="66">
        <f t="shared" si="1"/>
        <v>120.95</v>
      </c>
      <c r="I2396" s="81">
        <f>IFERROR(__xludf.DUMMYFUNCTION("IF(G2396="""", """", ROUND(G2396 / MAX(FILTER($G$2:$G5067, $D$2:$D5067=$D2396)) * 100, 2))"),95.01)</f>
        <v>95.01</v>
      </c>
      <c r="J2396" s="81">
        <f>IFERROR(__xludf.DUMMYFUNCTION("IF(H2396="""", """", ROUND(H2396 / MAX(FILTER($H$2:$H5067, $D$2:$D5067=$D2396)) * 100, 2))"),63.5)</f>
        <v>63.5</v>
      </c>
      <c r="K2396" s="2"/>
      <c r="L2396" s="49"/>
      <c r="M2396" s="49"/>
      <c r="N2396" s="49"/>
      <c r="O2396" s="49" t="str">
        <f t="shared" si="2"/>
        <v/>
      </c>
      <c r="P2396" s="49" t="str">
        <f t="shared" si="3"/>
        <v/>
      </c>
      <c r="Q2396" s="84"/>
      <c r="R2396" s="84"/>
      <c r="S2396" s="84"/>
      <c r="T2396" s="84"/>
      <c r="U2396" s="84"/>
      <c r="V2396" s="84"/>
      <c r="W2396" s="84"/>
      <c r="X2396" s="84"/>
      <c r="Y2396" s="84"/>
      <c r="Z2396" s="84"/>
      <c r="AA2396" s="84"/>
      <c r="AB2396" s="84"/>
    </row>
    <row r="2397">
      <c r="A2397" s="69">
        <v>160.0</v>
      </c>
      <c r="B2397" s="69">
        <v>258.0</v>
      </c>
      <c r="C2397" s="86" t="s">
        <v>528</v>
      </c>
      <c r="D2397" s="86" t="s">
        <v>529</v>
      </c>
      <c r="E2397" s="86" t="s">
        <v>530</v>
      </c>
      <c r="F2397" s="69">
        <v>4000.0</v>
      </c>
      <c r="G2397" s="69">
        <v>25.66</v>
      </c>
      <c r="H2397" s="68">
        <f t="shared" si="1"/>
        <v>143.31</v>
      </c>
      <c r="I2397" s="81">
        <f>IFERROR(__xludf.DUMMYFUNCTION("IF(G2397="""", """", ROUND(G2397 / MAX(FILTER($G$2:$G5067, $D$2:$D5067=$D2397)) * 100, 2))"),98.5)</f>
        <v>98.5</v>
      </c>
      <c r="J2397" s="81">
        <f>IFERROR(__xludf.DUMMYFUNCTION("IF(H2397="""", """", ROUND(H2397 / MAX(FILTER($H$2:$H5067, $D$2:$D5067=$D2397)) * 100, 2))"),75.24)</f>
        <v>75.24</v>
      </c>
      <c r="K2397" s="2"/>
      <c r="L2397" s="48"/>
      <c r="M2397" s="48"/>
      <c r="N2397" s="48"/>
      <c r="O2397" s="48" t="str">
        <f t="shared" si="2"/>
        <v/>
      </c>
      <c r="P2397" s="48" t="str">
        <f t="shared" si="3"/>
        <v/>
      </c>
      <c r="Q2397" s="84"/>
      <c r="R2397" s="84"/>
      <c r="S2397" s="84"/>
      <c r="T2397" s="84"/>
      <c r="U2397" s="84"/>
      <c r="V2397" s="84"/>
      <c r="W2397" s="84"/>
      <c r="X2397" s="84"/>
      <c r="Y2397" s="84"/>
      <c r="Z2397" s="84"/>
      <c r="AA2397" s="84"/>
      <c r="AB2397" s="84"/>
    </row>
    <row r="2398">
      <c r="A2398" s="63">
        <v>160.0</v>
      </c>
      <c r="B2398" s="63">
        <v>258.0</v>
      </c>
      <c r="C2398" s="64" t="s">
        <v>528</v>
      </c>
      <c r="D2398" s="64" t="s">
        <v>529</v>
      </c>
      <c r="E2398" s="64" t="s">
        <v>530</v>
      </c>
      <c r="F2398" s="63">
        <v>4600.0</v>
      </c>
      <c r="G2398" s="63">
        <v>26.05</v>
      </c>
      <c r="H2398" s="66">
        <f t="shared" si="1"/>
        <v>167.31</v>
      </c>
      <c r="I2398" s="81">
        <f>IFERROR(__xludf.DUMMYFUNCTION("IF(G2398="""", """", ROUND(G2398 / MAX(FILTER($G$2:$G5067, $D$2:$D5067=$D2398)) * 100, 2))"),100.0)</f>
        <v>100</v>
      </c>
      <c r="J2398" s="81">
        <f>IFERROR(__xludf.DUMMYFUNCTION("IF(H2398="""", """", ROUND(H2398 / MAX(FILTER($H$2:$H5067, $D$2:$D5067=$D2398)) * 100, 2))"),87.84)</f>
        <v>87.84</v>
      </c>
      <c r="K2398" s="2"/>
      <c r="L2398" s="49"/>
      <c r="M2398" s="49"/>
      <c r="N2398" s="49"/>
      <c r="O2398" s="49" t="str">
        <f t="shared" si="2"/>
        <v/>
      </c>
      <c r="P2398" s="49" t="str">
        <f t="shared" si="3"/>
        <v/>
      </c>
      <c r="Q2398" s="84"/>
      <c r="R2398" s="84"/>
      <c r="S2398" s="84"/>
      <c r="T2398" s="84"/>
      <c r="U2398" s="84"/>
      <c r="V2398" s="84"/>
      <c r="W2398" s="84"/>
      <c r="X2398" s="84"/>
      <c r="Y2398" s="84"/>
      <c r="Z2398" s="84"/>
      <c r="AA2398" s="84"/>
      <c r="AB2398" s="84"/>
    </row>
    <row r="2399">
      <c r="A2399" s="69">
        <v>160.0</v>
      </c>
      <c r="B2399" s="69">
        <v>258.0</v>
      </c>
      <c r="C2399" s="86" t="s">
        <v>528</v>
      </c>
      <c r="D2399" s="86" t="s">
        <v>529</v>
      </c>
      <c r="E2399" s="86" t="s">
        <v>530</v>
      </c>
      <c r="F2399" s="69">
        <v>5000.0</v>
      </c>
      <c r="G2399" s="69">
        <v>25.42</v>
      </c>
      <c r="H2399" s="68">
        <f t="shared" si="1"/>
        <v>177.46</v>
      </c>
      <c r="I2399" s="81">
        <f>IFERROR(__xludf.DUMMYFUNCTION("IF(G2399="""", """", ROUND(G2399 / MAX(FILTER($G$2:$G5067, $D$2:$D5067=$D2399)) * 100, 2))"),97.58)</f>
        <v>97.58</v>
      </c>
      <c r="J2399" s="81">
        <f>IFERROR(__xludf.DUMMYFUNCTION("IF(H2399="""", """", ROUND(H2399 / MAX(FILTER($H$2:$H5067, $D$2:$D5067=$D2399)) * 100, 2))"),93.17)</f>
        <v>93.17</v>
      </c>
      <c r="K2399" s="2"/>
      <c r="L2399" s="48"/>
      <c r="M2399" s="48"/>
      <c r="N2399" s="48"/>
      <c r="O2399" s="48" t="str">
        <f t="shared" si="2"/>
        <v/>
      </c>
      <c r="P2399" s="48" t="str">
        <f t="shared" si="3"/>
        <v/>
      </c>
      <c r="Q2399" s="84"/>
      <c r="R2399" s="84"/>
      <c r="S2399" s="84"/>
      <c r="T2399" s="84"/>
      <c r="U2399" s="84"/>
      <c r="V2399" s="84"/>
      <c r="W2399" s="84"/>
      <c r="X2399" s="84"/>
      <c r="Y2399" s="84"/>
      <c r="Z2399" s="84"/>
      <c r="AA2399" s="84"/>
      <c r="AB2399" s="84"/>
    </row>
    <row r="2400">
      <c r="A2400" s="63">
        <v>160.0</v>
      </c>
      <c r="B2400" s="63">
        <v>258.0</v>
      </c>
      <c r="C2400" s="64" t="s">
        <v>528</v>
      </c>
      <c r="D2400" s="64" t="s">
        <v>529</v>
      </c>
      <c r="E2400" s="64" t="s">
        <v>530</v>
      </c>
      <c r="F2400" s="63">
        <v>5500.0</v>
      </c>
      <c r="G2400" s="63">
        <v>24.52</v>
      </c>
      <c r="H2400" s="66">
        <f t="shared" si="1"/>
        <v>188.3</v>
      </c>
      <c r="I2400" s="81">
        <f>IFERROR(__xludf.DUMMYFUNCTION("IF(G2400="""", """", ROUND(G2400 / MAX(FILTER($G$2:$G5067, $D$2:$D5067=$D2400)) * 100, 2))"),94.13)</f>
        <v>94.13</v>
      </c>
      <c r="J2400" s="81">
        <f>IFERROR(__xludf.DUMMYFUNCTION("IF(H2400="""", """", ROUND(H2400 / MAX(FILTER($H$2:$H5067, $D$2:$D5067=$D2400)) * 100, 2))"),98.86)</f>
        <v>98.86</v>
      </c>
      <c r="K2400" s="2"/>
      <c r="L2400" s="49"/>
      <c r="M2400" s="49"/>
      <c r="N2400" s="49"/>
      <c r="O2400" s="49" t="str">
        <f t="shared" si="2"/>
        <v/>
      </c>
      <c r="P2400" s="49" t="str">
        <f t="shared" si="3"/>
        <v/>
      </c>
      <c r="Q2400" s="84"/>
      <c r="R2400" s="84"/>
      <c r="S2400" s="84"/>
      <c r="T2400" s="84"/>
      <c r="U2400" s="84"/>
      <c r="V2400" s="84"/>
      <c r="W2400" s="84"/>
      <c r="X2400" s="84"/>
      <c r="Y2400" s="84"/>
      <c r="Z2400" s="84"/>
      <c r="AA2400" s="84"/>
      <c r="AB2400" s="84"/>
    </row>
    <row r="2401">
      <c r="A2401" s="69">
        <v>160.0</v>
      </c>
      <c r="B2401" s="69">
        <v>258.0</v>
      </c>
      <c r="C2401" s="86" t="s">
        <v>528</v>
      </c>
      <c r="D2401" s="86" t="s">
        <v>529</v>
      </c>
      <c r="E2401" s="86" t="s">
        <v>530</v>
      </c>
      <c r="F2401" s="69">
        <v>5800.0</v>
      </c>
      <c r="G2401" s="69">
        <v>23.52</v>
      </c>
      <c r="H2401" s="68">
        <f t="shared" si="1"/>
        <v>190.47</v>
      </c>
      <c r="I2401" s="81">
        <f>IFERROR(__xludf.DUMMYFUNCTION("IF(G2401="""", """", ROUND(G2401 / MAX(FILTER($G$2:$G5067, $D$2:$D5067=$D2401)) * 100, 2))"),90.29)</f>
        <v>90.29</v>
      </c>
      <c r="J2401" s="81">
        <f>IFERROR(__xludf.DUMMYFUNCTION("IF(H2401="""", """", ROUND(H2401 / MAX(FILTER($H$2:$H5067, $D$2:$D5067=$D2401)) * 100, 2))"),100.0)</f>
        <v>100</v>
      </c>
      <c r="K2401" s="2"/>
      <c r="L2401" s="48"/>
      <c r="M2401" s="48"/>
      <c r="N2401" s="48"/>
      <c r="O2401" s="48" t="str">
        <f t="shared" si="2"/>
        <v/>
      </c>
      <c r="P2401" s="48" t="str">
        <f t="shared" si="3"/>
        <v/>
      </c>
      <c r="Q2401" s="84"/>
      <c r="R2401" s="84"/>
      <c r="S2401" s="84"/>
      <c r="T2401" s="84"/>
      <c r="U2401" s="84"/>
      <c r="V2401" s="84"/>
      <c r="W2401" s="84"/>
      <c r="X2401" s="84"/>
      <c r="Y2401" s="84"/>
      <c r="Z2401" s="84"/>
      <c r="AA2401" s="84"/>
      <c r="AB2401" s="84"/>
    </row>
    <row r="2402">
      <c r="A2402" s="63">
        <v>160.0</v>
      </c>
      <c r="B2402" s="63">
        <v>258.0</v>
      </c>
      <c r="C2402" s="64" t="s">
        <v>528</v>
      </c>
      <c r="D2402" s="64" t="s">
        <v>529</v>
      </c>
      <c r="E2402" s="64" t="s">
        <v>530</v>
      </c>
      <c r="F2402" s="63">
        <v>6500.0</v>
      </c>
      <c r="G2402" s="63">
        <v>18.9</v>
      </c>
      <c r="H2402" s="66">
        <f t="shared" si="1"/>
        <v>171.53</v>
      </c>
      <c r="I2402" s="81">
        <f>IFERROR(__xludf.DUMMYFUNCTION("IF(G2402="""", """", ROUND(G2402 / MAX(FILTER($G$2:$G5067, $D$2:$D5067=$D2402)) * 100, 2))"),72.55)</f>
        <v>72.55</v>
      </c>
      <c r="J2402" s="81">
        <f>IFERROR(__xludf.DUMMYFUNCTION("IF(H2402="""", """", ROUND(H2402 / MAX(FILTER($H$2:$H5067, $D$2:$D5067=$D2402)) * 100, 2))"),90.06)</f>
        <v>90.06</v>
      </c>
      <c r="K2402" s="2"/>
      <c r="L2402" s="49"/>
      <c r="M2402" s="49"/>
      <c r="N2402" s="49"/>
      <c r="O2402" s="49" t="str">
        <f t="shared" si="2"/>
        <v/>
      </c>
      <c r="P2402" s="49" t="str">
        <f t="shared" si="3"/>
        <v/>
      </c>
      <c r="Q2402" s="84"/>
      <c r="R2402" s="84"/>
      <c r="S2402" s="84"/>
      <c r="T2402" s="84"/>
      <c r="U2402" s="84"/>
      <c r="V2402" s="84"/>
      <c r="W2402" s="84"/>
      <c r="X2402" s="84"/>
      <c r="Y2402" s="84"/>
      <c r="Z2402" s="84"/>
      <c r="AA2402" s="84"/>
      <c r="AB2402" s="84"/>
    </row>
    <row r="2403">
      <c r="A2403" s="69">
        <v>160.0</v>
      </c>
      <c r="B2403" s="69">
        <v>258.0</v>
      </c>
      <c r="C2403" s="86" t="s">
        <v>528</v>
      </c>
      <c r="D2403" s="86" t="s">
        <v>529</v>
      </c>
      <c r="E2403" s="86" t="s">
        <v>530</v>
      </c>
      <c r="F2403" s="69">
        <v>7000.0</v>
      </c>
      <c r="G2403" s="69">
        <v>13.5</v>
      </c>
      <c r="H2403" s="68">
        <f t="shared" si="1"/>
        <v>131.95</v>
      </c>
      <c r="I2403" s="81">
        <f>IFERROR(__xludf.DUMMYFUNCTION("IF(G2403="""", """", ROUND(G2403 / MAX(FILTER($G$2:$G5067, $D$2:$D5067=$D2403)) * 100, 2))"),51.82)</f>
        <v>51.82</v>
      </c>
      <c r="J2403" s="81">
        <f>IFERROR(__xludf.DUMMYFUNCTION("IF(H2403="""", """", ROUND(H2403 / MAX(FILTER($H$2:$H5067, $D$2:$D5067=$D2403)) * 100, 2))"),69.28)</f>
        <v>69.28</v>
      </c>
      <c r="K2403" s="2"/>
      <c r="L2403" s="48"/>
      <c r="M2403" s="48"/>
      <c r="N2403" s="48"/>
      <c r="O2403" s="48" t="str">
        <f t="shared" si="2"/>
        <v/>
      </c>
      <c r="P2403" s="48" t="str">
        <f t="shared" si="3"/>
        <v/>
      </c>
      <c r="Q2403" s="84"/>
      <c r="R2403" s="84"/>
      <c r="S2403" s="84"/>
      <c r="T2403" s="84"/>
      <c r="U2403" s="84"/>
      <c r="V2403" s="84"/>
      <c r="W2403" s="84"/>
      <c r="X2403" s="84"/>
      <c r="Y2403" s="84"/>
      <c r="Z2403" s="84"/>
      <c r="AA2403" s="84"/>
      <c r="AB2403" s="84"/>
    </row>
    <row r="2404">
      <c r="A2404" s="63">
        <v>161.0</v>
      </c>
      <c r="B2404" s="63">
        <v>261.0</v>
      </c>
      <c r="C2404" s="64" t="s">
        <v>531</v>
      </c>
      <c r="D2404" s="64" t="s">
        <v>532</v>
      </c>
      <c r="E2404" s="64" t="s">
        <v>533</v>
      </c>
      <c r="F2404" s="63">
        <v>500.0</v>
      </c>
      <c r="G2404" s="63">
        <v>17.3</v>
      </c>
      <c r="H2404" s="66">
        <f t="shared" si="1"/>
        <v>12.08</v>
      </c>
      <c r="I2404" s="81">
        <f>IFERROR(__xludf.DUMMYFUNCTION("IF(G2404="""", """", ROUND(G2404 / MAX(FILTER($G$2:$G5067, $D$2:$D5067=$D2404)) * 100, 2))"),47.04)</f>
        <v>47.04</v>
      </c>
      <c r="J2404" s="81">
        <f>IFERROR(__xludf.DUMMYFUNCTION("IF(H2404="""", """", ROUND(H2404 / MAX(FILTER($H$2:$H5067, $D$2:$D5067=$D2404)) * 100, 2))"),4.48)</f>
        <v>4.48</v>
      </c>
      <c r="K2404" s="2"/>
      <c r="L2404" s="49"/>
      <c r="M2404" s="49"/>
      <c r="N2404" s="49"/>
      <c r="O2404" s="49" t="str">
        <f t="shared" si="2"/>
        <v/>
      </c>
      <c r="P2404" s="49" t="str">
        <f t="shared" si="3"/>
        <v/>
      </c>
      <c r="Q2404" s="84"/>
      <c r="R2404" s="84"/>
      <c r="S2404" s="84"/>
      <c r="T2404" s="84"/>
      <c r="U2404" s="84"/>
      <c r="V2404" s="84"/>
      <c r="W2404" s="84"/>
      <c r="X2404" s="84"/>
      <c r="Y2404" s="84"/>
      <c r="Z2404" s="84"/>
      <c r="AA2404" s="84"/>
      <c r="AB2404" s="84"/>
    </row>
    <row r="2405">
      <c r="A2405" s="69">
        <v>161.0</v>
      </c>
      <c r="B2405" s="69">
        <v>261.0</v>
      </c>
      <c r="C2405" s="86" t="s">
        <v>531</v>
      </c>
      <c r="D2405" s="86" t="s">
        <v>532</v>
      </c>
      <c r="E2405" s="86" t="s">
        <v>533</v>
      </c>
      <c r="F2405" s="69">
        <v>1000.0</v>
      </c>
      <c r="G2405" s="69">
        <v>19.8</v>
      </c>
      <c r="H2405" s="68">
        <f t="shared" si="1"/>
        <v>27.65</v>
      </c>
      <c r="I2405" s="81">
        <f>IFERROR(__xludf.DUMMYFUNCTION("IF(G2405="""", """", ROUND(G2405 / MAX(FILTER($G$2:$G5067, $D$2:$D5067=$D2405)) * 100, 2))"),53.83)</f>
        <v>53.83</v>
      </c>
      <c r="J2405" s="81">
        <f>IFERROR(__xludf.DUMMYFUNCTION("IF(H2405="""", """", ROUND(H2405 / MAX(FILTER($H$2:$H5067, $D$2:$D5067=$D2405)) * 100, 2))"),10.25)</f>
        <v>10.25</v>
      </c>
      <c r="K2405" s="2"/>
      <c r="L2405" s="48"/>
      <c r="M2405" s="48"/>
      <c r="N2405" s="48"/>
      <c r="O2405" s="48" t="str">
        <f t="shared" si="2"/>
        <v/>
      </c>
      <c r="P2405" s="48" t="str">
        <f t="shared" si="3"/>
        <v/>
      </c>
      <c r="Q2405" s="84"/>
      <c r="R2405" s="84"/>
      <c r="S2405" s="84"/>
      <c r="T2405" s="84"/>
      <c r="U2405" s="84"/>
      <c r="V2405" s="84"/>
      <c r="W2405" s="84"/>
      <c r="X2405" s="84"/>
      <c r="Y2405" s="84"/>
      <c r="Z2405" s="84"/>
      <c r="AA2405" s="84"/>
      <c r="AB2405" s="84"/>
    </row>
    <row r="2406">
      <c r="A2406" s="63">
        <v>161.0</v>
      </c>
      <c r="B2406" s="63">
        <v>261.0</v>
      </c>
      <c r="C2406" s="64" t="s">
        <v>531</v>
      </c>
      <c r="D2406" s="64" t="s">
        <v>532</v>
      </c>
      <c r="E2406" s="64" t="s">
        <v>533</v>
      </c>
      <c r="F2406" s="63">
        <v>1500.0</v>
      </c>
      <c r="G2406" s="63">
        <v>23.4</v>
      </c>
      <c r="H2406" s="66">
        <f t="shared" si="1"/>
        <v>49.01</v>
      </c>
      <c r="I2406" s="81">
        <f>IFERROR(__xludf.DUMMYFUNCTION("IF(G2406="""", """", ROUND(G2406 / MAX(FILTER($G$2:$G5067, $D$2:$D5067=$D2406)) * 100, 2))"),63.62)</f>
        <v>63.62</v>
      </c>
      <c r="J2406" s="81">
        <f>IFERROR(__xludf.DUMMYFUNCTION("IF(H2406="""", """", ROUND(H2406 / MAX(FILTER($H$2:$H5067, $D$2:$D5067=$D2406)) * 100, 2))"),18.16)</f>
        <v>18.16</v>
      </c>
      <c r="K2406" s="2"/>
      <c r="L2406" s="49"/>
      <c r="M2406" s="49"/>
      <c r="N2406" s="49"/>
      <c r="O2406" s="49" t="str">
        <f t="shared" si="2"/>
        <v/>
      </c>
      <c r="P2406" s="49" t="str">
        <f t="shared" si="3"/>
        <v/>
      </c>
      <c r="Q2406" s="84"/>
      <c r="R2406" s="84"/>
      <c r="S2406" s="84"/>
      <c r="T2406" s="84"/>
      <c r="U2406" s="84"/>
      <c r="V2406" s="84"/>
      <c r="W2406" s="84"/>
      <c r="X2406" s="84"/>
      <c r="Y2406" s="84"/>
      <c r="Z2406" s="84"/>
      <c r="AA2406" s="84"/>
      <c r="AB2406" s="84"/>
    </row>
    <row r="2407">
      <c r="A2407" s="69">
        <v>161.0</v>
      </c>
      <c r="B2407" s="69">
        <v>261.0</v>
      </c>
      <c r="C2407" s="86" t="s">
        <v>531</v>
      </c>
      <c r="D2407" s="86" t="s">
        <v>532</v>
      </c>
      <c r="E2407" s="86" t="s">
        <v>533</v>
      </c>
      <c r="F2407" s="69">
        <v>2000.0</v>
      </c>
      <c r="G2407" s="69">
        <v>30.8</v>
      </c>
      <c r="H2407" s="68">
        <f t="shared" si="1"/>
        <v>86.01</v>
      </c>
      <c r="I2407" s="81">
        <f>IFERROR(__xludf.DUMMYFUNCTION("IF(G2407="""", """", ROUND(G2407 / MAX(FILTER($G$2:$G5067, $D$2:$D5067=$D2407)) * 100, 2))"),83.74)</f>
        <v>83.74</v>
      </c>
      <c r="J2407" s="81">
        <f>IFERROR(__xludf.DUMMYFUNCTION("IF(H2407="""", """", ROUND(H2407 / MAX(FILTER($H$2:$H5067, $D$2:$D5067=$D2407)) * 100, 2))"),31.87)</f>
        <v>31.87</v>
      </c>
      <c r="K2407" s="2"/>
      <c r="L2407" s="48"/>
      <c r="M2407" s="48"/>
      <c r="N2407" s="48"/>
      <c r="O2407" s="48" t="str">
        <f t="shared" si="2"/>
        <v/>
      </c>
      <c r="P2407" s="48" t="str">
        <f t="shared" si="3"/>
        <v/>
      </c>
      <c r="Q2407" s="84"/>
      <c r="R2407" s="84"/>
      <c r="S2407" s="84"/>
      <c r="T2407" s="84"/>
      <c r="U2407" s="84"/>
      <c r="V2407" s="84"/>
      <c r="W2407" s="84"/>
      <c r="X2407" s="84"/>
      <c r="Y2407" s="84"/>
      <c r="Z2407" s="84"/>
      <c r="AA2407" s="84"/>
      <c r="AB2407" s="84"/>
    </row>
    <row r="2408">
      <c r="A2408" s="63">
        <v>161.0</v>
      </c>
      <c r="B2408" s="63">
        <v>261.0</v>
      </c>
      <c r="C2408" s="64" t="s">
        <v>531</v>
      </c>
      <c r="D2408" s="64" t="s">
        <v>532</v>
      </c>
      <c r="E2408" s="64" t="s">
        <v>533</v>
      </c>
      <c r="F2408" s="63">
        <v>2500.0</v>
      </c>
      <c r="G2408" s="63">
        <v>34.8</v>
      </c>
      <c r="H2408" s="66">
        <f t="shared" si="1"/>
        <v>121.47</v>
      </c>
      <c r="I2408" s="81">
        <f>IFERROR(__xludf.DUMMYFUNCTION("IF(G2408="""", """", ROUND(G2408 / MAX(FILTER($G$2:$G5067, $D$2:$D5067=$D2408)) * 100, 2))"),94.62)</f>
        <v>94.62</v>
      </c>
      <c r="J2408" s="81">
        <f>IFERROR(__xludf.DUMMYFUNCTION("IF(H2408="""", """", ROUND(H2408 / MAX(FILTER($H$2:$H5067, $D$2:$D5067=$D2408)) * 100, 2))"),45.02)</f>
        <v>45.02</v>
      </c>
      <c r="K2408" s="2"/>
      <c r="L2408" s="49"/>
      <c r="M2408" s="49"/>
      <c r="N2408" s="49"/>
      <c r="O2408" s="49" t="str">
        <f t="shared" si="2"/>
        <v/>
      </c>
      <c r="P2408" s="49" t="str">
        <f t="shared" si="3"/>
        <v/>
      </c>
      <c r="Q2408" s="84"/>
      <c r="R2408" s="84"/>
      <c r="S2408" s="84"/>
      <c r="T2408" s="84"/>
      <c r="U2408" s="84"/>
      <c r="V2408" s="84"/>
      <c r="W2408" s="84"/>
      <c r="X2408" s="84"/>
      <c r="Y2408" s="84"/>
      <c r="Z2408" s="84"/>
      <c r="AA2408" s="84"/>
      <c r="AB2408" s="84"/>
    </row>
    <row r="2409">
      <c r="A2409" s="69">
        <v>161.0</v>
      </c>
      <c r="B2409" s="69">
        <v>261.0</v>
      </c>
      <c r="C2409" s="86" t="s">
        <v>531</v>
      </c>
      <c r="D2409" s="86" t="s">
        <v>532</v>
      </c>
      <c r="E2409" s="86" t="s">
        <v>533</v>
      </c>
      <c r="F2409" s="69">
        <v>3000.0</v>
      </c>
      <c r="G2409" s="69">
        <v>36.0</v>
      </c>
      <c r="H2409" s="68">
        <f t="shared" si="1"/>
        <v>150.8</v>
      </c>
      <c r="I2409" s="81">
        <f>IFERROR(__xludf.DUMMYFUNCTION("IF(G2409="""", """", ROUND(G2409 / MAX(FILTER($G$2:$G5067, $D$2:$D5067=$D2409)) * 100, 2))"),97.88)</f>
        <v>97.88</v>
      </c>
      <c r="J2409" s="81">
        <f>IFERROR(__xludf.DUMMYFUNCTION("IF(H2409="""", """", ROUND(H2409 / MAX(FILTER($H$2:$H5067, $D$2:$D5067=$D2409)) * 100, 2))"),55.88)</f>
        <v>55.88</v>
      </c>
      <c r="K2409" s="2"/>
      <c r="L2409" s="48"/>
      <c r="M2409" s="48"/>
      <c r="N2409" s="48"/>
      <c r="O2409" s="48" t="str">
        <f t="shared" si="2"/>
        <v/>
      </c>
      <c r="P2409" s="48" t="str">
        <f t="shared" si="3"/>
        <v/>
      </c>
      <c r="Q2409" s="84"/>
      <c r="R2409" s="84"/>
      <c r="S2409" s="84"/>
      <c r="T2409" s="84"/>
      <c r="U2409" s="84"/>
      <c r="V2409" s="84"/>
      <c r="W2409" s="84"/>
      <c r="X2409" s="84"/>
      <c r="Y2409" s="84"/>
      <c r="Z2409" s="84"/>
      <c r="AA2409" s="84"/>
      <c r="AB2409" s="84"/>
    </row>
    <row r="2410">
      <c r="A2410" s="63">
        <v>161.0</v>
      </c>
      <c r="B2410" s="63">
        <v>261.0</v>
      </c>
      <c r="C2410" s="64" t="s">
        <v>531</v>
      </c>
      <c r="D2410" s="64" t="s">
        <v>532</v>
      </c>
      <c r="E2410" s="64" t="s">
        <v>533</v>
      </c>
      <c r="F2410" s="63">
        <v>3500.0</v>
      </c>
      <c r="G2410" s="63">
        <v>36.78</v>
      </c>
      <c r="H2410" s="66">
        <f t="shared" si="1"/>
        <v>179.74</v>
      </c>
      <c r="I2410" s="81">
        <f>IFERROR(__xludf.DUMMYFUNCTION("IF(G2410="""", """", ROUND(G2410 / MAX(FILTER($G$2:$G5067, $D$2:$D5067=$D2410)) * 100, 2))"),100.0)</f>
        <v>100</v>
      </c>
      <c r="J2410" s="81">
        <f>IFERROR(__xludf.DUMMYFUNCTION("IF(H2410="""", """", ROUND(H2410 / MAX(FILTER($H$2:$H5067, $D$2:$D5067=$D2410)) * 100, 2))"),66.61)</f>
        <v>66.61</v>
      </c>
      <c r="K2410" s="2"/>
      <c r="L2410" s="49"/>
      <c r="M2410" s="49"/>
      <c r="N2410" s="49"/>
      <c r="O2410" s="49" t="str">
        <f t="shared" si="2"/>
        <v/>
      </c>
      <c r="P2410" s="49" t="str">
        <f t="shared" si="3"/>
        <v/>
      </c>
      <c r="Q2410" s="84"/>
      <c r="R2410" s="84"/>
      <c r="S2410" s="84"/>
      <c r="T2410" s="84"/>
      <c r="U2410" s="84"/>
      <c r="V2410" s="84"/>
      <c r="W2410" s="84"/>
      <c r="X2410" s="84"/>
      <c r="Y2410" s="84"/>
      <c r="Z2410" s="84"/>
      <c r="AA2410" s="84"/>
      <c r="AB2410" s="84"/>
    </row>
    <row r="2411">
      <c r="A2411" s="69">
        <v>161.0</v>
      </c>
      <c r="B2411" s="69">
        <v>261.0</v>
      </c>
      <c r="C2411" s="86" t="s">
        <v>531</v>
      </c>
      <c r="D2411" s="86" t="s">
        <v>532</v>
      </c>
      <c r="E2411" s="86" t="s">
        <v>533</v>
      </c>
      <c r="F2411" s="69">
        <v>4000.0</v>
      </c>
      <c r="G2411" s="69">
        <v>36.65</v>
      </c>
      <c r="H2411" s="68">
        <f t="shared" si="1"/>
        <v>204.69</v>
      </c>
      <c r="I2411" s="81">
        <f>IFERROR(__xludf.DUMMYFUNCTION("IF(G2411="""", """", ROUND(G2411 / MAX(FILTER($G$2:$G5067, $D$2:$D5067=$D2411)) * 100, 2))"),99.65)</f>
        <v>99.65</v>
      </c>
      <c r="J2411" s="81">
        <f>IFERROR(__xludf.DUMMYFUNCTION("IF(H2411="""", """", ROUND(H2411 / MAX(FILTER($H$2:$H5067, $D$2:$D5067=$D2411)) * 100, 2))"),75.86)</f>
        <v>75.86</v>
      </c>
      <c r="K2411" s="2"/>
      <c r="L2411" s="48"/>
      <c r="M2411" s="48"/>
      <c r="N2411" s="48"/>
      <c r="O2411" s="48" t="str">
        <f t="shared" si="2"/>
        <v/>
      </c>
      <c r="P2411" s="48" t="str">
        <f t="shared" si="3"/>
        <v/>
      </c>
      <c r="Q2411" s="84"/>
      <c r="R2411" s="84"/>
      <c r="S2411" s="84"/>
      <c r="T2411" s="84"/>
      <c r="U2411" s="84"/>
      <c r="V2411" s="84"/>
      <c r="W2411" s="84"/>
      <c r="X2411" s="84"/>
      <c r="Y2411" s="84"/>
      <c r="Z2411" s="84"/>
      <c r="AA2411" s="84"/>
      <c r="AB2411" s="84"/>
    </row>
    <row r="2412">
      <c r="A2412" s="63">
        <v>161.0</v>
      </c>
      <c r="B2412" s="63">
        <v>261.0</v>
      </c>
      <c r="C2412" s="64" t="s">
        <v>531</v>
      </c>
      <c r="D2412" s="64" t="s">
        <v>532</v>
      </c>
      <c r="E2412" s="64" t="s">
        <v>533</v>
      </c>
      <c r="F2412" s="63">
        <v>4500.0</v>
      </c>
      <c r="G2412" s="63">
        <v>36.68</v>
      </c>
      <c r="H2412" s="66">
        <f t="shared" si="1"/>
        <v>230.47</v>
      </c>
      <c r="I2412" s="81">
        <f>IFERROR(__xludf.DUMMYFUNCTION("IF(G2412="""", """", ROUND(G2412 / MAX(FILTER($G$2:$G5067, $D$2:$D5067=$D2412)) * 100, 2))"),99.73)</f>
        <v>99.73</v>
      </c>
      <c r="J2412" s="81">
        <f>IFERROR(__xludf.DUMMYFUNCTION("IF(H2412="""", """", ROUND(H2412 / MAX(FILTER($H$2:$H5067, $D$2:$D5067=$D2412)) * 100, 2))"),85.41)</f>
        <v>85.41</v>
      </c>
      <c r="K2412" s="2"/>
      <c r="L2412" s="49"/>
      <c r="M2412" s="49"/>
      <c r="N2412" s="49"/>
      <c r="O2412" s="49" t="str">
        <f t="shared" si="2"/>
        <v/>
      </c>
      <c r="P2412" s="49" t="str">
        <f t="shared" si="3"/>
        <v/>
      </c>
      <c r="Q2412" s="84"/>
      <c r="R2412" s="84"/>
      <c r="S2412" s="84"/>
      <c r="T2412" s="84"/>
      <c r="U2412" s="84"/>
      <c r="V2412" s="84"/>
      <c r="W2412" s="84"/>
      <c r="X2412" s="84"/>
      <c r="Y2412" s="84"/>
      <c r="Z2412" s="84"/>
      <c r="AA2412" s="84"/>
      <c r="AB2412" s="84"/>
    </row>
    <row r="2413">
      <c r="A2413" s="69">
        <v>161.0</v>
      </c>
      <c r="B2413" s="69">
        <v>261.0</v>
      </c>
      <c r="C2413" s="86" t="s">
        <v>531</v>
      </c>
      <c r="D2413" s="86" t="s">
        <v>532</v>
      </c>
      <c r="E2413" s="86" t="s">
        <v>533</v>
      </c>
      <c r="F2413" s="69">
        <v>5000.0</v>
      </c>
      <c r="G2413" s="69">
        <v>36.5</v>
      </c>
      <c r="H2413" s="68">
        <f t="shared" si="1"/>
        <v>254.82</v>
      </c>
      <c r="I2413" s="81">
        <f>IFERROR(__xludf.DUMMYFUNCTION("IF(G2413="""", """", ROUND(G2413 / MAX(FILTER($G$2:$G5067, $D$2:$D5067=$D2413)) * 100, 2))"),99.24)</f>
        <v>99.24</v>
      </c>
      <c r="J2413" s="81">
        <f>IFERROR(__xludf.DUMMYFUNCTION("IF(H2413="""", """", ROUND(H2413 / MAX(FILTER($H$2:$H5067, $D$2:$D5067=$D2413)) * 100, 2))"),94.43)</f>
        <v>94.43</v>
      </c>
      <c r="K2413" s="2"/>
      <c r="L2413" s="48"/>
      <c r="M2413" s="48"/>
      <c r="N2413" s="48"/>
      <c r="O2413" s="48" t="str">
        <f t="shared" si="2"/>
        <v/>
      </c>
      <c r="P2413" s="48" t="str">
        <f t="shared" si="3"/>
        <v/>
      </c>
      <c r="Q2413" s="84"/>
      <c r="R2413" s="84"/>
      <c r="S2413" s="84"/>
      <c r="T2413" s="84"/>
      <c r="U2413" s="84"/>
      <c r="V2413" s="84"/>
      <c r="W2413" s="84"/>
      <c r="X2413" s="84"/>
      <c r="Y2413" s="84"/>
      <c r="Z2413" s="84"/>
      <c r="AA2413" s="84"/>
      <c r="AB2413" s="84"/>
    </row>
    <row r="2414">
      <c r="A2414" s="63">
        <v>161.0</v>
      </c>
      <c r="B2414" s="63">
        <v>261.0</v>
      </c>
      <c r="C2414" s="64" t="s">
        <v>531</v>
      </c>
      <c r="D2414" s="64" t="s">
        <v>532</v>
      </c>
      <c r="E2414" s="64" t="s">
        <v>533</v>
      </c>
      <c r="F2414" s="63">
        <v>5500.0</v>
      </c>
      <c r="G2414" s="63">
        <v>34.67</v>
      </c>
      <c r="H2414" s="66">
        <f t="shared" si="1"/>
        <v>266.25</v>
      </c>
      <c r="I2414" s="81">
        <f>IFERROR(__xludf.DUMMYFUNCTION("IF(G2414="""", """", ROUND(G2414 / MAX(FILTER($G$2:$G5067, $D$2:$D5067=$D2414)) * 100, 2))"),94.26)</f>
        <v>94.26</v>
      </c>
      <c r="J2414" s="81">
        <f>IFERROR(__xludf.DUMMYFUNCTION("IF(H2414="""", """", ROUND(H2414 / MAX(FILTER($H$2:$H5067, $D$2:$D5067=$D2414)) * 100, 2))"),98.67)</f>
        <v>98.67</v>
      </c>
      <c r="K2414" s="2"/>
      <c r="L2414" s="49"/>
      <c r="M2414" s="49"/>
      <c r="N2414" s="49"/>
      <c r="O2414" s="49" t="str">
        <f t="shared" si="2"/>
        <v/>
      </c>
      <c r="P2414" s="49" t="str">
        <f t="shared" si="3"/>
        <v/>
      </c>
      <c r="Q2414" s="84"/>
      <c r="R2414" s="84"/>
      <c r="S2414" s="84"/>
      <c r="T2414" s="84"/>
      <c r="U2414" s="84"/>
      <c r="V2414" s="84"/>
      <c r="W2414" s="84"/>
      <c r="X2414" s="84"/>
      <c r="Y2414" s="84"/>
      <c r="Z2414" s="84"/>
      <c r="AA2414" s="84"/>
      <c r="AB2414" s="84"/>
    </row>
    <row r="2415">
      <c r="A2415" s="69">
        <v>161.0</v>
      </c>
      <c r="B2415" s="69">
        <v>261.0</v>
      </c>
      <c r="C2415" s="86" t="s">
        <v>531</v>
      </c>
      <c r="D2415" s="86" t="s">
        <v>532</v>
      </c>
      <c r="E2415" s="86" t="s">
        <v>533</v>
      </c>
      <c r="F2415" s="69">
        <v>6000.0</v>
      </c>
      <c r="G2415" s="69">
        <v>32.21</v>
      </c>
      <c r="H2415" s="68">
        <f t="shared" si="1"/>
        <v>269.84</v>
      </c>
      <c r="I2415" s="81">
        <f>IFERROR(__xludf.DUMMYFUNCTION("IF(G2415="""", """", ROUND(G2415 / MAX(FILTER($G$2:$G5067, $D$2:$D5067=$D2415)) * 100, 2))"),87.57)</f>
        <v>87.57</v>
      </c>
      <c r="J2415" s="81">
        <f>IFERROR(__xludf.DUMMYFUNCTION("IF(H2415="""", """", ROUND(H2415 / MAX(FILTER($H$2:$H5067, $D$2:$D5067=$D2415)) * 100, 2))"),100.0)</f>
        <v>100</v>
      </c>
      <c r="K2415" s="2"/>
      <c r="L2415" s="48"/>
      <c r="M2415" s="48"/>
      <c r="N2415" s="48"/>
      <c r="O2415" s="48" t="str">
        <f t="shared" si="2"/>
        <v/>
      </c>
      <c r="P2415" s="48" t="str">
        <f t="shared" si="3"/>
        <v/>
      </c>
      <c r="Q2415" s="84"/>
      <c r="R2415" s="84"/>
      <c r="S2415" s="84"/>
      <c r="T2415" s="84"/>
      <c r="U2415" s="84"/>
      <c r="V2415" s="84"/>
      <c r="W2415" s="84"/>
      <c r="X2415" s="84"/>
      <c r="Y2415" s="84"/>
      <c r="Z2415" s="84"/>
      <c r="AA2415" s="84"/>
      <c r="AB2415" s="84"/>
    </row>
    <row r="2416">
      <c r="A2416" s="63">
        <v>161.0</v>
      </c>
      <c r="B2416" s="63">
        <v>261.0</v>
      </c>
      <c r="C2416" s="64" t="s">
        <v>531</v>
      </c>
      <c r="D2416" s="64" t="s">
        <v>532</v>
      </c>
      <c r="E2416" s="64" t="s">
        <v>533</v>
      </c>
      <c r="F2416" s="63">
        <v>6500.0</v>
      </c>
      <c r="G2416" s="63">
        <v>29.45</v>
      </c>
      <c r="H2416" s="66">
        <f t="shared" si="1"/>
        <v>267.28</v>
      </c>
      <c r="I2416" s="81">
        <f>IFERROR(__xludf.DUMMYFUNCTION("IF(G2416="""", """", ROUND(G2416 / MAX(FILTER($G$2:$G5067, $D$2:$D5067=$D2416)) * 100, 2))"),80.07)</f>
        <v>80.07</v>
      </c>
      <c r="J2416" s="81">
        <f>IFERROR(__xludf.DUMMYFUNCTION("IF(H2416="""", """", ROUND(H2416 / MAX(FILTER($H$2:$H5067, $D$2:$D5067=$D2416)) * 100, 2))"),99.05)</f>
        <v>99.05</v>
      </c>
      <c r="K2416" s="2"/>
      <c r="L2416" s="49"/>
      <c r="M2416" s="49"/>
      <c r="N2416" s="49"/>
      <c r="O2416" s="49" t="str">
        <f t="shared" si="2"/>
        <v/>
      </c>
      <c r="P2416" s="49" t="str">
        <f t="shared" si="3"/>
        <v/>
      </c>
      <c r="Q2416" s="84"/>
      <c r="R2416" s="84"/>
      <c r="S2416" s="84"/>
      <c r="T2416" s="84"/>
      <c r="U2416" s="84"/>
      <c r="V2416" s="84"/>
      <c r="W2416" s="84"/>
      <c r="X2416" s="84"/>
      <c r="Y2416" s="84"/>
      <c r="Z2416" s="84"/>
      <c r="AA2416" s="84"/>
      <c r="AB2416" s="84"/>
    </row>
    <row r="2417">
      <c r="A2417" s="69">
        <v>161.0</v>
      </c>
      <c r="B2417" s="69">
        <v>261.0</v>
      </c>
      <c r="C2417" s="86" t="s">
        <v>531</v>
      </c>
      <c r="D2417" s="86" t="s">
        <v>532</v>
      </c>
      <c r="E2417" s="86" t="s">
        <v>533</v>
      </c>
      <c r="F2417" s="69">
        <v>7000.0</v>
      </c>
      <c r="G2417" s="69">
        <v>26.7</v>
      </c>
      <c r="H2417" s="68">
        <f t="shared" si="1"/>
        <v>260.96</v>
      </c>
      <c r="I2417" s="81">
        <f>IFERROR(__xludf.DUMMYFUNCTION("IF(G2417="""", """", ROUND(G2417 / MAX(FILTER($G$2:$G5067, $D$2:$D5067=$D2417)) * 100, 2))"),72.59)</f>
        <v>72.59</v>
      </c>
      <c r="J2417" s="81">
        <f>IFERROR(__xludf.DUMMYFUNCTION("IF(H2417="""", """", ROUND(H2417 / MAX(FILTER($H$2:$H5067, $D$2:$D5067=$D2417)) * 100, 2))"),96.71)</f>
        <v>96.71</v>
      </c>
      <c r="K2417" s="2"/>
      <c r="L2417" s="48"/>
      <c r="M2417" s="48"/>
      <c r="N2417" s="48"/>
      <c r="O2417" s="48" t="str">
        <f t="shared" si="2"/>
        <v/>
      </c>
      <c r="P2417" s="48" t="str">
        <f t="shared" si="3"/>
        <v/>
      </c>
      <c r="Q2417" s="84"/>
      <c r="R2417" s="84"/>
      <c r="S2417" s="84"/>
      <c r="T2417" s="84"/>
      <c r="U2417" s="84"/>
      <c r="V2417" s="84"/>
      <c r="W2417" s="84"/>
      <c r="X2417" s="84"/>
      <c r="Y2417" s="84"/>
      <c r="Z2417" s="84"/>
      <c r="AA2417" s="84"/>
      <c r="AB2417" s="84"/>
    </row>
    <row r="2418">
      <c r="A2418" s="63">
        <v>161.0</v>
      </c>
      <c r="B2418" s="63">
        <v>261.0</v>
      </c>
      <c r="C2418" s="64" t="s">
        <v>531</v>
      </c>
      <c r="D2418" s="64" t="s">
        <v>532</v>
      </c>
      <c r="E2418" s="64" t="s">
        <v>533</v>
      </c>
      <c r="F2418" s="63">
        <v>7500.0</v>
      </c>
      <c r="G2418" s="63">
        <v>23.8</v>
      </c>
      <c r="H2418" s="66">
        <f t="shared" si="1"/>
        <v>249.23</v>
      </c>
      <c r="I2418" s="81">
        <f>IFERROR(__xludf.DUMMYFUNCTION("IF(G2418="""", """", ROUND(G2418 / MAX(FILTER($G$2:$G5067, $D$2:$D5067=$D2418)) * 100, 2))"),64.71)</f>
        <v>64.71</v>
      </c>
      <c r="J2418" s="81">
        <f>IFERROR(__xludf.DUMMYFUNCTION("IF(H2418="""", """", ROUND(H2418 / MAX(FILTER($H$2:$H5067, $D$2:$D5067=$D2418)) * 100, 2))"),92.36)</f>
        <v>92.36</v>
      </c>
      <c r="K2418" s="2"/>
      <c r="L2418" s="49"/>
      <c r="M2418" s="49"/>
      <c r="N2418" s="49"/>
      <c r="O2418" s="49" t="str">
        <f t="shared" si="2"/>
        <v/>
      </c>
      <c r="P2418" s="49" t="str">
        <f t="shared" si="3"/>
        <v/>
      </c>
      <c r="Q2418" s="84"/>
      <c r="R2418" s="84"/>
      <c r="S2418" s="84"/>
      <c r="T2418" s="84"/>
      <c r="U2418" s="84"/>
      <c r="V2418" s="84"/>
      <c r="W2418" s="84"/>
      <c r="X2418" s="84"/>
      <c r="Y2418" s="84"/>
      <c r="Z2418" s="84"/>
      <c r="AA2418" s="84"/>
      <c r="AB2418" s="84"/>
    </row>
    <row r="2419">
      <c r="A2419" s="69">
        <v>161.0</v>
      </c>
      <c r="B2419" s="69">
        <v>261.0</v>
      </c>
      <c r="C2419" s="86" t="s">
        <v>531</v>
      </c>
      <c r="D2419" s="86" t="s">
        <v>532</v>
      </c>
      <c r="E2419" s="86" t="s">
        <v>533</v>
      </c>
      <c r="F2419" s="69">
        <v>8000.0</v>
      </c>
      <c r="G2419" s="69">
        <v>20.8</v>
      </c>
      <c r="H2419" s="68">
        <f t="shared" si="1"/>
        <v>232.34</v>
      </c>
      <c r="I2419" s="81">
        <f>IFERROR(__xludf.DUMMYFUNCTION("IF(G2419="""", """", ROUND(G2419 / MAX(FILTER($G$2:$G5067, $D$2:$D5067=$D2419)) * 100, 2))"),56.55)</f>
        <v>56.55</v>
      </c>
      <c r="J2419" s="81">
        <f>IFERROR(__xludf.DUMMYFUNCTION("IF(H2419="""", """", ROUND(H2419 / MAX(FILTER($H$2:$H5067, $D$2:$D5067=$D2419)) * 100, 2))"),86.1)</f>
        <v>86.1</v>
      </c>
      <c r="K2419" s="2"/>
      <c r="L2419" s="48"/>
      <c r="M2419" s="48"/>
      <c r="N2419" s="48"/>
      <c r="O2419" s="48" t="str">
        <f t="shared" si="2"/>
        <v/>
      </c>
      <c r="P2419" s="48" t="str">
        <f t="shared" si="3"/>
        <v/>
      </c>
      <c r="Q2419" s="84"/>
      <c r="R2419" s="84"/>
      <c r="S2419" s="84"/>
      <c r="T2419" s="84"/>
      <c r="U2419" s="84"/>
      <c r="V2419" s="84"/>
      <c r="W2419" s="84"/>
      <c r="X2419" s="84"/>
      <c r="Y2419" s="84"/>
      <c r="Z2419" s="84"/>
      <c r="AA2419" s="84"/>
      <c r="AB2419" s="84"/>
    </row>
    <row r="2420">
      <c r="A2420" s="63">
        <v>161.0</v>
      </c>
      <c r="B2420" s="63">
        <v>261.0</v>
      </c>
      <c r="C2420" s="64" t="s">
        <v>531</v>
      </c>
      <c r="D2420" s="64" t="s">
        <v>532</v>
      </c>
      <c r="E2420" s="64" t="s">
        <v>533</v>
      </c>
      <c r="F2420" s="63">
        <v>8500.0</v>
      </c>
      <c r="G2420" s="63">
        <v>16.9</v>
      </c>
      <c r="H2420" s="66">
        <f t="shared" si="1"/>
        <v>200.57</v>
      </c>
      <c r="I2420" s="81">
        <f>IFERROR(__xludf.DUMMYFUNCTION("IF(G2420="""", """", ROUND(G2420 / MAX(FILTER($G$2:$G5067, $D$2:$D5067=$D2420)) * 100, 2))"),45.95)</f>
        <v>45.95</v>
      </c>
      <c r="J2420" s="81">
        <f>IFERROR(__xludf.DUMMYFUNCTION("IF(H2420="""", """", ROUND(H2420 / MAX(FILTER($H$2:$H5067, $D$2:$D5067=$D2420)) * 100, 2))"),74.33)</f>
        <v>74.33</v>
      </c>
      <c r="K2420" s="2"/>
      <c r="L2420" s="49"/>
      <c r="M2420" s="49"/>
      <c r="N2420" s="49"/>
      <c r="O2420" s="49" t="str">
        <f t="shared" si="2"/>
        <v/>
      </c>
      <c r="P2420" s="49" t="str">
        <f t="shared" si="3"/>
        <v/>
      </c>
      <c r="Q2420" s="84"/>
      <c r="R2420" s="84"/>
      <c r="S2420" s="84"/>
      <c r="T2420" s="84"/>
      <c r="U2420" s="84"/>
      <c r="V2420" s="84"/>
      <c r="W2420" s="84"/>
      <c r="X2420" s="84"/>
      <c r="Y2420" s="84"/>
      <c r="Z2420" s="84"/>
      <c r="AA2420" s="84"/>
      <c r="AB2420" s="84"/>
    </row>
    <row r="2421">
      <c r="A2421" s="69">
        <v>162.0</v>
      </c>
      <c r="B2421" s="69">
        <v>263.0</v>
      </c>
      <c r="C2421" s="86" t="s">
        <v>534</v>
      </c>
      <c r="D2421" s="86" t="s">
        <v>535</v>
      </c>
      <c r="E2421" s="86" t="s">
        <v>536</v>
      </c>
      <c r="F2421" s="69">
        <v>500.0</v>
      </c>
      <c r="G2421" s="69">
        <v>10.62</v>
      </c>
      <c r="H2421" s="68">
        <f t="shared" si="1"/>
        <v>7.41</v>
      </c>
      <c r="I2421" s="81">
        <f>IFERROR(__xludf.DUMMYFUNCTION("IF(G2421="""", """", ROUND(G2421 / MAX(FILTER($G$2:$G5067, $D$2:$D5067=$D2421)) * 100, 2))"),64.36)</f>
        <v>64.36</v>
      </c>
      <c r="J2421" s="81">
        <f>IFERROR(__xludf.DUMMYFUNCTION("IF(H2421="""", """", ROUND(H2421 / MAX(FILTER($H$2:$H5067, $D$2:$D5067=$D2421)) * 100, 2))"),5.95)</f>
        <v>5.95</v>
      </c>
      <c r="K2421" s="2"/>
      <c r="L2421" s="48"/>
      <c r="M2421" s="48"/>
      <c r="N2421" s="48"/>
      <c r="O2421" s="48" t="str">
        <f t="shared" si="2"/>
        <v/>
      </c>
      <c r="P2421" s="48" t="str">
        <f t="shared" si="3"/>
        <v/>
      </c>
      <c r="Q2421" s="84"/>
      <c r="R2421" s="84"/>
      <c r="S2421" s="84"/>
      <c r="T2421" s="84"/>
      <c r="U2421" s="84"/>
      <c r="V2421" s="84"/>
      <c r="W2421" s="84"/>
      <c r="X2421" s="84"/>
      <c r="Y2421" s="84"/>
      <c r="Z2421" s="84"/>
      <c r="AA2421" s="84"/>
      <c r="AB2421" s="84"/>
    </row>
    <row r="2422">
      <c r="A2422" s="63">
        <v>162.0</v>
      </c>
      <c r="B2422" s="63">
        <v>263.0</v>
      </c>
      <c r="C2422" s="64" t="s">
        <v>534</v>
      </c>
      <c r="D2422" s="64" t="s">
        <v>535</v>
      </c>
      <c r="E2422" s="64" t="s">
        <v>536</v>
      </c>
      <c r="F2422" s="63">
        <v>1000.0</v>
      </c>
      <c r="G2422" s="63">
        <v>12.0</v>
      </c>
      <c r="H2422" s="66">
        <f t="shared" si="1"/>
        <v>16.76</v>
      </c>
      <c r="I2422" s="81">
        <f>IFERROR(__xludf.DUMMYFUNCTION("IF(G2422="""", """", ROUND(G2422 / MAX(FILTER($G$2:$G5067, $D$2:$D5067=$D2422)) * 100, 2))"),72.73)</f>
        <v>72.73</v>
      </c>
      <c r="J2422" s="81">
        <f>IFERROR(__xludf.DUMMYFUNCTION("IF(H2422="""", """", ROUND(H2422 / MAX(FILTER($H$2:$H5067, $D$2:$D5067=$D2422)) * 100, 2))"),13.46)</f>
        <v>13.46</v>
      </c>
      <c r="K2422" s="2"/>
      <c r="L2422" s="49"/>
      <c r="M2422" s="49"/>
      <c r="N2422" s="49"/>
      <c r="O2422" s="49" t="str">
        <f t="shared" si="2"/>
        <v/>
      </c>
      <c r="P2422" s="49" t="str">
        <f t="shared" si="3"/>
        <v/>
      </c>
      <c r="Q2422" s="84"/>
      <c r="R2422" s="84"/>
      <c r="S2422" s="84"/>
      <c r="T2422" s="84"/>
      <c r="U2422" s="84"/>
      <c r="V2422" s="84"/>
      <c r="W2422" s="84"/>
      <c r="X2422" s="84"/>
      <c r="Y2422" s="84"/>
      <c r="Z2422" s="84"/>
      <c r="AA2422" s="84"/>
      <c r="AB2422" s="84"/>
    </row>
    <row r="2423">
      <c r="A2423" s="69">
        <v>162.0</v>
      </c>
      <c r="B2423" s="69">
        <v>263.0</v>
      </c>
      <c r="C2423" s="86" t="s">
        <v>534</v>
      </c>
      <c r="D2423" s="86" t="s">
        <v>535</v>
      </c>
      <c r="E2423" s="86" t="s">
        <v>536</v>
      </c>
      <c r="F2423" s="69">
        <v>1500.0</v>
      </c>
      <c r="G2423" s="69">
        <v>13.25</v>
      </c>
      <c r="H2423" s="68">
        <f t="shared" si="1"/>
        <v>27.75</v>
      </c>
      <c r="I2423" s="81">
        <f>IFERROR(__xludf.DUMMYFUNCTION("IF(G2423="""", """", ROUND(G2423 / MAX(FILTER($G$2:$G5067, $D$2:$D5067=$D2423)) * 100, 2))"),80.3)</f>
        <v>80.3</v>
      </c>
      <c r="J2423" s="81">
        <f>IFERROR(__xludf.DUMMYFUNCTION("IF(H2423="""", """", ROUND(H2423 / MAX(FILTER($H$2:$H5067, $D$2:$D5067=$D2423)) * 100, 2))"),22.29)</f>
        <v>22.29</v>
      </c>
      <c r="K2423" s="2"/>
      <c r="L2423" s="48"/>
      <c r="M2423" s="48"/>
      <c r="N2423" s="48"/>
      <c r="O2423" s="48" t="str">
        <f t="shared" si="2"/>
        <v/>
      </c>
      <c r="P2423" s="48" t="str">
        <f t="shared" si="3"/>
        <v/>
      </c>
      <c r="Q2423" s="84"/>
      <c r="R2423" s="84"/>
      <c r="S2423" s="84"/>
      <c r="T2423" s="84"/>
      <c r="U2423" s="84"/>
      <c r="V2423" s="84"/>
      <c r="W2423" s="84"/>
      <c r="X2423" s="84"/>
      <c r="Y2423" s="84"/>
      <c r="Z2423" s="84"/>
      <c r="AA2423" s="84"/>
      <c r="AB2423" s="84"/>
    </row>
    <row r="2424">
      <c r="A2424" s="63">
        <v>162.0</v>
      </c>
      <c r="B2424" s="63">
        <v>263.0</v>
      </c>
      <c r="C2424" s="64" t="s">
        <v>534</v>
      </c>
      <c r="D2424" s="64" t="s">
        <v>535</v>
      </c>
      <c r="E2424" s="64" t="s">
        <v>536</v>
      </c>
      <c r="F2424" s="63">
        <v>2000.0</v>
      </c>
      <c r="G2424" s="63">
        <v>14.5</v>
      </c>
      <c r="H2424" s="66">
        <f t="shared" si="1"/>
        <v>40.49</v>
      </c>
      <c r="I2424" s="81">
        <f>IFERROR(__xludf.DUMMYFUNCTION("IF(G2424="""", """", ROUND(G2424 / MAX(FILTER($G$2:$G5067, $D$2:$D5067=$D2424)) * 100, 2))"),87.88)</f>
        <v>87.88</v>
      </c>
      <c r="J2424" s="81">
        <f>IFERROR(__xludf.DUMMYFUNCTION("IF(H2424="""", """", ROUND(H2424 / MAX(FILTER($H$2:$H5067, $D$2:$D5067=$D2424)) * 100, 2))"),32.52)</f>
        <v>32.52</v>
      </c>
      <c r="K2424" s="2"/>
      <c r="L2424" s="49"/>
      <c r="M2424" s="49"/>
      <c r="N2424" s="49"/>
      <c r="O2424" s="49" t="str">
        <f t="shared" si="2"/>
        <v/>
      </c>
      <c r="P2424" s="49" t="str">
        <f t="shared" si="3"/>
        <v/>
      </c>
      <c r="Q2424" s="84"/>
      <c r="R2424" s="84"/>
      <c r="S2424" s="84"/>
      <c r="T2424" s="84"/>
      <c r="U2424" s="84"/>
      <c r="V2424" s="84"/>
      <c r="W2424" s="84"/>
      <c r="X2424" s="84"/>
      <c r="Y2424" s="84"/>
      <c r="Z2424" s="84"/>
      <c r="AA2424" s="84"/>
      <c r="AB2424" s="84"/>
    </row>
    <row r="2425">
      <c r="A2425" s="69">
        <v>162.0</v>
      </c>
      <c r="B2425" s="69">
        <v>263.0</v>
      </c>
      <c r="C2425" s="86" t="s">
        <v>534</v>
      </c>
      <c r="D2425" s="86" t="s">
        <v>535</v>
      </c>
      <c r="E2425" s="86" t="s">
        <v>536</v>
      </c>
      <c r="F2425" s="69">
        <v>2500.0</v>
      </c>
      <c r="G2425" s="69">
        <v>15.31</v>
      </c>
      <c r="H2425" s="68">
        <f t="shared" si="1"/>
        <v>53.44</v>
      </c>
      <c r="I2425" s="81">
        <f>IFERROR(__xludf.DUMMYFUNCTION("IF(G2425="""", """", ROUND(G2425 / MAX(FILTER($G$2:$G5067, $D$2:$D5067=$D2425)) * 100, 2))"),92.79)</f>
        <v>92.79</v>
      </c>
      <c r="J2425" s="81">
        <f>IFERROR(__xludf.DUMMYFUNCTION("IF(H2425="""", """", ROUND(H2425 / MAX(FILTER($H$2:$H5067, $D$2:$D5067=$D2425)) * 100, 2))"),42.92)</f>
        <v>42.92</v>
      </c>
      <c r="K2425" s="2"/>
      <c r="L2425" s="48"/>
      <c r="M2425" s="48"/>
      <c r="N2425" s="48"/>
      <c r="O2425" s="48" t="str">
        <f t="shared" si="2"/>
        <v/>
      </c>
      <c r="P2425" s="48" t="str">
        <f t="shared" si="3"/>
        <v/>
      </c>
      <c r="Q2425" s="84"/>
      <c r="R2425" s="84"/>
      <c r="S2425" s="84"/>
      <c r="T2425" s="84"/>
      <c r="U2425" s="84"/>
      <c r="V2425" s="84"/>
      <c r="W2425" s="84"/>
      <c r="X2425" s="84"/>
      <c r="Y2425" s="84"/>
      <c r="Z2425" s="84"/>
      <c r="AA2425" s="84"/>
      <c r="AB2425" s="84"/>
    </row>
    <row r="2426">
      <c r="A2426" s="63">
        <v>162.0</v>
      </c>
      <c r="B2426" s="63">
        <v>263.0</v>
      </c>
      <c r="C2426" s="64" t="s">
        <v>534</v>
      </c>
      <c r="D2426" s="64" t="s">
        <v>535</v>
      </c>
      <c r="E2426" s="64" t="s">
        <v>536</v>
      </c>
      <c r="F2426" s="63">
        <v>3000.0</v>
      </c>
      <c r="G2426" s="63">
        <v>16.0</v>
      </c>
      <c r="H2426" s="66">
        <f t="shared" si="1"/>
        <v>67.02</v>
      </c>
      <c r="I2426" s="81">
        <f>IFERROR(__xludf.DUMMYFUNCTION("IF(G2426="""", """", ROUND(G2426 / MAX(FILTER($G$2:$G5067, $D$2:$D5067=$D2426)) * 100, 2))"),96.97)</f>
        <v>96.97</v>
      </c>
      <c r="J2426" s="81">
        <f>IFERROR(__xludf.DUMMYFUNCTION("IF(H2426="""", """", ROUND(H2426 / MAX(FILTER($H$2:$H5067, $D$2:$D5067=$D2426)) * 100, 2))"),53.82)</f>
        <v>53.82</v>
      </c>
      <c r="K2426" s="2"/>
      <c r="L2426" s="49"/>
      <c r="M2426" s="49"/>
      <c r="N2426" s="49"/>
      <c r="O2426" s="49" t="str">
        <f t="shared" si="2"/>
        <v/>
      </c>
      <c r="P2426" s="49" t="str">
        <f t="shared" si="3"/>
        <v/>
      </c>
      <c r="Q2426" s="84"/>
      <c r="R2426" s="84"/>
      <c r="S2426" s="84"/>
      <c r="T2426" s="84"/>
      <c r="U2426" s="84"/>
      <c r="V2426" s="84"/>
      <c r="W2426" s="84"/>
      <c r="X2426" s="84"/>
      <c r="Y2426" s="84"/>
      <c r="Z2426" s="84"/>
      <c r="AA2426" s="84"/>
      <c r="AB2426" s="84"/>
    </row>
    <row r="2427">
      <c r="A2427" s="69">
        <v>162.0</v>
      </c>
      <c r="B2427" s="69">
        <v>263.0</v>
      </c>
      <c r="C2427" s="86" t="s">
        <v>534</v>
      </c>
      <c r="D2427" s="86" t="s">
        <v>535</v>
      </c>
      <c r="E2427" s="86" t="s">
        <v>536</v>
      </c>
      <c r="F2427" s="69">
        <v>3500.0</v>
      </c>
      <c r="G2427" s="69">
        <v>16.25</v>
      </c>
      <c r="H2427" s="68">
        <f t="shared" si="1"/>
        <v>79.41</v>
      </c>
      <c r="I2427" s="81">
        <f>IFERROR(__xludf.DUMMYFUNCTION("IF(G2427="""", """", ROUND(G2427 / MAX(FILTER($G$2:$G5067, $D$2:$D5067=$D2427)) * 100, 2))"),98.48)</f>
        <v>98.48</v>
      </c>
      <c r="J2427" s="81">
        <f>IFERROR(__xludf.DUMMYFUNCTION("IF(H2427="""", """", ROUND(H2427 / MAX(FILTER($H$2:$H5067, $D$2:$D5067=$D2427)) * 100, 2))"),63.77)</f>
        <v>63.77</v>
      </c>
      <c r="K2427" s="2"/>
      <c r="L2427" s="48"/>
      <c r="M2427" s="48"/>
      <c r="N2427" s="48"/>
      <c r="O2427" s="48" t="str">
        <f t="shared" si="2"/>
        <v/>
      </c>
      <c r="P2427" s="48" t="str">
        <f t="shared" si="3"/>
        <v/>
      </c>
      <c r="Q2427" s="84"/>
      <c r="R2427" s="84"/>
      <c r="S2427" s="84"/>
      <c r="T2427" s="84"/>
      <c r="U2427" s="84"/>
      <c r="V2427" s="84"/>
      <c r="W2427" s="84"/>
      <c r="X2427" s="84"/>
      <c r="Y2427" s="84"/>
      <c r="Z2427" s="84"/>
      <c r="AA2427" s="84"/>
      <c r="AB2427" s="84"/>
    </row>
    <row r="2428">
      <c r="A2428" s="63">
        <v>162.0</v>
      </c>
      <c r="B2428" s="63">
        <v>263.0</v>
      </c>
      <c r="C2428" s="64" t="s">
        <v>534</v>
      </c>
      <c r="D2428" s="64" t="s">
        <v>535</v>
      </c>
      <c r="E2428" s="64" t="s">
        <v>536</v>
      </c>
      <c r="F2428" s="63">
        <v>4000.0</v>
      </c>
      <c r="G2428" s="63">
        <v>16.5</v>
      </c>
      <c r="H2428" s="66">
        <f t="shared" si="1"/>
        <v>92.15</v>
      </c>
      <c r="I2428" s="81">
        <f>IFERROR(__xludf.DUMMYFUNCTION("IF(G2428="""", """", ROUND(G2428 / MAX(FILTER($G$2:$G5067, $D$2:$D5067=$D2428)) * 100, 2))"),100.0)</f>
        <v>100</v>
      </c>
      <c r="J2428" s="81">
        <f>IFERROR(__xludf.DUMMYFUNCTION("IF(H2428="""", """", ROUND(H2428 / MAX(FILTER($H$2:$H5067, $D$2:$D5067=$D2428)) * 100, 2))"),74.0)</f>
        <v>74</v>
      </c>
      <c r="K2428" s="2"/>
      <c r="L2428" s="49"/>
      <c r="M2428" s="49"/>
      <c r="N2428" s="49"/>
      <c r="O2428" s="49" t="str">
        <f t="shared" si="2"/>
        <v/>
      </c>
      <c r="P2428" s="49" t="str">
        <f t="shared" si="3"/>
        <v/>
      </c>
      <c r="Q2428" s="84"/>
      <c r="R2428" s="84"/>
      <c r="S2428" s="84"/>
      <c r="T2428" s="84"/>
      <c r="U2428" s="84"/>
      <c r="V2428" s="84"/>
      <c r="W2428" s="84"/>
      <c r="X2428" s="84"/>
      <c r="Y2428" s="84"/>
      <c r="Z2428" s="84"/>
      <c r="AA2428" s="84"/>
      <c r="AB2428" s="84"/>
    </row>
    <row r="2429">
      <c r="A2429" s="69">
        <v>162.0</v>
      </c>
      <c r="B2429" s="69">
        <v>263.0</v>
      </c>
      <c r="C2429" s="86" t="s">
        <v>534</v>
      </c>
      <c r="D2429" s="86" t="s">
        <v>535</v>
      </c>
      <c r="E2429" s="86" t="s">
        <v>536</v>
      </c>
      <c r="F2429" s="69">
        <v>4500.0</v>
      </c>
      <c r="G2429" s="69">
        <v>16.34</v>
      </c>
      <c r="H2429" s="68">
        <f t="shared" si="1"/>
        <v>102.67</v>
      </c>
      <c r="I2429" s="81">
        <f>IFERROR(__xludf.DUMMYFUNCTION("IF(G2429="""", """", ROUND(G2429 / MAX(FILTER($G$2:$G5067, $D$2:$D5067=$D2429)) * 100, 2))"),99.03)</f>
        <v>99.03</v>
      </c>
      <c r="J2429" s="81">
        <f>IFERROR(__xludf.DUMMYFUNCTION("IF(H2429="""", """", ROUND(H2429 / MAX(FILTER($H$2:$H5067, $D$2:$D5067=$D2429)) * 100, 2))"),82.45)</f>
        <v>82.45</v>
      </c>
      <c r="K2429" s="2"/>
      <c r="L2429" s="48"/>
      <c r="M2429" s="48"/>
      <c r="N2429" s="48"/>
      <c r="O2429" s="48" t="str">
        <f t="shared" si="2"/>
        <v/>
      </c>
      <c r="P2429" s="48" t="str">
        <f t="shared" si="3"/>
        <v/>
      </c>
      <c r="Q2429" s="84"/>
      <c r="R2429" s="84"/>
      <c r="S2429" s="84"/>
      <c r="T2429" s="84"/>
      <c r="U2429" s="84"/>
      <c r="V2429" s="84"/>
      <c r="W2429" s="84"/>
      <c r="X2429" s="84"/>
      <c r="Y2429" s="84"/>
      <c r="Z2429" s="84"/>
      <c r="AA2429" s="84"/>
      <c r="AB2429" s="84"/>
    </row>
    <row r="2430">
      <c r="A2430" s="63">
        <v>162.0</v>
      </c>
      <c r="B2430" s="63">
        <v>263.0</v>
      </c>
      <c r="C2430" s="64" t="s">
        <v>534</v>
      </c>
      <c r="D2430" s="64" t="s">
        <v>535</v>
      </c>
      <c r="E2430" s="64" t="s">
        <v>536</v>
      </c>
      <c r="F2430" s="63">
        <v>5000.0</v>
      </c>
      <c r="G2430" s="63">
        <v>16.1</v>
      </c>
      <c r="H2430" s="66">
        <f t="shared" si="1"/>
        <v>112.4</v>
      </c>
      <c r="I2430" s="81">
        <f>IFERROR(__xludf.DUMMYFUNCTION("IF(G2430="""", """", ROUND(G2430 / MAX(FILTER($G$2:$G5067, $D$2:$D5067=$D2430)) * 100, 2))"),97.58)</f>
        <v>97.58</v>
      </c>
      <c r="J2430" s="81">
        <f>IFERROR(__xludf.DUMMYFUNCTION("IF(H2430="""", """", ROUND(H2430 / MAX(FILTER($H$2:$H5067, $D$2:$D5067=$D2430)) * 100, 2))"),90.27)</f>
        <v>90.27</v>
      </c>
      <c r="K2430" s="2"/>
      <c r="L2430" s="49"/>
      <c r="M2430" s="49"/>
      <c r="N2430" s="49"/>
      <c r="O2430" s="49" t="str">
        <f t="shared" si="2"/>
        <v/>
      </c>
      <c r="P2430" s="49" t="str">
        <f t="shared" si="3"/>
        <v/>
      </c>
      <c r="Q2430" s="84"/>
      <c r="R2430" s="84"/>
      <c r="S2430" s="84"/>
      <c r="T2430" s="84"/>
      <c r="U2430" s="84"/>
      <c r="V2430" s="84"/>
      <c r="W2430" s="84"/>
      <c r="X2430" s="84"/>
      <c r="Y2430" s="84"/>
      <c r="Z2430" s="84"/>
      <c r="AA2430" s="84"/>
      <c r="AB2430" s="84"/>
    </row>
    <row r="2431">
      <c r="A2431" s="69">
        <v>162.0</v>
      </c>
      <c r="B2431" s="69">
        <v>263.0</v>
      </c>
      <c r="C2431" s="86" t="s">
        <v>534</v>
      </c>
      <c r="D2431" s="86" t="s">
        <v>535</v>
      </c>
      <c r="E2431" s="86" t="s">
        <v>536</v>
      </c>
      <c r="F2431" s="69">
        <v>5500.0</v>
      </c>
      <c r="G2431" s="69">
        <v>15.41</v>
      </c>
      <c r="H2431" s="68">
        <f t="shared" si="1"/>
        <v>118.34</v>
      </c>
      <c r="I2431" s="81">
        <f>IFERROR(__xludf.DUMMYFUNCTION("IF(G2431="""", """", ROUND(G2431 / MAX(FILTER($G$2:$G5067, $D$2:$D5067=$D2431)) * 100, 2))"),93.39)</f>
        <v>93.39</v>
      </c>
      <c r="J2431" s="81">
        <f>IFERROR(__xludf.DUMMYFUNCTION("IF(H2431="""", """", ROUND(H2431 / MAX(FILTER($H$2:$H5067, $D$2:$D5067=$D2431)) * 100, 2))"),95.04)</f>
        <v>95.04</v>
      </c>
      <c r="K2431" s="2"/>
      <c r="L2431" s="48"/>
      <c r="M2431" s="48"/>
      <c r="N2431" s="48"/>
      <c r="O2431" s="48" t="str">
        <f t="shared" si="2"/>
        <v/>
      </c>
      <c r="P2431" s="48" t="str">
        <f t="shared" si="3"/>
        <v/>
      </c>
      <c r="Q2431" s="84"/>
      <c r="R2431" s="84"/>
      <c r="S2431" s="84"/>
      <c r="T2431" s="84"/>
      <c r="U2431" s="84"/>
      <c r="V2431" s="84"/>
      <c r="W2431" s="84"/>
      <c r="X2431" s="84"/>
      <c r="Y2431" s="84"/>
      <c r="Z2431" s="84"/>
      <c r="AA2431" s="84"/>
      <c r="AB2431" s="84"/>
    </row>
    <row r="2432">
      <c r="A2432" s="63">
        <v>162.0</v>
      </c>
      <c r="B2432" s="63">
        <v>263.0</v>
      </c>
      <c r="C2432" s="64" t="s">
        <v>534</v>
      </c>
      <c r="D2432" s="64" t="s">
        <v>535</v>
      </c>
      <c r="E2432" s="64" t="s">
        <v>536</v>
      </c>
      <c r="F2432" s="63">
        <v>6000.0</v>
      </c>
      <c r="G2432" s="63">
        <v>14.55</v>
      </c>
      <c r="H2432" s="66">
        <f t="shared" si="1"/>
        <v>121.89</v>
      </c>
      <c r="I2432" s="81">
        <f>IFERROR(__xludf.DUMMYFUNCTION("IF(G2432="""", """", ROUND(G2432 / MAX(FILTER($G$2:$G5067, $D$2:$D5067=$D2432)) * 100, 2))"),88.18)</f>
        <v>88.18</v>
      </c>
      <c r="J2432" s="81">
        <f>IFERROR(__xludf.DUMMYFUNCTION("IF(H2432="""", """", ROUND(H2432 / MAX(FILTER($H$2:$H5067, $D$2:$D5067=$D2432)) * 100, 2))"),97.89)</f>
        <v>97.89</v>
      </c>
      <c r="K2432" s="2"/>
      <c r="L2432" s="49"/>
      <c r="M2432" s="49"/>
      <c r="N2432" s="49"/>
      <c r="O2432" s="49" t="str">
        <f t="shared" si="2"/>
        <v/>
      </c>
      <c r="P2432" s="49" t="str">
        <f t="shared" si="3"/>
        <v/>
      </c>
      <c r="Q2432" s="84"/>
      <c r="R2432" s="84"/>
      <c r="S2432" s="84"/>
      <c r="T2432" s="84"/>
      <c r="U2432" s="84"/>
      <c r="V2432" s="84"/>
      <c r="W2432" s="84"/>
      <c r="X2432" s="84"/>
      <c r="Y2432" s="84"/>
      <c r="Z2432" s="84"/>
      <c r="AA2432" s="84"/>
      <c r="AB2432" s="84"/>
    </row>
    <row r="2433">
      <c r="A2433" s="69">
        <v>162.0</v>
      </c>
      <c r="B2433" s="69">
        <v>263.0</v>
      </c>
      <c r="C2433" s="86" t="s">
        <v>534</v>
      </c>
      <c r="D2433" s="86" t="s">
        <v>535</v>
      </c>
      <c r="E2433" s="86" t="s">
        <v>536</v>
      </c>
      <c r="F2433" s="69">
        <v>6500.0</v>
      </c>
      <c r="G2433" s="69">
        <v>13.72</v>
      </c>
      <c r="H2433" s="68">
        <f t="shared" si="1"/>
        <v>124.52</v>
      </c>
      <c r="I2433" s="81">
        <f>IFERROR(__xludf.DUMMYFUNCTION("IF(G2433="""", """", ROUND(G2433 / MAX(FILTER($G$2:$G5067, $D$2:$D5067=$D2433)) * 100, 2))"),83.15)</f>
        <v>83.15</v>
      </c>
      <c r="J2433" s="81">
        <f>IFERROR(__xludf.DUMMYFUNCTION("IF(H2433="""", """", ROUND(H2433 / MAX(FILTER($H$2:$H5067, $D$2:$D5067=$D2433)) * 100, 2))"),100.0)</f>
        <v>100</v>
      </c>
      <c r="K2433" s="2"/>
      <c r="L2433" s="48"/>
      <c r="M2433" s="48"/>
      <c r="N2433" s="48"/>
      <c r="O2433" s="48" t="str">
        <f t="shared" si="2"/>
        <v/>
      </c>
      <c r="P2433" s="48" t="str">
        <f t="shared" si="3"/>
        <v/>
      </c>
      <c r="Q2433" s="84"/>
      <c r="R2433" s="84"/>
      <c r="S2433" s="84"/>
      <c r="T2433" s="84"/>
      <c r="U2433" s="84"/>
      <c r="V2433" s="84"/>
      <c r="W2433" s="84"/>
      <c r="X2433" s="84"/>
      <c r="Y2433" s="84"/>
      <c r="Z2433" s="84"/>
      <c r="AA2433" s="84"/>
      <c r="AB2433" s="84"/>
    </row>
    <row r="2434">
      <c r="A2434" s="63">
        <v>162.0</v>
      </c>
      <c r="B2434" s="63">
        <v>263.0</v>
      </c>
      <c r="C2434" s="64" t="s">
        <v>534</v>
      </c>
      <c r="D2434" s="64" t="s">
        <v>535</v>
      </c>
      <c r="E2434" s="64" t="s">
        <v>536</v>
      </c>
      <c r="F2434" s="63">
        <v>7000.0</v>
      </c>
      <c r="G2434" s="63">
        <v>12.52</v>
      </c>
      <c r="H2434" s="66">
        <f t="shared" si="1"/>
        <v>122.37</v>
      </c>
      <c r="I2434" s="81">
        <f>IFERROR(__xludf.DUMMYFUNCTION("IF(G2434="""", """", ROUND(G2434 / MAX(FILTER($G$2:$G5067, $D$2:$D5067=$D2434)) * 100, 2))"),75.88)</f>
        <v>75.88</v>
      </c>
      <c r="J2434" s="81">
        <f>IFERROR(__xludf.DUMMYFUNCTION("IF(H2434="""", """", ROUND(H2434 / MAX(FILTER($H$2:$H5067, $D$2:$D5067=$D2434)) * 100, 2))"),98.27)</f>
        <v>98.27</v>
      </c>
      <c r="K2434" s="2"/>
      <c r="L2434" s="49"/>
      <c r="M2434" s="49"/>
      <c r="N2434" s="49"/>
      <c r="O2434" s="49" t="str">
        <f t="shared" si="2"/>
        <v/>
      </c>
      <c r="P2434" s="49" t="str">
        <f t="shared" si="3"/>
        <v/>
      </c>
      <c r="Q2434" s="84"/>
      <c r="R2434" s="84"/>
      <c r="S2434" s="84"/>
      <c r="T2434" s="84"/>
      <c r="U2434" s="84"/>
      <c r="V2434" s="84"/>
      <c r="W2434" s="84"/>
      <c r="X2434" s="84"/>
      <c r="Y2434" s="84"/>
      <c r="Z2434" s="84"/>
      <c r="AA2434" s="84"/>
      <c r="AB2434" s="84"/>
    </row>
    <row r="2435">
      <c r="A2435" s="69">
        <v>162.0</v>
      </c>
      <c r="B2435" s="69">
        <v>263.0</v>
      </c>
      <c r="C2435" s="86" t="s">
        <v>534</v>
      </c>
      <c r="D2435" s="86" t="s">
        <v>535</v>
      </c>
      <c r="E2435" s="86" t="s">
        <v>536</v>
      </c>
      <c r="F2435" s="69">
        <v>7500.0</v>
      </c>
      <c r="G2435" s="69">
        <v>11.0</v>
      </c>
      <c r="H2435" s="68">
        <f t="shared" si="1"/>
        <v>115.19</v>
      </c>
      <c r="I2435" s="81">
        <f>IFERROR(__xludf.DUMMYFUNCTION("IF(G2435="""", """", ROUND(G2435 / MAX(FILTER($G$2:$G5067, $D$2:$D5067=$D2435)) * 100, 2))"),66.67)</f>
        <v>66.67</v>
      </c>
      <c r="J2435" s="81">
        <f>IFERROR(__xludf.DUMMYFUNCTION("IF(H2435="""", """", ROUND(H2435 / MAX(FILTER($H$2:$H5067, $D$2:$D5067=$D2435)) * 100, 2))"),92.51)</f>
        <v>92.51</v>
      </c>
      <c r="K2435" s="2"/>
      <c r="L2435" s="48"/>
      <c r="M2435" s="48"/>
      <c r="N2435" s="48"/>
      <c r="O2435" s="48" t="str">
        <f t="shared" si="2"/>
        <v/>
      </c>
      <c r="P2435" s="48" t="str">
        <f t="shared" si="3"/>
        <v/>
      </c>
      <c r="Q2435" s="84"/>
      <c r="R2435" s="84"/>
      <c r="S2435" s="84"/>
      <c r="T2435" s="84"/>
      <c r="U2435" s="84"/>
      <c r="V2435" s="84"/>
      <c r="W2435" s="84"/>
      <c r="X2435" s="84"/>
      <c r="Y2435" s="84"/>
      <c r="Z2435" s="84"/>
      <c r="AA2435" s="84"/>
      <c r="AB2435" s="84"/>
    </row>
    <row r="2436">
      <c r="A2436" s="63">
        <v>162.0</v>
      </c>
      <c r="B2436" s="63">
        <v>263.0</v>
      </c>
      <c r="C2436" s="64" t="s">
        <v>534</v>
      </c>
      <c r="D2436" s="64" t="s">
        <v>535</v>
      </c>
      <c r="E2436" s="64" t="s">
        <v>536</v>
      </c>
      <c r="F2436" s="63">
        <v>8000.0</v>
      </c>
      <c r="G2436" s="63">
        <v>8.6</v>
      </c>
      <c r="H2436" s="66">
        <f t="shared" si="1"/>
        <v>96.06</v>
      </c>
      <c r="I2436" s="81">
        <f>IFERROR(__xludf.DUMMYFUNCTION("IF(G2436="""", """", ROUND(G2436 / MAX(FILTER($G$2:$G5067, $D$2:$D5067=$D2436)) * 100, 2))"),52.12)</f>
        <v>52.12</v>
      </c>
      <c r="J2436" s="81">
        <f>IFERROR(__xludf.DUMMYFUNCTION("IF(H2436="""", """", ROUND(H2436 / MAX(FILTER($H$2:$H5067, $D$2:$D5067=$D2436)) * 100, 2))"),77.14)</f>
        <v>77.14</v>
      </c>
      <c r="K2436" s="2"/>
      <c r="L2436" s="49"/>
      <c r="M2436" s="49"/>
      <c r="N2436" s="49"/>
      <c r="O2436" s="49" t="str">
        <f t="shared" si="2"/>
        <v/>
      </c>
      <c r="P2436" s="49" t="str">
        <f t="shared" si="3"/>
        <v/>
      </c>
      <c r="Q2436" s="84"/>
      <c r="R2436" s="84"/>
      <c r="S2436" s="84"/>
      <c r="T2436" s="84"/>
      <c r="U2436" s="84"/>
      <c r="V2436" s="84"/>
      <c r="W2436" s="84"/>
      <c r="X2436" s="84"/>
      <c r="Y2436" s="84"/>
      <c r="Z2436" s="84"/>
      <c r="AA2436" s="84"/>
      <c r="AB2436" s="84"/>
    </row>
    <row r="2437">
      <c r="A2437" s="69">
        <v>163.0</v>
      </c>
      <c r="B2437" s="69">
        <v>264.0</v>
      </c>
      <c r="C2437" s="86" t="s">
        <v>537</v>
      </c>
      <c r="D2437" s="86" t="s">
        <v>538</v>
      </c>
      <c r="E2437" s="86" t="s">
        <v>539</v>
      </c>
      <c r="F2437" s="69">
        <v>500.0</v>
      </c>
      <c r="G2437" s="69">
        <v>14.02</v>
      </c>
      <c r="H2437" s="68">
        <f t="shared" si="1"/>
        <v>9.79</v>
      </c>
      <c r="I2437" s="81">
        <f>IFERROR(__xludf.DUMMYFUNCTION("IF(G2437="""", """", ROUND(G2437 / MAX(FILTER($G$2:$G5067, $D$2:$D5067=$D2437)) * 100, 2))"),60.96)</f>
        <v>60.96</v>
      </c>
      <c r="J2437" s="81">
        <f>IFERROR(__xludf.DUMMYFUNCTION("IF(H2437="""", """", ROUND(H2437 / MAX(FILTER($H$2:$H5067, $D$2:$D5067=$D2437)) * 100, 2))"),5.89)</f>
        <v>5.89</v>
      </c>
      <c r="K2437" s="2"/>
      <c r="L2437" s="48"/>
      <c r="M2437" s="48"/>
      <c r="N2437" s="48"/>
      <c r="O2437" s="48" t="str">
        <f t="shared" si="2"/>
        <v/>
      </c>
      <c r="P2437" s="48" t="str">
        <f t="shared" si="3"/>
        <v/>
      </c>
      <c r="Q2437" s="84"/>
      <c r="R2437" s="84"/>
      <c r="S2437" s="84"/>
      <c r="T2437" s="84"/>
      <c r="U2437" s="84"/>
      <c r="V2437" s="84"/>
      <c r="W2437" s="84"/>
      <c r="X2437" s="84"/>
      <c r="Y2437" s="84"/>
      <c r="Z2437" s="84"/>
      <c r="AA2437" s="84"/>
      <c r="AB2437" s="84"/>
    </row>
    <row r="2438">
      <c r="A2438" s="63">
        <v>163.0</v>
      </c>
      <c r="B2438" s="63">
        <v>264.0</v>
      </c>
      <c r="C2438" s="64" t="s">
        <v>537</v>
      </c>
      <c r="D2438" s="64" t="s">
        <v>538</v>
      </c>
      <c r="E2438" s="64" t="s">
        <v>539</v>
      </c>
      <c r="F2438" s="63">
        <v>1000.0</v>
      </c>
      <c r="G2438" s="63">
        <v>16.95</v>
      </c>
      <c r="H2438" s="66">
        <f t="shared" si="1"/>
        <v>23.67</v>
      </c>
      <c r="I2438" s="81">
        <f>IFERROR(__xludf.DUMMYFUNCTION("IF(G2438="""", """", ROUND(G2438 / MAX(FILTER($G$2:$G5067, $D$2:$D5067=$D2438)) * 100, 2))"),73.7)</f>
        <v>73.7</v>
      </c>
      <c r="J2438" s="81">
        <f>IFERROR(__xludf.DUMMYFUNCTION("IF(H2438="""", """", ROUND(H2438 / MAX(FILTER($H$2:$H5067, $D$2:$D5067=$D2438)) * 100, 2))"),14.25)</f>
        <v>14.25</v>
      </c>
      <c r="K2438" s="2"/>
      <c r="L2438" s="49"/>
      <c r="M2438" s="49"/>
      <c r="N2438" s="49"/>
      <c r="O2438" s="49" t="str">
        <f t="shared" si="2"/>
        <v/>
      </c>
      <c r="P2438" s="49" t="str">
        <f t="shared" si="3"/>
        <v/>
      </c>
      <c r="Q2438" s="84"/>
      <c r="R2438" s="84"/>
      <c r="S2438" s="84"/>
      <c r="T2438" s="84"/>
      <c r="U2438" s="84"/>
      <c r="V2438" s="84"/>
      <c r="W2438" s="84"/>
      <c r="X2438" s="84"/>
      <c r="Y2438" s="84"/>
      <c r="Z2438" s="84"/>
      <c r="AA2438" s="84"/>
      <c r="AB2438" s="84"/>
    </row>
    <row r="2439">
      <c r="A2439" s="69">
        <v>163.0</v>
      </c>
      <c r="B2439" s="69">
        <v>264.0</v>
      </c>
      <c r="C2439" s="86" t="s">
        <v>537</v>
      </c>
      <c r="D2439" s="86" t="s">
        <v>538</v>
      </c>
      <c r="E2439" s="86" t="s">
        <v>539</v>
      </c>
      <c r="F2439" s="69">
        <v>1500.0</v>
      </c>
      <c r="G2439" s="69">
        <v>19.05</v>
      </c>
      <c r="H2439" s="68">
        <f t="shared" si="1"/>
        <v>39.9</v>
      </c>
      <c r="I2439" s="81">
        <f>IFERROR(__xludf.DUMMYFUNCTION("IF(G2439="""", """", ROUND(G2439 / MAX(FILTER($G$2:$G5067, $D$2:$D5067=$D2439)) * 100, 2))"),82.83)</f>
        <v>82.83</v>
      </c>
      <c r="J2439" s="81">
        <f>IFERROR(__xludf.DUMMYFUNCTION("IF(H2439="""", """", ROUND(H2439 / MAX(FILTER($H$2:$H5067, $D$2:$D5067=$D2439)) * 100, 2))"),24.02)</f>
        <v>24.02</v>
      </c>
      <c r="K2439" s="2"/>
      <c r="L2439" s="48"/>
      <c r="M2439" s="48"/>
      <c r="N2439" s="48"/>
      <c r="O2439" s="48" t="str">
        <f t="shared" si="2"/>
        <v/>
      </c>
      <c r="P2439" s="48" t="str">
        <f t="shared" si="3"/>
        <v/>
      </c>
      <c r="Q2439" s="84"/>
      <c r="R2439" s="84"/>
      <c r="S2439" s="84"/>
      <c r="T2439" s="84"/>
      <c r="U2439" s="84"/>
      <c r="V2439" s="84"/>
      <c r="W2439" s="84"/>
      <c r="X2439" s="84"/>
      <c r="Y2439" s="84"/>
      <c r="Z2439" s="84"/>
      <c r="AA2439" s="84"/>
      <c r="AB2439" s="84"/>
    </row>
    <row r="2440">
      <c r="A2440" s="63">
        <v>163.0</v>
      </c>
      <c r="B2440" s="63">
        <v>264.0</v>
      </c>
      <c r="C2440" s="64" t="s">
        <v>537</v>
      </c>
      <c r="D2440" s="64" t="s">
        <v>538</v>
      </c>
      <c r="E2440" s="64" t="s">
        <v>539</v>
      </c>
      <c r="F2440" s="63">
        <v>2000.0</v>
      </c>
      <c r="G2440" s="63">
        <v>20.63</v>
      </c>
      <c r="H2440" s="66">
        <f t="shared" si="1"/>
        <v>57.61</v>
      </c>
      <c r="I2440" s="81">
        <f>IFERROR(__xludf.DUMMYFUNCTION("IF(G2440="""", """", ROUND(G2440 / MAX(FILTER($G$2:$G5067, $D$2:$D5067=$D2440)) * 100, 2))"),89.7)</f>
        <v>89.7</v>
      </c>
      <c r="J2440" s="81">
        <f>IFERROR(__xludf.DUMMYFUNCTION("IF(H2440="""", """", ROUND(H2440 / MAX(FILTER($H$2:$H5067, $D$2:$D5067=$D2440)) * 100, 2))"),34.69)</f>
        <v>34.69</v>
      </c>
      <c r="K2440" s="2"/>
      <c r="L2440" s="49"/>
      <c r="M2440" s="49"/>
      <c r="N2440" s="49"/>
      <c r="O2440" s="49" t="str">
        <f t="shared" si="2"/>
        <v/>
      </c>
      <c r="P2440" s="49" t="str">
        <f t="shared" si="3"/>
        <v/>
      </c>
      <c r="Q2440" s="84"/>
      <c r="R2440" s="84"/>
      <c r="S2440" s="84"/>
      <c r="T2440" s="84"/>
      <c r="U2440" s="84"/>
      <c r="V2440" s="84"/>
      <c r="W2440" s="84"/>
      <c r="X2440" s="84"/>
      <c r="Y2440" s="84"/>
      <c r="Z2440" s="84"/>
      <c r="AA2440" s="84"/>
      <c r="AB2440" s="84"/>
    </row>
    <row r="2441">
      <c r="A2441" s="69">
        <v>163.0</v>
      </c>
      <c r="B2441" s="69">
        <v>264.0</v>
      </c>
      <c r="C2441" s="86" t="s">
        <v>537</v>
      </c>
      <c r="D2441" s="86" t="s">
        <v>538</v>
      </c>
      <c r="E2441" s="86" t="s">
        <v>539</v>
      </c>
      <c r="F2441" s="69">
        <v>2500.0</v>
      </c>
      <c r="G2441" s="69">
        <v>21.83</v>
      </c>
      <c r="H2441" s="68">
        <f t="shared" si="1"/>
        <v>76.2</v>
      </c>
      <c r="I2441" s="81">
        <f>IFERROR(__xludf.DUMMYFUNCTION("IF(G2441="""", """", ROUND(G2441 / MAX(FILTER($G$2:$G5067, $D$2:$D5067=$D2441)) * 100, 2))"),94.91)</f>
        <v>94.91</v>
      </c>
      <c r="J2441" s="81">
        <f>IFERROR(__xludf.DUMMYFUNCTION("IF(H2441="""", """", ROUND(H2441 / MAX(FILTER($H$2:$H5067, $D$2:$D5067=$D2441)) * 100, 2))"),45.88)</f>
        <v>45.88</v>
      </c>
      <c r="K2441" s="2"/>
      <c r="L2441" s="48"/>
      <c r="M2441" s="48"/>
      <c r="N2441" s="48"/>
      <c r="O2441" s="48" t="str">
        <f t="shared" si="2"/>
        <v/>
      </c>
      <c r="P2441" s="48" t="str">
        <f t="shared" si="3"/>
        <v/>
      </c>
      <c r="Q2441" s="84"/>
      <c r="R2441" s="84"/>
      <c r="S2441" s="84"/>
      <c r="T2441" s="84"/>
      <c r="U2441" s="84"/>
      <c r="V2441" s="84"/>
      <c r="W2441" s="84"/>
      <c r="X2441" s="84"/>
      <c r="Y2441" s="84"/>
      <c r="Z2441" s="84"/>
      <c r="AA2441" s="84"/>
      <c r="AB2441" s="84"/>
    </row>
    <row r="2442">
      <c r="A2442" s="63">
        <v>163.0</v>
      </c>
      <c r="B2442" s="63">
        <v>264.0</v>
      </c>
      <c r="C2442" s="64" t="s">
        <v>537</v>
      </c>
      <c r="D2442" s="64" t="s">
        <v>538</v>
      </c>
      <c r="E2442" s="64" t="s">
        <v>539</v>
      </c>
      <c r="F2442" s="63">
        <v>3000.0</v>
      </c>
      <c r="G2442" s="63">
        <v>22.58</v>
      </c>
      <c r="H2442" s="66">
        <f t="shared" si="1"/>
        <v>94.58</v>
      </c>
      <c r="I2442" s="81">
        <f>IFERROR(__xludf.DUMMYFUNCTION("IF(G2442="""", """", ROUND(G2442 / MAX(FILTER($G$2:$G5067, $D$2:$D5067=$D2442)) * 100, 2))"),98.17)</f>
        <v>98.17</v>
      </c>
      <c r="J2442" s="81">
        <f>IFERROR(__xludf.DUMMYFUNCTION("IF(H2442="""", """", ROUND(H2442 / MAX(FILTER($H$2:$H5067, $D$2:$D5067=$D2442)) * 100, 2))"),56.95)</f>
        <v>56.95</v>
      </c>
      <c r="K2442" s="2"/>
      <c r="L2442" s="49"/>
      <c r="M2442" s="49"/>
      <c r="N2442" s="49"/>
      <c r="O2442" s="49" t="str">
        <f t="shared" si="2"/>
        <v/>
      </c>
      <c r="P2442" s="49" t="str">
        <f t="shared" si="3"/>
        <v/>
      </c>
      <c r="Q2442" s="84"/>
      <c r="R2442" s="84"/>
      <c r="S2442" s="84"/>
      <c r="T2442" s="84"/>
      <c r="U2442" s="84"/>
      <c r="V2442" s="84"/>
      <c r="W2442" s="84"/>
      <c r="X2442" s="84"/>
      <c r="Y2442" s="84"/>
      <c r="Z2442" s="84"/>
      <c r="AA2442" s="84"/>
      <c r="AB2442" s="84"/>
    </row>
    <row r="2443">
      <c r="A2443" s="69">
        <v>163.0</v>
      </c>
      <c r="B2443" s="69">
        <v>264.0</v>
      </c>
      <c r="C2443" s="86" t="s">
        <v>537</v>
      </c>
      <c r="D2443" s="86" t="s">
        <v>538</v>
      </c>
      <c r="E2443" s="86" t="s">
        <v>539</v>
      </c>
      <c r="F2443" s="69">
        <v>3500.0</v>
      </c>
      <c r="G2443" s="69">
        <v>22.95</v>
      </c>
      <c r="H2443" s="68">
        <f t="shared" si="1"/>
        <v>112.15</v>
      </c>
      <c r="I2443" s="81">
        <f>IFERROR(__xludf.DUMMYFUNCTION("IF(G2443="""", """", ROUND(G2443 / MAX(FILTER($G$2:$G5067, $D$2:$D5067=$D2443)) * 100, 2))"),99.78)</f>
        <v>99.78</v>
      </c>
      <c r="J2443" s="81">
        <f>IFERROR(__xludf.DUMMYFUNCTION("IF(H2443="""", """", ROUND(H2443 / MAX(FILTER($H$2:$H5067, $D$2:$D5067=$D2443)) * 100, 2))"),67.53)</f>
        <v>67.53</v>
      </c>
      <c r="K2443" s="2"/>
      <c r="L2443" s="48"/>
      <c r="M2443" s="48"/>
      <c r="N2443" s="48"/>
      <c r="O2443" s="48" t="str">
        <f t="shared" si="2"/>
        <v/>
      </c>
      <c r="P2443" s="48" t="str">
        <f t="shared" si="3"/>
        <v/>
      </c>
      <c r="Q2443" s="84"/>
      <c r="R2443" s="84"/>
      <c r="S2443" s="84"/>
      <c r="T2443" s="84"/>
      <c r="U2443" s="84"/>
      <c r="V2443" s="84"/>
      <c r="W2443" s="84"/>
      <c r="X2443" s="84"/>
      <c r="Y2443" s="84"/>
      <c r="Z2443" s="84"/>
      <c r="AA2443" s="84"/>
      <c r="AB2443" s="84"/>
    </row>
    <row r="2444">
      <c r="A2444" s="63">
        <v>163.0</v>
      </c>
      <c r="B2444" s="63">
        <v>264.0</v>
      </c>
      <c r="C2444" s="64" t="s">
        <v>537</v>
      </c>
      <c r="D2444" s="64" t="s">
        <v>538</v>
      </c>
      <c r="E2444" s="64" t="s">
        <v>539</v>
      </c>
      <c r="F2444" s="63">
        <v>4000.0</v>
      </c>
      <c r="G2444" s="63">
        <v>23.0</v>
      </c>
      <c r="H2444" s="66">
        <f t="shared" si="1"/>
        <v>128.46</v>
      </c>
      <c r="I2444" s="81">
        <f>IFERROR(__xludf.DUMMYFUNCTION("IF(G2444="""", """", ROUND(G2444 / MAX(FILTER($G$2:$G5067, $D$2:$D5067=$D2444)) * 100, 2))"),100.0)</f>
        <v>100</v>
      </c>
      <c r="J2444" s="81">
        <f>IFERROR(__xludf.DUMMYFUNCTION("IF(H2444="""", """", ROUND(H2444 / MAX(FILTER($H$2:$H5067, $D$2:$D5067=$D2444)) * 100, 2))"),77.35)</f>
        <v>77.35</v>
      </c>
      <c r="K2444" s="2"/>
      <c r="L2444" s="49"/>
      <c r="M2444" s="49"/>
      <c r="N2444" s="49"/>
      <c r="O2444" s="49" t="str">
        <f t="shared" si="2"/>
        <v/>
      </c>
      <c r="P2444" s="49" t="str">
        <f t="shared" si="3"/>
        <v/>
      </c>
      <c r="Q2444" s="84"/>
      <c r="R2444" s="84"/>
      <c r="S2444" s="84"/>
      <c r="T2444" s="84"/>
      <c r="U2444" s="84"/>
      <c r="V2444" s="84"/>
      <c r="W2444" s="84"/>
      <c r="X2444" s="84"/>
      <c r="Y2444" s="84"/>
      <c r="Z2444" s="84"/>
      <c r="AA2444" s="84"/>
      <c r="AB2444" s="84"/>
    </row>
    <row r="2445">
      <c r="A2445" s="69">
        <v>163.0</v>
      </c>
      <c r="B2445" s="69">
        <v>264.0</v>
      </c>
      <c r="C2445" s="86" t="s">
        <v>537</v>
      </c>
      <c r="D2445" s="86" t="s">
        <v>538</v>
      </c>
      <c r="E2445" s="86" t="s">
        <v>539</v>
      </c>
      <c r="F2445" s="69">
        <v>4500.0</v>
      </c>
      <c r="G2445" s="69">
        <v>22.73</v>
      </c>
      <c r="H2445" s="68">
        <f t="shared" si="1"/>
        <v>142.82</v>
      </c>
      <c r="I2445" s="81">
        <f>IFERROR(__xludf.DUMMYFUNCTION("IF(G2445="""", """", ROUND(G2445 / MAX(FILTER($G$2:$G5067, $D$2:$D5067=$D2445)) * 100, 2))"),98.83)</f>
        <v>98.83</v>
      </c>
      <c r="J2445" s="81">
        <f>IFERROR(__xludf.DUMMYFUNCTION("IF(H2445="""", """", ROUND(H2445 / MAX(FILTER($H$2:$H5067, $D$2:$D5067=$D2445)) * 100, 2))"),85.99)</f>
        <v>85.99</v>
      </c>
      <c r="K2445" s="2"/>
      <c r="L2445" s="48"/>
      <c r="M2445" s="48"/>
      <c r="N2445" s="48"/>
      <c r="O2445" s="48" t="str">
        <f t="shared" si="2"/>
        <v/>
      </c>
      <c r="P2445" s="48" t="str">
        <f t="shared" si="3"/>
        <v/>
      </c>
      <c r="Q2445" s="84"/>
      <c r="R2445" s="84"/>
      <c r="S2445" s="84"/>
      <c r="T2445" s="84"/>
      <c r="U2445" s="84"/>
      <c r="V2445" s="84"/>
      <c r="W2445" s="84"/>
      <c r="X2445" s="84"/>
      <c r="Y2445" s="84"/>
      <c r="Z2445" s="84"/>
      <c r="AA2445" s="84"/>
      <c r="AB2445" s="84"/>
    </row>
    <row r="2446">
      <c r="A2446" s="63">
        <v>163.0</v>
      </c>
      <c r="B2446" s="63">
        <v>264.0</v>
      </c>
      <c r="C2446" s="64" t="s">
        <v>537</v>
      </c>
      <c r="D2446" s="64" t="s">
        <v>538</v>
      </c>
      <c r="E2446" s="64" t="s">
        <v>539</v>
      </c>
      <c r="F2446" s="63">
        <v>5000.0</v>
      </c>
      <c r="G2446" s="63">
        <v>22.13</v>
      </c>
      <c r="H2446" s="66">
        <f t="shared" si="1"/>
        <v>154.5</v>
      </c>
      <c r="I2446" s="81">
        <f>IFERROR(__xludf.DUMMYFUNCTION("IF(G2446="""", """", ROUND(G2446 / MAX(FILTER($G$2:$G5067, $D$2:$D5067=$D2446)) * 100, 2))"),96.22)</f>
        <v>96.22</v>
      </c>
      <c r="J2446" s="81">
        <f>IFERROR(__xludf.DUMMYFUNCTION("IF(H2446="""", """", ROUND(H2446 / MAX(FILTER($H$2:$H5067, $D$2:$D5067=$D2446)) * 100, 2))"),93.03)</f>
        <v>93.03</v>
      </c>
      <c r="K2446" s="2"/>
      <c r="L2446" s="49"/>
      <c r="M2446" s="49"/>
      <c r="N2446" s="49"/>
      <c r="O2446" s="49" t="str">
        <f t="shared" si="2"/>
        <v/>
      </c>
      <c r="P2446" s="49" t="str">
        <f t="shared" si="3"/>
        <v/>
      </c>
      <c r="Q2446" s="84"/>
      <c r="R2446" s="84"/>
      <c r="S2446" s="84"/>
      <c r="T2446" s="84"/>
      <c r="U2446" s="84"/>
      <c r="V2446" s="84"/>
      <c r="W2446" s="84"/>
      <c r="X2446" s="84"/>
      <c r="Y2446" s="84"/>
      <c r="Z2446" s="84"/>
      <c r="AA2446" s="84"/>
      <c r="AB2446" s="84"/>
    </row>
    <row r="2447">
      <c r="A2447" s="69">
        <v>163.0</v>
      </c>
      <c r="B2447" s="69">
        <v>264.0</v>
      </c>
      <c r="C2447" s="86" t="s">
        <v>537</v>
      </c>
      <c r="D2447" s="86" t="s">
        <v>538</v>
      </c>
      <c r="E2447" s="86" t="s">
        <v>539</v>
      </c>
      <c r="F2447" s="69">
        <v>5500.0</v>
      </c>
      <c r="G2447" s="69">
        <v>21.15</v>
      </c>
      <c r="H2447" s="68">
        <f t="shared" si="1"/>
        <v>162.42</v>
      </c>
      <c r="I2447" s="81">
        <f>IFERROR(__xludf.DUMMYFUNCTION("IF(G2447="""", """", ROUND(G2447 / MAX(FILTER($G$2:$G5067, $D$2:$D5067=$D2447)) * 100, 2))"),91.96)</f>
        <v>91.96</v>
      </c>
      <c r="J2447" s="81">
        <f>IFERROR(__xludf.DUMMYFUNCTION("IF(H2447="""", """", ROUND(H2447 / MAX(FILTER($H$2:$H5067, $D$2:$D5067=$D2447)) * 100, 2))"),97.8)</f>
        <v>97.8</v>
      </c>
      <c r="K2447" s="2"/>
      <c r="L2447" s="48"/>
      <c r="M2447" s="48"/>
      <c r="N2447" s="48"/>
      <c r="O2447" s="48" t="str">
        <f t="shared" si="2"/>
        <v/>
      </c>
      <c r="P2447" s="48" t="str">
        <f t="shared" si="3"/>
        <v/>
      </c>
      <c r="Q2447" s="84"/>
      <c r="R2447" s="84"/>
      <c r="S2447" s="84"/>
      <c r="T2447" s="84"/>
      <c r="U2447" s="84"/>
      <c r="V2447" s="84"/>
      <c r="W2447" s="84"/>
      <c r="X2447" s="84"/>
      <c r="Y2447" s="84"/>
      <c r="Z2447" s="84"/>
      <c r="AA2447" s="84"/>
      <c r="AB2447" s="84"/>
    </row>
    <row r="2448">
      <c r="A2448" s="63">
        <v>163.0</v>
      </c>
      <c r="B2448" s="63">
        <v>264.0</v>
      </c>
      <c r="C2448" s="64" t="s">
        <v>537</v>
      </c>
      <c r="D2448" s="64" t="s">
        <v>538</v>
      </c>
      <c r="E2448" s="64" t="s">
        <v>539</v>
      </c>
      <c r="F2448" s="63">
        <v>6000.0</v>
      </c>
      <c r="G2448" s="63">
        <v>19.8</v>
      </c>
      <c r="H2448" s="66">
        <f t="shared" si="1"/>
        <v>165.88</v>
      </c>
      <c r="I2448" s="81">
        <f>IFERROR(__xludf.DUMMYFUNCTION("IF(G2448="""", """", ROUND(G2448 / MAX(FILTER($G$2:$G5067, $D$2:$D5067=$D2448)) * 100, 2))"),86.09)</f>
        <v>86.09</v>
      </c>
      <c r="J2448" s="81">
        <f>IFERROR(__xludf.DUMMYFUNCTION("IF(H2448="""", """", ROUND(H2448 / MAX(FILTER($H$2:$H5067, $D$2:$D5067=$D2448)) * 100, 2))"),99.88)</f>
        <v>99.88</v>
      </c>
      <c r="K2448" s="2"/>
      <c r="L2448" s="49"/>
      <c r="M2448" s="49"/>
      <c r="N2448" s="49"/>
      <c r="O2448" s="49" t="str">
        <f t="shared" si="2"/>
        <v/>
      </c>
      <c r="P2448" s="49" t="str">
        <f t="shared" si="3"/>
        <v/>
      </c>
      <c r="Q2448" s="84"/>
      <c r="R2448" s="84"/>
      <c r="S2448" s="84"/>
      <c r="T2448" s="84"/>
      <c r="U2448" s="84"/>
      <c r="V2448" s="84"/>
      <c r="W2448" s="84"/>
      <c r="X2448" s="84"/>
      <c r="Y2448" s="84"/>
      <c r="Z2448" s="84"/>
      <c r="AA2448" s="84"/>
      <c r="AB2448" s="84"/>
    </row>
    <row r="2449">
      <c r="A2449" s="69">
        <v>163.0</v>
      </c>
      <c r="B2449" s="69">
        <v>264.0</v>
      </c>
      <c r="C2449" s="86" t="s">
        <v>537</v>
      </c>
      <c r="D2449" s="86" t="s">
        <v>538</v>
      </c>
      <c r="E2449" s="86" t="s">
        <v>539</v>
      </c>
      <c r="F2449" s="69">
        <v>6500.0</v>
      </c>
      <c r="G2449" s="69">
        <v>18.3</v>
      </c>
      <c r="H2449" s="68">
        <f t="shared" si="1"/>
        <v>166.08</v>
      </c>
      <c r="I2449" s="81">
        <f>IFERROR(__xludf.DUMMYFUNCTION("IF(G2449="""", """", ROUND(G2449 / MAX(FILTER($G$2:$G5067, $D$2:$D5067=$D2449)) * 100, 2))"),79.57)</f>
        <v>79.57</v>
      </c>
      <c r="J2449" s="81">
        <f>IFERROR(__xludf.DUMMYFUNCTION("IF(H2449="""", """", ROUND(H2449 / MAX(FILTER($H$2:$H5067, $D$2:$D5067=$D2449)) * 100, 2))"),100.0)</f>
        <v>100</v>
      </c>
      <c r="K2449" s="2"/>
      <c r="L2449" s="48"/>
      <c r="M2449" s="48"/>
      <c r="N2449" s="48"/>
      <c r="O2449" s="48" t="str">
        <f t="shared" si="2"/>
        <v/>
      </c>
      <c r="P2449" s="48" t="str">
        <f t="shared" si="3"/>
        <v/>
      </c>
      <c r="Q2449" s="84"/>
      <c r="R2449" s="84"/>
      <c r="S2449" s="84"/>
      <c r="T2449" s="84"/>
      <c r="U2449" s="84"/>
      <c r="V2449" s="84"/>
      <c r="W2449" s="84"/>
      <c r="X2449" s="84"/>
      <c r="Y2449" s="84"/>
      <c r="Z2449" s="84"/>
      <c r="AA2449" s="84"/>
      <c r="AB2449" s="84"/>
    </row>
    <row r="2450">
      <c r="A2450" s="63">
        <v>163.0</v>
      </c>
      <c r="B2450" s="63">
        <v>264.0</v>
      </c>
      <c r="C2450" s="64" t="s">
        <v>537</v>
      </c>
      <c r="D2450" s="64" t="s">
        <v>538</v>
      </c>
      <c r="E2450" s="64" t="s">
        <v>539</v>
      </c>
      <c r="F2450" s="63">
        <v>7000.0</v>
      </c>
      <c r="G2450" s="63">
        <v>15.98</v>
      </c>
      <c r="H2450" s="66">
        <f t="shared" si="1"/>
        <v>156.19</v>
      </c>
      <c r="I2450" s="81">
        <f>IFERROR(__xludf.DUMMYFUNCTION("IF(G2450="""", """", ROUND(G2450 / MAX(FILTER($G$2:$G5067, $D$2:$D5067=$D2450)) * 100, 2))"),69.48)</f>
        <v>69.48</v>
      </c>
      <c r="J2450" s="81">
        <f>IFERROR(__xludf.DUMMYFUNCTION("IF(H2450="""", """", ROUND(H2450 / MAX(FILTER($H$2:$H5067, $D$2:$D5067=$D2450)) * 100, 2))"),94.05)</f>
        <v>94.05</v>
      </c>
      <c r="K2450" s="2"/>
      <c r="L2450" s="49"/>
      <c r="M2450" s="49"/>
      <c r="N2450" s="49"/>
      <c r="O2450" s="49" t="str">
        <f t="shared" si="2"/>
        <v/>
      </c>
      <c r="P2450" s="49" t="str">
        <f t="shared" si="3"/>
        <v/>
      </c>
      <c r="Q2450" s="84"/>
      <c r="R2450" s="84"/>
      <c r="S2450" s="84"/>
      <c r="T2450" s="84"/>
      <c r="U2450" s="84"/>
      <c r="V2450" s="84"/>
      <c r="W2450" s="84"/>
      <c r="X2450" s="84"/>
      <c r="Y2450" s="84"/>
      <c r="Z2450" s="84"/>
      <c r="AA2450" s="84"/>
      <c r="AB2450" s="84"/>
    </row>
    <row r="2451">
      <c r="A2451" s="69">
        <v>164.0</v>
      </c>
      <c r="B2451" s="69">
        <v>265.0</v>
      </c>
      <c r="C2451" s="86" t="s">
        <v>540</v>
      </c>
      <c r="D2451" s="86" t="s">
        <v>541</v>
      </c>
      <c r="E2451" s="86" t="s">
        <v>542</v>
      </c>
      <c r="F2451" s="69">
        <v>500.0</v>
      </c>
      <c r="G2451" s="69">
        <v>8.8</v>
      </c>
      <c r="H2451" s="68">
        <f t="shared" si="1"/>
        <v>6.14</v>
      </c>
      <c r="I2451" s="81">
        <f>IFERROR(__xludf.DUMMYFUNCTION("IF(G2451="""", """", ROUND(G2451 / MAX(FILTER($G$2:$G5067, $D$2:$D5067=$D2451)) * 100, 2))"),61.62)</f>
        <v>61.62</v>
      </c>
      <c r="J2451" s="81">
        <f>IFERROR(__xludf.DUMMYFUNCTION("IF(H2451="""", """", ROUND(H2451 / MAX(FILTER($H$2:$H5067, $D$2:$D5067=$D2451)) * 100, 2))"),5.43)</f>
        <v>5.43</v>
      </c>
      <c r="K2451" s="2"/>
      <c r="L2451" s="48"/>
      <c r="M2451" s="48"/>
      <c r="N2451" s="48"/>
      <c r="O2451" s="48" t="str">
        <f t="shared" si="2"/>
        <v/>
      </c>
      <c r="P2451" s="48" t="str">
        <f t="shared" si="3"/>
        <v/>
      </c>
      <c r="Q2451" s="84"/>
      <c r="R2451" s="84"/>
      <c r="S2451" s="84"/>
      <c r="T2451" s="84"/>
      <c r="U2451" s="84"/>
      <c r="V2451" s="84"/>
      <c r="W2451" s="84"/>
      <c r="X2451" s="84"/>
      <c r="Y2451" s="84"/>
      <c r="Z2451" s="84"/>
      <c r="AA2451" s="84"/>
      <c r="AB2451" s="84"/>
    </row>
    <row r="2452">
      <c r="A2452" s="63">
        <v>164.0</v>
      </c>
      <c r="B2452" s="63">
        <v>265.0</v>
      </c>
      <c r="C2452" s="64" t="s">
        <v>540</v>
      </c>
      <c r="D2452" s="64" t="s">
        <v>541</v>
      </c>
      <c r="E2452" s="64" t="s">
        <v>542</v>
      </c>
      <c r="F2452" s="63">
        <v>1000.0</v>
      </c>
      <c r="G2452" s="63">
        <v>10.4</v>
      </c>
      <c r="H2452" s="66">
        <f t="shared" si="1"/>
        <v>14.52</v>
      </c>
      <c r="I2452" s="81">
        <f>IFERROR(__xludf.DUMMYFUNCTION("IF(G2452="""", """", ROUND(G2452 / MAX(FILTER($G$2:$G5067, $D$2:$D5067=$D2452)) * 100, 2))"),72.83)</f>
        <v>72.83</v>
      </c>
      <c r="J2452" s="81">
        <f>IFERROR(__xludf.DUMMYFUNCTION("IF(H2452="""", """", ROUND(H2452 / MAX(FILTER($H$2:$H5067, $D$2:$D5067=$D2452)) * 100, 2))"),12.84)</f>
        <v>12.84</v>
      </c>
      <c r="K2452" s="2"/>
      <c r="L2452" s="49"/>
      <c r="M2452" s="49"/>
      <c r="N2452" s="49"/>
      <c r="O2452" s="49" t="str">
        <f t="shared" si="2"/>
        <v/>
      </c>
      <c r="P2452" s="49" t="str">
        <f t="shared" si="3"/>
        <v/>
      </c>
      <c r="Q2452" s="84"/>
      <c r="R2452" s="84"/>
      <c r="S2452" s="84"/>
      <c r="T2452" s="84"/>
      <c r="U2452" s="84"/>
      <c r="V2452" s="84"/>
      <c r="W2452" s="84"/>
      <c r="X2452" s="84"/>
      <c r="Y2452" s="84"/>
      <c r="Z2452" s="84"/>
      <c r="AA2452" s="84"/>
      <c r="AB2452" s="84"/>
    </row>
    <row r="2453">
      <c r="A2453" s="69">
        <v>164.0</v>
      </c>
      <c r="B2453" s="69">
        <v>265.0</v>
      </c>
      <c r="C2453" s="86" t="s">
        <v>540</v>
      </c>
      <c r="D2453" s="86" t="s">
        <v>541</v>
      </c>
      <c r="E2453" s="86" t="s">
        <v>542</v>
      </c>
      <c r="F2453" s="69">
        <v>1500.0</v>
      </c>
      <c r="G2453" s="69">
        <v>11.91</v>
      </c>
      <c r="H2453" s="68">
        <f t="shared" si="1"/>
        <v>24.94</v>
      </c>
      <c r="I2453" s="81">
        <f>IFERROR(__xludf.DUMMYFUNCTION("IF(G2453="""", """", ROUND(G2453 / MAX(FILTER($G$2:$G5067, $D$2:$D5067=$D2453)) * 100, 2))"),83.4)</f>
        <v>83.4</v>
      </c>
      <c r="J2453" s="81">
        <f>IFERROR(__xludf.DUMMYFUNCTION("IF(H2453="""", """", ROUND(H2453 / MAX(FILTER($H$2:$H5067, $D$2:$D5067=$D2453)) * 100, 2))"),22.05)</f>
        <v>22.05</v>
      </c>
      <c r="K2453" s="2"/>
      <c r="L2453" s="48"/>
      <c r="M2453" s="48"/>
      <c r="N2453" s="48"/>
      <c r="O2453" s="48" t="str">
        <f t="shared" si="2"/>
        <v/>
      </c>
      <c r="P2453" s="48" t="str">
        <f t="shared" si="3"/>
        <v/>
      </c>
      <c r="Q2453" s="84"/>
      <c r="R2453" s="84"/>
      <c r="S2453" s="84"/>
      <c r="T2453" s="84"/>
      <c r="U2453" s="84"/>
      <c r="V2453" s="84"/>
      <c r="W2453" s="84"/>
      <c r="X2453" s="84"/>
      <c r="Y2453" s="84"/>
      <c r="Z2453" s="84"/>
      <c r="AA2453" s="84"/>
      <c r="AB2453" s="84"/>
    </row>
    <row r="2454">
      <c r="A2454" s="63">
        <v>164.0</v>
      </c>
      <c r="B2454" s="63">
        <v>265.0</v>
      </c>
      <c r="C2454" s="64" t="s">
        <v>540</v>
      </c>
      <c r="D2454" s="64" t="s">
        <v>541</v>
      </c>
      <c r="E2454" s="64" t="s">
        <v>542</v>
      </c>
      <c r="F2454" s="63">
        <v>2000.0</v>
      </c>
      <c r="G2454" s="63">
        <v>12.88</v>
      </c>
      <c r="H2454" s="66">
        <f t="shared" si="1"/>
        <v>35.97</v>
      </c>
      <c r="I2454" s="81">
        <f>IFERROR(__xludf.DUMMYFUNCTION("IF(G2454="""", """", ROUND(G2454 / MAX(FILTER($G$2:$G5067, $D$2:$D5067=$D2454)) * 100, 2))"),90.2)</f>
        <v>90.2</v>
      </c>
      <c r="J2454" s="81">
        <f>IFERROR(__xludf.DUMMYFUNCTION("IF(H2454="""", """", ROUND(H2454 / MAX(FILTER($H$2:$H5067, $D$2:$D5067=$D2454)) * 100, 2))"),31.8)</f>
        <v>31.8</v>
      </c>
      <c r="K2454" s="2"/>
      <c r="L2454" s="49"/>
      <c r="M2454" s="49"/>
      <c r="N2454" s="49"/>
      <c r="O2454" s="49" t="str">
        <f t="shared" si="2"/>
        <v/>
      </c>
      <c r="P2454" s="49" t="str">
        <f t="shared" si="3"/>
        <v/>
      </c>
      <c r="Q2454" s="84"/>
      <c r="R2454" s="84"/>
      <c r="S2454" s="84"/>
      <c r="T2454" s="84"/>
      <c r="U2454" s="84"/>
      <c r="V2454" s="84"/>
      <c r="W2454" s="84"/>
      <c r="X2454" s="84"/>
      <c r="Y2454" s="84"/>
      <c r="Z2454" s="84"/>
      <c r="AA2454" s="84"/>
      <c r="AB2454" s="84"/>
    </row>
    <row r="2455">
      <c r="A2455" s="69">
        <v>164.0</v>
      </c>
      <c r="B2455" s="69">
        <v>265.0</v>
      </c>
      <c r="C2455" s="86" t="s">
        <v>540</v>
      </c>
      <c r="D2455" s="86" t="s">
        <v>541</v>
      </c>
      <c r="E2455" s="86" t="s">
        <v>542</v>
      </c>
      <c r="F2455" s="69">
        <v>2500.0</v>
      </c>
      <c r="G2455" s="69">
        <v>13.26</v>
      </c>
      <c r="H2455" s="68">
        <f t="shared" si="1"/>
        <v>46.29</v>
      </c>
      <c r="I2455" s="81">
        <f>IFERROR(__xludf.DUMMYFUNCTION("IF(G2455="""", """", ROUND(G2455 / MAX(FILTER($G$2:$G5067, $D$2:$D5067=$D2455)) * 100, 2))"),92.86)</f>
        <v>92.86</v>
      </c>
      <c r="J2455" s="81">
        <f>IFERROR(__xludf.DUMMYFUNCTION("IF(H2455="""", """", ROUND(H2455 / MAX(FILTER($H$2:$H5067, $D$2:$D5067=$D2455)) * 100, 2))"),40.93)</f>
        <v>40.93</v>
      </c>
      <c r="K2455" s="2"/>
      <c r="L2455" s="48"/>
      <c r="M2455" s="48"/>
      <c r="N2455" s="48"/>
      <c r="O2455" s="48" t="str">
        <f t="shared" si="2"/>
        <v/>
      </c>
      <c r="P2455" s="48" t="str">
        <f t="shared" si="3"/>
        <v/>
      </c>
      <c r="Q2455" s="84"/>
      <c r="R2455" s="84"/>
      <c r="S2455" s="84"/>
      <c r="T2455" s="84"/>
      <c r="U2455" s="84"/>
      <c r="V2455" s="84"/>
      <c r="W2455" s="84"/>
      <c r="X2455" s="84"/>
      <c r="Y2455" s="84"/>
      <c r="Z2455" s="84"/>
      <c r="AA2455" s="84"/>
      <c r="AB2455" s="84"/>
    </row>
    <row r="2456">
      <c r="A2456" s="63">
        <v>164.0</v>
      </c>
      <c r="B2456" s="63">
        <v>265.0</v>
      </c>
      <c r="C2456" s="64" t="s">
        <v>540</v>
      </c>
      <c r="D2456" s="64" t="s">
        <v>541</v>
      </c>
      <c r="E2456" s="64" t="s">
        <v>542</v>
      </c>
      <c r="F2456" s="63">
        <v>3000.0</v>
      </c>
      <c r="G2456" s="63">
        <v>13.87</v>
      </c>
      <c r="H2456" s="66">
        <f t="shared" si="1"/>
        <v>58.1</v>
      </c>
      <c r="I2456" s="81">
        <f>IFERROR(__xludf.DUMMYFUNCTION("IF(G2456="""", """", ROUND(G2456 / MAX(FILTER($G$2:$G5067, $D$2:$D5067=$D2456)) * 100, 2))"),97.13)</f>
        <v>97.13</v>
      </c>
      <c r="J2456" s="81">
        <f>IFERROR(__xludf.DUMMYFUNCTION("IF(H2456="""", """", ROUND(H2456 / MAX(FILTER($H$2:$H5067, $D$2:$D5067=$D2456)) * 100, 2))"),51.37)</f>
        <v>51.37</v>
      </c>
      <c r="K2456" s="2"/>
      <c r="L2456" s="49"/>
      <c r="M2456" s="49"/>
      <c r="N2456" s="49"/>
      <c r="O2456" s="49" t="str">
        <f t="shared" si="2"/>
        <v/>
      </c>
      <c r="P2456" s="49" t="str">
        <f t="shared" si="3"/>
        <v/>
      </c>
      <c r="Q2456" s="84"/>
      <c r="R2456" s="84"/>
      <c r="S2456" s="84"/>
      <c r="T2456" s="84"/>
      <c r="U2456" s="84"/>
      <c r="V2456" s="84"/>
      <c r="W2456" s="84"/>
      <c r="X2456" s="84"/>
      <c r="Y2456" s="84"/>
      <c r="Z2456" s="84"/>
      <c r="AA2456" s="84"/>
      <c r="AB2456" s="84"/>
    </row>
    <row r="2457">
      <c r="A2457" s="69">
        <v>164.0</v>
      </c>
      <c r="B2457" s="69">
        <v>265.0</v>
      </c>
      <c r="C2457" s="86" t="s">
        <v>540</v>
      </c>
      <c r="D2457" s="86" t="s">
        <v>541</v>
      </c>
      <c r="E2457" s="86" t="s">
        <v>542</v>
      </c>
      <c r="F2457" s="69">
        <v>3500.0</v>
      </c>
      <c r="G2457" s="69">
        <v>14.17</v>
      </c>
      <c r="H2457" s="68">
        <f t="shared" si="1"/>
        <v>69.25</v>
      </c>
      <c r="I2457" s="81">
        <f>IFERROR(__xludf.DUMMYFUNCTION("IF(G2457="""", """", ROUND(G2457 / MAX(FILTER($G$2:$G5067, $D$2:$D5067=$D2457)) * 100, 2))"),99.23)</f>
        <v>99.23</v>
      </c>
      <c r="J2457" s="81">
        <f>IFERROR(__xludf.DUMMYFUNCTION("IF(H2457="""", """", ROUND(H2457 / MAX(FILTER($H$2:$H5067, $D$2:$D5067=$D2457)) * 100, 2))"),61.23)</f>
        <v>61.23</v>
      </c>
      <c r="K2457" s="2"/>
      <c r="L2457" s="48"/>
      <c r="M2457" s="48"/>
      <c r="N2457" s="48"/>
      <c r="O2457" s="48" t="str">
        <f t="shared" si="2"/>
        <v/>
      </c>
      <c r="P2457" s="48" t="str">
        <f t="shared" si="3"/>
        <v/>
      </c>
      <c r="Q2457" s="84"/>
      <c r="R2457" s="84"/>
      <c r="S2457" s="84"/>
      <c r="T2457" s="84"/>
      <c r="U2457" s="84"/>
      <c r="V2457" s="84"/>
      <c r="W2457" s="84"/>
      <c r="X2457" s="84"/>
      <c r="Y2457" s="84"/>
      <c r="Z2457" s="84"/>
      <c r="AA2457" s="84"/>
      <c r="AB2457" s="84"/>
    </row>
    <row r="2458">
      <c r="A2458" s="63">
        <v>164.0</v>
      </c>
      <c r="B2458" s="63">
        <v>265.0</v>
      </c>
      <c r="C2458" s="64" t="s">
        <v>540</v>
      </c>
      <c r="D2458" s="64" t="s">
        <v>541</v>
      </c>
      <c r="E2458" s="64" t="s">
        <v>542</v>
      </c>
      <c r="F2458" s="63">
        <v>4000.0</v>
      </c>
      <c r="G2458" s="63">
        <v>14.28</v>
      </c>
      <c r="H2458" s="66">
        <f t="shared" si="1"/>
        <v>79.75</v>
      </c>
      <c r="I2458" s="81">
        <f>IFERROR(__xludf.DUMMYFUNCTION("IF(G2458="""", """", ROUND(G2458 / MAX(FILTER($G$2:$G5067, $D$2:$D5067=$D2458)) * 100, 2))"),100.0)</f>
        <v>100</v>
      </c>
      <c r="J2458" s="81">
        <f>IFERROR(__xludf.DUMMYFUNCTION("IF(H2458="""", """", ROUND(H2458 / MAX(FILTER($H$2:$H5067, $D$2:$D5067=$D2458)) * 100, 2))"),70.51)</f>
        <v>70.51</v>
      </c>
      <c r="K2458" s="2"/>
      <c r="L2458" s="49"/>
      <c r="M2458" s="49"/>
      <c r="N2458" s="49"/>
      <c r="O2458" s="49" t="str">
        <f t="shared" si="2"/>
        <v/>
      </c>
      <c r="P2458" s="49" t="str">
        <f t="shared" si="3"/>
        <v/>
      </c>
      <c r="Q2458" s="84"/>
      <c r="R2458" s="84"/>
      <c r="S2458" s="84"/>
      <c r="T2458" s="84"/>
      <c r="U2458" s="84"/>
      <c r="V2458" s="84"/>
      <c r="W2458" s="84"/>
      <c r="X2458" s="84"/>
      <c r="Y2458" s="84"/>
      <c r="Z2458" s="84"/>
      <c r="AA2458" s="84"/>
      <c r="AB2458" s="84"/>
    </row>
    <row r="2459">
      <c r="A2459" s="69">
        <v>164.0</v>
      </c>
      <c r="B2459" s="69">
        <v>265.0</v>
      </c>
      <c r="C2459" s="86" t="s">
        <v>540</v>
      </c>
      <c r="D2459" s="86" t="s">
        <v>541</v>
      </c>
      <c r="E2459" s="86" t="s">
        <v>542</v>
      </c>
      <c r="F2459" s="69">
        <v>4500.0</v>
      </c>
      <c r="G2459" s="69">
        <v>14.23</v>
      </c>
      <c r="H2459" s="68">
        <f t="shared" si="1"/>
        <v>89.41</v>
      </c>
      <c r="I2459" s="81">
        <f>IFERROR(__xludf.DUMMYFUNCTION("IF(G2459="""", """", ROUND(G2459 / MAX(FILTER($G$2:$G5067, $D$2:$D5067=$D2459)) * 100, 2))"),99.65)</f>
        <v>99.65</v>
      </c>
      <c r="J2459" s="81">
        <f>IFERROR(__xludf.DUMMYFUNCTION("IF(H2459="""", """", ROUND(H2459 / MAX(FILTER($H$2:$H5067, $D$2:$D5067=$D2459)) * 100, 2))"),79.05)</f>
        <v>79.05</v>
      </c>
      <c r="K2459" s="2"/>
      <c r="L2459" s="48"/>
      <c r="M2459" s="48"/>
      <c r="N2459" s="48"/>
      <c r="O2459" s="48" t="str">
        <f t="shared" si="2"/>
        <v/>
      </c>
      <c r="P2459" s="48" t="str">
        <f t="shared" si="3"/>
        <v/>
      </c>
      <c r="Q2459" s="84"/>
      <c r="R2459" s="84"/>
      <c r="S2459" s="84"/>
      <c r="T2459" s="84"/>
      <c r="U2459" s="84"/>
      <c r="V2459" s="84"/>
      <c r="W2459" s="84"/>
      <c r="X2459" s="84"/>
      <c r="Y2459" s="84"/>
      <c r="Z2459" s="84"/>
      <c r="AA2459" s="84"/>
      <c r="AB2459" s="84"/>
    </row>
    <row r="2460">
      <c r="A2460" s="63">
        <v>164.0</v>
      </c>
      <c r="B2460" s="63">
        <v>265.0</v>
      </c>
      <c r="C2460" s="64" t="s">
        <v>540</v>
      </c>
      <c r="D2460" s="64" t="s">
        <v>541</v>
      </c>
      <c r="E2460" s="64" t="s">
        <v>542</v>
      </c>
      <c r="F2460" s="63">
        <v>5000.0</v>
      </c>
      <c r="G2460" s="63">
        <v>14.17</v>
      </c>
      <c r="H2460" s="66">
        <f t="shared" si="1"/>
        <v>98.92</v>
      </c>
      <c r="I2460" s="81">
        <f>IFERROR(__xludf.DUMMYFUNCTION("IF(G2460="""", """", ROUND(G2460 / MAX(FILTER($G$2:$G5067, $D$2:$D5067=$D2460)) * 100, 2))"),99.23)</f>
        <v>99.23</v>
      </c>
      <c r="J2460" s="81">
        <f>IFERROR(__xludf.DUMMYFUNCTION("IF(H2460="""", """", ROUND(H2460 / MAX(FILTER($H$2:$H5067, $D$2:$D5067=$D2460)) * 100, 2))"),87.46)</f>
        <v>87.46</v>
      </c>
      <c r="K2460" s="2"/>
      <c r="L2460" s="49"/>
      <c r="M2460" s="49"/>
      <c r="N2460" s="49"/>
      <c r="O2460" s="49" t="str">
        <f t="shared" si="2"/>
        <v/>
      </c>
      <c r="P2460" s="49" t="str">
        <f t="shared" si="3"/>
        <v/>
      </c>
      <c r="Q2460" s="84"/>
      <c r="R2460" s="84"/>
      <c r="S2460" s="84"/>
      <c r="T2460" s="84"/>
      <c r="U2460" s="84"/>
      <c r="V2460" s="84"/>
      <c r="W2460" s="84"/>
      <c r="X2460" s="84"/>
      <c r="Y2460" s="84"/>
      <c r="Z2460" s="84"/>
      <c r="AA2460" s="84"/>
      <c r="AB2460" s="84"/>
    </row>
    <row r="2461">
      <c r="A2461" s="69">
        <v>164.0</v>
      </c>
      <c r="B2461" s="69">
        <v>265.0</v>
      </c>
      <c r="C2461" s="86" t="s">
        <v>540</v>
      </c>
      <c r="D2461" s="86" t="s">
        <v>541</v>
      </c>
      <c r="E2461" s="86" t="s">
        <v>542</v>
      </c>
      <c r="F2461" s="69">
        <v>5500.0</v>
      </c>
      <c r="G2461" s="69">
        <v>13.87</v>
      </c>
      <c r="H2461" s="68">
        <f t="shared" si="1"/>
        <v>106.51</v>
      </c>
      <c r="I2461" s="81">
        <f>IFERROR(__xludf.DUMMYFUNCTION("IF(G2461="""", """", ROUND(G2461 / MAX(FILTER($G$2:$G5067, $D$2:$D5067=$D2461)) * 100, 2))"),97.13)</f>
        <v>97.13</v>
      </c>
      <c r="J2461" s="81">
        <f>IFERROR(__xludf.DUMMYFUNCTION("IF(H2461="""", """", ROUND(H2461 / MAX(FILTER($H$2:$H5067, $D$2:$D5067=$D2461)) * 100, 2))"),94.17)</f>
        <v>94.17</v>
      </c>
      <c r="K2461" s="2"/>
      <c r="L2461" s="48"/>
      <c r="M2461" s="48"/>
      <c r="N2461" s="48"/>
      <c r="O2461" s="48" t="str">
        <f t="shared" si="2"/>
        <v/>
      </c>
      <c r="P2461" s="48" t="str">
        <f t="shared" si="3"/>
        <v/>
      </c>
      <c r="Q2461" s="84"/>
      <c r="R2461" s="84"/>
      <c r="S2461" s="84"/>
      <c r="T2461" s="84"/>
      <c r="U2461" s="84"/>
      <c r="V2461" s="84"/>
      <c r="W2461" s="84"/>
      <c r="X2461" s="84"/>
      <c r="Y2461" s="84"/>
      <c r="Z2461" s="84"/>
      <c r="AA2461" s="84"/>
      <c r="AB2461" s="84"/>
    </row>
    <row r="2462">
      <c r="A2462" s="63">
        <v>164.0</v>
      </c>
      <c r="B2462" s="63">
        <v>265.0</v>
      </c>
      <c r="C2462" s="64" t="s">
        <v>540</v>
      </c>
      <c r="D2462" s="64" t="s">
        <v>541</v>
      </c>
      <c r="E2462" s="64" t="s">
        <v>542</v>
      </c>
      <c r="F2462" s="63">
        <v>6000.0</v>
      </c>
      <c r="G2462" s="63">
        <v>13.5</v>
      </c>
      <c r="H2462" s="66">
        <f t="shared" si="1"/>
        <v>113.1</v>
      </c>
      <c r="I2462" s="81">
        <f>IFERROR(__xludf.DUMMYFUNCTION("IF(G2462="""", """", ROUND(G2462 / MAX(FILTER($G$2:$G5067, $D$2:$D5067=$D2462)) * 100, 2))"),94.54)</f>
        <v>94.54</v>
      </c>
      <c r="J2462" s="81">
        <f>IFERROR(__xludf.DUMMYFUNCTION("IF(H2462="""", """", ROUND(H2462 / MAX(FILTER($H$2:$H5067, $D$2:$D5067=$D2462)) * 100, 2))"),100.0)</f>
        <v>100</v>
      </c>
      <c r="K2462" s="2"/>
      <c r="L2462" s="49"/>
      <c r="M2462" s="49"/>
      <c r="N2462" s="49"/>
      <c r="O2462" s="49" t="str">
        <f t="shared" si="2"/>
        <v/>
      </c>
      <c r="P2462" s="49" t="str">
        <f t="shared" si="3"/>
        <v/>
      </c>
      <c r="Q2462" s="84"/>
      <c r="R2462" s="84"/>
      <c r="S2462" s="84"/>
      <c r="T2462" s="84"/>
      <c r="U2462" s="84"/>
      <c r="V2462" s="84"/>
      <c r="W2462" s="84"/>
      <c r="X2462" s="84"/>
      <c r="Y2462" s="84"/>
      <c r="Z2462" s="84"/>
      <c r="AA2462" s="84"/>
      <c r="AB2462" s="84"/>
    </row>
    <row r="2463">
      <c r="A2463" s="69">
        <v>164.0</v>
      </c>
      <c r="B2463" s="69">
        <v>265.0</v>
      </c>
      <c r="C2463" s="86" t="s">
        <v>540</v>
      </c>
      <c r="D2463" s="86" t="s">
        <v>541</v>
      </c>
      <c r="E2463" s="86" t="s">
        <v>542</v>
      </c>
      <c r="F2463" s="69">
        <v>6500.0</v>
      </c>
      <c r="G2463" s="69">
        <v>12.24</v>
      </c>
      <c r="H2463" s="68">
        <f t="shared" si="1"/>
        <v>111.09</v>
      </c>
      <c r="I2463" s="81">
        <f>IFERROR(__xludf.DUMMYFUNCTION("IF(G2463="""", """", ROUND(G2463 / MAX(FILTER($G$2:$G5067, $D$2:$D5067=$D2463)) * 100, 2))"),85.71)</f>
        <v>85.71</v>
      </c>
      <c r="J2463" s="81">
        <f>IFERROR(__xludf.DUMMYFUNCTION("IF(H2463="""", """", ROUND(H2463 / MAX(FILTER($H$2:$H5067, $D$2:$D5067=$D2463)) * 100, 2))"),98.22)</f>
        <v>98.22</v>
      </c>
      <c r="K2463" s="2"/>
      <c r="L2463" s="48"/>
      <c r="M2463" s="48"/>
      <c r="N2463" s="48"/>
      <c r="O2463" s="48" t="str">
        <f t="shared" si="2"/>
        <v/>
      </c>
      <c r="P2463" s="48" t="str">
        <f t="shared" si="3"/>
        <v/>
      </c>
      <c r="Q2463" s="84"/>
      <c r="R2463" s="84"/>
      <c r="S2463" s="84"/>
      <c r="T2463" s="84"/>
      <c r="U2463" s="84"/>
      <c r="V2463" s="84"/>
      <c r="W2463" s="84"/>
      <c r="X2463" s="84"/>
      <c r="Y2463" s="84"/>
      <c r="Z2463" s="84"/>
      <c r="AA2463" s="84"/>
      <c r="AB2463" s="84"/>
    </row>
    <row r="2464">
      <c r="A2464" s="63">
        <v>164.0</v>
      </c>
      <c r="B2464" s="63">
        <v>265.0</v>
      </c>
      <c r="C2464" s="64" t="s">
        <v>540</v>
      </c>
      <c r="D2464" s="64" t="s">
        <v>541</v>
      </c>
      <c r="E2464" s="64" t="s">
        <v>542</v>
      </c>
      <c r="F2464" s="63">
        <v>7000.0</v>
      </c>
      <c r="G2464" s="63">
        <v>10.6</v>
      </c>
      <c r="H2464" s="66">
        <f t="shared" si="1"/>
        <v>103.6</v>
      </c>
      <c r="I2464" s="81">
        <f>IFERROR(__xludf.DUMMYFUNCTION("IF(G2464="""", """", ROUND(G2464 / MAX(FILTER($G$2:$G5067, $D$2:$D5067=$D2464)) * 100, 2))"),74.23)</f>
        <v>74.23</v>
      </c>
      <c r="J2464" s="81">
        <f>IFERROR(__xludf.DUMMYFUNCTION("IF(H2464="""", """", ROUND(H2464 / MAX(FILTER($H$2:$H5067, $D$2:$D5067=$D2464)) * 100, 2))"),91.6)</f>
        <v>91.6</v>
      </c>
      <c r="K2464" s="2"/>
      <c r="L2464" s="49"/>
      <c r="M2464" s="49"/>
      <c r="N2464" s="49"/>
      <c r="O2464" s="49" t="str">
        <f t="shared" si="2"/>
        <v/>
      </c>
      <c r="P2464" s="49" t="str">
        <f t="shared" si="3"/>
        <v/>
      </c>
      <c r="Q2464" s="84"/>
      <c r="R2464" s="84"/>
      <c r="S2464" s="84"/>
      <c r="T2464" s="84"/>
      <c r="U2464" s="84"/>
      <c r="V2464" s="84"/>
      <c r="W2464" s="84"/>
      <c r="X2464" s="84"/>
      <c r="Y2464" s="84"/>
      <c r="Z2464" s="84"/>
      <c r="AA2464" s="84"/>
      <c r="AB2464" s="84"/>
    </row>
    <row r="2465">
      <c r="A2465" s="69">
        <v>165.0</v>
      </c>
      <c r="B2465" s="69">
        <v>266.0</v>
      </c>
      <c r="C2465" s="86" t="s">
        <v>543</v>
      </c>
      <c r="D2465" s="86" t="s">
        <v>544</v>
      </c>
      <c r="E2465" s="86" t="s">
        <v>545</v>
      </c>
      <c r="F2465" s="69">
        <v>500.0</v>
      </c>
      <c r="G2465" s="69">
        <v>14.33</v>
      </c>
      <c r="H2465" s="68">
        <f t="shared" si="1"/>
        <v>10</v>
      </c>
      <c r="I2465" s="81">
        <f>IFERROR(__xludf.DUMMYFUNCTION("IF(G2465="""", """", ROUND(G2465 / MAX(FILTER($G$2:$G5067, $D$2:$D5067=$D2465)) * 100, 2))"),68.24)</f>
        <v>68.24</v>
      </c>
      <c r="J2465" s="81">
        <f>IFERROR(__xludf.DUMMYFUNCTION("IF(H2465="""", """", ROUND(H2465 / MAX(FILTER($H$2:$H5067, $D$2:$D5067=$D2465)) * 100, 2))"),4.9)</f>
        <v>4.9</v>
      </c>
      <c r="K2465" s="2"/>
      <c r="L2465" s="48"/>
      <c r="M2465" s="48"/>
      <c r="N2465" s="48"/>
      <c r="O2465" s="48" t="str">
        <f t="shared" si="2"/>
        <v/>
      </c>
      <c r="P2465" s="48" t="str">
        <f t="shared" si="3"/>
        <v/>
      </c>
      <c r="Q2465" s="84"/>
      <c r="R2465" s="84"/>
      <c r="S2465" s="84"/>
      <c r="T2465" s="84"/>
      <c r="U2465" s="84"/>
      <c r="V2465" s="84"/>
      <c r="W2465" s="84"/>
      <c r="X2465" s="84"/>
      <c r="Y2465" s="84"/>
      <c r="Z2465" s="84"/>
      <c r="AA2465" s="84"/>
      <c r="AB2465" s="84"/>
    </row>
    <row r="2466">
      <c r="A2466" s="63">
        <v>165.0</v>
      </c>
      <c r="B2466" s="63">
        <v>266.0</v>
      </c>
      <c r="C2466" s="64" t="s">
        <v>543</v>
      </c>
      <c r="D2466" s="64" t="s">
        <v>544</v>
      </c>
      <c r="E2466" s="64" t="s">
        <v>545</v>
      </c>
      <c r="F2466" s="63">
        <v>1000.0</v>
      </c>
      <c r="G2466" s="63">
        <v>16.05</v>
      </c>
      <c r="H2466" s="66">
        <f t="shared" si="1"/>
        <v>22.41</v>
      </c>
      <c r="I2466" s="81">
        <f>IFERROR(__xludf.DUMMYFUNCTION("IF(G2466="""", """", ROUND(G2466 / MAX(FILTER($G$2:$G5067, $D$2:$D5067=$D2466)) * 100, 2))"),76.43)</f>
        <v>76.43</v>
      </c>
      <c r="J2466" s="81">
        <f>IFERROR(__xludf.DUMMYFUNCTION("IF(H2466="""", """", ROUND(H2466 / MAX(FILTER($H$2:$H5067, $D$2:$D5067=$D2466)) * 100, 2))"),10.98)</f>
        <v>10.98</v>
      </c>
      <c r="K2466" s="2"/>
      <c r="L2466" s="49"/>
      <c r="M2466" s="49"/>
      <c r="N2466" s="49"/>
      <c r="O2466" s="49" t="str">
        <f t="shared" si="2"/>
        <v/>
      </c>
      <c r="P2466" s="49" t="str">
        <f t="shared" si="3"/>
        <v/>
      </c>
      <c r="Q2466" s="84"/>
      <c r="R2466" s="84"/>
      <c r="S2466" s="84"/>
      <c r="T2466" s="84"/>
      <c r="U2466" s="84"/>
      <c r="V2466" s="84"/>
      <c r="W2466" s="84"/>
      <c r="X2466" s="84"/>
      <c r="Y2466" s="84"/>
      <c r="Z2466" s="84"/>
      <c r="AA2466" s="84"/>
      <c r="AB2466" s="84"/>
    </row>
    <row r="2467">
      <c r="A2467" s="69">
        <v>165.0</v>
      </c>
      <c r="B2467" s="69">
        <v>266.0</v>
      </c>
      <c r="C2467" s="86" t="s">
        <v>543</v>
      </c>
      <c r="D2467" s="86" t="s">
        <v>544</v>
      </c>
      <c r="E2467" s="86" t="s">
        <v>545</v>
      </c>
      <c r="F2467" s="69">
        <v>1500.0</v>
      </c>
      <c r="G2467" s="69">
        <v>17.4</v>
      </c>
      <c r="H2467" s="68">
        <f t="shared" si="1"/>
        <v>36.44</v>
      </c>
      <c r="I2467" s="81">
        <f>IFERROR(__xludf.DUMMYFUNCTION("IF(G2467="""", """", ROUND(G2467 / MAX(FILTER($G$2:$G5067, $D$2:$D5067=$D2467)) * 100, 2))"),82.86)</f>
        <v>82.86</v>
      </c>
      <c r="J2467" s="81">
        <f>IFERROR(__xludf.DUMMYFUNCTION("IF(H2467="""", """", ROUND(H2467 / MAX(FILTER($H$2:$H5067, $D$2:$D5067=$D2467)) * 100, 2))"),17.86)</f>
        <v>17.86</v>
      </c>
      <c r="K2467" s="2"/>
      <c r="L2467" s="48"/>
      <c r="M2467" s="48"/>
      <c r="N2467" s="48"/>
      <c r="O2467" s="48" t="str">
        <f t="shared" si="2"/>
        <v/>
      </c>
      <c r="P2467" s="48" t="str">
        <f t="shared" si="3"/>
        <v/>
      </c>
      <c r="Q2467" s="84"/>
      <c r="R2467" s="84"/>
      <c r="S2467" s="84"/>
      <c r="T2467" s="84"/>
      <c r="U2467" s="84"/>
      <c r="V2467" s="84"/>
      <c r="W2467" s="84"/>
      <c r="X2467" s="84"/>
      <c r="Y2467" s="84"/>
      <c r="Z2467" s="84"/>
      <c r="AA2467" s="84"/>
      <c r="AB2467" s="84"/>
    </row>
    <row r="2468">
      <c r="A2468" s="63">
        <v>165.0</v>
      </c>
      <c r="B2468" s="63">
        <v>266.0</v>
      </c>
      <c r="C2468" s="64" t="s">
        <v>543</v>
      </c>
      <c r="D2468" s="64" t="s">
        <v>544</v>
      </c>
      <c r="E2468" s="64" t="s">
        <v>545</v>
      </c>
      <c r="F2468" s="63">
        <v>2000.0</v>
      </c>
      <c r="G2468" s="63">
        <v>18.53</v>
      </c>
      <c r="H2468" s="66">
        <f t="shared" si="1"/>
        <v>51.75</v>
      </c>
      <c r="I2468" s="81">
        <f>IFERROR(__xludf.DUMMYFUNCTION("IF(G2468="""", """", ROUND(G2468 / MAX(FILTER($G$2:$G5067, $D$2:$D5067=$D2468)) * 100, 2))"),88.24)</f>
        <v>88.24</v>
      </c>
      <c r="J2468" s="81">
        <f>IFERROR(__xludf.DUMMYFUNCTION("IF(H2468="""", """", ROUND(H2468 / MAX(FILTER($H$2:$H5067, $D$2:$D5067=$D2468)) * 100, 2))"),25.36)</f>
        <v>25.36</v>
      </c>
      <c r="K2468" s="2"/>
      <c r="L2468" s="49"/>
      <c r="M2468" s="49"/>
      <c r="N2468" s="49"/>
      <c r="O2468" s="49" t="str">
        <f t="shared" si="2"/>
        <v/>
      </c>
      <c r="P2468" s="49" t="str">
        <f t="shared" si="3"/>
        <v/>
      </c>
      <c r="Q2468" s="84"/>
      <c r="R2468" s="84"/>
      <c r="S2468" s="84"/>
      <c r="T2468" s="84"/>
      <c r="U2468" s="84"/>
      <c r="V2468" s="84"/>
      <c r="W2468" s="84"/>
      <c r="X2468" s="84"/>
      <c r="Y2468" s="84"/>
      <c r="Z2468" s="84"/>
      <c r="AA2468" s="84"/>
      <c r="AB2468" s="84"/>
    </row>
    <row r="2469">
      <c r="A2469" s="69">
        <v>165.0</v>
      </c>
      <c r="B2469" s="69">
        <v>266.0</v>
      </c>
      <c r="C2469" s="86" t="s">
        <v>543</v>
      </c>
      <c r="D2469" s="86" t="s">
        <v>544</v>
      </c>
      <c r="E2469" s="86" t="s">
        <v>545</v>
      </c>
      <c r="F2469" s="69">
        <v>2500.0</v>
      </c>
      <c r="G2469" s="69">
        <v>19.2</v>
      </c>
      <c r="H2469" s="68">
        <f t="shared" si="1"/>
        <v>67.02</v>
      </c>
      <c r="I2469" s="81">
        <f>IFERROR(__xludf.DUMMYFUNCTION("IF(G2469="""", """", ROUND(G2469 / MAX(FILTER($G$2:$G5067, $D$2:$D5067=$D2469)) * 100, 2))"),91.43)</f>
        <v>91.43</v>
      </c>
      <c r="J2469" s="81">
        <f>IFERROR(__xludf.DUMMYFUNCTION("IF(H2469="""", """", ROUND(H2469 / MAX(FILTER($H$2:$H5067, $D$2:$D5067=$D2469)) * 100, 2))"),32.84)</f>
        <v>32.84</v>
      </c>
      <c r="K2469" s="2"/>
      <c r="L2469" s="48"/>
      <c r="M2469" s="48"/>
      <c r="N2469" s="48"/>
      <c r="O2469" s="48" t="str">
        <f t="shared" si="2"/>
        <v/>
      </c>
      <c r="P2469" s="48" t="str">
        <f t="shared" si="3"/>
        <v/>
      </c>
      <c r="Q2469" s="84"/>
      <c r="R2469" s="84"/>
      <c r="S2469" s="84"/>
      <c r="T2469" s="84"/>
      <c r="U2469" s="84"/>
      <c r="V2469" s="84"/>
      <c r="W2469" s="84"/>
      <c r="X2469" s="84"/>
      <c r="Y2469" s="84"/>
      <c r="Z2469" s="84"/>
      <c r="AA2469" s="84"/>
      <c r="AB2469" s="84"/>
    </row>
    <row r="2470">
      <c r="A2470" s="63">
        <v>165.0</v>
      </c>
      <c r="B2470" s="63">
        <v>266.0</v>
      </c>
      <c r="C2470" s="64" t="s">
        <v>543</v>
      </c>
      <c r="D2470" s="64" t="s">
        <v>544</v>
      </c>
      <c r="E2470" s="64" t="s">
        <v>545</v>
      </c>
      <c r="F2470" s="63">
        <v>3000.0</v>
      </c>
      <c r="G2470" s="63">
        <v>19.95</v>
      </c>
      <c r="H2470" s="66">
        <f t="shared" si="1"/>
        <v>83.57</v>
      </c>
      <c r="I2470" s="81">
        <f>IFERROR(__xludf.DUMMYFUNCTION("IF(G2470="""", """", ROUND(G2470 / MAX(FILTER($G$2:$G5067, $D$2:$D5067=$D2470)) * 100, 2))"),95.0)</f>
        <v>95</v>
      </c>
      <c r="J2470" s="81">
        <f>IFERROR(__xludf.DUMMYFUNCTION("IF(H2470="""", """", ROUND(H2470 / MAX(FILTER($H$2:$H5067, $D$2:$D5067=$D2470)) * 100, 2))"),40.95)</f>
        <v>40.95</v>
      </c>
      <c r="K2470" s="2"/>
      <c r="L2470" s="49"/>
      <c r="M2470" s="49"/>
      <c r="N2470" s="49"/>
      <c r="O2470" s="49" t="str">
        <f t="shared" si="2"/>
        <v/>
      </c>
      <c r="P2470" s="49" t="str">
        <f t="shared" si="3"/>
        <v/>
      </c>
      <c r="Q2470" s="84"/>
      <c r="R2470" s="84"/>
      <c r="S2470" s="84"/>
      <c r="T2470" s="84"/>
      <c r="U2470" s="84"/>
      <c r="V2470" s="84"/>
      <c r="W2470" s="84"/>
      <c r="X2470" s="84"/>
      <c r="Y2470" s="84"/>
      <c r="Z2470" s="84"/>
      <c r="AA2470" s="84"/>
      <c r="AB2470" s="84"/>
    </row>
    <row r="2471">
      <c r="A2471" s="69">
        <v>165.0</v>
      </c>
      <c r="B2471" s="69">
        <v>266.0</v>
      </c>
      <c r="C2471" s="86" t="s">
        <v>543</v>
      </c>
      <c r="D2471" s="86" t="s">
        <v>544</v>
      </c>
      <c r="E2471" s="86" t="s">
        <v>545</v>
      </c>
      <c r="F2471" s="69">
        <v>3500.0</v>
      </c>
      <c r="G2471" s="69">
        <v>20.1</v>
      </c>
      <c r="H2471" s="68">
        <f t="shared" si="1"/>
        <v>98.23</v>
      </c>
      <c r="I2471" s="81">
        <f>IFERROR(__xludf.DUMMYFUNCTION("IF(G2471="""", """", ROUND(G2471 / MAX(FILTER($G$2:$G5067, $D$2:$D5067=$D2471)) * 100, 2))"),95.71)</f>
        <v>95.71</v>
      </c>
      <c r="J2471" s="81">
        <f>IFERROR(__xludf.DUMMYFUNCTION("IF(H2471="""", """", ROUND(H2471 / MAX(FILTER($H$2:$H5067, $D$2:$D5067=$D2471)) * 100, 2))"),48.13)</f>
        <v>48.13</v>
      </c>
      <c r="K2471" s="2"/>
      <c r="L2471" s="48"/>
      <c r="M2471" s="48"/>
      <c r="N2471" s="48"/>
      <c r="O2471" s="48" t="str">
        <f t="shared" si="2"/>
        <v/>
      </c>
      <c r="P2471" s="48" t="str">
        <f t="shared" si="3"/>
        <v/>
      </c>
      <c r="Q2471" s="84"/>
      <c r="R2471" s="84"/>
      <c r="S2471" s="84"/>
      <c r="T2471" s="84"/>
      <c r="U2471" s="84"/>
      <c r="V2471" s="84"/>
      <c r="W2471" s="84"/>
      <c r="X2471" s="84"/>
      <c r="Y2471" s="84"/>
      <c r="Z2471" s="84"/>
      <c r="AA2471" s="84"/>
      <c r="AB2471" s="84"/>
    </row>
    <row r="2472">
      <c r="A2472" s="63">
        <v>165.0</v>
      </c>
      <c r="B2472" s="63">
        <v>266.0</v>
      </c>
      <c r="C2472" s="64" t="s">
        <v>543</v>
      </c>
      <c r="D2472" s="64" t="s">
        <v>544</v>
      </c>
      <c r="E2472" s="64" t="s">
        <v>545</v>
      </c>
      <c r="F2472" s="63">
        <v>4000.0</v>
      </c>
      <c r="G2472" s="63">
        <v>20.03</v>
      </c>
      <c r="H2472" s="66">
        <f t="shared" si="1"/>
        <v>111.87</v>
      </c>
      <c r="I2472" s="81">
        <f>IFERROR(__xludf.DUMMYFUNCTION("IF(G2472="""", """", ROUND(G2472 / MAX(FILTER($G$2:$G5067, $D$2:$D5067=$D2472)) * 100, 2))"),95.38)</f>
        <v>95.38</v>
      </c>
      <c r="J2472" s="81">
        <f>IFERROR(__xludf.DUMMYFUNCTION("IF(H2472="""", """", ROUND(H2472 / MAX(FILTER($H$2:$H5067, $D$2:$D5067=$D2472)) * 100, 2))"),54.82)</f>
        <v>54.82</v>
      </c>
      <c r="K2472" s="2"/>
      <c r="L2472" s="49"/>
      <c r="M2472" s="49"/>
      <c r="N2472" s="49"/>
      <c r="O2472" s="49" t="str">
        <f t="shared" si="2"/>
        <v/>
      </c>
      <c r="P2472" s="49" t="str">
        <f t="shared" si="3"/>
        <v/>
      </c>
      <c r="Q2472" s="84"/>
      <c r="R2472" s="84"/>
      <c r="S2472" s="84"/>
      <c r="T2472" s="84"/>
      <c r="U2472" s="84"/>
      <c r="V2472" s="84"/>
      <c r="W2472" s="84"/>
      <c r="X2472" s="84"/>
      <c r="Y2472" s="84"/>
      <c r="Z2472" s="84"/>
      <c r="AA2472" s="84"/>
      <c r="AB2472" s="84"/>
    </row>
    <row r="2473">
      <c r="A2473" s="69">
        <v>165.0</v>
      </c>
      <c r="B2473" s="69">
        <v>266.0</v>
      </c>
      <c r="C2473" s="86" t="s">
        <v>543</v>
      </c>
      <c r="D2473" s="86" t="s">
        <v>544</v>
      </c>
      <c r="E2473" s="86" t="s">
        <v>545</v>
      </c>
      <c r="F2473" s="69">
        <v>4500.0</v>
      </c>
      <c r="G2473" s="69">
        <v>20.33</v>
      </c>
      <c r="H2473" s="68">
        <f t="shared" si="1"/>
        <v>127.74</v>
      </c>
      <c r="I2473" s="81">
        <f>IFERROR(__xludf.DUMMYFUNCTION("IF(G2473="""", """", ROUND(G2473 / MAX(FILTER($G$2:$G5067, $D$2:$D5067=$D2473)) * 100, 2))"),96.81)</f>
        <v>96.81</v>
      </c>
      <c r="J2473" s="81">
        <f>IFERROR(__xludf.DUMMYFUNCTION("IF(H2473="""", """", ROUND(H2473 / MAX(FILTER($H$2:$H5067, $D$2:$D5067=$D2473)) * 100, 2))"),62.59)</f>
        <v>62.59</v>
      </c>
      <c r="K2473" s="2"/>
      <c r="L2473" s="48"/>
      <c r="M2473" s="48"/>
      <c r="N2473" s="48"/>
      <c r="O2473" s="48" t="str">
        <f t="shared" si="2"/>
        <v/>
      </c>
      <c r="P2473" s="48" t="str">
        <f t="shared" si="3"/>
        <v/>
      </c>
      <c r="Q2473" s="84"/>
      <c r="R2473" s="84"/>
      <c r="S2473" s="84"/>
      <c r="T2473" s="84"/>
      <c r="U2473" s="84"/>
      <c r="V2473" s="84"/>
      <c r="W2473" s="84"/>
      <c r="X2473" s="84"/>
      <c r="Y2473" s="84"/>
      <c r="Z2473" s="84"/>
      <c r="AA2473" s="84"/>
      <c r="AB2473" s="84"/>
    </row>
    <row r="2474">
      <c r="A2474" s="63">
        <v>165.0</v>
      </c>
      <c r="B2474" s="63">
        <v>266.0</v>
      </c>
      <c r="C2474" s="64" t="s">
        <v>543</v>
      </c>
      <c r="D2474" s="64" t="s">
        <v>544</v>
      </c>
      <c r="E2474" s="64" t="s">
        <v>545</v>
      </c>
      <c r="F2474" s="63">
        <v>5200.0</v>
      </c>
      <c r="G2474" s="63">
        <v>21.0</v>
      </c>
      <c r="H2474" s="66">
        <f t="shared" si="1"/>
        <v>152.47</v>
      </c>
      <c r="I2474" s="81">
        <f>IFERROR(__xludf.DUMMYFUNCTION("IF(G2474="""", """", ROUND(G2474 / MAX(FILTER($G$2:$G5067, $D$2:$D5067=$D2474)) * 100, 2))"),100.0)</f>
        <v>100</v>
      </c>
      <c r="J2474" s="81">
        <f>IFERROR(__xludf.DUMMYFUNCTION("IF(H2474="""", """", ROUND(H2474 / MAX(FILTER($H$2:$H5067, $D$2:$D5067=$D2474)) * 100, 2))"),74.71)</f>
        <v>74.71</v>
      </c>
      <c r="K2474" s="2"/>
      <c r="L2474" s="49"/>
      <c r="M2474" s="49"/>
      <c r="N2474" s="49"/>
      <c r="O2474" s="49" t="str">
        <f t="shared" si="2"/>
        <v/>
      </c>
      <c r="P2474" s="49" t="str">
        <f t="shared" si="3"/>
        <v/>
      </c>
      <c r="Q2474" s="84"/>
      <c r="R2474" s="84"/>
      <c r="S2474" s="84"/>
      <c r="T2474" s="84"/>
      <c r="U2474" s="84"/>
      <c r="V2474" s="84"/>
      <c r="W2474" s="84"/>
      <c r="X2474" s="84"/>
      <c r="Y2474" s="84"/>
      <c r="Z2474" s="84"/>
      <c r="AA2474" s="84"/>
      <c r="AB2474" s="84"/>
    </row>
    <row r="2475">
      <c r="A2475" s="69">
        <v>165.0</v>
      </c>
      <c r="B2475" s="69">
        <v>266.0</v>
      </c>
      <c r="C2475" s="86" t="s">
        <v>543</v>
      </c>
      <c r="D2475" s="86" t="s">
        <v>544</v>
      </c>
      <c r="E2475" s="86" t="s">
        <v>545</v>
      </c>
      <c r="F2475" s="69">
        <v>5600.0</v>
      </c>
      <c r="G2475" s="69">
        <v>20.93</v>
      </c>
      <c r="H2475" s="68">
        <f t="shared" si="1"/>
        <v>163.65</v>
      </c>
      <c r="I2475" s="81">
        <f>IFERROR(__xludf.DUMMYFUNCTION("IF(G2475="""", """", ROUND(G2475 / MAX(FILTER($G$2:$G5067, $D$2:$D5067=$D2475)) * 100, 2))"),99.67)</f>
        <v>99.67</v>
      </c>
      <c r="J2475" s="81">
        <f>IFERROR(__xludf.DUMMYFUNCTION("IF(H2475="""", """", ROUND(H2475 / MAX(FILTER($H$2:$H5067, $D$2:$D5067=$D2475)) * 100, 2))"),80.19)</f>
        <v>80.19</v>
      </c>
      <c r="K2475" s="2"/>
      <c r="L2475" s="48"/>
      <c r="M2475" s="48"/>
      <c r="N2475" s="48"/>
      <c r="O2475" s="48" t="str">
        <f t="shared" si="2"/>
        <v/>
      </c>
      <c r="P2475" s="48" t="str">
        <f t="shared" si="3"/>
        <v/>
      </c>
      <c r="Q2475" s="84"/>
      <c r="R2475" s="84"/>
      <c r="S2475" s="84"/>
      <c r="T2475" s="84"/>
      <c r="U2475" s="84"/>
      <c r="V2475" s="84"/>
      <c r="W2475" s="84"/>
      <c r="X2475" s="84"/>
      <c r="Y2475" s="84"/>
      <c r="Z2475" s="84"/>
      <c r="AA2475" s="84"/>
      <c r="AB2475" s="84"/>
    </row>
    <row r="2476">
      <c r="A2476" s="63">
        <v>165.0</v>
      </c>
      <c r="B2476" s="63">
        <v>266.0</v>
      </c>
      <c r="C2476" s="64" t="s">
        <v>543</v>
      </c>
      <c r="D2476" s="64" t="s">
        <v>544</v>
      </c>
      <c r="E2476" s="64" t="s">
        <v>545</v>
      </c>
      <c r="F2476" s="63">
        <v>6000.0</v>
      </c>
      <c r="G2476" s="63">
        <v>20.93</v>
      </c>
      <c r="H2476" s="66">
        <f t="shared" si="1"/>
        <v>175.34</v>
      </c>
      <c r="I2476" s="81">
        <f>IFERROR(__xludf.DUMMYFUNCTION("IF(G2476="""", """", ROUND(G2476 / MAX(FILTER($G$2:$G5067, $D$2:$D5067=$D2476)) * 100, 2))"),99.67)</f>
        <v>99.67</v>
      </c>
      <c r="J2476" s="81">
        <f>IFERROR(__xludf.DUMMYFUNCTION("IF(H2476="""", """", ROUND(H2476 / MAX(FILTER($H$2:$H5067, $D$2:$D5067=$D2476)) * 100, 2))"),85.92)</f>
        <v>85.92</v>
      </c>
      <c r="K2476" s="2"/>
      <c r="L2476" s="49"/>
      <c r="M2476" s="49"/>
      <c r="N2476" s="49"/>
      <c r="O2476" s="49" t="str">
        <f t="shared" si="2"/>
        <v/>
      </c>
      <c r="P2476" s="49" t="str">
        <f t="shared" si="3"/>
        <v/>
      </c>
      <c r="Q2476" s="84"/>
      <c r="R2476" s="84"/>
      <c r="S2476" s="84"/>
      <c r="T2476" s="84"/>
      <c r="U2476" s="84"/>
      <c r="V2476" s="84"/>
      <c r="W2476" s="84"/>
      <c r="X2476" s="84"/>
      <c r="Y2476" s="84"/>
      <c r="Z2476" s="84"/>
      <c r="AA2476" s="84"/>
      <c r="AB2476" s="84"/>
    </row>
    <row r="2477">
      <c r="A2477" s="69">
        <v>165.0</v>
      </c>
      <c r="B2477" s="69">
        <v>266.0</v>
      </c>
      <c r="C2477" s="86" t="s">
        <v>543</v>
      </c>
      <c r="D2477" s="86" t="s">
        <v>544</v>
      </c>
      <c r="E2477" s="86" t="s">
        <v>545</v>
      </c>
      <c r="F2477" s="69">
        <v>6500.0</v>
      </c>
      <c r="G2477" s="69">
        <v>20.93</v>
      </c>
      <c r="H2477" s="68">
        <f t="shared" si="1"/>
        <v>189.95</v>
      </c>
      <c r="I2477" s="81">
        <f>IFERROR(__xludf.DUMMYFUNCTION("IF(G2477="""", """", ROUND(G2477 / MAX(FILTER($G$2:$G5067, $D$2:$D5067=$D2477)) * 100, 2))"),99.67)</f>
        <v>99.67</v>
      </c>
      <c r="J2477" s="81">
        <f>IFERROR(__xludf.DUMMYFUNCTION("IF(H2477="""", """", ROUND(H2477 / MAX(FILTER($H$2:$H5067, $D$2:$D5067=$D2477)) * 100, 2))"),93.08)</f>
        <v>93.08</v>
      </c>
      <c r="K2477" s="2"/>
      <c r="L2477" s="48"/>
      <c r="M2477" s="48"/>
      <c r="N2477" s="48"/>
      <c r="O2477" s="48" t="str">
        <f t="shared" si="2"/>
        <v/>
      </c>
      <c r="P2477" s="48" t="str">
        <f t="shared" si="3"/>
        <v/>
      </c>
      <c r="Q2477" s="84"/>
      <c r="R2477" s="84"/>
      <c r="S2477" s="84"/>
      <c r="T2477" s="84"/>
      <c r="U2477" s="84"/>
      <c r="V2477" s="84"/>
      <c r="W2477" s="84"/>
      <c r="X2477" s="84"/>
      <c r="Y2477" s="84"/>
      <c r="Z2477" s="84"/>
      <c r="AA2477" s="84"/>
      <c r="AB2477" s="84"/>
    </row>
    <row r="2478">
      <c r="A2478" s="63">
        <v>165.0</v>
      </c>
      <c r="B2478" s="63">
        <v>266.0</v>
      </c>
      <c r="C2478" s="64" t="s">
        <v>543</v>
      </c>
      <c r="D2478" s="64" t="s">
        <v>544</v>
      </c>
      <c r="E2478" s="64" t="s">
        <v>545</v>
      </c>
      <c r="F2478" s="63">
        <v>7000.0</v>
      </c>
      <c r="G2478" s="63">
        <v>20.63</v>
      </c>
      <c r="H2478" s="66">
        <f t="shared" si="1"/>
        <v>201.63</v>
      </c>
      <c r="I2478" s="81">
        <f>IFERROR(__xludf.DUMMYFUNCTION("IF(G2478="""", """", ROUND(G2478 / MAX(FILTER($G$2:$G5067, $D$2:$D5067=$D2478)) * 100, 2))"),98.24)</f>
        <v>98.24</v>
      </c>
      <c r="J2478" s="81">
        <f>IFERROR(__xludf.DUMMYFUNCTION("IF(H2478="""", """", ROUND(H2478 / MAX(FILTER($H$2:$H5067, $D$2:$D5067=$D2478)) * 100, 2))"),98.8)</f>
        <v>98.8</v>
      </c>
      <c r="K2478" s="2"/>
      <c r="L2478" s="49"/>
      <c r="M2478" s="49"/>
      <c r="N2478" s="49"/>
      <c r="O2478" s="49" t="str">
        <f t="shared" si="2"/>
        <v/>
      </c>
      <c r="P2478" s="49" t="str">
        <f t="shared" si="3"/>
        <v/>
      </c>
      <c r="Q2478" s="84"/>
      <c r="R2478" s="84"/>
      <c r="S2478" s="84"/>
      <c r="T2478" s="84"/>
      <c r="U2478" s="84"/>
      <c r="V2478" s="84"/>
      <c r="W2478" s="84"/>
      <c r="X2478" s="84"/>
      <c r="Y2478" s="84"/>
      <c r="Z2478" s="84"/>
      <c r="AA2478" s="84"/>
      <c r="AB2478" s="84"/>
    </row>
    <row r="2479">
      <c r="A2479" s="69">
        <v>165.0</v>
      </c>
      <c r="B2479" s="69">
        <v>266.0</v>
      </c>
      <c r="C2479" s="86" t="s">
        <v>543</v>
      </c>
      <c r="D2479" s="86" t="s">
        <v>544</v>
      </c>
      <c r="E2479" s="86" t="s">
        <v>545</v>
      </c>
      <c r="F2479" s="69">
        <v>7200.0</v>
      </c>
      <c r="G2479" s="69">
        <v>20.3</v>
      </c>
      <c r="H2479" s="68">
        <f t="shared" si="1"/>
        <v>204.08</v>
      </c>
      <c r="I2479" s="81">
        <f>IFERROR(__xludf.DUMMYFUNCTION("IF(G2479="""", """", ROUND(G2479 / MAX(FILTER($G$2:$G5067, $D$2:$D5067=$D2479)) * 100, 2))"),96.67)</f>
        <v>96.67</v>
      </c>
      <c r="J2479" s="81">
        <f>IFERROR(__xludf.DUMMYFUNCTION("IF(H2479="""", """", ROUND(H2479 / MAX(FILTER($H$2:$H5067, $D$2:$D5067=$D2479)) * 100, 2))"),100.0)</f>
        <v>100</v>
      </c>
      <c r="K2479" s="2"/>
      <c r="L2479" s="48"/>
      <c r="M2479" s="48"/>
      <c r="N2479" s="48"/>
      <c r="O2479" s="48" t="str">
        <f t="shared" si="2"/>
        <v/>
      </c>
      <c r="P2479" s="48" t="str">
        <f t="shared" si="3"/>
        <v/>
      </c>
      <c r="Q2479" s="84"/>
      <c r="R2479" s="84"/>
      <c r="S2479" s="84"/>
      <c r="T2479" s="84"/>
      <c r="U2479" s="84"/>
      <c r="V2479" s="84"/>
      <c r="W2479" s="84"/>
      <c r="X2479" s="84"/>
      <c r="Y2479" s="84"/>
      <c r="Z2479" s="84"/>
      <c r="AA2479" s="84"/>
      <c r="AB2479" s="84"/>
    </row>
    <row r="2480">
      <c r="A2480" s="63">
        <v>165.0</v>
      </c>
      <c r="B2480" s="63">
        <v>266.0</v>
      </c>
      <c r="C2480" s="64" t="s">
        <v>543</v>
      </c>
      <c r="D2480" s="64" t="s">
        <v>544</v>
      </c>
      <c r="E2480" s="64" t="s">
        <v>545</v>
      </c>
      <c r="F2480" s="63">
        <v>7800.0</v>
      </c>
      <c r="G2480" s="63">
        <v>18.68</v>
      </c>
      <c r="H2480" s="66">
        <f t="shared" si="1"/>
        <v>203.44</v>
      </c>
      <c r="I2480" s="81">
        <f>IFERROR(__xludf.DUMMYFUNCTION("IF(G2480="""", """", ROUND(G2480 / MAX(FILTER($G$2:$G5067, $D$2:$D5067=$D2480)) * 100, 2))"),88.95)</f>
        <v>88.95</v>
      </c>
      <c r="J2480" s="81">
        <f>IFERROR(__xludf.DUMMYFUNCTION("IF(H2480="""", """", ROUND(H2480 / MAX(FILTER($H$2:$H5067, $D$2:$D5067=$D2480)) * 100, 2))"),99.69)</f>
        <v>99.69</v>
      </c>
      <c r="K2480" s="2"/>
      <c r="L2480" s="49"/>
      <c r="M2480" s="49"/>
      <c r="N2480" s="49"/>
      <c r="O2480" s="49" t="str">
        <f t="shared" si="2"/>
        <v/>
      </c>
      <c r="P2480" s="49" t="str">
        <f t="shared" si="3"/>
        <v/>
      </c>
      <c r="Q2480" s="84"/>
      <c r="R2480" s="84"/>
      <c r="S2480" s="84"/>
      <c r="T2480" s="84"/>
      <c r="U2480" s="84"/>
      <c r="V2480" s="84"/>
      <c r="W2480" s="84"/>
      <c r="X2480" s="84"/>
      <c r="Y2480" s="84"/>
      <c r="Z2480" s="84"/>
      <c r="AA2480" s="84"/>
      <c r="AB2480" s="84"/>
    </row>
    <row r="2481">
      <c r="A2481" s="69">
        <v>165.0</v>
      </c>
      <c r="B2481" s="69">
        <v>266.0</v>
      </c>
      <c r="C2481" s="86" t="s">
        <v>543</v>
      </c>
      <c r="D2481" s="86" t="s">
        <v>544</v>
      </c>
      <c r="E2481" s="86" t="s">
        <v>545</v>
      </c>
      <c r="F2481" s="69">
        <v>8200.0</v>
      </c>
      <c r="G2481" s="69">
        <v>17.18</v>
      </c>
      <c r="H2481" s="68">
        <f t="shared" si="1"/>
        <v>196.7</v>
      </c>
      <c r="I2481" s="81">
        <f>IFERROR(__xludf.DUMMYFUNCTION("IF(G2481="""", """", ROUND(G2481 / MAX(FILTER($G$2:$G5067, $D$2:$D5067=$D2481)) * 100, 2))"),81.81)</f>
        <v>81.81</v>
      </c>
      <c r="J2481" s="81">
        <f>IFERROR(__xludf.DUMMYFUNCTION("IF(H2481="""", """", ROUND(H2481 / MAX(FILTER($H$2:$H5067, $D$2:$D5067=$D2481)) * 100, 2))"),96.38)</f>
        <v>96.38</v>
      </c>
      <c r="K2481" s="2"/>
      <c r="L2481" s="48"/>
      <c r="M2481" s="48"/>
      <c r="N2481" s="48"/>
      <c r="O2481" s="48" t="str">
        <f t="shared" si="2"/>
        <v/>
      </c>
      <c r="P2481" s="48" t="str">
        <f t="shared" si="3"/>
        <v/>
      </c>
      <c r="Q2481" s="84"/>
      <c r="R2481" s="84"/>
      <c r="S2481" s="84"/>
      <c r="T2481" s="84"/>
      <c r="U2481" s="84"/>
      <c r="V2481" s="84"/>
      <c r="W2481" s="84"/>
      <c r="X2481" s="84"/>
      <c r="Y2481" s="84"/>
      <c r="Z2481" s="84"/>
      <c r="AA2481" s="84"/>
      <c r="AB2481" s="84"/>
    </row>
    <row r="2482">
      <c r="A2482" s="63">
        <v>166.0</v>
      </c>
      <c r="B2482" s="63">
        <v>270.0</v>
      </c>
      <c r="C2482" s="64" t="s">
        <v>546</v>
      </c>
      <c r="D2482" s="64" t="s">
        <v>547</v>
      </c>
      <c r="E2482" s="64" t="s">
        <v>548</v>
      </c>
      <c r="F2482" s="63">
        <v>500.0</v>
      </c>
      <c r="G2482" s="63">
        <v>24.33</v>
      </c>
      <c r="H2482" s="66">
        <f t="shared" si="1"/>
        <v>16.99</v>
      </c>
      <c r="I2482" s="81">
        <f>IFERROR(__xludf.DUMMYFUNCTION("IF(G2482="""", """", ROUND(G2482 / MAX(FILTER($G$2:$G5067, $D$2:$D5067=$D2482)) * 100, 2))"),33.79)</f>
        <v>33.79</v>
      </c>
      <c r="J2482" s="81">
        <f>IFERROR(__xludf.DUMMYFUNCTION("IF(H2482="""", """", ROUND(H2482 / MAX(FILTER($H$2:$H5067, $D$2:$D5067=$D2482)) * 100, 2))"),2.62)</f>
        <v>2.62</v>
      </c>
      <c r="K2482" s="2"/>
      <c r="L2482" s="49"/>
      <c r="M2482" s="49"/>
      <c r="N2482" s="49"/>
      <c r="O2482" s="49" t="str">
        <f t="shared" si="2"/>
        <v/>
      </c>
      <c r="P2482" s="49" t="str">
        <f t="shared" si="3"/>
        <v/>
      </c>
      <c r="Q2482" s="84"/>
      <c r="R2482" s="84"/>
      <c r="S2482" s="84"/>
      <c r="T2482" s="84"/>
      <c r="U2482" s="84"/>
      <c r="V2482" s="84"/>
      <c r="W2482" s="84"/>
      <c r="X2482" s="84"/>
      <c r="Y2482" s="84"/>
      <c r="Z2482" s="84"/>
      <c r="AA2482" s="84"/>
      <c r="AB2482" s="84"/>
    </row>
    <row r="2483">
      <c r="A2483" s="69">
        <v>166.0</v>
      </c>
      <c r="B2483" s="69">
        <v>270.0</v>
      </c>
      <c r="C2483" s="86" t="s">
        <v>546</v>
      </c>
      <c r="D2483" s="86" t="s">
        <v>547</v>
      </c>
      <c r="E2483" s="86" t="s">
        <v>548</v>
      </c>
      <c r="F2483" s="69">
        <v>1000.0</v>
      </c>
      <c r="G2483" s="69">
        <v>26.77</v>
      </c>
      <c r="H2483" s="68">
        <f t="shared" si="1"/>
        <v>37.38</v>
      </c>
      <c r="I2483" s="81">
        <f>IFERROR(__xludf.DUMMYFUNCTION("IF(G2483="""", """", ROUND(G2483 / MAX(FILTER($G$2:$G5067, $D$2:$D5067=$D2483)) * 100, 2))"),37.18)</f>
        <v>37.18</v>
      </c>
      <c r="J2483" s="81">
        <f>IFERROR(__xludf.DUMMYFUNCTION("IF(H2483="""", """", ROUND(H2483 / MAX(FILTER($H$2:$H5067, $D$2:$D5067=$D2483)) * 100, 2))"),5.76)</f>
        <v>5.76</v>
      </c>
      <c r="K2483" s="2"/>
      <c r="L2483" s="48"/>
      <c r="M2483" s="48"/>
      <c r="N2483" s="48"/>
      <c r="O2483" s="48" t="str">
        <f t="shared" si="2"/>
        <v/>
      </c>
      <c r="P2483" s="48" t="str">
        <f t="shared" si="3"/>
        <v/>
      </c>
      <c r="Q2483" s="84"/>
      <c r="R2483" s="84"/>
      <c r="S2483" s="84"/>
      <c r="T2483" s="84"/>
      <c r="U2483" s="84"/>
      <c r="V2483" s="84"/>
      <c r="W2483" s="84"/>
      <c r="X2483" s="84"/>
      <c r="Y2483" s="84"/>
      <c r="Z2483" s="84"/>
      <c r="AA2483" s="84"/>
      <c r="AB2483" s="84"/>
    </row>
    <row r="2484">
      <c r="A2484" s="63">
        <v>166.0</v>
      </c>
      <c r="B2484" s="63">
        <v>270.0</v>
      </c>
      <c r="C2484" s="64" t="s">
        <v>546</v>
      </c>
      <c r="D2484" s="64" t="s">
        <v>547</v>
      </c>
      <c r="E2484" s="64" t="s">
        <v>548</v>
      </c>
      <c r="F2484" s="63">
        <v>1500.0</v>
      </c>
      <c r="G2484" s="63">
        <v>37.97</v>
      </c>
      <c r="H2484" s="66">
        <f t="shared" si="1"/>
        <v>79.52</v>
      </c>
      <c r="I2484" s="81">
        <f>IFERROR(__xludf.DUMMYFUNCTION("IF(G2484="""", """", ROUND(G2484 / MAX(FILTER($G$2:$G5067, $D$2:$D5067=$D2484)) * 100, 2))"),52.74)</f>
        <v>52.74</v>
      </c>
      <c r="J2484" s="81">
        <f>IFERROR(__xludf.DUMMYFUNCTION("IF(H2484="""", """", ROUND(H2484 / MAX(FILTER($H$2:$H5067, $D$2:$D5067=$D2484)) * 100, 2))"),12.24)</f>
        <v>12.24</v>
      </c>
      <c r="K2484" s="2"/>
      <c r="L2484" s="49"/>
      <c r="M2484" s="49"/>
      <c r="N2484" s="49"/>
      <c r="O2484" s="49" t="str">
        <f t="shared" si="2"/>
        <v/>
      </c>
      <c r="P2484" s="49" t="str">
        <f t="shared" si="3"/>
        <v/>
      </c>
      <c r="Q2484" s="84"/>
      <c r="R2484" s="84"/>
      <c r="S2484" s="84"/>
      <c r="T2484" s="84"/>
      <c r="U2484" s="84"/>
      <c r="V2484" s="84"/>
      <c r="W2484" s="84"/>
      <c r="X2484" s="84"/>
      <c r="Y2484" s="84"/>
      <c r="Z2484" s="84"/>
      <c r="AA2484" s="84"/>
      <c r="AB2484" s="84"/>
    </row>
    <row r="2485">
      <c r="A2485" s="69">
        <v>166.0</v>
      </c>
      <c r="B2485" s="69">
        <v>270.0</v>
      </c>
      <c r="C2485" s="86" t="s">
        <v>546</v>
      </c>
      <c r="D2485" s="86" t="s">
        <v>547</v>
      </c>
      <c r="E2485" s="86" t="s">
        <v>548</v>
      </c>
      <c r="F2485" s="69">
        <v>2000.0</v>
      </c>
      <c r="G2485" s="69">
        <v>50.4</v>
      </c>
      <c r="H2485" s="68">
        <f t="shared" si="1"/>
        <v>140.74</v>
      </c>
      <c r="I2485" s="81">
        <f>IFERROR(__xludf.DUMMYFUNCTION("IF(G2485="""", """", ROUND(G2485 / MAX(FILTER($G$2:$G5067, $D$2:$D5067=$D2485)) * 100, 2))"),70.0)</f>
        <v>70</v>
      </c>
      <c r="J2485" s="81">
        <f>IFERROR(__xludf.DUMMYFUNCTION("IF(H2485="""", """", ROUND(H2485 / MAX(FILTER($H$2:$H5067, $D$2:$D5067=$D2485)) * 100, 2))"),21.67)</f>
        <v>21.67</v>
      </c>
      <c r="K2485" s="2"/>
      <c r="L2485" s="48"/>
      <c r="M2485" s="48"/>
      <c r="N2485" s="48"/>
      <c r="O2485" s="48" t="str">
        <f t="shared" si="2"/>
        <v/>
      </c>
      <c r="P2485" s="48" t="str">
        <f t="shared" si="3"/>
        <v/>
      </c>
      <c r="Q2485" s="84"/>
      <c r="R2485" s="84"/>
      <c r="S2485" s="84"/>
      <c r="T2485" s="84"/>
      <c r="U2485" s="84"/>
      <c r="V2485" s="84"/>
      <c r="W2485" s="84"/>
      <c r="X2485" s="84"/>
      <c r="Y2485" s="84"/>
      <c r="Z2485" s="84"/>
      <c r="AA2485" s="84"/>
      <c r="AB2485" s="84"/>
    </row>
    <row r="2486">
      <c r="A2486" s="63">
        <v>166.0</v>
      </c>
      <c r="B2486" s="63">
        <v>270.0</v>
      </c>
      <c r="C2486" s="64" t="s">
        <v>546</v>
      </c>
      <c r="D2486" s="64" t="s">
        <v>547</v>
      </c>
      <c r="E2486" s="64" t="s">
        <v>548</v>
      </c>
      <c r="F2486" s="63">
        <v>2500.0</v>
      </c>
      <c r="G2486" s="63">
        <v>60.72</v>
      </c>
      <c r="H2486" s="66">
        <f t="shared" si="1"/>
        <v>211.95</v>
      </c>
      <c r="I2486" s="81">
        <f>IFERROR(__xludf.DUMMYFUNCTION("IF(G2486="""", """", ROUND(G2486 / MAX(FILTER($G$2:$G5067, $D$2:$D5067=$D2486)) * 100, 2))"),84.33)</f>
        <v>84.33</v>
      </c>
      <c r="J2486" s="81">
        <f>IFERROR(__xludf.DUMMYFUNCTION("IF(H2486="""", """", ROUND(H2486 / MAX(FILTER($H$2:$H5067, $D$2:$D5067=$D2486)) * 100, 2))"),32.64)</f>
        <v>32.64</v>
      </c>
      <c r="K2486" s="2"/>
      <c r="L2486" s="49"/>
      <c r="M2486" s="49"/>
      <c r="N2486" s="49"/>
      <c r="O2486" s="49" t="str">
        <f t="shared" si="2"/>
        <v/>
      </c>
      <c r="P2486" s="49" t="str">
        <f t="shared" si="3"/>
        <v/>
      </c>
      <c r="Q2486" s="84"/>
      <c r="R2486" s="84"/>
      <c r="S2486" s="84"/>
      <c r="T2486" s="84"/>
      <c r="U2486" s="84"/>
      <c r="V2486" s="84"/>
      <c r="W2486" s="84"/>
      <c r="X2486" s="84"/>
      <c r="Y2486" s="84"/>
      <c r="Z2486" s="84"/>
      <c r="AA2486" s="84"/>
      <c r="AB2486" s="84"/>
    </row>
    <row r="2487">
      <c r="A2487" s="69">
        <v>166.0</v>
      </c>
      <c r="B2487" s="69">
        <v>270.0</v>
      </c>
      <c r="C2487" s="86" t="s">
        <v>546</v>
      </c>
      <c r="D2487" s="86" t="s">
        <v>547</v>
      </c>
      <c r="E2487" s="86" t="s">
        <v>548</v>
      </c>
      <c r="F2487" s="69">
        <v>3000.0</v>
      </c>
      <c r="G2487" s="69">
        <v>68.13</v>
      </c>
      <c r="H2487" s="68">
        <f t="shared" si="1"/>
        <v>285.38</v>
      </c>
      <c r="I2487" s="81">
        <f>IFERROR(__xludf.DUMMYFUNCTION("IF(G2487="""", """", ROUND(G2487 / MAX(FILTER($G$2:$G5067, $D$2:$D5067=$D2487)) * 100, 2))"),94.63)</f>
        <v>94.63</v>
      </c>
      <c r="J2487" s="81">
        <f>IFERROR(__xludf.DUMMYFUNCTION("IF(H2487="""", """", ROUND(H2487 / MAX(FILTER($H$2:$H5067, $D$2:$D5067=$D2487)) * 100, 2))"),43.94)</f>
        <v>43.94</v>
      </c>
      <c r="K2487" s="2"/>
      <c r="L2487" s="48"/>
      <c r="M2487" s="48"/>
      <c r="N2487" s="48"/>
      <c r="O2487" s="48" t="str">
        <f t="shared" si="2"/>
        <v/>
      </c>
      <c r="P2487" s="48" t="str">
        <f t="shared" si="3"/>
        <v/>
      </c>
      <c r="Q2487" s="84"/>
      <c r="R2487" s="84"/>
      <c r="S2487" s="84"/>
      <c r="T2487" s="84"/>
      <c r="U2487" s="84"/>
      <c r="V2487" s="84"/>
      <c r="W2487" s="84"/>
      <c r="X2487" s="84"/>
      <c r="Y2487" s="84"/>
      <c r="Z2487" s="84"/>
      <c r="AA2487" s="84"/>
      <c r="AB2487" s="84"/>
    </row>
    <row r="2488">
      <c r="A2488" s="63">
        <v>166.0</v>
      </c>
      <c r="B2488" s="63">
        <v>270.0</v>
      </c>
      <c r="C2488" s="64" t="s">
        <v>546</v>
      </c>
      <c r="D2488" s="64" t="s">
        <v>547</v>
      </c>
      <c r="E2488" s="64" t="s">
        <v>548</v>
      </c>
      <c r="F2488" s="63">
        <v>3500.0</v>
      </c>
      <c r="G2488" s="63">
        <v>70.33</v>
      </c>
      <c r="H2488" s="66">
        <f t="shared" si="1"/>
        <v>343.7</v>
      </c>
      <c r="I2488" s="81">
        <f>IFERROR(__xludf.DUMMYFUNCTION("IF(G2488="""", """", ROUND(G2488 / MAX(FILTER($G$2:$G5067, $D$2:$D5067=$D2488)) * 100, 2))"),97.68)</f>
        <v>97.68</v>
      </c>
      <c r="J2488" s="81">
        <f>IFERROR(__xludf.DUMMYFUNCTION("IF(H2488="""", """", ROUND(H2488 / MAX(FILTER($H$2:$H5067, $D$2:$D5067=$D2488)) * 100, 2))"),52.92)</f>
        <v>52.92</v>
      </c>
      <c r="K2488" s="2"/>
      <c r="L2488" s="49"/>
      <c r="M2488" s="49"/>
      <c r="N2488" s="49"/>
      <c r="O2488" s="49" t="str">
        <f t="shared" si="2"/>
        <v/>
      </c>
      <c r="P2488" s="49" t="str">
        <f t="shared" si="3"/>
        <v/>
      </c>
      <c r="Q2488" s="84"/>
      <c r="R2488" s="84"/>
      <c r="S2488" s="84"/>
      <c r="T2488" s="84"/>
      <c r="U2488" s="84"/>
      <c r="V2488" s="84"/>
      <c r="W2488" s="84"/>
      <c r="X2488" s="84"/>
      <c r="Y2488" s="84"/>
      <c r="Z2488" s="84"/>
      <c r="AA2488" s="84"/>
      <c r="AB2488" s="84"/>
    </row>
    <row r="2489">
      <c r="A2489" s="69">
        <v>166.0</v>
      </c>
      <c r="B2489" s="69">
        <v>270.0</v>
      </c>
      <c r="C2489" s="86" t="s">
        <v>546</v>
      </c>
      <c r="D2489" s="86" t="s">
        <v>547</v>
      </c>
      <c r="E2489" s="86" t="s">
        <v>548</v>
      </c>
      <c r="F2489" s="69">
        <v>4000.0</v>
      </c>
      <c r="G2489" s="69">
        <v>71.17</v>
      </c>
      <c r="H2489" s="68">
        <f t="shared" si="1"/>
        <v>397.49</v>
      </c>
      <c r="I2489" s="81">
        <f>IFERROR(__xludf.DUMMYFUNCTION("IF(G2489="""", """", ROUND(G2489 / MAX(FILTER($G$2:$G5067, $D$2:$D5067=$D2489)) * 100, 2))"),98.85)</f>
        <v>98.85</v>
      </c>
      <c r="J2489" s="81">
        <f>IFERROR(__xludf.DUMMYFUNCTION("IF(H2489="""", """", ROUND(H2489 / MAX(FILTER($H$2:$H5067, $D$2:$D5067=$D2489)) * 100, 2))"),61.21)</f>
        <v>61.21</v>
      </c>
      <c r="K2489" s="2"/>
      <c r="L2489" s="48"/>
      <c r="M2489" s="48"/>
      <c r="N2489" s="48"/>
      <c r="O2489" s="48" t="str">
        <f t="shared" si="2"/>
        <v/>
      </c>
      <c r="P2489" s="48" t="str">
        <f t="shared" si="3"/>
        <v/>
      </c>
      <c r="Q2489" s="84"/>
      <c r="R2489" s="84"/>
      <c r="S2489" s="84"/>
      <c r="T2489" s="84"/>
      <c r="U2489" s="84"/>
      <c r="V2489" s="84"/>
      <c r="W2489" s="84"/>
      <c r="X2489" s="84"/>
      <c r="Y2489" s="84"/>
      <c r="Z2489" s="84"/>
      <c r="AA2489" s="84"/>
      <c r="AB2489" s="84"/>
    </row>
    <row r="2490">
      <c r="A2490" s="63">
        <v>166.0</v>
      </c>
      <c r="B2490" s="63">
        <v>270.0</v>
      </c>
      <c r="C2490" s="64" t="s">
        <v>546</v>
      </c>
      <c r="D2490" s="64" t="s">
        <v>547</v>
      </c>
      <c r="E2490" s="64" t="s">
        <v>548</v>
      </c>
      <c r="F2490" s="63">
        <v>4400.0</v>
      </c>
      <c r="G2490" s="63">
        <v>72.0</v>
      </c>
      <c r="H2490" s="66">
        <f t="shared" si="1"/>
        <v>442.33</v>
      </c>
      <c r="I2490" s="81">
        <f>IFERROR(__xludf.DUMMYFUNCTION("IF(G2490="""", """", ROUND(G2490 / MAX(FILTER($G$2:$G5067, $D$2:$D5067=$D2490)) * 100, 2))"),100.0)</f>
        <v>100</v>
      </c>
      <c r="J2490" s="81">
        <f>IFERROR(__xludf.DUMMYFUNCTION("IF(H2490="""", """", ROUND(H2490 / MAX(FILTER($H$2:$H5067, $D$2:$D5067=$D2490)) * 100, 2))"),68.11)</f>
        <v>68.11</v>
      </c>
      <c r="K2490" s="2"/>
      <c r="L2490" s="49"/>
      <c r="M2490" s="49"/>
      <c r="N2490" s="49"/>
      <c r="O2490" s="49" t="str">
        <f t="shared" si="2"/>
        <v/>
      </c>
      <c r="P2490" s="49" t="str">
        <f t="shared" si="3"/>
        <v/>
      </c>
      <c r="Q2490" s="84"/>
      <c r="R2490" s="84"/>
      <c r="S2490" s="84"/>
      <c r="T2490" s="84"/>
      <c r="U2490" s="84"/>
      <c r="V2490" s="84"/>
      <c r="W2490" s="84"/>
      <c r="X2490" s="84"/>
      <c r="Y2490" s="84"/>
      <c r="Z2490" s="84"/>
      <c r="AA2490" s="84"/>
      <c r="AB2490" s="84"/>
    </row>
    <row r="2491">
      <c r="A2491" s="69">
        <v>166.0</v>
      </c>
      <c r="B2491" s="69">
        <v>270.0</v>
      </c>
      <c r="C2491" s="86" t="s">
        <v>546</v>
      </c>
      <c r="D2491" s="86" t="s">
        <v>547</v>
      </c>
      <c r="E2491" s="86" t="s">
        <v>548</v>
      </c>
      <c r="F2491" s="69">
        <v>5000.0</v>
      </c>
      <c r="G2491" s="69">
        <v>71.55</v>
      </c>
      <c r="H2491" s="68">
        <f t="shared" si="1"/>
        <v>499.51</v>
      </c>
      <c r="I2491" s="81">
        <f>IFERROR(__xludf.DUMMYFUNCTION("IF(G2491="""", """", ROUND(G2491 / MAX(FILTER($G$2:$G5067, $D$2:$D5067=$D2491)) * 100, 2))"),99.38)</f>
        <v>99.38</v>
      </c>
      <c r="J2491" s="81">
        <f>IFERROR(__xludf.DUMMYFUNCTION("IF(H2491="""", """", ROUND(H2491 / MAX(FILTER($H$2:$H5067, $D$2:$D5067=$D2491)) * 100, 2))"),76.92)</f>
        <v>76.92</v>
      </c>
      <c r="K2491" s="2"/>
      <c r="L2491" s="48"/>
      <c r="M2491" s="48"/>
      <c r="N2491" s="48"/>
      <c r="O2491" s="48" t="str">
        <f t="shared" si="2"/>
        <v/>
      </c>
      <c r="P2491" s="48" t="str">
        <f t="shared" si="3"/>
        <v/>
      </c>
      <c r="Q2491" s="84"/>
      <c r="R2491" s="84"/>
      <c r="S2491" s="84"/>
      <c r="T2491" s="84"/>
      <c r="U2491" s="84"/>
      <c r="V2491" s="84"/>
      <c r="W2491" s="84"/>
      <c r="X2491" s="84"/>
      <c r="Y2491" s="84"/>
      <c r="Z2491" s="84"/>
      <c r="AA2491" s="84"/>
      <c r="AB2491" s="84"/>
    </row>
    <row r="2492">
      <c r="A2492" s="63">
        <v>166.0</v>
      </c>
      <c r="B2492" s="63">
        <v>270.0</v>
      </c>
      <c r="C2492" s="64" t="s">
        <v>546</v>
      </c>
      <c r="D2492" s="64" t="s">
        <v>547</v>
      </c>
      <c r="E2492" s="64" t="s">
        <v>548</v>
      </c>
      <c r="F2492" s="63">
        <v>5500.0</v>
      </c>
      <c r="G2492" s="63">
        <v>71.15</v>
      </c>
      <c r="H2492" s="66">
        <f t="shared" si="1"/>
        <v>546.39</v>
      </c>
      <c r="I2492" s="81">
        <f>IFERROR(__xludf.DUMMYFUNCTION("IF(G2492="""", """", ROUND(G2492 / MAX(FILTER($G$2:$G5067, $D$2:$D5067=$D2492)) * 100, 2))"),98.82)</f>
        <v>98.82</v>
      </c>
      <c r="J2492" s="81">
        <f>IFERROR(__xludf.DUMMYFUNCTION("IF(H2492="""", """", ROUND(H2492 / MAX(FILTER($H$2:$H5067, $D$2:$D5067=$D2492)) * 100, 2))"),84.13)</f>
        <v>84.13</v>
      </c>
      <c r="K2492" s="2"/>
      <c r="L2492" s="49"/>
      <c r="M2492" s="49"/>
      <c r="N2492" s="49"/>
      <c r="O2492" s="49" t="str">
        <f t="shared" si="2"/>
        <v/>
      </c>
      <c r="P2492" s="49" t="str">
        <f t="shared" si="3"/>
        <v/>
      </c>
      <c r="Q2492" s="84"/>
      <c r="R2492" s="84"/>
      <c r="S2492" s="84"/>
      <c r="T2492" s="84"/>
      <c r="U2492" s="84"/>
      <c r="V2492" s="84"/>
      <c r="W2492" s="84"/>
      <c r="X2492" s="84"/>
      <c r="Y2492" s="84"/>
      <c r="Z2492" s="84"/>
      <c r="AA2492" s="84"/>
      <c r="AB2492" s="84"/>
    </row>
    <row r="2493">
      <c r="A2493" s="69">
        <v>166.0</v>
      </c>
      <c r="B2493" s="69">
        <v>270.0</v>
      </c>
      <c r="C2493" s="86" t="s">
        <v>546</v>
      </c>
      <c r="D2493" s="86" t="s">
        <v>547</v>
      </c>
      <c r="E2493" s="86" t="s">
        <v>548</v>
      </c>
      <c r="F2493" s="69">
        <v>6000.0</v>
      </c>
      <c r="G2493" s="69">
        <v>70.02</v>
      </c>
      <c r="H2493" s="68">
        <f t="shared" si="1"/>
        <v>586.6</v>
      </c>
      <c r="I2493" s="81">
        <f>IFERROR(__xludf.DUMMYFUNCTION("IF(G2493="""", """", ROUND(G2493 / MAX(FILTER($G$2:$G5067, $D$2:$D5067=$D2493)) * 100, 2))"),97.25)</f>
        <v>97.25</v>
      </c>
      <c r="J2493" s="81">
        <f>IFERROR(__xludf.DUMMYFUNCTION("IF(H2493="""", """", ROUND(H2493 / MAX(FILTER($H$2:$H5067, $D$2:$D5067=$D2493)) * 100, 2))"),90.33)</f>
        <v>90.33</v>
      </c>
      <c r="K2493" s="2"/>
      <c r="L2493" s="48"/>
      <c r="M2493" s="48"/>
      <c r="N2493" s="48"/>
      <c r="O2493" s="48" t="str">
        <f t="shared" si="2"/>
        <v/>
      </c>
      <c r="P2493" s="48" t="str">
        <f t="shared" si="3"/>
        <v/>
      </c>
      <c r="Q2493" s="84"/>
      <c r="R2493" s="84"/>
      <c r="S2493" s="84"/>
      <c r="T2493" s="84"/>
      <c r="U2493" s="84"/>
      <c r="V2493" s="84"/>
      <c r="W2493" s="84"/>
      <c r="X2493" s="84"/>
      <c r="Y2493" s="84"/>
      <c r="Z2493" s="84"/>
      <c r="AA2493" s="84"/>
      <c r="AB2493" s="84"/>
    </row>
    <row r="2494">
      <c r="A2494" s="63">
        <v>166.0</v>
      </c>
      <c r="B2494" s="63">
        <v>270.0</v>
      </c>
      <c r="C2494" s="64" t="s">
        <v>546</v>
      </c>
      <c r="D2494" s="64" t="s">
        <v>547</v>
      </c>
      <c r="E2494" s="64" t="s">
        <v>548</v>
      </c>
      <c r="F2494" s="63">
        <v>6800.0</v>
      </c>
      <c r="G2494" s="63">
        <v>68.4</v>
      </c>
      <c r="H2494" s="66">
        <f t="shared" si="1"/>
        <v>649.43</v>
      </c>
      <c r="I2494" s="81">
        <f>IFERROR(__xludf.DUMMYFUNCTION("IF(G2494="""", """", ROUND(G2494 / MAX(FILTER($G$2:$G5067, $D$2:$D5067=$D2494)) * 100, 2))"),95.0)</f>
        <v>95</v>
      </c>
      <c r="J2494" s="81">
        <f>IFERROR(__xludf.DUMMYFUNCTION("IF(H2494="""", """", ROUND(H2494 / MAX(FILTER($H$2:$H5067, $D$2:$D5067=$D2494)) * 100, 2))"),100.0)</f>
        <v>100</v>
      </c>
      <c r="K2494" s="2"/>
      <c r="L2494" s="49"/>
      <c r="M2494" s="49"/>
      <c r="N2494" s="49"/>
      <c r="O2494" s="49" t="str">
        <f t="shared" si="2"/>
        <v/>
      </c>
      <c r="P2494" s="49" t="str">
        <f t="shared" si="3"/>
        <v/>
      </c>
      <c r="Q2494" s="84"/>
      <c r="R2494" s="84"/>
      <c r="S2494" s="84"/>
      <c r="T2494" s="84"/>
      <c r="U2494" s="84"/>
      <c r="V2494" s="84"/>
      <c r="W2494" s="84"/>
      <c r="X2494" s="84"/>
      <c r="Y2494" s="84"/>
      <c r="Z2494" s="84"/>
      <c r="AA2494" s="84"/>
      <c r="AB2494" s="84"/>
    </row>
    <row r="2495">
      <c r="A2495" s="69">
        <v>166.0</v>
      </c>
      <c r="B2495" s="69">
        <v>270.0</v>
      </c>
      <c r="C2495" s="86" t="s">
        <v>546</v>
      </c>
      <c r="D2495" s="86" t="s">
        <v>547</v>
      </c>
      <c r="E2495" s="86" t="s">
        <v>548</v>
      </c>
      <c r="F2495" s="69">
        <v>7000.0</v>
      </c>
      <c r="G2495" s="69">
        <v>65.6</v>
      </c>
      <c r="H2495" s="68">
        <f t="shared" si="1"/>
        <v>641.16</v>
      </c>
      <c r="I2495" s="81">
        <f>IFERROR(__xludf.DUMMYFUNCTION("IF(G2495="""", """", ROUND(G2495 / MAX(FILTER($G$2:$G5067, $D$2:$D5067=$D2495)) * 100, 2))"),91.11)</f>
        <v>91.11</v>
      </c>
      <c r="J2495" s="81">
        <f>IFERROR(__xludf.DUMMYFUNCTION("IF(H2495="""", """", ROUND(H2495 / MAX(FILTER($H$2:$H5067, $D$2:$D5067=$D2495)) * 100, 2))"),98.73)</f>
        <v>98.73</v>
      </c>
      <c r="K2495" s="2"/>
      <c r="L2495" s="48"/>
      <c r="M2495" s="48"/>
      <c r="N2495" s="48"/>
      <c r="O2495" s="48" t="str">
        <f t="shared" si="2"/>
        <v/>
      </c>
      <c r="P2495" s="48" t="str">
        <f t="shared" si="3"/>
        <v/>
      </c>
      <c r="Q2495" s="84"/>
      <c r="R2495" s="84"/>
      <c r="S2495" s="84"/>
      <c r="T2495" s="84"/>
      <c r="U2495" s="84"/>
      <c r="V2495" s="84"/>
      <c r="W2495" s="84"/>
      <c r="X2495" s="84"/>
      <c r="Y2495" s="84"/>
      <c r="Z2495" s="84"/>
      <c r="AA2495" s="84"/>
      <c r="AB2495" s="84"/>
    </row>
    <row r="2496">
      <c r="A2496" s="63">
        <v>166.0</v>
      </c>
      <c r="B2496" s="63">
        <v>270.0</v>
      </c>
      <c r="C2496" s="64" t="s">
        <v>546</v>
      </c>
      <c r="D2496" s="64" t="s">
        <v>547</v>
      </c>
      <c r="E2496" s="64" t="s">
        <v>548</v>
      </c>
      <c r="F2496" s="63">
        <v>7500.0</v>
      </c>
      <c r="G2496" s="63">
        <v>56.88</v>
      </c>
      <c r="H2496" s="66">
        <f t="shared" si="1"/>
        <v>595.64</v>
      </c>
      <c r="I2496" s="81">
        <f>IFERROR(__xludf.DUMMYFUNCTION("IF(G2496="""", """", ROUND(G2496 / MAX(FILTER($G$2:$G5067, $D$2:$D5067=$D2496)) * 100, 2))"),79.0)</f>
        <v>79</v>
      </c>
      <c r="J2496" s="81">
        <f>IFERROR(__xludf.DUMMYFUNCTION("IF(H2496="""", """", ROUND(H2496 / MAX(FILTER($H$2:$H5067, $D$2:$D5067=$D2496)) * 100, 2))"),91.72)</f>
        <v>91.72</v>
      </c>
      <c r="K2496" s="2"/>
      <c r="L2496" s="49"/>
      <c r="M2496" s="49"/>
      <c r="N2496" s="49"/>
      <c r="O2496" s="49" t="str">
        <f t="shared" si="2"/>
        <v/>
      </c>
      <c r="P2496" s="49" t="str">
        <f t="shared" si="3"/>
        <v/>
      </c>
      <c r="Q2496" s="84"/>
      <c r="R2496" s="84"/>
      <c r="S2496" s="84"/>
      <c r="T2496" s="84"/>
      <c r="U2496" s="84"/>
      <c r="V2496" s="84"/>
      <c r="W2496" s="84"/>
      <c r="X2496" s="84"/>
      <c r="Y2496" s="84"/>
      <c r="Z2496" s="84"/>
      <c r="AA2496" s="84"/>
      <c r="AB2496" s="84"/>
    </row>
    <row r="2497">
      <c r="A2497" s="69">
        <v>166.0</v>
      </c>
      <c r="B2497" s="69">
        <v>270.0</v>
      </c>
      <c r="C2497" s="86" t="s">
        <v>546</v>
      </c>
      <c r="D2497" s="86" t="s">
        <v>547</v>
      </c>
      <c r="E2497" s="86" t="s">
        <v>548</v>
      </c>
      <c r="F2497" s="69">
        <v>8000.0</v>
      </c>
      <c r="G2497" s="69">
        <v>49.17</v>
      </c>
      <c r="H2497" s="68">
        <f t="shared" si="1"/>
        <v>549.23</v>
      </c>
      <c r="I2497" s="81">
        <f>IFERROR(__xludf.DUMMYFUNCTION("IF(G2497="""", """", ROUND(G2497 / MAX(FILTER($G$2:$G5067, $D$2:$D5067=$D2497)) * 100, 2))"),68.29)</f>
        <v>68.29</v>
      </c>
      <c r="J2497" s="81">
        <f>IFERROR(__xludf.DUMMYFUNCTION("IF(H2497="""", """", ROUND(H2497 / MAX(FILTER($H$2:$H5067, $D$2:$D5067=$D2497)) * 100, 2))"),84.57)</f>
        <v>84.57</v>
      </c>
      <c r="K2497" s="2"/>
      <c r="L2497" s="48"/>
      <c r="M2497" s="48"/>
      <c r="N2497" s="48"/>
      <c r="O2497" s="48" t="str">
        <f t="shared" si="2"/>
        <v/>
      </c>
      <c r="P2497" s="48" t="str">
        <f t="shared" si="3"/>
        <v/>
      </c>
      <c r="Q2497" s="84"/>
      <c r="R2497" s="84"/>
      <c r="S2497" s="84"/>
      <c r="T2497" s="84"/>
      <c r="U2497" s="84"/>
      <c r="V2497" s="84"/>
      <c r="W2497" s="84"/>
      <c r="X2497" s="84"/>
      <c r="Y2497" s="84"/>
      <c r="Z2497" s="84"/>
      <c r="AA2497" s="84"/>
      <c r="AB2497" s="84"/>
    </row>
    <row r="2498">
      <c r="A2498" s="63">
        <v>167.0</v>
      </c>
      <c r="B2498" s="63">
        <v>277.0</v>
      </c>
      <c r="C2498" s="64" t="s">
        <v>549</v>
      </c>
      <c r="D2498" s="64" t="s">
        <v>550</v>
      </c>
      <c r="E2498" s="64" t="s">
        <v>551</v>
      </c>
      <c r="F2498" s="63">
        <v>500.0</v>
      </c>
      <c r="G2498" s="63">
        <v>24.8</v>
      </c>
      <c r="H2498" s="66">
        <f t="shared" si="1"/>
        <v>17.31</v>
      </c>
      <c r="I2498" s="81">
        <f>IFERROR(__xludf.DUMMYFUNCTION("IF(G2498="""", """", ROUND(G2498 / MAX(FILTER($G$2:$G5067, $D$2:$D5067=$D2498)) * 100, 2))"),76.07)</f>
        <v>76.07</v>
      </c>
      <c r="J2498" s="81">
        <f>IFERROR(__xludf.DUMMYFUNCTION("IF(H2498="""", """", ROUND(H2498 / MAX(FILTER($H$2:$H5067, $D$2:$D5067=$D2498)) * 100, 2))"),7.19)</f>
        <v>7.19</v>
      </c>
      <c r="K2498" s="2"/>
      <c r="L2498" s="49"/>
      <c r="M2498" s="49"/>
      <c r="N2498" s="49"/>
      <c r="O2498" s="49" t="str">
        <f t="shared" si="2"/>
        <v/>
      </c>
      <c r="P2498" s="49" t="str">
        <f t="shared" si="3"/>
        <v/>
      </c>
      <c r="Q2498" s="84"/>
      <c r="R2498" s="84"/>
      <c r="S2498" s="84"/>
      <c r="T2498" s="84"/>
      <c r="U2498" s="84"/>
      <c r="V2498" s="84"/>
      <c r="W2498" s="84"/>
      <c r="X2498" s="84"/>
      <c r="Y2498" s="84"/>
      <c r="Z2498" s="84"/>
      <c r="AA2498" s="84"/>
      <c r="AB2498" s="84"/>
    </row>
    <row r="2499">
      <c r="A2499" s="69">
        <v>167.0</v>
      </c>
      <c r="B2499" s="69">
        <v>277.0</v>
      </c>
      <c r="C2499" s="86" t="s">
        <v>549</v>
      </c>
      <c r="D2499" s="86" t="s">
        <v>550</v>
      </c>
      <c r="E2499" s="86" t="s">
        <v>551</v>
      </c>
      <c r="F2499" s="69">
        <v>1000.0</v>
      </c>
      <c r="G2499" s="69">
        <v>27.8</v>
      </c>
      <c r="H2499" s="68">
        <f t="shared" si="1"/>
        <v>38.82</v>
      </c>
      <c r="I2499" s="81">
        <f>IFERROR(__xludf.DUMMYFUNCTION("IF(G2499="""", """", ROUND(G2499 / MAX(FILTER($G$2:$G5067, $D$2:$D5067=$D2499)) * 100, 2))"),85.28)</f>
        <v>85.28</v>
      </c>
      <c r="J2499" s="81">
        <f>IFERROR(__xludf.DUMMYFUNCTION("IF(H2499="""", """", ROUND(H2499 / MAX(FILTER($H$2:$H5067, $D$2:$D5067=$D2499)) * 100, 2))"),16.12)</f>
        <v>16.12</v>
      </c>
      <c r="K2499" s="2"/>
      <c r="L2499" s="48"/>
      <c r="M2499" s="48"/>
      <c r="N2499" s="48"/>
      <c r="O2499" s="48" t="str">
        <f t="shared" si="2"/>
        <v/>
      </c>
      <c r="P2499" s="48" t="str">
        <f t="shared" si="3"/>
        <v/>
      </c>
      <c r="Q2499" s="84"/>
      <c r="R2499" s="84"/>
      <c r="S2499" s="84"/>
      <c r="T2499" s="84"/>
      <c r="U2499" s="84"/>
      <c r="V2499" s="84"/>
      <c r="W2499" s="84"/>
      <c r="X2499" s="84"/>
      <c r="Y2499" s="84"/>
      <c r="Z2499" s="84"/>
      <c r="AA2499" s="84"/>
      <c r="AB2499" s="84"/>
    </row>
    <row r="2500">
      <c r="A2500" s="63">
        <v>167.0</v>
      </c>
      <c r="B2500" s="63">
        <v>277.0</v>
      </c>
      <c r="C2500" s="64" t="s">
        <v>549</v>
      </c>
      <c r="D2500" s="64" t="s">
        <v>550</v>
      </c>
      <c r="E2500" s="64" t="s">
        <v>551</v>
      </c>
      <c r="F2500" s="63">
        <v>1500.0</v>
      </c>
      <c r="G2500" s="63">
        <v>30.3</v>
      </c>
      <c r="H2500" s="66">
        <f t="shared" si="1"/>
        <v>63.46</v>
      </c>
      <c r="I2500" s="81">
        <f>IFERROR(__xludf.DUMMYFUNCTION("IF(G2500="""", """", ROUND(G2500 / MAX(FILTER($G$2:$G5067, $D$2:$D5067=$D2500)) * 100, 2))"),92.94)</f>
        <v>92.94</v>
      </c>
      <c r="J2500" s="81">
        <f>IFERROR(__xludf.DUMMYFUNCTION("IF(H2500="""", """", ROUND(H2500 / MAX(FILTER($H$2:$H5067, $D$2:$D5067=$D2500)) * 100, 2))"),26.35)</f>
        <v>26.35</v>
      </c>
      <c r="K2500" s="2"/>
      <c r="L2500" s="49"/>
      <c r="M2500" s="49"/>
      <c r="N2500" s="49"/>
      <c r="O2500" s="49" t="str">
        <f t="shared" si="2"/>
        <v/>
      </c>
      <c r="P2500" s="49" t="str">
        <f t="shared" si="3"/>
        <v/>
      </c>
      <c r="Q2500" s="84"/>
      <c r="R2500" s="84"/>
      <c r="S2500" s="84"/>
      <c r="T2500" s="84"/>
      <c r="U2500" s="84"/>
      <c r="V2500" s="84"/>
      <c r="W2500" s="84"/>
      <c r="X2500" s="84"/>
      <c r="Y2500" s="84"/>
      <c r="Z2500" s="84"/>
      <c r="AA2500" s="84"/>
      <c r="AB2500" s="84"/>
    </row>
    <row r="2501">
      <c r="A2501" s="69">
        <v>167.0</v>
      </c>
      <c r="B2501" s="69">
        <v>277.0</v>
      </c>
      <c r="C2501" s="86" t="s">
        <v>549</v>
      </c>
      <c r="D2501" s="86" t="s">
        <v>550</v>
      </c>
      <c r="E2501" s="86" t="s">
        <v>551</v>
      </c>
      <c r="F2501" s="69">
        <v>2200.0</v>
      </c>
      <c r="G2501" s="69">
        <v>32.1</v>
      </c>
      <c r="H2501" s="68">
        <f t="shared" si="1"/>
        <v>98.6</v>
      </c>
      <c r="I2501" s="81">
        <f>IFERROR(__xludf.DUMMYFUNCTION("IF(G2501="""", """", ROUND(G2501 / MAX(FILTER($G$2:$G5067, $D$2:$D5067=$D2501)) * 100, 2))"),98.47)</f>
        <v>98.47</v>
      </c>
      <c r="J2501" s="81">
        <f>IFERROR(__xludf.DUMMYFUNCTION("IF(H2501="""", """", ROUND(H2501 / MAX(FILTER($H$2:$H5067, $D$2:$D5067=$D2501)) * 100, 2))"),40.94)</f>
        <v>40.94</v>
      </c>
      <c r="K2501" s="2"/>
      <c r="L2501" s="48"/>
      <c r="M2501" s="48"/>
      <c r="N2501" s="48"/>
      <c r="O2501" s="48" t="str">
        <f t="shared" si="2"/>
        <v/>
      </c>
      <c r="P2501" s="48" t="str">
        <f t="shared" si="3"/>
        <v/>
      </c>
      <c r="Q2501" s="84"/>
      <c r="R2501" s="84"/>
      <c r="S2501" s="84"/>
      <c r="T2501" s="84"/>
      <c r="U2501" s="84"/>
      <c r="V2501" s="84"/>
      <c r="W2501" s="84"/>
      <c r="X2501" s="84"/>
      <c r="Y2501" s="84"/>
      <c r="Z2501" s="84"/>
      <c r="AA2501" s="84"/>
      <c r="AB2501" s="84"/>
    </row>
    <row r="2502">
      <c r="A2502" s="63">
        <v>167.0</v>
      </c>
      <c r="B2502" s="63">
        <v>277.0</v>
      </c>
      <c r="C2502" s="64" t="s">
        <v>549</v>
      </c>
      <c r="D2502" s="64" t="s">
        <v>550</v>
      </c>
      <c r="E2502" s="64" t="s">
        <v>551</v>
      </c>
      <c r="F2502" s="63">
        <v>2800.0</v>
      </c>
      <c r="G2502" s="63">
        <v>32.6</v>
      </c>
      <c r="H2502" s="66">
        <f t="shared" si="1"/>
        <v>127.45</v>
      </c>
      <c r="I2502" s="81">
        <f>IFERROR(__xludf.DUMMYFUNCTION("IF(G2502="""", """", ROUND(G2502 / MAX(FILTER($G$2:$G5067, $D$2:$D5067=$D2502)) * 100, 2))"),100.0)</f>
        <v>100</v>
      </c>
      <c r="J2502" s="81">
        <f>IFERROR(__xludf.DUMMYFUNCTION("IF(H2502="""", """", ROUND(H2502 / MAX(FILTER($H$2:$H5067, $D$2:$D5067=$D2502)) * 100, 2))"),52.92)</f>
        <v>52.92</v>
      </c>
      <c r="K2502" s="2"/>
      <c r="L2502" s="49"/>
      <c r="M2502" s="49"/>
      <c r="N2502" s="49"/>
      <c r="O2502" s="49" t="str">
        <f t="shared" si="2"/>
        <v/>
      </c>
      <c r="P2502" s="49" t="str">
        <f t="shared" si="3"/>
        <v/>
      </c>
      <c r="Q2502" s="84"/>
      <c r="R2502" s="84"/>
      <c r="S2502" s="84"/>
      <c r="T2502" s="84"/>
      <c r="U2502" s="84"/>
      <c r="V2502" s="84"/>
      <c r="W2502" s="84"/>
      <c r="X2502" s="84"/>
      <c r="Y2502" s="84"/>
      <c r="Z2502" s="84"/>
      <c r="AA2502" s="84"/>
      <c r="AB2502" s="84"/>
    </row>
    <row r="2503">
      <c r="A2503" s="69">
        <v>167.0</v>
      </c>
      <c r="B2503" s="69">
        <v>277.0</v>
      </c>
      <c r="C2503" s="86" t="s">
        <v>549</v>
      </c>
      <c r="D2503" s="86" t="s">
        <v>550</v>
      </c>
      <c r="E2503" s="86" t="s">
        <v>551</v>
      </c>
      <c r="F2503" s="69">
        <v>3000.0</v>
      </c>
      <c r="G2503" s="69">
        <v>32.6</v>
      </c>
      <c r="H2503" s="68">
        <f t="shared" si="1"/>
        <v>136.55</v>
      </c>
      <c r="I2503" s="81">
        <f>IFERROR(__xludf.DUMMYFUNCTION("IF(G2503="""", """", ROUND(G2503 / MAX(FILTER($G$2:$G5067, $D$2:$D5067=$D2503)) * 100, 2))"),100.0)</f>
        <v>100</v>
      </c>
      <c r="J2503" s="81">
        <f>IFERROR(__xludf.DUMMYFUNCTION("IF(H2503="""", """", ROUND(H2503 / MAX(FILTER($H$2:$H5067, $D$2:$D5067=$D2503)) * 100, 2))"),56.7)</f>
        <v>56.7</v>
      </c>
      <c r="K2503" s="2"/>
      <c r="L2503" s="48"/>
      <c r="M2503" s="48"/>
      <c r="N2503" s="48"/>
      <c r="O2503" s="48" t="str">
        <f t="shared" si="2"/>
        <v/>
      </c>
      <c r="P2503" s="48" t="str">
        <f t="shared" si="3"/>
        <v/>
      </c>
      <c r="Q2503" s="84"/>
      <c r="R2503" s="84"/>
      <c r="S2503" s="84"/>
      <c r="T2503" s="84"/>
      <c r="U2503" s="84"/>
      <c r="V2503" s="84"/>
      <c r="W2503" s="84"/>
      <c r="X2503" s="84"/>
      <c r="Y2503" s="84"/>
      <c r="Z2503" s="84"/>
      <c r="AA2503" s="84"/>
      <c r="AB2503" s="84"/>
    </row>
    <row r="2504">
      <c r="A2504" s="63">
        <v>167.0</v>
      </c>
      <c r="B2504" s="63">
        <v>277.0</v>
      </c>
      <c r="C2504" s="64" t="s">
        <v>549</v>
      </c>
      <c r="D2504" s="64" t="s">
        <v>550</v>
      </c>
      <c r="E2504" s="64" t="s">
        <v>551</v>
      </c>
      <c r="F2504" s="63">
        <v>3500.0</v>
      </c>
      <c r="G2504" s="63">
        <v>32.5</v>
      </c>
      <c r="H2504" s="66">
        <f t="shared" si="1"/>
        <v>158.82</v>
      </c>
      <c r="I2504" s="81">
        <f>IFERROR(__xludf.DUMMYFUNCTION("IF(G2504="""", """", ROUND(G2504 / MAX(FILTER($G$2:$G5067, $D$2:$D5067=$D2504)) * 100, 2))"),99.69)</f>
        <v>99.69</v>
      </c>
      <c r="J2504" s="81">
        <f>IFERROR(__xludf.DUMMYFUNCTION("IF(H2504="""", """", ROUND(H2504 / MAX(FILTER($H$2:$H5067, $D$2:$D5067=$D2504)) * 100, 2))"),65.94)</f>
        <v>65.94</v>
      </c>
      <c r="K2504" s="2"/>
      <c r="L2504" s="49"/>
      <c r="M2504" s="49"/>
      <c r="N2504" s="49"/>
      <c r="O2504" s="49" t="str">
        <f t="shared" si="2"/>
        <v/>
      </c>
      <c r="P2504" s="49" t="str">
        <f t="shared" si="3"/>
        <v/>
      </c>
      <c r="Q2504" s="84"/>
      <c r="R2504" s="84"/>
      <c r="S2504" s="84"/>
      <c r="T2504" s="84"/>
      <c r="U2504" s="84"/>
      <c r="V2504" s="84"/>
      <c r="W2504" s="84"/>
      <c r="X2504" s="84"/>
      <c r="Y2504" s="84"/>
      <c r="Z2504" s="84"/>
      <c r="AA2504" s="84"/>
      <c r="AB2504" s="84"/>
    </row>
    <row r="2505">
      <c r="A2505" s="69">
        <v>167.0</v>
      </c>
      <c r="B2505" s="69">
        <v>277.0</v>
      </c>
      <c r="C2505" s="86" t="s">
        <v>549</v>
      </c>
      <c r="D2505" s="86" t="s">
        <v>550</v>
      </c>
      <c r="E2505" s="86" t="s">
        <v>551</v>
      </c>
      <c r="F2505" s="69">
        <v>4000.0</v>
      </c>
      <c r="G2505" s="69">
        <v>32.3</v>
      </c>
      <c r="H2505" s="68">
        <f t="shared" si="1"/>
        <v>180.4</v>
      </c>
      <c r="I2505" s="81">
        <f>IFERROR(__xludf.DUMMYFUNCTION("IF(G2505="""", """", ROUND(G2505 / MAX(FILTER($G$2:$G5067, $D$2:$D5067=$D2505)) * 100, 2))"),99.08)</f>
        <v>99.08</v>
      </c>
      <c r="J2505" s="81">
        <f>IFERROR(__xludf.DUMMYFUNCTION("IF(H2505="""", """", ROUND(H2505 / MAX(FILTER($H$2:$H5067, $D$2:$D5067=$D2505)) * 100, 2))"),74.9)</f>
        <v>74.9</v>
      </c>
      <c r="K2505" s="2"/>
      <c r="L2505" s="48"/>
      <c r="M2505" s="48"/>
      <c r="N2505" s="48"/>
      <c r="O2505" s="48" t="str">
        <f t="shared" si="2"/>
        <v/>
      </c>
      <c r="P2505" s="48" t="str">
        <f t="shared" si="3"/>
        <v/>
      </c>
      <c r="Q2505" s="84"/>
      <c r="R2505" s="84"/>
      <c r="S2505" s="84"/>
      <c r="T2505" s="84"/>
      <c r="U2505" s="84"/>
      <c r="V2505" s="84"/>
      <c r="W2505" s="84"/>
      <c r="X2505" s="84"/>
      <c r="Y2505" s="84"/>
      <c r="Z2505" s="84"/>
      <c r="AA2505" s="84"/>
      <c r="AB2505" s="84"/>
    </row>
    <row r="2506">
      <c r="A2506" s="63">
        <v>167.0</v>
      </c>
      <c r="B2506" s="63">
        <v>277.0</v>
      </c>
      <c r="C2506" s="64" t="s">
        <v>549</v>
      </c>
      <c r="D2506" s="64" t="s">
        <v>550</v>
      </c>
      <c r="E2506" s="64" t="s">
        <v>551</v>
      </c>
      <c r="F2506" s="63">
        <v>4500.0</v>
      </c>
      <c r="G2506" s="63">
        <v>31.9</v>
      </c>
      <c r="H2506" s="66">
        <f t="shared" si="1"/>
        <v>200.43</v>
      </c>
      <c r="I2506" s="81">
        <f>IFERROR(__xludf.DUMMYFUNCTION("IF(G2506="""", """", ROUND(G2506 / MAX(FILTER($G$2:$G5067, $D$2:$D5067=$D2506)) * 100, 2))"),97.85)</f>
        <v>97.85</v>
      </c>
      <c r="J2506" s="81">
        <f>IFERROR(__xludf.DUMMYFUNCTION("IF(H2506="""", """", ROUND(H2506 / MAX(FILTER($H$2:$H5067, $D$2:$D5067=$D2506)) * 100, 2))"),83.22)</f>
        <v>83.22</v>
      </c>
      <c r="K2506" s="2"/>
      <c r="L2506" s="49"/>
      <c r="M2506" s="49"/>
      <c r="N2506" s="49"/>
      <c r="O2506" s="49" t="str">
        <f t="shared" si="2"/>
        <v/>
      </c>
      <c r="P2506" s="49" t="str">
        <f t="shared" si="3"/>
        <v/>
      </c>
      <c r="Q2506" s="84"/>
      <c r="R2506" s="84"/>
      <c r="S2506" s="84"/>
      <c r="T2506" s="84"/>
      <c r="U2506" s="84"/>
      <c r="V2506" s="84"/>
      <c r="W2506" s="84"/>
      <c r="X2506" s="84"/>
      <c r="Y2506" s="84"/>
      <c r="Z2506" s="84"/>
      <c r="AA2506" s="84"/>
      <c r="AB2506" s="84"/>
    </row>
    <row r="2507">
      <c r="A2507" s="69">
        <v>167.0</v>
      </c>
      <c r="B2507" s="69">
        <v>277.0</v>
      </c>
      <c r="C2507" s="86" t="s">
        <v>549</v>
      </c>
      <c r="D2507" s="86" t="s">
        <v>550</v>
      </c>
      <c r="E2507" s="86" t="s">
        <v>551</v>
      </c>
      <c r="F2507" s="69">
        <v>5000.0</v>
      </c>
      <c r="G2507" s="69">
        <v>31.5</v>
      </c>
      <c r="H2507" s="68">
        <f t="shared" si="1"/>
        <v>219.91</v>
      </c>
      <c r="I2507" s="81">
        <f>IFERROR(__xludf.DUMMYFUNCTION("IF(G2507="""", """", ROUND(G2507 / MAX(FILTER($G$2:$G5067, $D$2:$D5067=$D2507)) * 100, 2))"),96.63)</f>
        <v>96.63</v>
      </c>
      <c r="J2507" s="81">
        <f>IFERROR(__xludf.DUMMYFUNCTION("IF(H2507="""", """", ROUND(H2507 / MAX(FILTER($H$2:$H5067, $D$2:$D5067=$D2507)) * 100, 2))"),91.31)</f>
        <v>91.31</v>
      </c>
      <c r="K2507" s="2"/>
      <c r="L2507" s="48"/>
      <c r="M2507" s="48"/>
      <c r="N2507" s="48"/>
      <c r="O2507" s="48" t="str">
        <f t="shared" si="2"/>
        <v/>
      </c>
      <c r="P2507" s="48" t="str">
        <f t="shared" si="3"/>
        <v/>
      </c>
      <c r="Q2507" s="84"/>
      <c r="R2507" s="84"/>
      <c r="S2507" s="84"/>
      <c r="T2507" s="84"/>
      <c r="U2507" s="84"/>
      <c r="V2507" s="84"/>
      <c r="W2507" s="84"/>
      <c r="X2507" s="84"/>
      <c r="Y2507" s="84"/>
      <c r="Z2507" s="84"/>
      <c r="AA2507" s="84"/>
      <c r="AB2507" s="84"/>
    </row>
    <row r="2508">
      <c r="A2508" s="63">
        <v>167.0</v>
      </c>
      <c r="B2508" s="63">
        <v>277.0</v>
      </c>
      <c r="C2508" s="64" t="s">
        <v>549</v>
      </c>
      <c r="D2508" s="64" t="s">
        <v>550</v>
      </c>
      <c r="E2508" s="64" t="s">
        <v>551</v>
      </c>
      <c r="F2508" s="63">
        <v>5500.0</v>
      </c>
      <c r="G2508" s="63">
        <v>30.5</v>
      </c>
      <c r="H2508" s="66">
        <f t="shared" si="1"/>
        <v>234.22</v>
      </c>
      <c r="I2508" s="81">
        <f>IFERROR(__xludf.DUMMYFUNCTION("IF(G2508="""", """", ROUND(G2508 / MAX(FILTER($G$2:$G5067, $D$2:$D5067=$D2508)) * 100, 2))"),93.56)</f>
        <v>93.56</v>
      </c>
      <c r="J2508" s="81">
        <f>IFERROR(__xludf.DUMMYFUNCTION("IF(H2508="""", """", ROUND(H2508 / MAX(FILTER($H$2:$H5067, $D$2:$D5067=$D2508)) * 100, 2))"),97.25)</f>
        <v>97.25</v>
      </c>
      <c r="K2508" s="2"/>
      <c r="L2508" s="49"/>
      <c r="M2508" s="49"/>
      <c r="N2508" s="49"/>
      <c r="O2508" s="49" t="str">
        <f t="shared" si="2"/>
        <v/>
      </c>
      <c r="P2508" s="49" t="str">
        <f t="shared" si="3"/>
        <v/>
      </c>
      <c r="Q2508" s="84"/>
      <c r="R2508" s="84"/>
      <c r="S2508" s="84"/>
      <c r="T2508" s="84"/>
      <c r="U2508" s="84"/>
      <c r="V2508" s="84"/>
      <c r="W2508" s="84"/>
      <c r="X2508" s="84"/>
      <c r="Y2508" s="84"/>
      <c r="Z2508" s="84"/>
      <c r="AA2508" s="84"/>
      <c r="AB2508" s="84"/>
    </row>
    <row r="2509">
      <c r="A2509" s="69">
        <v>167.0</v>
      </c>
      <c r="B2509" s="69">
        <v>277.0</v>
      </c>
      <c r="C2509" s="86" t="s">
        <v>549</v>
      </c>
      <c r="D2509" s="86" t="s">
        <v>550</v>
      </c>
      <c r="E2509" s="86" t="s">
        <v>551</v>
      </c>
      <c r="F2509" s="69">
        <v>6000.0</v>
      </c>
      <c r="G2509" s="69">
        <v>28.7</v>
      </c>
      <c r="H2509" s="68">
        <f t="shared" si="1"/>
        <v>240.44</v>
      </c>
      <c r="I2509" s="81">
        <f>IFERROR(__xludf.DUMMYFUNCTION("IF(G2509="""", """", ROUND(G2509 / MAX(FILTER($G$2:$G5067, $D$2:$D5067=$D2509)) * 100, 2))"),88.04)</f>
        <v>88.04</v>
      </c>
      <c r="J2509" s="81">
        <f>IFERROR(__xludf.DUMMYFUNCTION("IF(H2509="""", """", ROUND(H2509 / MAX(FILTER($H$2:$H5067, $D$2:$D5067=$D2509)) * 100, 2))"),99.83)</f>
        <v>99.83</v>
      </c>
      <c r="K2509" s="2"/>
      <c r="L2509" s="48"/>
      <c r="M2509" s="48"/>
      <c r="N2509" s="48"/>
      <c r="O2509" s="48" t="str">
        <f t="shared" si="2"/>
        <v/>
      </c>
      <c r="P2509" s="48" t="str">
        <f t="shared" si="3"/>
        <v/>
      </c>
      <c r="Q2509" s="84"/>
      <c r="R2509" s="84"/>
      <c r="S2509" s="84"/>
      <c r="T2509" s="84"/>
      <c r="U2509" s="84"/>
      <c r="V2509" s="84"/>
      <c r="W2509" s="84"/>
      <c r="X2509" s="84"/>
      <c r="Y2509" s="84"/>
      <c r="Z2509" s="84"/>
      <c r="AA2509" s="84"/>
      <c r="AB2509" s="84"/>
    </row>
    <row r="2510">
      <c r="A2510" s="63">
        <v>167.0</v>
      </c>
      <c r="B2510" s="63">
        <v>277.0</v>
      </c>
      <c r="C2510" s="64" t="s">
        <v>549</v>
      </c>
      <c r="D2510" s="64" t="s">
        <v>550</v>
      </c>
      <c r="E2510" s="64" t="s">
        <v>551</v>
      </c>
      <c r="F2510" s="63">
        <v>6250.0</v>
      </c>
      <c r="G2510" s="63">
        <v>27.6</v>
      </c>
      <c r="H2510" s="66">
        <f t="shared" si="1"/>
        <v>240.85</v>
      </c>
      <c r="I2510" s="81">
        <f>IFERROR(__xludf.DUMMYFUNCTION("IF(G2510="""", """", ROUND(G2510 / MAX(FILTER($G$2:$G5067, $D$2:$D5067=$D2510)) * 100, 2))"),84.66)</f>
        <v>84.66</v>
      </c>
      <c r="J2510" s="81">
        <f>IFERROR(__xludf.DUMMYFUNCTION("IF(H2510="""", """", ROUND(H2510 / MAX(FILTER($H$2:$H5067, $D$2:$D5067=$D2510)) * 100, 2))"),100.0)</f>
        <v>100</v>
      </c>
      <c r="K2510" s="2"/>
      <c r="L2510" s="49"/>
      <c r="M2510" s="49"/>
      <c r="N2510" s="49"/>
      <c r="O2510" s="49" t="str">
        <f t="shared" si="2"/>
        <v/>
      </c>
      <c r="P2510" s="49" t="str">
        <f t="shared" si="3"/>
        <v/>
      </c>
      <c r="Q2510" s="84"/>
      <c r="R2510" s="84"/>
      <c r="S2510" s="84"/>
      <c r="T2510" s="84"/>
      <c r="U2510" s="84"/>
      <c r="V2510" s="84"/>
      <c r="W2510" s="84"/>
      <c r="X2510" s="84"/>
      <c r="Y2510" s="84"/>
      <c r="Z2510" s="84"/>
      <c r="AA2510" s="84"/>
      <c r="AB2510" s="84"/>
    </row>
    <row r="2511">
      <c r="A2511" s="69">
        <v>167.0</v>
      </c>
      <c r="B2511" s="69">
        <v>277.0</v>
      </c>
      <c r="C2511" s="86" t="s">
        <v>549</v>
      </c>
      <c r="D2511" s="86" t="s">
        <v>550</v>
      </c>
      <c r="E2511" s="86" t="s">
        <v>551</v>
      </c>
      <c r="F2511" s="69">
        <v>6800.0</v>
      </c>
      <c r="G2511" s="69">
        <v>24.8</v>
      </c>
      <c r="H2511" s="68">
        <f t="shared" si="1"/>
        <v>235.46</v>
      </c>
      <c r="I2511" s="81">
        <f>IFERROR(__xludf.DUMMYFUNCTION("IF(G2511="""", """", ROUND(G2511 / MAX(FILTER($G$2:$G5067, $D$2:$D5067=$D2511)) * 100, 2))"),76.07)</f>
        <v>76.07</v>
      </c>
      <c r="J2511" s="81">
        <f>IFERROR(__xludf.DUMMYFUNCTION("IF(H2511="""", """", ROUND(H2511 / MAX(FILTER($H$2:$H5067, $D$2:$D5067=$D2511)) * 100, 2))"),97.76)</f>
        <v>97.76</v>
      </c>
      <c r="K2511" s="2"/>
      <c r="L2511" s="48"/>
      <c r="M2511" s="48"/>
      <c r="N2511" s="48"/>
      <c r="O2511" s="48" t="str">
        <f t="shared" si="2"/>
        <v/>
      </c>
      <c r="P2511" s="48" t="str">
        <f t="shared" si="3"/>
        <v/>
      </c>
      <c r="Q2511" s="84"/>
      <c r="R2511" s="84"/>
      <c r="S2511" s="84"/>
      <c r="T2511" s="84"/>
      <c r="U2511" s="84"/>
      <c r="V2511" s="84"/>
      <c r="W2511" s="84"/>
      <c r="X2511" s="84"/>
      <c r="Y2511" s="84"/>
      <c r="Z2511" s="84"/>
      <c r="AA2511" s="84"/>
      <c r="AB2511" s="84"/>
    </row>
    <row r="2512">
      <c r="A2512" s="63">
        <v>167.0</v>
      </c>
      <c r="B2512" s="63">
        <v>277.0</v>
      </c>
      <c r="C2512" s="64" t="s">
        <v>549</v>
      </c>
      <c r="D2512" s="64" t="s">
        <v>550</v>
      </c>
      <c r="E2512" s="64" t="s">
        <v>551</v>
      </c>
      <c r="F2512" s="63">
        <v>7200.0</v>
      </c>
      <c r="G2512" s="63">
        <v>22.3</v>
      </c>
      <c r="H2512" s="66">
        <f t="shared" si="1"/>
        <v>224.18</v>
      </c>
      <c r="I2512" s="81">
        <f>IFERROR(__xludf.DUMMYFUNCTION("IF(G2512="""", """", ROUND(G2512 / MAX(FILTER($G$2:$G5067, $D$2:$D5067=$D2512)) * 100, 2))"),68.4)</f>
        <v>68.4</v>
      </c>
      <c r="J2512" s="81">
        <f>IFERROR(__xludf.DUMMYFUNCTION("IF(H2512="""", """", ROUND(H2512 / MAX(FILTER($H$2:$H5067, $D$2:$D5067=$D2512)) * 100, 2))"),93.08)</f>
        <v>93.08</v>
      </c>
      <c r="K2512" s="2"/>
      <c r="L2512" s="49"/>
      <c r="M2512" s="49"/>
      <c r="N2512" s="49"/>
      <c r="O2512" s="49" t="str">
        <f t="shared" si="2"/>
        <v/>
      </c>
      <c r="P2512" s="49" t="str">
        <f t="shared" si="3"/>
        <v/>
      </c>
      <c r="Q2512" s="84"/>
      <c r="R2512" s="84"/>
      <c r="S2512" s="84"/>
      <c r="T2512" s="84"/>
      <c r="U2512" s="84"/>
      <c r="V2512" s="84"/>
      <c r="W2512" s="84"/>
      <c r="X2512" s="84"/>
      <c r="Y2512" s="84"/>
      <c r="Z2512" s="84"/>
      <c r="AA2512" s="84"/>
      <c r="AB2512" s="84"/>
    </row>
    <row r="2513">
      <c r="A2513" s="69">
        <v>168.0</v>
      </c>
      <c r="B2513" s="69">
        <v>279.0</v>
      </c>
      <c r="C2513" s="86" t="s">
        <v>552</v>
      </c>
      <c r="D2513" s="86" t="s">
        <v>553</v>
      </c>
      <c r="E2513" s="86" t="s">
        <v>554</v>
      </c>
      <c r="F2513" s="69">
        <v>500.0</v>
      </c>
      <c r="G2513" s="69">
        <v>11.25</v>
      </c>
      <c r="H2513" s="68">
        <f t="shared" si="1"/>
        <v>7.85</v>
      </c>
      <c r="I2513" s="81">
        <f>IFERROR(__xludf.DUMMYFUNCTION("IF(G2513="""", """", ROUND(G2513 / MAX(FILTER($G$2:$G5067, $D$2:$D5067=$D2513)) * 100, 2))"),56.28)</f>
        <v>56.28</v>
      </c>
      <c r="J2513" s="81">
        <f>IFERROR(__xludf.DUMMYFUNCTION("IF(H2513="""", """", ROUND(H2513 / MAX(FILTER($H$2:$H5067, $D$2:$D5067=$D2513)) * 100, 2))"),5.25)</f>
        <v>5.25</v>
      </c>
      <c r="K2513" s="2"/>
      <c r="L2513" s="48"/>
      <c r="M2513" s="48"/>
      <c r="N2513" s="48"/>
      <c r="O2513" s="48" t="str">
        <f t="shared" si="2"/>
        <v/>
      </c>
      <c r="P2513" s="48" t="str">
        <f t="shared" si="3"/>
        <v/>
      </c>
      <c r="Q2513" s="84"/>
      <c r="R2513" s="84"/>
      <c r="S2513" s="84"/>
      <c r="T2513" s="84"/>
      <c r="U2513" s="84"/>
      <c r="V2513" s="84"/>
      <c r="W2513" s="84"/>
      <c r="X2513" s="84"/>
      <c r="Y2513" s="84"/>
      <c r="Z2513" s="84"/>
      <c r="AA2513" s="84"/>
      <c r="AB2513" s="84"/>
    </row>
    <row r="2514">
      <c r="A2514" s="63">
        <v>168.0</v>
      </c>
      <c r="B2514" s="63">
        <v>279.0</v>
      </c>
      <c r="C2514" s="64" t="s">
        <v>552</v>
      </c>
      <c r="D2514" s="64" t="s">
        <v>553</v>
      </c>
      <c r="E2514" s="64" t="s">
        <v>554</v>
      </c>
      <c r="F2514" s="63">
        <v>1000.0</v>
      </c>
      <c r="G2514" s="63">
        <v>11.79</v>
      </c>
      <c r="H2514" s="66">
        <f t="shared" si="1"/>
        <v>16.46</v>
      </c>
      <c r="I2514" s="81">
        <f>IFERROR(__xludf.DUMMYFUNCTION("IF(G2514="""", """", ROUND(G2514 / MAX(FILTER($G$2:$G5067, $D$2:$D5067=$D2514)) * 100, 2))"),58.98)</f>
        <v>58.98</v>
      </c>
      <c r="J2514" s="81">
        <f>IFERROR(__xludf.DUMMYFUNCTION("IF(H2514="""", """", ROUND(H2514 / MAX(FILTER($H$2:$H5067, $D$2:$D5067=$D2514)) * 100, 2))"),11.02)</f>
        <v>11.02</v>
      </c>
      <c r="K2514" s="2"/>
      <c r="L2514" s="49"/>
      <c r="M2514" s="49"/>
      <c r="N2514" s="49"/>
      <c r="O2514" s="49" t="str">
        <f t="shared" si="2"/>
        <v/>
      </c>
      <c r="P2514" s="49" t="str">
        <f t="shared" si="3"/>
        <v/>
      </c>
      <c r="Q2514" s="84"/>
      <c r="R2514" s="84"/>
      <c r="S2514" s="84"/>
      <c r="T2514" s="84"/>
      <c r="U2514" s="84"/>
      <c r="V2514" s="84"/>
      <c r="W2514" s="84"/>
      <c r="X2514" s="84"/>
      <c r="Y2514" s="84"/>
      <c r="Z2514" s="84"/>
      <c r="AA2514" s="84"/>
      <c r="AB2514" s="84"/>
    </row>
    <row r="2515">
      <c r="A2515" s="69">
        <v>168.0</v>
      </c>
      <c r="B2515" s="69">
        <v>279.0</v>
      </c>
      <c r="C2515" s="86" t="s">
        <v>552</v>
      </c>
      <c r="D2515" s="86" t="s">
        <v>553</v>
      </c>
      <c r="E2515" s="86" t="s">
        <v>554</v>
      </c>
      <c r="F2515" s="69">
        <v>1500.0</v>
      </c>
      <c r="G2515" s="69">
        <v>13.45</v>
      </c>
      <c r="H2515" s="68">
        <f t="shared" si="1"/>
        <v>28.17</v>
      </c>
      <c r="I2515" s="81">
        <f>IFERROR(__xludf.DUMMYFUNCTION("IF(G2515="""", """", ROUND(G2515 / MAX(FILTER($G$2:$G5067, $D$2:$D5067=$D2515)) * 100, 2))"),67.28)</f>
        <v>67.28</v>
      </c>
      <c r="J2515" s="81">
        <f>IFERROR(__xludf.DUMMYFUNCTION("IF(H2515="""", """", ROUND(H2515 / MAX(FILTER($H$2:$H5067, $D$2:$D5067=$D2515)) * 100, 2))"),18.86)</f>
        <v>18.86</v>
      </c>
      <c r="K2515" s="2"/>
      <c r="L2515" s="48"/>
      <c r="M2515" s="48"/>
      <c r="N2515" s="48"/>
      <c r="O2515" s="48" t="str">
        <f t="shared" si="2"/>
        <v/>
      </c>
      <c r="P2515" s="48" t="str">
        <f t="shared" si="3"/>
        <v/>
      </c>
      <c r="Q2515" s="84"/>
      <c r="R2515" s="84"/>
      <c r="S2515" s="84"/>
      <c r="T2515" s="84"/>
      <c r="U2515" s="84"/>
      <c r="V2515" s="84"/>
      <c r="W2515" s="84"/>
      <c r="X2515" s="84"/>
      <c r="Y2515" s="84"/>
      <c r="Z2515" s="84"/>
      <c r="AA2515" s="84"/>
      <c r="AB2515" s="84"/>
    </row>
    <row r="2516">
      <c r="A2516" s="63">
        <v>168.0</v>
      </c>
      <c r="B2516" s="63">
        <v>279.0</v>
      </c>
      <c r="C2516" s="64" t="s">
        <v>552</v>
      </c>
      <c r="D2516" s="64" t="s">
        <v>553</v>
      </c>
      <c r="E2516" s="64" t="s">
        <v>554</v>
      </c>
      <c r="F2516" s="63">
        <v>2000.0</v>
      </c>
      <c r="G2516" s="63">
        <v>17.3</v>
      </c>
      <c r="H2516" s="66">
        <f t="shared" si="1"/>
        <v>48.31</v>
      </c>
      <c r="I2516" s="81">
        <f>IFERROR(__xludf.DUMMYFUNCTION("IF(G2516="""", """", ROUND(G2516 / MAX(FILTER($G$2:$G5067, $D$2:$D5067=$D2516)) * 100, 2))"),86.54)</f>
        <v>86.54</v>
      </c>
      <c r="J2516" s="81">
        <f>IFERROR(__xludf.DUMMYFUNCTION("IF(H2516="""", """", ROUND(H2516 / MAX(FILTER($H$2:$H5067, $D$2:$D5067=$D2516)) * 100, 2))"),32.34)</f>
        <v>32.34</v>
      </c>
      <c r="K2516" s="2"/>
      <c r="L2516" s="49"/>
      <c r="M2516" s="49"/>
      <c r="N2516" s="49"/>
      <c r="O2516" s="49" t="str">
        <f t="shared" si="2"/>
        <v/>
      </c>
      <c r="P2516" s="49" t="str">
        <f t="shared" si="3"/>
        <v/>
      </c>
      <c r="Q2516" s="84"/>
      <c r="R2516" s="84"/>
      <c r="S2516" s="84"/>
      <c r="T2516" s="84"/>
      <c r="U2516" s="84"/>
      <c r="V2516" s="84"/>
      <c r="W2516" s="84"/>
      <c r="X2516" s="84"/>
      <c r="Y2516" s="84"/>
      <c r="Z2516" s="84"/>
      <c r="AA2516" s="84"/>
      <c r="AB2516" s="84"/>
    </row>
    <row r="2517">
      <c r="A2517" s="69">
        <v>168.0</v>
      </c>
      <c r="B2517" s="69">
        <v>279.0</v>
      </c>
      <c r="C2517" s="86" t="s">
        <v>552</v>
      </c>
      <c r="D2517" s="86" t="s">
        <v>553</v>
      </c>
      <c r="E2517" s="86" t="s">
        <v>554</v>
      </c>
      <c r="F2517" s="69">
        <v>2500.0</v>
      </c>
      <c r="G2517" s="69">
        <v>19.08</v>
      </c>
      <c r="H2517" s="68">
        <f t="shared" si="1"/>
        <v>66.6</v>
      </c>
      <c r="I2517" s="81">
        <f>IFERROR(__xludf.DUMMYFUNCTION("IF(G2517="""", """", ROUND(G2517 / MAX(FILTER($G$2:$G5067, $D$2:$D5067=$D2517)) * 100, 2))"),95.45)</f>
        <v>95.45</v>
      </c>
      <c r="J2517" s="81">
        <f>IFERROR(__xludf.DUMMYFUNCTION("IF(H2517="""", """", ROUND(H2517 / MAX(FILTER($H$2:$H5067, $D$2:$D5067=$D2517)) * 100, 2))"),44.58)</f>
        <v>44.58</v>
      </c>
      <c r="K2517" s="2"/>
      <c r="L2517" s="48"/>
      <c r="M2517" s="48"/>
      <c r="N2517" s="48"/>
      <c r="O2517" s="48" t="str">
        <f t="shared" si="2"/>
        <v/>
      </c>
      <c r="P2517" s="48" t="str">
        <f t="shared" si="3"/>
        <v/>
      </c>
      <c r="Q2517" s="84"/>
      <c r="R2517" s="84"/>
      <c r="S2517" s="84"/>
      <c r="T2517" s="84"/>
      <c r="U2517" s="84"/>
      <c r="V2517" s="84"/>
      <c r="W2517" s="84"/>
      <c r="X2517" s="84"/>
      <c r="Y2517" s="84"/>
      <c r="Z2517" s="84"/>
      <c r="AA2517" s="84"/>
      <c r="AB2517" s="84"/>
    </row>
    <row r="2518">
      <c r="A2518" s="63">
        <v>168.0</v>
      </c>
      <c r="B2518" s="63">
        <v>279.0</v>
      </c>
      <c r="C2518" s="64" t="s">
        <v>552</v>
      </c>
      <c r="D2518" s="64" t="s">
        <v>553</v>
      </c>
      <c r="E2518" s="64" t="s">
        <v>554</v>
      </c>
      <c r="F2518" s="63">
        <v>3000.0</v>
      </c>
      <c r="G2518" s="63">
        <v>19.71</v>
      </c>
      <c r="H2518" s="66">
        <f t="shared" si="1"/>
        <v>82.56</v>
      </c>
      <c r="I2518" s="81">
        <f>IFERROR(__xludf.DUMMYFUNCTION("IF(G2518="""", """", ROUND(G2518 / MAX(FILTER($G$2:$G5067, $D$2:$D5067=$D2518)) * 100, 2))"),98.6)</f>
        <v>98.6</v>
      </c>
      <c r="J2518" s="81">
        <f>IFERROR(__xludf.DUMMYFUNCTION("IF(H2518="""", """", ROUND(H2518 / MAX(FILTER($H$2:$H5067, $D$2:$D5067=$D2518)) * 100, 2))"),55.26)</f>
        <v>55.26</v>
      </c>
      <c r="K2518" s="2"/>
      <c r="L2518" s="49"/>
      <c r="M2518" s="49"/>
      <c r="N2518" s="49"/>
      <c r="O2518" s="49" t="str">
        <f t="shared" si="2"/>
        <v/>
      </c>
      <c r="P2518" s="49" t="str">
        <f t="shared" si="3"/>
        <v/>
      </c>
      <c r="Q2518" s="84"/>
      <c r="R2518" s="84"/>
      <c r="S2518" s="84"/>
      <c r="T2518" s="84"/>
      <c r="U2518" s="84"/>
      <c r="V2518" s="84"/>
      <c r="W2518" s="84"/>
      <c r="X2518" s="84"/>
      <c r="Y2518" s="84"/>
      <c r="Z2518" s="84"/>
      <c r="AA2518" s="84"/>
      <c r="AB2518" s="84"/>
    </row>
    <row r="2519">
      <c r="A2519" s="69">
        <v>168.0</v>
      </c>
      <c r="B2519" s="69">
        <v>279.0</v>
      </c>
      <c r="C2519" s="86" t="s">
        <v>552</v>
      </c>
      <c r="D2519" s="86" t="s">
        <v>553</v>
      </c>
      <c r="E2519" s="86" t="s">
        <v>554</v>
      </c>
      <c r="F2519" s="69">
        <v>3500.0</v>
      </c>
      <c r="G2519" s="69">
        <v>19.65</v>
      </c>
      <c r="H2519" s="68">
        <f t="shared" si="1"/>
        <v>96.03</v>
      </c>
      <c r="I2519" s="81">
        <f>IFERROR(__xludf.DUMMYFUNCTION("IF(G2519="""", """", ROUND(G2519 / MAX(FILTER($G$2:$G5067, $D$2:$D5067=$D2519)) * 100, 2))"),98.3)</f>
        <v>98.3</v>
      </c>
      <c r="J2519" s="81">
        <f>IFERROR(__xludf.DUMMYFUNCTION("IF(H2519="""", """", ROUND(H2519 / MAX(FILTER($H$2:$H5067, $D$2:$D5067=$D2519)) * 100, 2))"),64.28)</f>
        <v>64.28</v>
      </c>
      <c r="K2519" s="2"/>
      <c r="L2519" s="48"/>
      <c r="M2519" s="48"/>
      <c r="N2519" s="48"/>
      <c r="O2519" s="48" t="str">
        <f t="shared" si="2"/>
        <v/>
      </c>
      <c r="P2519" s="48" t="str">
        <f t="shared" si="3"/>
        <v/>
      </c>
      <c r="Q2519" s="84"/>
      <c r="R2519" s="84"/>
      <c r="S2519" s="84"/>
      <c r="T2519" s="84"/>
      <c r="U2519" s="84"/>
      <c r="V2519" s="84"/>
      <c r="W2519" s="84"/>
      <c r="X2519" s="84"/>
      <c r="Y2519" s="84"/>
      <c r="Z2519" s="84"/>
      <c r="AA2519" s="84"/>
      <c r="AB2519" s="84"/>
    </row>
    <row r="2520">
      <c r="A2520" s="63">
        <v>168.0</v>
      </c>
      <c r="B2520" s="63">
        <v>279.0</v>
      </c>
      <c r="C2520" s="64" t="s">
        <v>552</v>
      </c>
      <c r="D2520" s="64" t="s">
        <v>553</v>
      </c>
      <c r="E2520" s="64" t="s">
        <v>554</v>
      </c>
      <c r="F2520" s="63">
        <v>4000.0</v>
      </c>
      <c r="G2520" s="63">
        <v>19.58</v>
      </c>
      <c r="H2520" s="66">
        <f t="shared" si="1"/>
        <v>109.35</v>
      </c>
      <c r="I2520" s="81">
        <f>IFERROR(__xludf.DUMMYFUNCTION("IF(G2520="""", """", ROUND(G2520 / MAX(FILTER($G$2:$G5067, $D$2:$D5067=$D2520)) * 100, 2))"),97.95)</f>
        <v>97.95</v>
      </c>
      <c r="J2520" s="81">
        <f>IFERROR(__xludf.DUMMYFUNCTION("IF(H2520="""", """", ROUND(H2520 / MAX(FILTER($H$2:$H5067, $D$2:$D5067=$D2520)) * 100, 2))"),73.2)</f>
        <v>73.2</v>
      </c>
      <c r="K2520" s="2"/>
      <c r="L2520" s="49"/>
      <c r="M2520" s="49"/>
      <c r="N2520" s="49"/>
      <c r="O2520" s="49" t="str">
        <f t="shared" si="2"/>
        <v/>
      </c>
      <c r="P2520" s="49" t="str">
        <f t="shared" si="3"/>
        <v/>
      </c>
      <c r="Q2520" s="84"/>
      <c r="R2520" s="84"/>
      <c r="S2520" s="84"/>
      <c r="T2520" s="84"/>
      <c r="U2520" s="84"/>
      <c r="V2520" s="84"/>
      <c r="W2520" s="84"/>
      <c r="X2520" s="84"/>
      <c r="Y2520" s="84"/>
      <c r="Z2520" s="84"/>
      <c r="AA2520" s="84"/>
      <c r="AB2520" s="84"/>
    </row>
    <row r="2521">
      <c r="A2521" s="69">
        <v>168.0</v>
      </c>
      <c r="B2521" s="69">
        <v>279.0</v>
      </c>
      <c r="C2521" s="86" t="s">
        <v>552</v>
      </c>
      <c r="D2521" s="86" t="s">
        <v>553</v>
      </c>
      <c r="E2521" s="86" t="s">
        <v>554</v>
      </c>
      <c r="F2521" s="69">
        <v>4500.0</v>
      </c>
      <c r="G2521" s="69">
        <v>19.93</v>
      </c>
      <c r="H2521" s="68">
        <f t="shared" si="1"/>
        <v>125.22</v>
      </c>
      <c r="I2521" s="81">
        <f>IFERROR(__xludf.DUMMYFUNCTION("IF(G2521="""", """", ROUND(G2521 / MAX(FILTER($G$2:$G5067, $D$2:$D5067=$D2521)) * 100, 2))"),99.7)</f>
        <v>99.7</v>
      </c>
      <c r="J2521" s="81">
        <f>IFERROR(__xludf.DUMMYFUNCTION("IF(H2521="""", """", ROUND(H2521 / MAX(FILTER($H$2:$H5067, $D$2:$D5067=$D2521)) * 100, 2))"),83.82)</f>
        <v>83.82</v>
      </c>
      <c r="K2521" s="2"/>
      <c r="L2521" s="48"/>
      <c r="M2521" s="48"/>
      <c r="N2521" s="48"/>
      <c r="O2521" s="48" t="str">
        <f t="shared" si="2"/>
        <v/>
      </c>
      <c r="P2521" s="48" t="str">
        <f t="shared" si="3"/>
        <v/>
      </c>
      <c r="Q2521" s="84"/>
      <c r="R2521" s="84"/>
      <c r="S2521" s="84"/>
      <c r="T2521" s="84"/>
      <c r="U2521" s="84"/>
      <c r="V2521" s="84"/>
      <c r="W2521" s="84"/>
      <c r="X2521" s="84"/>
      <c r="Y2521" s="84"/>
      <c r="Z2521" s="84"/>
      <c r="AA2521" s="84"/>
      <c r="AB2521" s="84"/>
    </row>
    <row r="2522">
      <c r="A2522" s="63">
        <v>168.0</v>
      </c>
      <c r="B2522" s="63">
        <v>279.0</v>
      </c>
      <c r="C2522" s="64" t="s">
        <v>552</v>
      </c>
      <c r="D2522" s="64" t="s">
        <v>553</v>
      </c>
      <c r="E2522" s="64" t="s">
        <v>554</v>
      </c>
      <c r="F2522" s="63">
        <v>5000.0</v>
      </c>
      <c r="G2522" s="63">
        <v>19.99</v>
      </c>
      <c r="H2522" s="66">
        <f t="shared" si="1"/>
        <v>139.56</v>
      </c>
      <c r="I2522" s="81">
        <f>IFERROR(__xludf.DUMMYFUNCTION("IF(G2522="""", """", ROUND(G2522 / MAX(FILTER($G$2:$G5067, $D$2:$D5067=$D2522)) * 100, 2))"),100.0)</f>
        <v>100</v>
      </c>
      <c r="J2522" s="81">
        <f>IFERROR(__xludf.DUMMYFUNCTION("IF(H2522="""", """", ROUND(H2522 / MAX(FILTER($H$2:$H5067, $D$2:$D5067=$D2522)) * 100, 2))"),93.42)</f>
        <v>93.42</v>
      </c>
      <c r="K2522" s="2"/>
      <c r="L2522" s="49"/>
      <c r="M2522" s="49"/>
      <c r="N2522" s="49"/>
      <c r="O2522" s="49" t="str">
        <f t="shared" si="2"/>
        <v/>
      </c>
      <c r="P2522" s="49" t="str">
        <f t="shared" si="3"/>
        <v/>
      </c>
      <c r="Q2522" s="84"/>
      <c r="R2522" s="84"/>
      <c r="S2522" s="84"/>
      <c r="T2522" s="84"/>
      <c r="U2522" s="84"/>
      <c r="V2522" s="84"/>
      <c r="W2522" s="84"/>
      <c r="X2522" s="84"/>
      <c r="Y2522" s="84"/>
      <c r="Z2522" s="84"/>
      <c r="AA2522" s="84"/>
      <c r="AB2522" s="84"/>
    </row>
    <row r="2523">
      <c r="A2523" s="69">
        <v>168.0</v>
      </c>
      <c r="B2523" s="69">
        <v>279.0</v>
      </c>
      <c r="C2523" s="86" t="s">
        <v>552</v>
      </c>
      <c r="D2523" s="86" t="s">
        <v>553</v>
      </c>
      <c r="E2523" s="86" t="s">
        <v>554</v>
      </c>
      <c r="F2523" s="69">
        <v>5500.0</v>
      </c>
      <c r="G2523" s="69">
        <v>19.01</v>
      </c>
      <c r="H2523" s="68">
        <f t="shared" si="1"/>
        <v>145.99</v>
      </c>
      <c r="I2523" s="81">
        <f>IFERROR(__xludf.DUMMYFUNCTION("IF(G2523="""", """", ROUND(G2523 / MAX(FILTER($G$2:$G5067, $D$2:$D5067=$D2523)) * 100, 2))"),95.1)</f>
        <v>95.1</v>
      </c>
      <c r="J2523" s="81">
        <f>IFERROR(__xludf.DUMMYFUNCTION("IF(H2523="""", """", ROUND(H2523 / MAX(FILTER($H$2:$H5067, $D$2:$D5067=$D2523)) * 100, 2))"),97.72)</f>
        <v>97.72</v>
      </c>
      <c r="K2523" s="2"/>
      <c r="L2523" s="48"/>
      <c r="M2523" s="48"/>
      <c r="N2523" s="48"/>
      <c r="O2523" s="48" t="str">
        <f t="shared" si="2"/>
        <v/>
      </c>
      <c r="P2523" s="48" t="str">
        <f t="shared" si="3"/>
        <v/>
      </c>
      <c r="Q2523" s="84"/>
      <c r="R2523" s="84"/>
      <c r="S2523" s="84"/>
      <c r="T2523" s="84"/>
      <c r="U2523" s="84"/>
      <c r="V2523" s="84"/>
      <c r="W2523" s="84"/>
      <c r="X2523" s="84"/>
      <c r="Y2523" s="84"/>
      <c r="Z2523" s="84"/>
      <c r="AA2523" s="84"/>
      <c r="AB2523" s="84"/>
    </row>
    <row r="2524">
      <c r="A2524" s="63">
        <v>168.0</v>
      </c>
      <c r="B2524" s="63">
        <v>279.0</v>
      </c>
      <c r="C2524" s="64" t="s">
        <v>552</v>
      </c>
      <c r="D2524" s="64" t="s">
        <v>553</v>
      </c>
      <c r="E2524" s="64" t="s">
        <v>554</v>
      </c>
      <c r="F2524" s="63">
        <v>6000.0</v>
      </c>
      <c r="G2524" s="63">
        <v>17.69</v>
      </c>
      <c r="H2524" s="66">
        <f t="shared" si="1"/>
        <v>148.2</v>
      </c>
      <c r="I2524" s="81">
        <f>IFERROR(__xludf.DUMMYFUNCTION("IF(G2524="""", """", ROUND(G2524 / MAX(FILTER($G$2:$G5067, $D$2:$D5067=$D2524)) * 100, 2))"),88.49)</f>
        <v>88.49</v>
      </c>
      <c r="J2524" s="81">
        <f>IFERROR(__xludf.DUMMYFUNCTION("IF(H2524="""", """", ROUND(H2524 / MAX(FILTER($H$2:$H5067, $D$2:$D5067=$D2524)) * 100, 2))"),99.2)</f>
        <v>99.2</v>
      </c>
      <c r="K2524" s="2"/>
      <c r="L2524" s="49"/>
      <c r="M2524" s="49"/>
      <c r="N2524" s="49"/>
      <c r="O2524" s="49" t="str">
        <f t="shared" si="2"/>
        <v/>
      </c>
      <c r="P2524" s="49" t="str">
        <f t="shared" si="3"/>
        <v/>
      </c>
      <c r="Q2524" s="84"/>
      <c r="R2524" s="84"/>
      <c r="S2524" s="84"/>
      <c r="T2524" s="84"/>
      <c r="U2524" s="84"/>
      <c r="V2524" s="84"/>
      <c r="W2524" s="84"/>
      <c r="X2524" s="84"/>
      <c r="Y2524" s="84"/>
      <c r="Z2524" s="84"/>
      <c r="AA2524" s="84"/>
      <c r="AB2524" s="84"/>
    </row>
    <row r="2525">
      <c r="A2525" s="69">
        <v>168.0</v>
      </c>
      <c r="B2525" s="69">
        <v>279.0</v>
      </c>
      <c r="C2525" s="86" t="s">
        <v>552</v>
      </c>
      <c r="D2525" s="86" t="s">
        <v>553</v>
      </c>
      <c r="E2525" s="86" t="s">
        <v>554</v>
      </c>
      <c r="F2525" s="69">
        <v>6500.0</v>
      </c>
      <c r="G2525" s="69">
        <v>16.46</v>
      </c>
      <c r="H2525" s="68">
        <f t="shared" si="1"/>
        <v>149.39</v>
      </c>
      <c r="I2525" s="81">
        <f>IFERROR(__xludf.DUMMYFUNCTION("IF(G2525="""", """", ROUND(G2525 / MAX(FILTER($G$2:$G5067, $D$2:$D5067=$D2525)) * 100, 2))"),82.34)</f>
        <v>82.34</v>
      </c>
      <c r="J2525" s="81">
        <f>IFERROR(__xludf.DUMMYFUNCTION("IF(H2525="""", """", ROUND(H2525 / MAX(FILTER($H$2:$H5067, $D$2:$D5067=$D2525)) * 100, 2))"),100.0)</f>
        <v>100</v>
      </c>
      <c r="K2525" s="2"/>
      <c r="L2525" s="48"/>
      <c r="M2525" s="48"/>
      <c r="N2525" s="48"/>
      <c r="O2525" s="48" t="str">
        <f t="shared" si="2"/>
        <v/>
      </c>
      <c r="P2525" s="48" t="str">
        <f t="shared" si="3"/>
        <v/>
      </c>
      <c r="Q2525" s="84"/>
      <c r="R2525" s="84"/>
      <c r="S2525" s="84"/>
      <c r="T2525" s="84"/>
      <c r="U2525" s="84"/>
      <c r="V2525" s="84"/>
      <c r="W2525" s="84"/>
      <c r="X2525" s="84"/>
      <c r="Y2525" s="84"/>
      <c r="Z2525" s="84"/>
      <c r="AA2525" s="84"/>
      <c r="AB2525" s="84"/>
    </row>
    <row r="2526">
      <c r="A2526" s="63">
        <v>168.0</v>
      </c>
      <c r="B2526" s="63">
        <v>279.0</v>
      </c>
      <c r="C2526" s="64" t="s">
        <v>552</v>
      </c>
      <c r="D2526" s="64" t="s">
        <v>553</v>
      </c>
      <c r="E2526" s="64" t="s">
        <v>554</v>
      </c>
      <c r="F2526" s="63">
        <v>7000.0</v>
      </c>
      <c r="G2526" s="63">
        <v>14.6</v>
      </c>
      <c r="H2526" s="66">
        <f t="shared" si="1"/>
        <v>142.7</v>
      </c>
      <c r="I2526" s="81">
        <f>IFERROR(__xludf.DUMMYFUNCTION("IF(G2526="""", """", ROUND(G2526 / MAX(FILTER($G$2:$G5067, $D$2:$D5067=$D2526)) * 100, 2))"),73.04)</f>
        <v>73.04</v>
      </c>
      <c r="J2526" s="81">
        <f>IFERROR(__xludf.DUMMYFUNCTION("IF(H2526="""", """", ROUND(H2526 / MAX(FILTER($H$2:$H5067, $D$2:$D5067=$D2526)) * 100, 2))"),95.52)</f>
        <v>95.52</v>
      </c>
      <c r="K2526" s="2"/>
      <c r="L2526" s="49"/>
      <c r="M2526" s="49"/>
      <c r="N2526" s="49"/>
      <c r="O2526" s="49" t="str">
        <f t="shared" si="2"/>
        <v/>
      </c>
      <c r="P2526" s="49" t="str">
        <f t="shared" si="3"/>
        <v/>
      </c>
      <c r="Q2526" s="84"/>
      <c r="R2526" s="84"/>
      <c r="S2526" s="84"/>
      <c r="T2526" s="84"/>
      <c r="U2526" s="84"/>
      <c r="V2526" s="84"/>
      <c r="W2526" s="84"/>
      <c r="X2526" s="84"/>
      <c r="Y2526" s="84"/>
      <c r="Z2526" s="84"/>
      <c r="AA2526" s="84"/>
      <c r="AB2526" s="84"/>
    </row>
    <row r="2527">
      <c r="A2527" s="69">
        <v>168.0</v>
      </c>
      <c r="B2527" s="69">
        <v>279.0</v>
      </c>
      <c r="C2527" s="86" t="s">
        <v>552</v>
      </c>
      <c r="D2527" s="86" t="s">
        <v>553</v>
      </c>
      <c r="E2527" s="86" t="s">
        <v>554</v>
      </c>
      <c r="F2527" s="69">
        <v>7500.0</v>
      </c>
      <c r="G2527" s="69">
        <v>12.5</v>
      </c>
      <c r="H2527" s="68">
        <f t="shared" si="1"/>
        <v>130.9</v>
      </c>
      <c r="I2527" s="81">
        <f>IFERROR(__xludf.DUMMYFUNCTION("IF(G2527="""", """", ROUND(G2527 / MAX(FILTER($G$2:$G5067, $D$2:$D5067=$D2527)) * 100, 2))"),62.53)</f>
        <v>62.53</v>
      </c>
      <c r="J2527" s="81">
        <f>IFERROR(__xludf.DUMMYFUNCTION("IF(H2527="""", """", ROUND(H2527 / MAX(FILTER($H$2:$H5067, $D$2:$D5067=$D2527)) * 100, 2))"),87.62)</f>
        <v>87.62</v>
      </c>
      <c r="K2527" s="2"/>
      <c r="L2527" s="48"/>
      <c r="M2527" s="48"/>
      <c r="N2527" s="48"/>
      <c r="O2527" s="48" t="str">
        <f t="shared" si="2"/>
        <v/>
      </c>
      <c r="P2527" s="48" t="str">
        <f t="shared" si="3"/>
        <v/>
      </c>
      <c r="Q2527" s="84"/>
      <c r="R2527" s="84"/>
      <c r="S2527" s="84"/>
      <c r="T2527" s="84"/>
      <c r="U2527" s="84"/>
      <c r="V2527" s="84"/>
      <c r="W2527" s="84"/>
      <c r="X2527" s="84"/>
      <c r="Y2527" s="84"/>
      <c r="Z2527" s="84"/>
      <c r="AA2527" s="84"/>
      <c r="AB2527" s="84"/>
    </row>
    <row r="2528">
      <c r="A2528" s="63">
        <v>169.0</v>
      </c>
      <c r="B2528" s="63">
        <v>280.0</v>
      </c>
      <c r="C2528" s="64" t="s">
        <v>555</v>
      </c>
      <c r="D2528" s="64" t="s">
        <v>556</v>
      </c>
      <c r="E2528" s="64" t="s">
        <v>557</v>
      </c>
      <c r="F2528" s="63">
        <v>500.0</v>
      </c>
      <c r="G2528" s="63">
        <v>25.64</v>
      </c>
      <c r="H2528" s="66">
        <f t="shared" si="1"/>
        <v>17.9</v>
      </c>
      <c r="I2528" s="81">
        <f>IFERROR(__xludf.DUMMYFUNCTION("IF(G2528="""", """", ROUND(G2528 / MAX(FILTER($G$2:$G5067, $D$2:$D5067=$D2528)) * 100, 2))"),69.26)</f>
        <v>69.26</v>
      </c>
      <c r="J2528" s="81">
        <f>IFERROR(__xludf.DUMMYFUNCTION("IF(H2528="""", """", ROUND(H2528 / MAX(FILTER($H$2:$H5067, $D$2:$D5067=$D2528)) * 100, 2))"),6.4)</f>
        <v>6.4</v>
      </c>
      <c r="K2528" s="2"/>
      <c r="L2528" s="49"/>
      <c r="M2528" s="49"/>
      <c r="N2528" s="49"/>
      <c r="O2528" s="49" t="str">
        <f t="shared" si="2"/>
        <v/>
      </c>
      <c r="P2528" s="49" t="str">
        <f t="shared" si="3"/>
        <v/>
      </c>
      <c r="Q2528" s="84"/>
      <c r="R2528" s="84"/>
      <c r="S2528" s="84"/>
      <c r="T2528" s="84"/>
      <c r="U2528" s="84"/>
      <c r="V2528" s="84"/>
      <c r="W2528" s="84"/>
      <c r="X2528" s="84"/>
      <c r="Y2528" s="84"/>
      <c r="Z2528" s="84"/>
      <c r="AA2528" s="84"/>
      <c r="AB2528" s="84"/>
    </row>
    <row r="2529">
      <c r="A2529" s="69">
        <v>169.0</v>
      </c>
      <c r="B2529" s="69">
        <v>280.0</v>
      </c>
      <c r="C2529" s="86" t="s">
        <v>555</v>
      </c>
      <c r="D2529" s="86" t="s">
        <v>556</v>
      </c>
      <c r="E2529" s="86" t="s">
        <v>557</v>
      </c>
      <c r="F2529" s="69">
        <v>1000.0</v>
      </c>
      <c r="G2529" s="69">
        <v>28.67</v>
      </c>
      <c r="H2529" s="68">
        <f t="shared" si="1"/>
        <v>40.03</v>
      </c>
      <c r="I2529" s="81">
        <f>IFERROR(__xludf.DUMMYFUNCTION("IF(G2529="""", """", ROUND(G2529 / MAX(FILTER($G$2:$G5067, $D$2:$D5067=$D2529)) * 100, 2))"),77.44)</f>
        <v>77.44</v>
      </c>
      <c r="J2529" s="81">
        <f>IFERROR(__xludf.DUMMYFUNCTION("IF(H2529="""", """", ROUND(H2529 / MAX(FILTER($H$2:$H5067, $D$2:$D5067=$D2529)) * 100, 2))"),14.32)</f>
        <v>14.32</v>
      </c>
      <c r="K2529" s="2"/>
      <c r="L2529" s="48"/>
      <c r="M2529" s="48"/>
      <c r="N2529" s="48"/>
      <c r="O2529" s="48" t="str">
        <f t="shared" si="2"/>
        <v/>
      </c>
      <c r="P2529" s="48" t="str">
        <f t="shared" si="3"/>
        <v/>
      </c>
      <c r="Q2529" s="84"/>
      <c r="R2529" s="84"/>
      <c r="S2529" s="84"/>
      <c r="T2529" s="84"/>
      <c r="U2529" s="84"/>
      <c r="V2529" s="84"/>
      <c r="W2529" s="84"/>
      <c r="X2529" s="84"/>
      <c r="Y2529" s="84"/>
      <c r="Z2529" s="84"/>
      <c r="AA2529" s="84"/>
      <c r="AB2529" s="84"/>
    </row>
    <row r="2530">
      <c r="A2530" s="63">
        <v>169.0</v>
      </c>
      <c r="B2530" s="63">
        <v>280.0</v>
      </c>
      <c r="C2530" s="64" t="s">
        <v>555</v>
      </c>
      <c r="D2530" s="64" t="s">
        <v>556</v>
      </c>
      <c r="E2530" s="64" t="s">
        <v>557</v>
      </c>
      <c r="F2530" s="63">
        <v>1500.0</v>
      </c>
      <c r="G2530" s="63">
        <v>30.59</v>
      </c>
      <c r="H2530" s="66">
        <f t="shared" si="1"/>
        <v>64.07</v>
      </c>
      <c r="I2530" s="81">
        <f>IFERROR(__xludf.DUMMYFUNCTION("IF(G2530="""", """", ROUND(G2530 / MAX(FILTER($G$2:$G5067, $D$2:$D5067=$D2530)) * 100, 2))"),82.63)</f>
        <v>82.63</v>
      </c>
      <c r="J2530" s="81">
        <f>IFERROR(__xludf.DUMMYFUNCTION("IF(H2530="""", """", ROUND(H2530 / MAX(FILTER($H$2:$H5067, $D$2:$D5067=$D2530)) * 100, 2))"),22.92)</f>
        <v>22.92</v>
      </c>
      <c r="K2530" s="2"/>
      <c r="L2530" s="49"/>
      <c r="M2530" s="49"/>
      <c r="N2530" s="49"/>
      <c r="O2530" s="49" t="str">
        <f t="shared" si="2"/>
        <v/>
      </c>
      <c r="P2530" s="49" t="str">
        <f t="shared" si="3"/>
        <v/>
      </c>
      <c r="Q2530" s="84"/>
      <c r="R2530" s="84"/>
      <c r="S2530" s="84"/>
      <c r="T2530" s="84"/>
      <c r="U2530" s="84"/>
      <c r="V2530" s="84"/>
      <c r="W2530" s="84"/>
      <c r="X2530" s="84"/>
      <c r="Y2530" s="84"/>
      <c r="Z2530" s="84"/>
      <c r="AA2530" s="84"/>
      <c r="AB2530" s="84"/>
    </row>
    <row r="2531">
      <c r="A2531" s="69">
        <v>169.0</v>
      </c>
      <c r="B2531" s="69">
        <v>280.0</v>
      </c>
      <c r="C2531" s="86" t="s">
        <v>555</v>
      </c>
      <c r="D2531" s="86" t="s">
        <v>556</v>
      </c>
      <c r="E2531" s="86" t="s">
        <v>557</v>
      </c>
      <c r="F2531" s="69">
        <v>2000.0</v>
      </c>
      <c r="G2531" s="69">
        <v>31.61</v>
      </c>
      <c r="H2531" s="68">
        <f t="shared" si="1"/>
        <v>88.27</v>
      </c>
      <c r="I2531" s="81">
        <f>IFERROR(__xludf.DUMMYFUNCTION("IF(G2531="""", """", ROUND(G2531 / MAX(FILTER($G$2:$G5067, $D$2:$D5067=$D2531)) * 100, 2))"),85.39)</f>
        <v>85.39</v>
      </c>
      <c r="J2531" s="81">
        <f>IFERROR(__xludf.DUMMYFUNCTION("IF(H2531="""", """", ROUND(H2531 / MAX(FILTER($H$2:$H5067, $D$2:$D5067=$D2531)) * 100, 2))"),31.57)</f>
        <v>31.57</v>
      </c>
      <c r="K2531" s="2"/>
      <c r="L2531" s="48"/>
      <c r="M2531" s="48"/>
      <c r="N2531" s="48"/>
      <c r="O2531" s="48" t="str">
        <f t="shared" si="2"/>
        <v/>
      </c>
      <c r="P2531" s="48" t="str">
        <f t="shared" si="3"/>
        <v/>
      </c>
      <c r="Q2531" s="84"/>
      <c r="R2531" s="84"/>
      <c r="S2531" s="84"/>
      <c r="T2531" s="84"/>
      <c r="U2531" s="84"/>
      <c r="V2531" s="84"/>
      <c r="W2531" s="84"/>
      <c r="X2531" s="84"/>
      <c r="Y2531" s="84"/>
      <c r="Z2531" s="84"/>
      <c r="AA2531" s="84"/>
      <c r="AB2531" s="84"/>
    </row>
    <row r="2532">
      <c r="A2532" s="63">
        <v>169.0</v>
      </c>
      <c r="B2532" s="63">
        <v>280.0</v>
      </c>
      <c r="C2532" s="64" t="s">
        <v>555</v>
      </c>
      <c r="D2532" s="64" t="s">
        <v>556</v>
      </c>
      <c r="E2532" s="64" t="s">
        <v>557</v>
      </c>
      <c r="F2532" s="63">
        <v>2500.0</v>
      </c>
      <c r="G2532" s="63">
        <v>32.98</v>
      </c>
      <c r="H2532" s="66">
        <f t="shared" si="1"/>
        <v>115.12</v>
      </c>
      <c r="I2532" s="81">
        <f>IFERROR(__xludf.DUMMYFUNCTION("IF(G2532="""", """", ROUND(G2532 / MAX(FILTER($G$2:$G5067, $D$2:$D5067=$D2532)) * 100, 2))"),89.09)</f>
        <v>89.09</v>
      </c>
      <c r="J2532" s="81">
        <f>IFERROR(__xludf.DUMMYFUNCTION("IF(H2532="""", """", ROUND(H2532 / MAX(FILTER($H$2:$H5067, $D$2:$D5067=$D2532)) * 100, 2))"),41.18)</f>
        <v>41.18</v>
      </c>
      <c r="K2532" s="2"/>
      <c r="L2532" s="49"/>
      <c r="M2532" s="49"/>
      <c r="N2532" s="49"/>
      <c r="O2532" s="49" t="str">
        <f t="shared" si="2"/>
        <v/>
      </c>
      <c r="P2532" s="49" t="str">
        <f t="shared" si="3"/>
        <v/>
      </c>
      <c r="Q2532" s="84"/>
      <c r="R2532" s="84"/>
      <c r="S2532" s="84"/>
      <c r="T2532" s="84"/>
      <c r="U2532" s="84"/>
      <c r="V2532" s="84"/>
      <c r="W2532" s="84"/>
      <c r="X2532" s="84"/>
      <c r="Y2532" s="84"/>
      <c r="Z2532" s="84"/>
      <c r="AA2532" s="84"/>
      <c r="AB2532" s="84"/>
    </row>
    <row r="2533">
      <c r="A2533" s="69">
        <v>169.0</v>
      </c>
      <c r="B2533" s="69">
        <v>280.0</v>
      </c>
      <c r="C2533" s="86" t="s">
        <v>555</v>
      </c>
      <c r="D2533" s="86" t="s">
        <v>556</v>
      </c>
      <c r="E2533" s="86" t="s">
        <v>557</v>
      </c>
      <c r="F2533" s="69">
        <v>3000.0</v>
      </c>
      <c r="G2533" s="69">
        <v>34.3</v>
      </c>
      <c r="H2533" s="68">
        <f t="shared" si="1"/>
        <v>143.67</v>
      </c>
      <c r="I2533" s="81">
        <f>IFERROR(__xludf.DUMMYFUNCTION("IF(G2533="""", """", ROUND(G2533 / MAX(FILTER($G$2:$G5067, $D$2:$D5067=$D2533)) * 100, 2))"),92.65)</f>
        <v>92.65</v>
      </c>
      <c r="J2533" s="81">
        <f>IFERROR(__xludf.DUMMYFUNCTION("IF(H2533="""", """", ROUND(H2533 / MAX(FILTER($H$2:$H5067, $D$2:$D5067=$D2533)) * 100, 2))"),51.39)</f>
        <v>51.39</v>
      </c>
      <c r="K2533" s="2"/>
      <c r="L2533" s="48"/>
      <c r="M2533" s="48"/>
      <c r="N2533" s="48"/>
      <c r="O2533" s="48" t="str">
        <f t="shared" si="2"/>
        <v/>
      </c>
      <c r="P2533" s="48" t="str">
        <f t="shared" si="3"/>
        <v/>
      </c>
      <c r="Q2533" s="84"/>
      <c r="R2533" s="84"/>
      <c r="S2533" s="84"/>
      <c r="T2533" s="84"/>
      <c r="U2533" s="84"/>
      <c r="V2533" s="84"/>
      <c r="W2533" s="84"/>
      <c r="X2533" s="84"/>
      <c r="Y2533" s="84"/>
      <c r="Z2533" s="84"/>
      <c r="AA2533" s="84"/>
      <c r="AB2533" s="84"/>
    </row>
    <row r="2534">
      <c r="A2534" s="63">
        <v>169.0</v>
      </c>
      <c r="B2534" s="63">
        <v>280.0</v>
      </c>
      <c r="C2534" s="64" t="s">
        <v>555</v>
      </c>
      <c r="D2534" s="64" t="s">
        <v>556</v>
      </c>
      <c r="E2534" s="64" t="s">
        <v>557</v>
      </c>
      <c r="F2534" s="63">
        <v>3500.0</v>
      </c>
      <c r="G2534" s="63">
        <v>35.18</v>
      </c>
      <c r="H2534" s="66">
        <f t="shared" si="1"/>
        <v>171.92</v>
      </c>
      <c r="I2534" s="81">
        <f>IFERROR(__xludf.DUMMYFUNCTION("IF(G2534="""", """", ROUND(G2534 / MAX(FILTER($G$2:$G5067, $D$2:$D5067=$D2534)) * 100, 2))"),95.03)</f>
        <v>95.03</v>
      </c>
      <c r="J2534" s="81">
        <f>IFERROR(__xludf.DUMMYFUNCTION("IF(H2534="""", """", ROUND(H2534 / MAX(FILTER($H$2:$H5067, $D$2:$D5067=$D2534)) * 100, 2))"),61.5)</f>
        <v>61.5</v>
      </c>
      <c r="K2534" s="2"/>
      <c r="L2534" s="49"/>
      <c r="M2534" s="49"/>
      <c r="N2534" s="49"/>
      <c r="O2534" s="49" t="str">
        <f t="shared" si="2"/>
        <v/>
      </c>
      <c r="P2534" s="49" t="str">
        <f t="shared" si="3"/>
        <v/>
      </c>
      <c r="Q2534" s="84"/>
      <c r="R2534" s="84"/>
      <c r="S2534" s="84"/>
      <c r="T2534" s="84"/>
      <c r="U2534" s="84"/>
      <c r="V2534" s="84"/>
      <c r="W2534" s="84"/>
      <c r="X2534" s="84"/>
      <c r="Y2534" s="84"/>
      <c r="Z2534" s="84"/>
      <c r="AA2534" s="84"/>
      <c r="AB2534" s="84"/>
    </row>
    <row r="2535">
      <c r="A2535" s="69">
        <v>169.0</v>
      </c>
      <c r="B2535" s="69">
        <v>280.0</v>
      </c>
      <c r="C2535" s="86" t="s">
        <v>555</v>
      </c>
      <c r="D2535" s="86" t="s">
        <v>556</v>
      </c>
      <c r="E2535" s="86" t="s">
        <v>557</v>
      </c>
      <c r="F2535" s="69">
        <v>4000.0</v>
      </c>
      <c r="G2535" s="69">
        <v>35.69</v>
      </c>
      <c r="H2535" s="68">
        <f t="shared" si="1"/>
        <v>199.33</v>
      </c>
      <c r="I2535" s="81">
        <f>IFERROR(__xludf.DUMMYFUNCTION("IF(G2535="""", """", ROUND(G2535 / MAX(FILTER($G$2:$G5067, $D$2:$D5067=$D2535)) * 100, 2))"),96.41)</f>
        <v>96.41</v>
      </c>
      <c r="J2535" s="81">
        <f>IFERROR(__xludf.DUMMYFUNCTION("IF(H2535="""", """", ROUND(H2535 / MAX(FILTER($H$2:$H5067, $D$2:$D5067=$D2535)) * 100, 2))"),71.3)</f>
        <v>71.3</v>
      </c>
      <c r="K2535" s="2"/>
      <c r="L2535" s="48"/>
      <c r="M2535" s="48"/>
      <c r="N2535" s="48"/>
      <c r="O2535" s="48" t="str">
        <f t="shared" si="2"/>
        <v/>
      </c>
      <c r="P2535" s="48" t="str">
        <f t="shared" si="3"/>
        <v/>
      </c>
      <c r="Q2535" s="84"/>
      <c r="R2535" s="84"/>
      <c r="S2535" s="84"/>
      <c r="T2535" s="84"/>
      <c r="U2535" s="84"/>
      <c r="V2535" s="84"/>
      <c r="W2535" s="84"/>
      <c r="X2535" s="84"/>
      <c r="Y2535" s="84"/>
      <c r="Z2535" s="84"/>
      <c r="AA2535" s="84"/>
      <c r="AB2535" s="84"/>
    </row>
    <row r="2536">
      <c r="A2536" s="63">
        <v>169.0</v>
      </c>
      <c r="B2536" s="63">
        <v>280.0</v>
      </c>
      <c r="C2536" s="64" t="s">
        <v>555</v>
      </c>
      <c r="D2536" s="64" t="s">
        <v>556</v>
      </c>
      <c r="E2536" s="64" t="s">
        <v>557</v>
      </c>
      <c r="F2536" s="63">
        <v>4500.0</v>
      </c>
      <c r="G2536" s="63">
        <v>36.35</v>
      </c>
      <c r="H2536" s="66">
        <f t="shared" si="1"/>
        <v>228.39</v>
      </c>
      <c r="I2536" s="81">
        <f>IFERROR(__xludf.DUMMYFUNCTION("IF(G2536="""", """", ROUND(G2536 / MAX(FILTER($G$2:$G5067, $D$2:$D5067=$D2536)) * 100, 2))"),98.19)</f>
        <v>98.19</v>
      </c>
      <c r="J2536" s="81">
        <f>IFERROR(__xludf.DUMMYFUNCTION("IF(H2536="""", """", ROUND(H2536 / MAX(FILTER($H$2:$H5067, $D$2:$D5067=$D2536)) * 100, 2))"),81.7)</f>
        <v>81.7</v>
      </c>
      <c r="K2536" s="2"/>
      <c r="L2536" s="49"/>
      <c r="M2536" s="49"/>
      <c r="N2536" s="49"/>
      <c r="O2536" s="49" t="str">
        <f t="shared" si="2"/>
        <v/>
      </c>
      <c r="P2536" s="49" t="str">
        <f t="shared" si="3"/>
        <v/>
      </c>
      <c r="Q2536" s="84"/>
      <c r="R2536" s="84"/>
      <c r="S2536" s="84"/>
      <c r="T2536" s="84"/>
      <c r="U2536" s="84"/>
      <c r="V2536" s="84"/>
      <c r="W2536" s="84"/>
      <c r="X2536" s="84"/>
      <c r="Y2536" s="84"/>
      <c r="Z2536" s="84"/>
      <c r="AA2536" s="84"/>
      <c r="AB2536" s="84"/>
    </row>
    <row r="2537">
      <c r="A2537" s="69">
        <v>169.0</v>
      </c>
      <c r="B2537" s="69">
        <v>280.0</v>
      </c>
      <c r="C2537" s="86" t="s">
        <v>555</v>
      </c>
      <c r="D2537" s="86" t="s">
        <v>556</v>
      </c>
      <c r="E2537" s="86" t="s">
        <v>557</v>
      </c>
      <c r="F2537" s="69">
        <v>5000.0</v>
      </c>
      <c r="G2537" s="69">
        <v>37.02</v>
      </c>
      <c r="H2537" s="68">
        <f t="shared" si="1"/>
        <v>258.45</v>
      </c>
      <c r="I2537" s="81">
        <f>IFERROR(__xludf.DUMMYFUNCTION("IF(G2537="""", """", ROUND(G2537 / MAX(FILTER($G$2:$G5067, $D$2:$D5067=$D2537)) * 100, 2))"),100.0)</f>
        <v>100</v>
      </c>
      <c r="J2537" s="81">
        <f>IFERROR(__xludf.DUMMYFUNCTION("IF(H2537="""", """", ROUND(H2537 / MAX(FILTER($H$2:$H5067, $D$2:$D5067=$D2537)) * 100, 2))"),92.45)</f>
        <v>92.45</v>
      </c>
      <c r="K2537" s="2"/>
      <c r="L2537" s="48"/>
      <c r="M2537" s="48"/>
      <c r="N2537" s="48"/>
      <c r="O2537" s="48" t="str">
        <f t="shared" si="2"/>
        <v/>
      </c>
      <c r="P2537" s="48" t="str">
        <f t="shared" si="3"/>
        <v/>
      </c>
      <c r="Q2537" s="84"/>
      <c r="R2537" s="84"/>
      <c r="S2537" s="84"/>
      <c r="T2537" s="84"/>
      <c r="U2537" s="84"/>
      <c r="V2537" s="84"/>
      <c r="W2537" s="84"/>
      <c r="X2537" s="84"/>
      <c r="Y2537" s="84"/>
      <c r="Z2537" s="84"/>
      <c r="AA2537" s="84"/>
      <c r="AB2537" s="84"/>
    </row>
    <row r="2538">
      <c r="A2538" s="63">
        <v>169.0</v>
      </c>
      <c r="B2538" s="63">
        <v>280.0</v>
      </c>
      <c r="C2538" s="64" t="s">
        <v>555</v>
      </c>
      <c r="D2538" s="64" t="s">
        <v>556</v>
      </c>
      <c r="E2538" s="64" t="s">
        <v>557</v>
      </c>
      <c r="F2538" s="63">
        <v>5500.0</v>
      </c>
      <c r="G2538" s="63">
        <v>35.65</v>
      </c>
      <c r="H2538" s="66">
        <f t="shared" si="1"/>
        <v>273.77</v>
      </c>
      <c r="I2538" s="81">
        <f>IFERROR(__xludf.DUMMYFUNCTION("IF(G2538="""", """", ROUND(G2538 / MAX(FILTER($G$2:$G5067, $D$2:$D5067=$D2538)) * 100, 2))"),96.3)</f>
        <v>96.3</v>
      </c>
      <c r="J2538" s="81">
        <f>IFERROR(__xludf.DUMMYFUNCTION("IF(H2538="""", """", ROUND(H2538 / MAX(FILTER($H$2:$H5067, $D$2:$D5067=$D2538)) * 100, 2))"),97.93)</f>
        <v>97.93</v>
      </c>
      <c r="K2538" s="2"/>
      <c r="L2538" s="49"/>
      <c r="M2538" s="49"/>
      <c r="N2538" s="49"/>
      <c r="O2538" s="49" t="str">
        <f t="shared" si="2"/>
        <v/>
      </c>
      <c r="P2538" s="49" t="str">
        <f t="shared" si="3"/>
        <v/>
      </c>
      <c r="Q2538" s="84"/>
      <c r="R2538" s="84"/>
      <c r="S2538" s="84"/>
      <c r="T2538" s="84"/>
      <c r="U2538" s="84"/>
      <c r="V2538" s="84"/>
      <c r="W2538" s="84"/>
      <c r="X2538" s="84"/>
      <c r="Y2538" s="84"/>
      <c r="Z2538" s="84"/>
      <c r="AA2538" s="84"/>
      <c r="AB2538" s="84"/>
    </row>
    <row r="2539">
      <c r="A2539" s="69">
        <v>169.0</v>
      </c>
      <c r="B2539" s="69">
        <v>280.0</v>
      </c>
      <c r="C2539" s="86" t="s">
        <v>555</v>
      </c>
      <c r="D2539" s="86" t="s">
        <v>556</v>
      </c>
      <c r="E2539" s="86" t="s">
        <v>557</v>
      </c>
      <c r="F2539" s="69">
        <v>6000.0</v>
      </c>
      <c r="G2539" s="69">
        <v>33.37</v>
      </c>
      <c r="H2539" s="68">
        <f t="shared" si="1"/>
        <v>279.56</v>
      </c>
      <c r="I2539" s="81">
        <f>IFERROR(__xludf.DUMMYFUNCTION("IF(G2539="""", """", ROUND(G2539 / MAX(FILTER($G$2:$G5067, $D$2:$D5067=$D2539)) * 100, 2))"),90.14)</f>
        <v>90.14</v>
      </c>
      <c r="J2539" s="81">
        <f>IFERROR(__xludf.DUMMYFUNCTION("IF(H2539="""", """", ROUND(H2539 / MAX(FILTER($H$2:$H5067, $D$2:$D5067=$D2539)) * 100, 2))"),100.0)</f>
        <v>100</v>
      </c>
      <c r="K2539" s="2"/>
      <c r="L2539" s="48"/>
      <c r="M2539" s="48"/>
      <c r="N2539" s="48"/>
      <c r="O2539" s="48" t="str">
        <f t="shared" si="2"/>
        <v/>
      </c>
      <c r="P2539" s="48" t="str">
        <f t="shared" si="3"/>
        <v/>
      </c>
      <c r="Q2539" s="84"/>
      <c r="R2539" s="84"/>
      <c r="S2539" s="84"/>
      <c r="T2539" s="84"/>
      <c r="U2539" s="84"/>
      <c r="V2539" s="84"/>
      <c r="W2539" s="84"/>
      <c r="X2539" s="84"/>
      <c r="Y2539" s="84"/>
      <c r="Z2539" s="84"/>
      <c r="AA2539" s="84"/>
      <c r="AB2539" s="84"/>
    </row>
    <row r="2540">
      <c r="A2540" s="63">
        <v>169.0</v>
      </c>
      <c r="B2540" s="63">
        <v>280.0</v>
      </c>
      <c r="C2540" s="64" t="s">
        <v>555</v>
      </c>
      <c r="D2540" s="64" t="s">
        <v>556</v>
      </c>
      <c r="E2540" s="64" t="s">
        <v>557</v>
      </c>
      <c r="F2540" s="63">
        <v>6500.0</v>
      </c>
      <c r="G2540" s="63">
        <v>30.59</v>
      </c>
      <c r="H2540" s="66">
        <f t="shared" si="1"/>
        <v>277.62</v>
      </c>
      <c r="I2540" s="81">
        <f>IFERROR(__xludf.DUMMYFUNCTION("IF(G2540="""", """", ROUND(G2540 / MAX(FILTER($G$2:$G5067, $D$2:$D5067=$D2540)) * 100, 2))"),82.63)</f>
        <v>82.63</v>
      </c>
      <c r="J2540" s="81">
        <f>IFERROR(__xludf.DUMMYFUNCTION("IF(H2540="""", """", ROUND(H2540 / MAX(FILTER($H$2:$H5067, $D$2:$D5067=$D2540)) * 100, 2))"),99.31)</f>
        <v>99.31</v>
      </c>
      <c r="K2540" s="2"/>
      <c r="L2540" s="49"/>
      <c r="M2540" s="49"/>
      <c r="N2540" s="49"/>
      <c r="O2540" s="49" t="str">
        <f t="shared" si="2"/>
        <v/>
      </c>
      <c r="P2540" s="49" t="str">
        <f t="shared" si="3"/>
        <v/>
      </c>
      <c r="Q2540" s="84"/>
      <c r="R2540" s="84"/>
      <c r="S2540" s="84"/>
      <c r="T2540" s="84"/>
      <c r="U2540" s="84"/>
      <c r="V2540" s="84"/>
      <c r="W2540" s="84"/>
      <c r="X2540" s="84"/>
      <c r="Y2540" s="84"/>
      <c r="Z2540" s="84"/>
      <c r="AA2540" s="84"/>
      <c r="AB2540" s="84"/>
    </row>
    <row r="2541">
      <c r="A2541" s="69">
        <v>169.0</v>
      </c>
      <c r="B2541" s="69">
        <v>280.0</v>
      </c>
      <c r="C2541" s="86" t="s">
        <v>555</v>
      </c>
      <c r="D2541" s="86" t="s">
        <v>556</v>
      </c>
      <c r="E2541" s="86" t="s">
        <v>557</v>
      </c>
      <c r="F2541" s="69">
        <v>7000.0</v>
      </c>
      <c r="G2541" s="69">
        <v>27.4</v>
      </c>
      <c r="H2541" s="68">
        <f t="shared" si="1"/>
        <v>267.8</v>
      </c>
      <c r="I2541" s="81">
        <f>IFERROR(__xludf.DUMMYFUNCTION("IF(G2541="""", """", ROUND(G2541 / MAX(FILTER($G$2:$G5067, $D$2:$D5067=$D2541)) * 100, 2))"),74.01)</f>
        <v>74.01</v>
      </c>
      <c r="J2541" s="81">
        <f>IFERROR(__xludf.DUMMYFUNCTION("IF(H2541="""", """", ROUND(H2541 / MAX(FILTER($H$2:$H5067, $D$2:$D5067=$D2541)) * 100, 2))"),95.79)</f>
        <v>95.79</v>
      </c>
      <c r="K2541" s="2"/>
      <c r="L2541" s="48"/>
      <c r="M2541" s="48"/>
      <c r="N2541" s="48"/>
      <c r="O2541" s="48" t="str">
        <f t="shared" si="2"/>
        <v/>
      </c>
      <c r="P2541" s="48" t="str">
        <f t="shared" si="3"/>
        <v/>
      </c>
      <c r="Q2541" s="84"/>
      <c r="R2541" s="84"/>
      <c r="S2541" s="84"/>
      <c r="T2541" s="84"/>
      <c r="U2541" s="84"/>
      <c r="V2541" s="84"/>
      <c r="W2541" s="84"/>
      <c r="X2541" s="84"/>
      <c r="Y2541" s="84"/>
      <c r="Z2541" s="84"/>
      <c r="AA2541" s="84"/>
      <c r="AB2541" s="84"/>
    </row>
    <row r="2542">
      <c r="A2542" s="63">
        <v>170.0</v>
      </c>
      <c r="B2542" s="63">
        <v>281.0</v>
      </c>
      <c r="C2542" s="64" t="s">
        <v>558</v>
      </c>
      <c r="D2542" s="64" t="s">
        <v>559</v>
      </c>
      <c r="E2542" s="64" t="s">
        <v>560</v>
      </c>
      <c r="F2542" s="63">
        <v>500.0</v>
      </c>
      <c r="G2542" s="63">
        <v>9.94</v>
      </c>
      <c r="H2542" s="66">
        <f t="shared" si="1"/>
        <v>6.94</v>
      </c>
      <c r="I2542" s="81">
        <f>IFERROR(__xludf.DUMMYFUNCTION("IF(G2542="""", """", ROUND(G2542 / MAX(FILTER($G$2:$G5067, $D$2:$D5067=$D2542)) * 100, 2))"),56.51)</f>
        <v>56.51</v>
      </c>
      <c r="J2542" s="81">
        <f>IFERROR(__xludf.DUMMYFUNCTION("IF(H2542="""", """", ROUND(H2542 / MAX(FILTER($H$2:$H5067, $D$2:$D5067=$D2542)) * 100, 2))"),4.97)</f>
        <v>4.97</v>
      </c>
      <c r="K2542" s="2"/>
      <c r="L2542" s="49"/>
      <c r="M2542" s="49"/>
      <c r="N2542" s="49"/>
      <c r="O2542" s="49" t="str">
        <f t="shared" si="2"/>
        <v/>
      </c>
      <c r="P2542" s="49" t="str">
        <f t="shared" si="3"/>
        <v/>
      </c>
      <c r="Q2542" s="84"/>
      <c r="R2542" s="84"/>
      <c r="S2542" s="84"/>
      <c r="T2542" s="84"/>
      <c r="U2542" s="84"/>
      <c r="V2542" s="84"/>
      <c r="W2542" s="84"/>
      <c r="X2542" s="84"/>
      <c r="Y2542" s="84"/>
      <c r="Z2542" s="84"/>
      <c r="AA2542" s="84"/>
      <c r="AB2542" s="84"/>
    </row>
    <row r="2543">
      <c r="A2543" s="69">
        <v>170.0</v>
      </c>
      <c r="B2543" s="69">
        <v>281.0</v>
      </c>
      <c r="C2543" s="86" t="s">
        <v>558</v>
      </c>
      <c r="D2543" s="86" t="s">
        <v>559</v>
      </c>
      <c r="E2543" s="86" t="s">
        <v>560</v>
      </c>
      <c r="F2543" s="69">
        <v>1000.0</v>
      </c>
      <c r="G2543" s="69">
        <v>12.08</v>
      </c>
      <c r="H2543" s="68">
        <f t="shared" si="1"/>
        <v>16.87</v>
      </c>
      <c r="I2543" s="81">
        <f>IFERROR(__xludf.DUMMYFUNCTION("IF(G2543="""", """", ROUND(G2543 / MAX(FILTER($G$2:$G5067, $D$2:$D5067=$D2543)) * 100, 2))"),68.68)</f>
        <v>68.68</v>
      </c>
      <c r="J2543" s="81">
        <f>IFERROR(__xludf.DUMMYFUNCTION("IF(H2543="""", """", ROUND(H2543 / MAX(FILTER($H$2:$H5067, $D$2:$D5067=$D2543)) * 100, 2))"),12.07)</f>
        <v>12.07</v>
      </c>
      <c r="K2543" s="2"/>
      <c r="L2543" s="48"/>
      <c r="M2543" s="48"/>
      <c r="N2543" s="48"/>
      <c r="O2543" s="48" t="str">
        <f t="shared" si="2"/>
        <v/>
      </c>
      <c r="P2543" s="48" t="str">
        <f t="shared" si="3"/>
        <v/>
      </c>
      <c r="Q2543" s="84"/>
      <c r="R2543" s="84"/>
      <c r="S2543" s="84"/>
      <c r="T2543" s="84"/>
      <c r="U2543" s="84"/>
      <c r="V2543" s="84"/>
      <c r="W2543" s="84"/>
      <c r="X2543" s="84"/>
      <c r="Y2543" s="84"/>
      <c r="Z2543" s="84"/>
      <c r="AA2543" s="84"/>
      <c r="AB2543" s="84"/>
    </row>
    <row r="2544">
      <c r="A2544" s="63">
        <v>170.0</v>
      </c>
      <c r="B2544" s="63">
        <v>281.0</v>
      </c>
      <c r="C2544" s="64" t="s">
        <v>558</v>
      </c>
      <c r="D2544" s="64" t="s">
        <v>559</v>
      </c>
      <c r="E2544" s="64" t="s">
        <v>560</v>
      </c>
      <c r="F2544" s="63">
        <v>1500.0</v>
      </c>
      <c r="G2544" s="63">
        <v>13.57</v>
      </c>
      <c r="H2544" s="66">
        <f t="shared" si="1"/>
        <v>28.42</v>
      </c>
      <c r="I2544" s="81">
        <f>IFERROR(__xludf.DUMMYFUNCTION("IF(G2544="""", """", ROUND(G2544 / MAX(FILTER($G$2:$G5067, $D$2:$D5067=$D2544)) * 100, 2))"),77.15)</f>
        <v>77.15</v>
      </c>
      <c r="J2544" s="81">
        <f>IFERROR(__xludf.DUMMYFUNCTION("IF(H2544="""", """", ROUND(H2544 / MAX(FILTER($H$2:$H5067, $D$2:$D5067=$D2544)) * 100, 2))"),20.33)</f>
        <v>20.33</v>
      </c>
      <c r="K2544" s="2"/>
      <c r="L2544" s="49"/>
      <c r="M2544" s="49"/>
      <c r="N2544" s="49"/>
      <c r="O2544" s="49" t="str">
        <f t="shared" si="2"/>
        <v/>
      </c>
      <c r="P2544" s="49" t="str">
        <f t="shared" si="3"/>
        <v/>
      </c>
      <c r="Q2544" s="84"/>
      <c r="R2544" s="84"/>
      <c r="S2544" s="84"/>
      <c r="T2544" s="84"/>
      <c r="U2544" s="84"/>
      <c r="V2544" s="84"/>
      <c r="W2544" s="84"/>
      <c r="X2544" s="84"/>
      <c r="Y2544" s="84"/>
      <c r="Z2544" s="84"/>
      <c r="AA2544" s="84"/>
      <c r="AB2544" s="84"/>
    </row>
    <row r="2545">
      <c r="A2545" s="69">
        <v>170.0</v>
      </c>
      <c r="B2545" s="69">
        <v>281.0</v>
      </c>
      <c r="C2545" s="86" t="s">
        <v>558</v>
      </c>
      <c r="D2545" s="86" t="s">
        <v>559</v>
      </c>
      <c r="E2545" s="86" t="s">
        <v>560</v>
      </c>
      <c r="F2545" s="69">
        <v>2000.0</v>
      </c>
      <c r="G2545" s="69">
        <v>14.63</v>
      </c>
      <c r="H2545" s="68">
        <f t="shared" si="1"/>
        <v>40.85</v>
      </c>
      <c r="I2545" s="81">
        <f>IFERROR(__xludf.DUMMYFUNCTION("IF(G2545="""", """", ROUND(G2545 / MAX(FILTER($G$2:$G5067, $D$2:$D5067=$D2545)) * 100, 2))"),83.17)</f>
        <v>83.17</v>
      </c>
      <c r="J2545" s="81">
        <f>IFERROR(__xludf.DUMMYFUNCTION("IF(H2545="""", """", ROUND(H2545 / MAX(FILTER($H$2:$H5067, $D$2:$D5067=$D2545)) * 100, 2))"),29.23)</f>
        <v>29.23</v>
      </c>
      <c r="K2545" s="2"/>
      <c r="L2545" s="48"/>
      <c r="M2545" s="48"/>
      <c r="N2545" s="48"/>
      <c r="O2545" s="48" t="str">
        <f t="shared" si="2"/>
        <v/>
      </c>
      <c r="P2545" s="48" t="str">
        <f t="shared" si="3"/>
        <v/>
      </c>
      <c r="Q2545" s="84"/>
      <c r="R2545" s="84"/>
      <c r="S2545" s="84"/>
      <c r="T2545" s="84"/>
      <c r="U2545" s="84"/>
      <c r="V2545" s="84"/>
      <c r="W2545" s="84"/>
      <c r="X2545" s="84"/>
      <c r="Y2545" s="84"/>
      <c r="Z2545" s="84"/>
      <c r="AA2545" s="84"/>
      <c r="AB2545" s="84"/>
    </row>
    <row r="2546">
      <c r="A2546" s="63">
        <v>170.0</v>
      </c>
      <c r="B2546" s="63">
        <v>281.0</v>
      </c>
      <c r="C2546" s="64" t="s">
        <v>558</v>
      </c>
      <c r="D2546" s="64" t="s">
        <v>559</v>
      </c>
      <c r="E2546" s="64" t="s">
        <v>560</v>
      </c>
      <c r="F2546" s="63">
        <v>2500.0</v>
      </c>
      <c r="G2546" s="63">
        <v>15.58</v>
      </c>
      <c r="H2546" s="66">
        <f t="shared" si="1"/>
        <v>54.38</v>
      </c>
      <c r="I2546" s="81">
        <f>IFERROR(__xludf.DUMMYFUNCTION("IF(G2546="""", """", ROUND(G2546 / MAX(FILTER($G$2:$G5067, $D$2:$D5067=$D2546)) * 100, 2))"),88.57)</f>
        <v>88.57</v>
      </c>
      <c r="J2546" s="81">
        <f>IFERROR(__xludf.DUMMYFUNCTION("IF(H2546="""", """", ROUND(H2546 / MAX(FILTER($H$2:$H5067, $D$2:$D5067=$D2546)) * 100, 2))"),38.91)</f>
        <v>38.91</v>
      </c>
      <c r="K2546" s="2"/>
      <c r="L2546" s="49"/>
      <c r="M2546" s="49"/>
      <c r="N2546" s="49"/>
      <c r="O2546" s="49" t="str">
        <f t="shared" si="2"/>
        <v/>
      </c>
      <c r="P2546" s="49" t="str">
        <f t="shared" si="3"/>
        <v/>
      </c>
      <c r="Q2546" s="84"/>
      <c r="R2546" s="84"/>
      <c r="S2546" s="84"/>
      <c r="T2546" s="84"/>
      <c r="U2546" s="84"/>
      <c r="V2546" s="84"/>
      <c r="W2546" s="84"/>
      <c r="X2546" s="84"/>
      <c r="Y2546" s="84"/>
      <c r="Z2546" s="84"/>
      <c r="AA2546" s="84"/>
      <c r="AB2546" s="84"/>
    </row>
    <row r="2547">
      <c r="A2547" s="69">
        <v>170.0</v>
      </c>
      <c r="B2547" s="69">
        <v>281.0</v>
      </c>
      <c r="C2547" s="86" t="s">
        <v>558</v>
      </c>
      <c r="D2547" s="86" t="s">
        <v>559</v>
      </c>
      <c r="E2547" s="86" t="s">
        <v>560</v>
      </c>
      <c r="F2547" s="69">
        <v>3000.0</v>
      </c>
      <c r="G2547" s="69">
        <v>16.64</v>
      </c>
      <c r="H2547" s="68">
        <f t="shared" si="1"/>
        <v>69.7</v>
      </c>
      <c r="I2547" s="81">
        <f>IFERROR(__xludf.DUMMYFUNCTION("IF(G2547="""", """", ROUND(G2547 / MAX(FILTER($G$2:$G5067, $D$2:$D5067=$D2547)) * 100, 2))"),94.6)</f>
        <v>94.6</v>
      </c>
      <c r="J2547" s="81">
        <f>IFERROR(__xludf.DUMMYFUNCTION("IF(H2547="""", """", ROUND(H2547 / MAX(FILTER($H$2:$H5067, $D$2:$D5067=$D2547)) * 100, 2))"),49.87)</f>
        <v>49.87</v>
      </c>
      <c r="K2547" s="2"/>
      <c r="L2547" s="48"/>
      <c r="M2547" s="48"/>
      <c r="N2547" s="48"/>
      <c r="O2547" s="48" t="str">
        <f t="shared" si="2"/>
        <v/>
      </c>
      <c r="P2547" s="48" t="str">
        <f t="shared" si="3"/>
        <v/>
      </c>
      <c r="Q2547" s="84"/>
      <c r="R2547" s="84"/>
      <c r="S2547" s="84"/>
      <c r="T2547" s="84"/>
      <c r="U2547" s="84"/>
      <c r="V2547" s="84"/>
      <c r="W2547" s="84"/>
      <c r="X2547" s="84"/>
      <c r="Y2547" s="84"/>
      <c r="Z2547" s="84"/>
      <c r="AA2547" s="84"/>
      <c r="AB2547" s="84"/>
    </row>
    <row r="2548">
      <c r="A2548" s="63">
        <v>170.0</v>
      </c>
      <c r="B2548" s="63">
        <v>281.0</v>
      </c>
      <c r="C2548" s="64" t="s">
        <v>558</v>
      </c>
      <c r="D2548" s="64" t="s">
        <v>559</v>
      </c>
      <c r="E2548" s="64" t="s">
        <v>560</v>
      </c>
      <c r="F2548" s="63">
        <v>3500.0</v>
      </c>
      <c r="G2548" s="63">
        <v>17.41</v>
      </c>
      <c r="H2548" s="66">
        <f t="shared" si="1"/>
        <v>85.08</v>
      </c>
      <c r="I2548" s="81">
        <f>IFERROR(__xludf.DUMMYFUNCTION("IF(G2548="""", """", ROUND(G2548 / MAX(FILTER($G$2:$G5067, $D$2:$D5067=$D2548)) * 100, 2))"),98.98)</f>
        <v>98.98</v>
      </c>
      <c r="J2548" s="81">
        <f>IFERROR(__xludf.DUMMYFUNCTION("IF(H2548="""", """", ROUND(H2548 / MAX(FILTER($H$2:$H5067, $D$2:$D5067=$D2548)) * 100, 2))"),60.87)</f>
        <v>60.87</v>
      </c>
      <c r="K2548" s="2"/>
      <c r="L2548" s="49"/>
      <c r="M2548" s="49"/>
      <c r="N2548" s="49"/>
      <c r="O2548" s="49" t="str">
        <f t="shared" si="2"/>
        <v/>
      </c>
      <c r="P2548" s="49" t="str">
        <f t="shared" si="3"/>
        <v/>
      </c>
      <c r="Q2548" s="84"/>
      <c r="R2548" s="84"/>
      <c r="S2548" s="84"/>
      <c r="T2548" s="84"/>
      <c r="U2548" s="84"/>
      <c r="V2548" s="84"/>
      <c r="W2548" s="84"/>
      <c r="X2548" s="84"/>
      <c r="Y2548" s="84"/>
      <c r="Z2548" s="84"/>
      <c r="AA2548" s="84"/>
      <c r="AB2548" s="84"/>
    </row>
    <row r="2549">
      <c r="A2549" s="69">
        <v>170.0</v>
      </c>
      <c r="B2549" s="69">
        <v>281.0</v>
      </c>
      <c r="C2549" s="86" t="s">
        <v>558</v>
      </c>
      <c r="D2549" s="86" t="s">
        <v>559</v>
      </c>
      <c r="E2549" s="86" t="s">
        <v>560</v>
      </c>
      <c r="F2549" s="69">
        <v>4000.0</v>
      </c>
      <c r="G2549" s="69">
        <v>17.59</v>
      </c>
      <c r="H2549" s="68">
        <f t="shared" si="1"/>
        <v>98.24</v>
      </c>
      <c r="I2549" s="81">
        <f>IFERROR(__xludf.DUMMYFUNCTION("IF(G2549="""", """", ROUND(G2549 / MAX(FILTER($G$2:$G5067, $D$2:$D5067=$D2549)) * 100, 2))"),100.0)</f>
        <v>100</v>
      </c>
      <c r="J2549" s="81">
        <f>IFERROR(__xludf.DUMMYFUNCTION("IF(H2549="""", """", ROUND(H2549 / MAX(FILTER($H$2:$H5067, $D$2:$D5067=$D2549)) * 100, 2))"),70.29)</f>
        <v>70.29</v>
      </c>
      <c r="K2549" s="2"/>
      <c r="L2549" s="48"/>
      <c r="M2549" s="48"/>
      <c r="N2549" s="48"/>
      <c r="O2549" s="48" t="str">
        <f t="shared" si="2"/>
        <v/>
      </c>
      <c r="P2549" s="48" t="str">
        <f t="shared" si="3"/>
        <v/>
      </c>
      <c r="Q2549" s="84"/>
      <c r="R2549" s="84"/>
      <c r="S2549" s="84"/>
      <c r="T2549" s="84"/>
      <c r="U2549" s="84"/>
      <c r="V2549" s="84"/>
      <c r="W2549" s="84"/>
      <c r="X2549" s="84"/>
      <c r="Y2549" s="84"/>
      <c r="Z2549" s="84"/>
      <c r="AA2549" s="84"/>
      <c r="AB2549" s="84"/>
    </row>
    <row r="2550">
      <c r="A2550" s="63">
        <v>170.0</v>
      </c>
      <c r="B2550" s="63">
        <v>281.0</v>
      </c>
      <c r="C2550" s="64" t="s">
        <v>558</v>
      </c>
      <c r="D2550" s="64" t="s">
        <v>559</v>
      </c>
      <c r="E2550" s="64" t="s">
        <v>560</v>
      </c>
      <c r="F2550" s="63">
        <v>4500.0</v>
      </c>
      <c r="G2550" s="63">
        <v>17.43</v>
      </c>
      <c r="H2550" s="66">
        <f t="shared" si="1"/>
        <v>109.52</v>
      </c>
      <c r="I2550" s="81">
        <f>IFERROR(__xludf.DUMMYFUNCTION("IF(G2550="""", """", ROUND(G2550 / MAX(FILTER($G$2:$G5067, $D$2:$D5067=$D2550)) * 100, 2))"),99.09)</f>
        <v>99.09</v>
      </c>
      <c r="J2550" s="81">
        <f>IFERROR(__xludf.DUMMYFUNCTION("IF(H2550="""", """", ROUND(H2550 / MAX(FILTER($H$2:$H5067, $D$2:$D5067=$D2550)) * 100, 2))"),78.36)</f>
        <v>78.36</v>
      </c>
      <c r="K2550" s="2"/>
      <c r="L2550" s="49"/>
      <c r="M2550" s="49"/>
      <c r="N2550" s="49"/>
      <c r="O2550" s="49" t="str">
        <f t="shared" si="2"/>
        <v/>
      </c>
      <c r="P2550" s="49" t="str">
        <f t="shared" si="3"/>
        <v/>
      </c>
      <c r="Q2550" s="84"/>
      <c r="R2550" s="84"/>
      <c r="S2550" s="84"/>
      <c r="T2550" s="84"/>
      <c r="U2550" s="84"/>
      <c r="V2550" s="84"/>
      <c r="W2550" s="84"/>
      <c r="X2550" s="84"/>
      <c r="Y2550" s="84"/>
      <c r="Z2550" s="84"/>
      <c r="AA2550" s="84"/>
      <c r="AB2550" s="84"/>
    </row>
    <row r="2551">
      <c r="A2551" s="69">
        <v>170.0</v>
      </c>
      <c r="B2551" s="69">
        <v>281.0</v>
      </c>
      <c r="C2551" s="86" t="s">
        <v>558</v>
      </c>
      <c r="D2551" s="86" t="s">
        <v>559</v>
      </c>
      <c r="E2551" s="86" t="s">
        <v>560</v>
      </c>
      <c r="F2551" s="69">
        <v>5000.0</v>
      </c>
      <c r="G2551" s="69">
        <v>17.15</v>
      </c>
      <c r="H2551" s="68">
        <f t="shared" si="1"/>
        <v>119.73</v>
      </c>
      <c r="I2551" s="81">
        <f>IFERROR(__xludf.DUMMYFUNCTION("IF(G2551="""", """", ROUND(G2551 / MAX(FILTER($G$2:$G5067, $D$2:$D5067=$D2551)) * 100, 2))"),97.5)</f>
        <v>97.5</v>
      </c>
      <c r="J2551" s="81">
        <f>IFERROR(__xludf.DUMMYFUNCTION("IF(H2551="""", """", ROUND(H2551 / MAX(FILTER($H$2:$H5067, $D$2:$D5067=$D2551)) * 100, 2))"),85.66)</f>
        <v>85.66</v>
      </c>
      <c r="K2551" s="2"/>
      <c r="L2551" s="48"/>
      <c r="M2551" s="48"/>
      <c r="N2551" s="48"/>
      <c r="O2551" s="48" t="str">
        <f t="shared" si="2"/>
        <v/>
      </c>
      <c r="P2551" s="48" t="str">
        <f t="shared" si="3"/>
        <v/>
      </c>
      <c r="Q2551" s="84"/>
      <c r="R2551" s="84"/>
      <c r="S2551" s="84"/>
      <c r="T2551" s="84"/>
      <c r="U2551" s="84"/>
      <c r="V2551" s="84"/>
      <c r="W2551" s="84"/>
      <c r="X2551" s="84"/>
      <c r="Y2551" s="84"/>
      <c r="Z2551" s="84"/>
      <c r="AA2551" s="84"/>
      <c r="AB2551" s="84"/>
    </row>
    <row r="2552">
      <c r="A2552" s="63">
        <v>170.0</v>
      </c>
      <c r="B2552" s="63">
        <v>281.0</v>
      </c>
      <c r="C2552" s="64" t="s">
        <v>558</v>
      </c>
      <c r="D2552" s="64" t="s">
        <v>559</v>
      </c>
      <c r="E2552" s="64" t="s">
        <v>560</v>
      </c>
      <c r="F2552" s="63">
        <v>5500.0</v>
      </c>
      <c r="G2552" s="63">
        <v>16.88</v>
      </c>
      <c r="H2552" s="66">
        <f t="shared" si="1"/>
        <v>129.63</v>
      </c>
      <c r="I2552" s="81">
        <f>IFERROR(__xludf.DUMMYFUNCTION("IF(G2552="""", """", ROUND(G2552 / MAX(FILTER($G$2:$G5067, $D$2:$D5067=$D2552)) * 100, 2))"),95.96)</f>
        <v>95.96</v>
      </c>
      <c r="J2552" s="81">
        <f>IFERROR(__xludf.DUMMYFUNCTION("IF(H2552="""", """", ROUND(H2552 / MAX(FILTER($H$2:$H5067, $D$2:$D5067=$D2552)) * 100, 2))"),92.75)</f>
        <v>92.75</v>
      </c>
      <c r="K2552" s="2"/>
      <c r="L2552" s="49"/>
      <c r="M2552" s="49"/>
      <c r="N2552" s="49"/>
      <c r="O2552" s="49" t="str">
        <f t="shared" si="2"/>
        <v/>
      </c>
      <c r="P2552" s="49" t="str">
        <f t="shared" si="3"/>
        <v/>
      </c>
      <c r="Q2552" s="84"/>
      <c r="R2552" s="84"/>
      <c r="S2552" s="84"/>
      <c r="T2552" s="84"/>
      <c r="U2552" s="84"/>
      <c r="V2552" s="84"/>
      <c r="W2552" s="84"/>
      <c r="X2552" s="84"/>
      <c r="Y2552" s="84"/>
      <c r="Z2552" s="84"/>
      <c r="AA2552" s="84"/>
      <c r="AB2552" s="84"/>
    </row>
    <row r="2553">
      <c r="A2553" s="69">
        <v>170.0</v>
      </c>
      <c r="B2553" s="69">
        <v>281.0</v>
      </c>
      <c r="C2553" s="86" t="s">
        <v>558</v>
      </c>
      <c r="D2553" s="86" t="s">
        <v>559</v>
      </c>
      <c r="E2553" s="86" t="s">
        <v>560</v>
      </c>
      <c r="F2553" s="69">
        <v>6000.0</v>
      </c>
      <c r="G2553" s="69">
        <v>16.21</v>
      </c>
      <c r="H2553" s="68">
        <f t="shared" si="1"/>
        <v>135.8</v>
      </c>
      <c r="I2553" s="81">
        <f>IFERROR(__xludf.DUMMYFUNCTION("IF(G2553="""", """", ROUND(G2553 / MAX(FILTER($G$2:$G5067, $D$2:$D5067=$D2553)) * 100, 2))"),92.15)</f>
        <v>92.15</v>
      </c>
      <c r="J2553" s="81">
        <f>IFERROR(__xludf.DUMMYFUNCTION("IF(H2553="""", """", ROUND(H2553 / MAX(FILTER($H$2:$H5067, $D$2:$D5067=$D2553)) * 100, 2))"),97.16)</f>
        <v>97.16</v>
      </c>
      <c r="K2553" s="2"/>
      <c r="L2553" s="48"/>
      <c r="M2553" s="48"/>
      <c r="N2553" s="48"/>
      <c r="O2553" s="48" t="str">
        <f t="shared" si="2"/>
        <v/>
      </c>
      <c r="P2553" s="48" t="str">
        <f t="shared" si="3"/>
        <v/>
      </c>
      <c r="Q2553" s="84"/>
      <c r="R2553" s="84"/>
      <c r="S2553" s="84"/>
      <c r="T2553" s="84"/>
      <c r="U2553" s="84"/>
      <c r="V2553" s="84"/>
      <c r="W2553" s="84"/>
      <c r="X2553" s="84"/>
      <c r="Y2553" s="84"/>
      <c r="Z2553" s="84"/>
      <c r="AA2553" s="84"/>
      <c r="AB2553" s="84"/>
    </row>
    <row r="2554">
      <c r="A2554" s="63">
        <v>170.0</v>
      </c>
      <c r="B2554" s="63">
        <v>281.0</v>
      </c>
      <c r="C2554" s="64" t="s">
        <v>558</v>
      </c>
      <c r="D2554" s="64" t="s">
        <v>559</v>
      </c>
      <c r="E2554" s="64" t="s">
        <v>560</v>
      </c>
      <c r="F2554" s="63">
        <v>6500.0</v>
      </c>
      <c r="G2554" s="63">
        <v>15.4</v>
      </c>
      <c r="H2554" s="66">
        <f t="shared" si="1"/>
        <v>139.77</v>
      </c>
      <c r="I2554" s="81">
        <f>IFERROR(__xludf.DUMMYFUNCTION("IF(G2554="""", """", ROUND(G2554 / MAX(FILTER($G$2:$G5067, $D$2:$D5067=$D2554)) * 100, 2))"),87.55)</f>
        <v>87.55</v>
      </c>
      <c r="J2554" s="81">
        <f>IFERROR(__xludf.DUMMYFUNCTION("IF(H2554="""", """", ROUND(H2554 / MAX(FILTER($H$2:$H5067, $D$2:$D5067=$D2554)) * 100, 2))"),100.0)</f>
        <v>100</v>
      </c>
      <c r="K2554" s="2"/>
      <c r="L2554" s="49"/>
      <c r="M2554" s="49"/>
      <c r="N2554" s="49"/>
      <c r="O2554" s="49" t="str">
        <f t="shared" si="2"/>
        <v/>
      </c>
      <c r="P2554" s="49" t="str">
        <f t="shared" si="3"/>
        <v/>
      </c>
      <c r="Q2554" s="84"/>
      <c r="R2554" s="84"/>
      <c r="S2554" s="84"/>
      <c r="T2554" s="84"/>
      <c r="U2554" s="84"/>
      <c r="V2554" s="84"/>
      <c r="W2554" s="84"/>
      <c r="X2554" s="84"/>
      <c r="Y2554" s="84"/>
      <c r="Z2554" s="84"/>
      <c r="AA2554" s="84"/>
      <c r="AB2554" s="84"/>
    </row>
    <row r="2555">
      <c r="A2555" s="69">
        <v>170.0</v>
      </c>
      <c r="B2555" s="69">
        <v>281.0</v>
      </c>
      <c r="C2555" s="86" t="s">
        <v>558</v>
      </c>
      <c r="D2555" s="86" t="s">
        <v>559</v>
      </c>
      <c r="E2555" s="86" t="s">
        <v>560</v>
      </c>
      <c r="F2555" s="69">
        <v>7000.0</v>
      </c>
      <c r="G2555" s="69">
        <v>14.05</v>
      </c>
      <c r="H2555" s="68">
        <f t="shared" si="1"/>
        <v>137.32</v>
      </c>
      <c r="I2555" s="81">
        <f>IFERROR(__xludf.DUMMYFUNCTION("IF(G2555="""", """", ROUND(G2555 / MAX(FILTER($G$2:$G5067, $D$2:$D5067=$D2555)) * 100, 2))"),79.87)</f>
        <v>79.87</v>
      </c>
      <c r="J2555" s="81">
        <f>IFERROR(__xludf.DUMMYFUNCTION("IF(H2555="""", """", ROUND(H2555 / MAX(FILTER($H$2:$H5067, $D$2:$D5067=$D2555)) * 100, 2))"),98.25)</f>
        <v>98.25</v>
      </c>
      <c r="K2555" s="2"/>
      <c r="L2555" s="48"/>
      <c r="M2555" s="48"/>
      <c r="N2555" s="48"/>
      <c r="O2555" s="48" t="str">
        <f t="shared" si="2"/>
        <v/>
      </c>
      <c r="P2555" s="48" t="str">
        <f t="shared" si="3"/>
        <v/>
      </c>
      <c r="Q2555" s="84"/>
      <c r="R2555" s="84"/>
      <c r="S2555" s="84"/>
      <c r="T2555" s="84"/>
      <c r="U2555" s="84"/>
      <c r="V2555" s="84"/>
      <c r="W2555" s="84"/>
      <c r="X2555" s="84"/>
      <c r="Y2555" s="84"/>
      <c r="Z2555" s="84"/>
      <c r="AA2555" s="84"/>
      <c r="AB2555" s="84"/>
    </row>
    <row r="2556">
      <c r="A2556" s="63">
        <v>171.0</v>
      </c>
      <c r="B2556" s="63">
        <v>283.0</v>
      </c>
      <c r="C2556" s="64" t="s">
        <v>561</v>
      </c>
      <c r="D2556" s="64" t="s">
        <v>562</v>
      </c>
      <c r="E2556" s="64" t="s">
        <v>563</v>
      </c>
      <c r="F2556" s="63">
        <v>500.0</v>
      </c>
      <c r="G2556" s="63">
        <v>12.15</v>
      </c>
      <c r="H2556" s="66">
        <f t="shared" si="1"/>
        <v>8.48</v>
      </c>
      <c r="I2556" s="81">
        <f>IFERROR(__xludf.DUMMYFUNCTION("IF(G2556="""", """", ROUND(G2556 / MAX(FILTER($G$2:$G5067, $D$2:$D5067=$D2556)) * 100, 2))"),69.43)</f>
        <v>69.43</v>
      </c>
      <c r="J2556" s="81">
        <f>IFERROR(__xludf.DUMMYFUNCTION("IF(H2556="""", """", ROUND(H2556 / MAX(FILTER($H$2:$H5067, $D$2:$D5067=$D2556)) * 100, 2))"),7.3)</f>
        <v>7.3</v>
      </c>
      <c r="K2556" s="2"/>
      <c r="L2556" s="49"/>
      <c r="M2556" s="49"/>
      <c r="N2556" s="49"/>
      <c r="O2556" s="49" t="str">
        <f t="shared" si="2"/>
        <v/>
      </c>
      <c r="P2556" s="49" t="str">
        <f t="shared" si="3"/>
        <v/>
      </c>
      <c r="Q2556" s="84"/>
      <c r="R2556" s="84"/>
      <c r="S2556" s="84"/>
      <c r="T2556" s="84"/>
      <c r="U2556" s="84"/>
      <c r="V2556" s="84"/>
      <c r="W2556" s="84"/>
      <c r="X2556" s="84"/>
      <c r="Y2556" s="84"/>
      <c r="Z2556" s="84"/>
      <c r="AA2556" s="84"/>
      <c r="AB2556" s="84"/>
    </row>
    <row r="2557">
      <c r="A2557" s="69">
        <v>171.0</v>
      </c>
      <c r="B2557" s="69">
        <v>283.0</v>
      </c>
      <c r="C2557" s="86" t="s">
        <v>561</v>
      </c>
      <c r="D2557" s="86" t="s">
        <v>562</v>
      </c>
      <c r="E2557" s="86" t="s">
        <v>563</v>
      </c>
      <c r="F2557" s="69">
        <v>1000.0</v>
      </c>
      <c r="G2557" s="69">
        <v>14.25</v>
      </c>
      <c r="H2557" s="68">
        <f t="shared" si="1"/>
        <v>19.9</v>
      </c>
      <c r="I2557" s="81">
        <f>IFERROR(__xludf.DUMMYFUNCTION("IF(G2557="""", """", ROUND(G2557 / MAX(FILTER($G$2:$G5067, $D$2:$D5067=$D2557)) * 100, 2))"),81.43)</f>
        <v>81.43</v>
      </c>
      <c r="J2557" s="81">
        <f>IFERROR(__xludf.DUMMYFUNCTION("IF(H2557="""", """", ROUND(H2557 / MAX(FILTER($H$2:$H5067, $D$2:$D5067=$D2557)) * 100, 2))"),17.14)</f>
        <v>17.14</v>
      </c>
      <c r="K2557" s="2"/>
      <c r="L2557" s="48"/>
      <c r="M2557" s="48"/>
      <c r="N2557" s="48"/>
      <c r="O2557" s="48" t="str">
        <f t="shared" si="2"/>
        <v/>
      </c>
      <c r="P2557" s="48" t="str">
        <f t="shared" si="3"/>
        <v/>
      </c>
      <c r="Q2557" s="84"/>
      <c r="R2557" s="84"/>
      <c r="S2557" s="84"/>
      <c r="T2557" s="84"/>
      <c r="U2557" s="84"/>
      <c r="V2557" s="84"/>
      <c r="W2557" s="84"/>
      <c r="X2557" s="84"/>
      <c r="Y2557" s="84"/>
      <c r="Z2557" s="84"/>
      <c r="AA2557" s="84"/>
      <c r="AB2557" s="84"/>
    </row>
    <row r="2558">
      <c r="A2558" s="63">
        <v>171.0</v>
      </c>
      <c r="B2558" s="63">
        <v>283.0</v>
      </c>
      <c r="C2558" s="64" t="s">
        <v>561</v>
      </c>
      <c r="D2558" s="64" t="s">
        <v>562</v>
      </c>
      <c r="E2558" s="64" t="s">
        <v>563</v>
      </c>
      <c r="F2558" s="63">
        <v>1500.0</v>
      </c>
      <c r="G2558" s="63">
        <v>15.65</v>
      </c>
      <c r="H2558" s="66">
        <f t="shared" si="1"/>
        <v>32.78</v>
      </c>
      <c r="I2558" s="81">
        <f>IFERROR(__xludf.DUMMYFUNCTION("IF(G2558="""", """", ROUND(G2558 / MAX(FILTER($G$2:$G5067, $D$2:$D5067=$D2558)) * 100, 2))"),89.43)</f>
        <v>89.43</v>
      </c>
      <c r="J2558" s="81">
        <f>IFERROR(__xludf.DUMMYFUNCTION("IF(H2558="""", """", ROUND(H2558 / MAX(FILTER($H$2:$H5067, $D$2:$D5067=$D2558)) * 100, 2))"),28.23)</f>
        <v>28.23</v>
      </c>
      <c r="K2558" s="2"/>
      <c r="L2558" s="49"/>
      <c r="M2558" s="49"/>
      <c r="N2558" s="49"/>
      <c r="O2558" s="49" t="str">
        <f t="shared" si="2"/>
        <v/>
      </c>
      <c r="P2558" s="49" t="str">
        <f t="shared" si="3"/>
        <v/>
      </c>
      <c r="Q2558" s="84"/>
      <c r="R2558" s="84"/>
      <c r="S2558" s="84"/>
      <c r="T2558" s="84"/>
      <c r="U2558" s="84"/>
      <c r="V2558" s="84"/>
      <c r="W2558" s="84"/>
      <c r="X2558" s="84"/>
      <c r="Y2558" s="84"/>
      <c r="Z2558" s="84"/>
      <c r="AA2558" s="84"/>
      <c r="AB2558" s="84"/>
    </row>
    <row r="2559">
      <c r="A2559" s="69">
        <v>171.0</v>
      </c>
      <c r="B2559" s="69">
        <v>283.0</v>
      </c>
      <c r="C2559" s="86" t="s">
        <v>561</v>
      </c>
      <c r="D2559" s="86" t="s">
        <v>562</v>
      </c>
      <c r="E2559" s="86" t="s">
        <v>563</v>
      </c>
      <c r="F2559" s="69">
        <v>2000.0</v>
      </c>
      <c r="G2559" s="69">
        <v>16.6</v>
      </c>
      <c r="H2559" s="68">
        <f t="shared" si="1"/>
        <v>46.36</v>
      </c>
      <c r="I2559" s="81">
        <f>IFERROR(__xludf.DUMMYFUNCTION("IF(G2559="""", """", ROUND(G2559 / MAX(FILTER($G$2:$G5067, $D$2:$D5067=$D2559)) * 100, 2))"),94.86)</f>
        <v>94.86</v>
      </c>
      <c r="J2559" s="81">
        <f>IFERROR(__xludf.DUMMYFUNCTION("IF(H2559="""", """", ROUND(H2559 / MAX(FILTER($H$2:$H5067, $D$2:$D5067=$D2559)) * 100, 2))"),39.93)</f>
        <v>39.93</v>
      </c>
      <c r="K2559" s="2"/>
      <c r="L2559" s="48"/>
      <c r="M2559" s="48"/>
      <c r="N2559" s="48"/>
      <c r="O2559" s="48" t="str">
        <f t="shared" si="2"/>
        <v/>
      </c>
      <c r="P2559" s="48" t="str">
        <f t="shared" si="3"/>
        <v/>
      </c>
      <c r="Q2559" s="84"/>
      <c r="R2559" s="84"/>
      <c r="S2559" s="84"/>
      <c r="T2559" s="84"/>
      <c r="U2559" s="84"/>
      <c r="V2559" s="84"/>
      <c r="W2559" s="84"/>
      <c r="X2559" s="84"/>
      <c r="Y2559" s="84"/>
      <c r="Z2559" s="84"/>
      <c r="AA2559" s="84"/>
      <c r="AB2559" s="84"/>
    </row>
    <row r="2560">
      <c r="A2560" s="63">
        <v>171.0</v>
      </c>
      <c r="B2560" s="63">
        <v>283.0</v>
      </c>
      <c r="C2560" s="64" t="s">
        <v>561</v>
      </c>
      <c r="D2560" s="64" t="s">
        <v>562</v>
      </c>
      <c r="E2560" s="64" t="s">
        <v>563</v>
      </c>
      <c r="F2560" s="63">
        <v>2500.0</v>
      </c>
      <c r="G2560" s="63">
        <v>17.2</v>
      </c>
      <c r="H2560" s="66">
        <f t="shared" si="1"/>
        <v>60.04</v>
      </c>
      <c r="I2560" s="81">
        <f>IFERROR(__xludf.DUMMYFUNCTION("IF(G2560="""", """", ROUND(G2560 / MAX(FILTER($G$2:$G5067, $D$2:$D5067=$D2560)) * 100, 2))"),98.29)</f>
        <v>98.29</v>
      </c>
      <c r="J2560" s="81">
        <f>IFERROR(__xludf.DUMMYFUNCTION("IF(H2560="""", """", ROUND(H2560 / MAX(FILTER($H$2:$H5067, $D$2:$D5067=$D2560)) * 100, 2))"),51.71)</f>
        <v>51.71</v>
      </c>
      <c r="K2560" s="2"/>
      <c r="L2560" s="49"/>
      <c r="M2560" s="49"/>
      <c r="N2560" s="49"/>
      <c r="O2560" s="49" t="str">
        <f t="shared" si="2"/>
        <v/>
      </c>
      <c r="P2560" s="49" t="str">
        <f t="shared" si="3"/>
        <v/>
      </c>
      <c r="Q2560" s="84"/>
      <c r="R2560" s="84"/>
      <c r="S2560" s="84"/>
      <c r="T2560" s="84"/>
      <c r="U2560" s="84"/>
      <c r="V2560" s="84"/>
      <c r="W2560" s="84"/>
      <c r="X2560" s="84"/>
      <c r="Y2560" s="84"/>
      <c r="Z2560" s="84"/>
      <c r="AA2560" s="84"/>
      <c r="AB2560" s="84"/>
    </row>
    <row r="2561">
      <c r="A2561" s="69">
        <v>171.0</v>
      </c>
      <c r="B2561" s="69">
        <v>283.0</v>
      </c>
      <c r="C2561" s="86" t="s">
        <v>561</v>
      </c>
      <c r="D2561" s="86" t="s">
        <v>562</v>
      </c>
      <c r="E2561" s="86" t="s">
        <v>563</v>
      </c>
      <c r="F2561" s="69">
        <v>3200.0</v>
      </c>
      <c r="G2561" s="69">
        <v>17.5</v>
      </c>
      <c r="H2561" s="68">
        <f t="shared" si="1"/>
        <v>78.19</v>
      </c>
      <c r="I2561" s="81">
        <f>IFERROR(__xludf.DUMMYFUNCTION("IF(G2561="""", """", ROUND(G2561 / MAX(FILTER($G$2:$G5067, $D$2:$D5067=$D2561)) * 100, 2))"),100.0)</f>
        <v>100</v>
      </c>
      <c r="J2561" s="81">
        <f>IFERROR(__xludf.DUMMYFUNCTION("IF(H2561="""", """", ROUND(H2561 / MAX(FILTER($H$2:$H5067, $D$2:$D5067=$D2561)) * 100, 2))"),67.34)</f>
        <v>67.34</v>
      </c>
      <c r="K2561" s="2"/>
      <c r="L2561" s="48"/>
      <c r="M2561" s="48"/>
      <c r="N2561" s="48"/>
      <c r="O2561" s="48" t="str">
        <f t="shared" si="2"/>
        <v/>
      </c>
      <c r="P2561" s="48" t="str">
        <f t="shared" si="3"/>
        <v/>
      </c>
      <c r="Q2561" s="84"/>
      <c r="R2561" s="84"/>
      <c r="S2561" s="84"/>
      <c r="T2561" s="84"/>
      <c r="U2561" s="84"/>
      <c r="V2561" s="84"/>
      <c r="W2561" s="84"/>
      <c r="X2561" s="84"/>
      <c r="Y2561" s="84"/>
      <c r="Z2561" s="84"/>
      <c r="AA2561" s="84"/>
      <c r="AB2561" s="84"/>
    </row>
    <row r="2562">
      <c r="A2562" s="63">
        <v>171.0</v>
      </c>
      <c r="B2562" s="63">
        <v>283.0</v>
      </c>
      <c r="C2562" s="64" t="s">
        <v>561</v>
      </c>
      <c r="D2562" s="64" t="s">
        <v>562</v>
      </c>
      <c r="E2562" s="64" t="s">
        <v>563</v>
      </c>
      <c r="F2562" s="63">
        <v>3500.0</v>
      </c>
      <c r="G2562" s="63">
        <v>17.5</v>
      </c>
      <c r="H2562" s="66">
        <f t="shared" si="1"/>
        <v>85.52</v>
      </c>
      <c r="I2562" s="81">
        <f>IFERROR(__xludf.DUMMYFUNCTION("IF(G2562="""", """", ROUND(G2562 / MAX(FILTER($G$2:$G5067, $D$2:$D5067=$D2562)) * 100, 2))"),100.0)</f>
        <v>100</v>
      </c>
      <c r="J2562" s="81">
        <f>IFERROR(__xludf.DUMMYFUNCTION("IF(H2562="""", """", ROUND(H2562 / MAX(FILTER($H$2:$H5067, $D$2:$D5067=$D2562)) * 100, 2))"),73.65)</f>
        <v>73.65</v>
      </c>
      <c r="K2562" s="2"/>
      <c r="L2562" s="49"/>
      <c r="M2562" s="49"/>
      <c r="N2562" s="49"/>
      <c r="O2562" s="49" t="str">
        <f t="shared" si="2"/>
        <v/>
      </c>
      <c r="P2562" s="49" t="str">
        <f t="shared" si="3"/>
        <v/>
      </c>
      <c r="Q2562" s="84"/>
      <c r="R2562" s="84"/>
      <c r="S2562" s="84"/>
      <c r="T2562" s="84"/>
      <c r="U2562" s="84"/>
      <c r="V2562" s="84"/>
      <c r="W2562" s="84"/>
      <c r="X2562" s="84"/>
      <c r="Y2562" s="84"/>
      <c r="Z2562" s="84"/>
      <c r="AA2562" s="84"/>
      <c r="AB2562" s="84"/>
    </row>
    <row r="2563">
      <c r="A2563" s="69">
        <v>171.0</v>
      </c>
      <c r="B2563" s="69">
        <v>283.0</v>
      </c>
      <c r="C2563" s="86" t="s">
        <v>561</v>
      </c>
      <c r="D2563" s="86" t="s">
        <v>562</v>
      </c>
      <c r="E2563" s="86" t="s">
        <v>563</v>
      </c>
      <c r="F2563" s="69">
        <v>4000.0</v>
      </c>
      <c r="G2563" s="69">
        <v>17.4</v>
      </c>
      <c r="H2563" s="68">
        <f t="shared" si="1"/>
        <v>97.18</v>
      </c>
      <c r="I2563" s="81">
        <f>IFERROR(__xludf.DUMMYFUNCTION("IF(G2563="""", """", ROUND(G2563 / MAX(FILTER($G$2:$G5067, $D$2:$D5067=$D2563)) * 100, 2))"),99.43)</f>
        <v>99.43</v>
      </c>
      <c r="J2563" s="81">
        <f>IFERROR(__xludf.DUMMYFUNCTION("IF(H2563="""", """", ROUND(H2563 / MAX(FILTER($H$2:$H5067, $D$2:$D5067=$D2563)) * 100, 2))"),83.7)</f>
        <v>83.7</v>
      </c>
      <c r="K2563" s="2"/>
      <c r="L2563" s="48"/>
      <c r="M2563" s="48"/>
      <c r="N2563" s="48"/>
      <c r="O2563" s="48" t="str">
        <f t="shared" si="2"/>
        <v/>
      </c>
      <c r="P2563" s="48" t="str">
        <f t="shared" si="3"/>
        <v/>
      </c>
      <c r="Q2563" s="84"/>
      <c r="R2563" s="84"/>
      <c r="S2563" s="84"/>
      <c r="T2563" s="84"/>
      <c r="U2563" s="84"/>
      <c r="V2563" s="84"/>
      <c r="W2563" s="84"/>
      <c r="X2563" s="84"/>
      <c r="Y2563" s="84"/>
      <c r="Z2563" s="84"/>
      <c r="AA2563" s="84"/>
      <c r="AB2563" s="84"/>
    </row>
    <row r="2564">
      <c r="A2564" s="63">
        <v>171.0</v>
      </c>
      <c r="B2564" s="63">
        <v>283.0</v>
      </c>
      <c r="C2564" s="64" t="s">
        <v>561</v>
      </c>
      <c r="D2564" s="64" t="s">
        <v>562</v>
      </c>
      <c r="E2564" s="64" t="s">
        <v>563</v>
      </c>
      <c r="F2564" s="63">
        <v>4500.0</v>
      </c>
      <c r="G2564" s="63">
        <v>17.0</v>
      </c>
      <c r="H2564" s="66">
        <f t="shared" si="1"/>
        <v>106.81</v>
      </c>
      <c r="I2564" s="81">
        <f>IFERROR(__xludf.DUMMYFUNCTION("IF(G2564="""", """", ROUND(G2564 / MAX(FILTER($G$2:$G5067, $D$2:$D5067=$D2564)) * 100, 2))"),97.14)</f>
        <v>97.14</v>
      </c>
      <c r="J2564" s="81">
        <f>IFERROR(__xludf.DUMMYFUNCTION("IF(H2564="""", """", ROUND(H2564 / MAX(FILTER($H$2:$H5067, $D$2:$D5067=$D2564)) * 100, 2))"),91.99)</f>
        <v>91.99</v>
      </c>
      <c r="K2564" s="2"/>
      <c r="L2564" s="49"/>
      <c r="M2564" s="49"/>
      <c r="N2564" s="49"/>
      <c r="O2564" s="49" t="str">
        <f t="shared" si="2"/>
        <v/>
      </c>
      <c r="P2564" s="49" t="str">
        <f t="shared" si="3"/>
        <v/>
      </c>
      <c r="Q2564" s="84"/>
      <c r="R2564" s="84"/>
      <c r="S2564" s="84"/>
      <c r="T2564" s="84"/>
      <c r="U2564" s="84"/>
      <c r="V2564" s="84"/>
      <c r="W2564" s="84"/>
      <c r="X2564" s="84"/>
      <c r="Y2564" s="84"/>
      <c r="Z2564" s="84"/>
      <c r="AA2564" s="84"/>
      <c r="AB2564" s="84"/>
    </row>
    <row r="2565">
      <c r="A2565" s="69">
        <v>171.0</v>
      </c>
      <c r="B2565" s="69">
        <v>283.0</v>
      </c>
      <c r="C2565" s="86" t="s">
        <v>561</v>
      </c>
      <c r="D2565" s="86" t="s">
        <v>562</v>
      </c>
      <c r="E2565" s="86" t="s">
        <v>563</v>
      </c>
      <c r="F2565" s="69">
        <v>5000.0</v>
      </c>
      <c r="G2565" s="69">
        <v>16.25</v>
      </c>
      <c r="H2565" s="68">
        <f t="shared" si="1"/>
        <v>113.45</v>
      </c>
      <c r="I2565" s="81">
        <f>IFERROR(__xludf.DUMMYFUNCTION("IF(G2565="""", """", ROUND(G2565 / MAX(FILTER($G$2:$G5067, $D$2:$D5067=$D2565)) * 100, 2))"),92.86)</f>
        <v>92.86</v>
      </c>
      <c r="J2565" s="81">
        <f>IFERROR(__xludf.DUMMYFUNCTION("IF(H2565="""", """", ROUND(H2565 / MAX(FILTER($H$2:$H5067, $D$2:$D5067=$D2565)) * 100, 2))"),97.71)</f>
        <v>97.71</v>
      </c>
      <c r="K2565" s="2"/>
      <c r="L2565" s="48"/>
      <c r="M2565" s="48"/>
      <c r="N2565" s="48"/>
      <c r="O2565" s="48" t="str">
        <f t="shared" si="2"/>
        <v/>
      </c>
      <c r="P2565" s="48" t="str">
        <f t="shared" si="3"/>
        <v/>
      </c>
      <c r="Q2565" s="84"/>
      <c r="R2565" s="84"/>
      <c r="S2565" s="84"/>
      <c r="T2565" s="84"/>
      <c r="U2565" s="84"/>
      <c r="V2565" s="84"/>
      <c r="W2565" s="84"/>
      <c r="X2565" s="84"/>
      <c r="Y2565" s="84"/>
      <c r="Z2565" s="84"/>
      <c r="AA2565" s="84"/>
      <c r="AB2565" s="84"/>
    </row>
    <row r="2566">
      <c r="A2566" s="63">
        <v>171.0</v>
      </c>
      <c r="B2566" s="63">
        <v>283.0</v>
      </c>
      <c r="C2566" s="64" t="s">
        <v>561</v>
      </c>
      <c r="D2566" s="64" t="s">
        <v>562</v>
      </c>
      <c r="E2566" s="64" t="s">
        <v>563</v>
      </c>
      <c r="F2566" s="63">
        <v>5400.0</v>
      </c>
      <c r="G2566" s="63">
        <v>15.4</v>
      </c>
      <c r="H2566" s="66">
        <f t="shared" si="1"/>
        <v>116.11</v>
      </c>
      <c r="I2566" s="81">
        <f>IFERROR(__xludf.DUMMYFUNCTION("IF(G2566="""", """", ROUND(G2566 / MAX(FILTER($G$2:$G5067, $D$2:$D5067=$D2566)) * 100, 2))"),88.0)</f>
        <v>88</v>
      </c>
      <c r="J2566" s="81">
        <f>IFERROR(__xludf.DUMMYFUNCTION("IF(H2566="""", """", ROUND(H2566 / MAX(FILTER($H$2:$H5067, $D$2:$D5067=$D2566)) * 100, 2))"),100.0)</f>
        <v>100</v>
      </c>
      <c r="K2566" s="2"/>
      <c r="L2566" s="49"/>
      <c r="M2566" s="49"/>
      <c r="N2566" s="49"/>
      <c r="O2566" s="49" t="str">
        <f t="shared" si="2"/>
        <v/>
      </c>
      <c r="P2566" s="49" t="str">
        <f t="shared" si="3"/>
        <v/>
      </c>
      <c r="Q2566" s="84"/>
      <c r="R2566" s="84"/>
      <c r="S2566" s="84"/>
      <c r="T2566" s="84"/>
      <c r="U2566" s="84"/>
      <c r="V2566" s="84"/>
      <c r="W2566" s="84"/>
      <c r="X2566" s="84"/>
      <c r="Y2566" s="84"/>
      <c r="Z2566" s="84"/>
      <c r="AA2566" s="84"/>
      <c r="AB2566" s="84"/>
    </row>
    <row r="2567">
      <c r="A2567" s="69">
        <v>171.0</v>
      </c>
      <c r="B2567" s="69">
        <v>283.0</v>
      </c>
      <c r="C2567" s="86" t="s">
        <v>561</v>
      </c>
      <c r="D2567" s="86" t="s">
        <v>562</v>
      </c>
      <c r="E2567" s="86" t="s">
        <v>563</v>
      </c>
      <c r="F2567" s="69">
        <v>6000.0</v>
      </c>
      <c r="G2567" s="69">
        <v>13.65</v>
      </c>
      <c r="H2567" s="68">
        <f t="shared" si="1"/>
        <v>114.35</v>
      </c>
      <c r="I2567" s="81">
        <f>IFERROR(__xludf.DUMMYFUNCTION("IF(G2567="""", """", ROUND(G2567 / MAX(FILTER($G$2:$G5067, $D$2:$D5067=$D2567)) * 100, 2))"),78.0)</f>
        <v>78</v>
      </c>
      <c r="J2567" s="81">
        <f>IFERROR(__xludf.DUMMYFUNCTION("IF(H2567="""", """", ROUND(H2567 / MAX(FILTER($H$2:$H5067, $D$2:$D5067=$D2567)) * 100, 2))"),98.48)</f>
        <v>98.48</v>
      </c>
      <c r="K2567" s="2"/>
      <c r="L2567" s="48"/>
      <c r="M2567" s="48"/>
      <c r="N2567" s="48"/>
      <c r="O2567" s="48" t="str">
        <f t="shared" si="2"/>
        <v/>
      </c>
      <c r="P2567" s="48" t="str">
        <f t="shared" si="3"/>
        <v/>
      </c>
      <c r="Q2567" s="84"/>
      <c r="R2567" s="84"/>
      <c r="S2567" s="84"/>
      <c r="T2567" s="84"/>
      <c r="U2567" s="84"/>
      <c r="V2567" s="84"/>
      <c r="W2567" s="84"/>
      <c r="X2567" s="84"/>
      <c r="Y2567" s="84"/>
      <c r="Z2567" s="84"/>
      <c r="AA2567" s="84"/>
      <c r="AB2567" s="84"/>
    </row>
    <row r="2568">
      <c r="A2568" s="63">
        <v>171.0</v>
      </c>
      <c r="B2568" s="63">
        <v>283.0</v>
      </c>
      <c r="C2568" s="64" t="s">
        <v>561</v>
      </c>
      <c r="D2568" s="64" t="s">
        <v>562</v>
      </c>
      <c r="E2568" s="64" t="s">
        <v>563</v>
      </c>
      <c r="F2568" s="63">
        <v>6500.0</v>
      </c>
      <c r="G2568" s="63">
        <v>11.6</v>
      </c>
      <c r="H2568" s="66">
        <f t="shared" si="1"/>
        <v>105.28</v>
      </c>
      <c r="I2568" s="81">
        <f>IFERROR(__xludf.DUMMYFUNCTION("IF(G2568="""", """", ROUND(G2568 / MAX(FILTER($G$2:$G5067, $D$2:$D5067=$D2568)) * 100, 2))"),66.29)</f>
        <v>66.29</v>
      </c>
      <c r="J2568" s="81">
        <f>IFERROR(__xludf.DUMMYFUNCTION("IF(H2568="""", """", ROUND(H2568 / MAX(FILTER($H$2:$H5067, $D$2:$D5067=$D2568)) * 100, 2))"),90.67)</f>
        <v>90.67</v>
      </c>
      <c r="K2568" s="2"/>
      <c r="L2568" s="49"/>
      <c r="M2568" s="49"/>
      <c r="N2568" s="49"/>
      <c r="O2568" s="49" t="str">
        <f t="shared" si="2"/>
        <v/>
      </c>
      <c r="P2568" s="49" t="str">
        <f t="shared" si="3"/>
        <v/>
      </c>
      <c r="Q2568" s="84"/>
      <c r="R2568" s="84"/>
      <c r="S2568" s="84"/>
      <c r="T2568" s="84"/>
      <c r="U2568" s="84"/>
      <c r="V2568" s="84"/>
      <c r="W2568" s="84"/>
      <c r="X2568" s="84"/>
      <c r="Y2568" s="84"/>
      <c r="Z2568" s="84"/>
      <c r="AA2568" s="84"/>
      <c r="AB2568" s="84"/>
    </row>
    <row r="2569">
      <c r="A2569" s="69">
        <v>171.0</v>
      </c>
      <c r="B2569" s="69">
        <v>283.0</v>
      </c>
      <c r="C2569" s="86" t="s">
        <v>561</v>
      </c>
      <c r="D2569" s="86" t="s">
        <v>562</v>
      </c>
      <c r="E2569" s="86" t="s">
        <v>563</v>
      </c>
      <c r="F2569" s="69">
        <v>7000.0</v>
      </c>
      <c r="G2569" s="69">
        <v>9.0</v>
      </c>
      <c r="H2569" s="68">
        <f t="shared" si="1"/>
        <v>87.96</v>
      </c>
      <c r="I2569" s="81">
        <f>IFERROR(__xludf.DUMMYFUNCTION("IF(G2569="""", """", ROUND(G2569 / MAX(FILTER($G$2:$G5067, $D$2:$D5067=$D2569)) * 100, 2))"),51.43)</f>
        <v>51.43</v>
      </c>
      <c r="J2569" s="81">
        <f>IFERROR(__xludf.DUMMYFUNCTION("IF(H2569="""", """", ROUND(H2569 / MAX(FILTER($H$2:$H5067, $D$2:$D5067=$D2569)) * 100, 2))"),75.76)</f>
        <v>75.76</v>
      </c>
      <c r="K2569" s="2"/>
      <c r="L2569" s="48"/>
      <c r="M2569" s="48"/>
      <c r="N2569" s="48"/>
      <c r="O2569" s="48" t="str">
        <f t="shared" si="2"/>
        <v/>
      </c>
      <c r="P2569" s="48" t="str">
        <f t="shared" si="3"/>
        <v/>
      </c>
      <c r="Q2569" s="84"/>
      <c r="R2569" s="84"/>
      <c r="S2569" s="84"/>
      <c r="T2569" s="84"/>
      <c r="U2569" s="84"/>
      <c r="V2569" s="84"/>
      <c r="W2569" s="84"/>
      <c r="X2569" s="84"/>
      <c r="Y2569" s="84"/>
      <c r="Z2569" s="84"/>
      <c r="AA2569" s="84"/>
      <c r="AB2569" s="84"/>
    </row>
    <row r="2570">
      <c r="A2570" s="63">
        <v>172.0</v>
      </c>
      <c r="B2570" s="63">
        <v>285.0</v>
      </c>
      <c r="C2570" s="64" t="s">
        <v>564</v>
      </c>
      <c r="D2570" s="64" t="s">
        <v>565</v>
      </c>
      <c r="E2570" s="64" t="s">
        <v>566</v>
      </c>
      <c r="F2570" s="63">
        <v>500.0</v>
      </c>
      <c r="G2570" s="63">
        <v>16.91</v>
      </c>
      <c r="H2570" s="66">
        <f t="shared" si="1"/>
        <v>11.81</v>
      </c>
      <c r="I2570" s="81">
        <f>IFERROR(__xludf.DUMMYFUNCTION("IF(G2570="""", """", ROUND(G2570 / MAX(FILTER($G$2:$G5067, $D$2:$D5067=$D2570)) * 100, 2))"),62.26)</f>
        <v>62.26</v>
      </c>
      <c r="J2570" s="81">
        <f>IFERROR(__xludf.DUMMYFUNCTION("IF(H2570="""", """", ROUND(H2570 / MAX(FILTER($H$2:$H5067, $D$2:$D5067=$D2570)) * 100, 2))"),5.14)</f>
        <v>5.14</v>
      </c>
      <c r="K2570" s="2"/>
      <c r="L2570" s="49"/>
      <c r="M2570" s="49"/>
      <c r="N2570" s="49"/>
      <c r="O2570" s="49" t="str">
        <f t="shared" si="2"/>
        <v/>
      </c>
      <c r="P2570" s="49" t="str">
        <f t="shared" si="3"/>
        <v/>
      </c>
      <c r="Q2570" s="84"/>
      <c r="R2570" s="84"/>
      <c r="S2570" s="84"/>
      <c r="T2570" s="84"/>
      <c r="U2570" s="84"/>
      <c r="V2570" s="84"/>
      <c r="W2570" s="84"/>
      <c r="X2570" s="84"/>
      <c r="Y2570" s="84"/>
      <c r="Z2570" s="84"/>
      <c r="AA2570" s="84"/>
      <c r="AB2570" s="84"/>
    </row>
    <row r="2571">
      <c r="A2571" s="69">
        <v>172.0</v>
      </c>
      <c r="B2571" s="69">
        <v>285.0</v>
      </c>
      <c r="C2571" s="86" t="s">
        <v>564</v>
      </c>
      <c r="D2571" s="86" t="s">
        <v>565</v>
      </c>
      <c r="E2571" s="86" t="s">
        <v>566</v>
      </c>
      <c r="F2571" s="69">
        <v>1000.0</v>
      </c>
      <c r="G2571" s="69">
        <v>19.19</v>
      </c>
      <c r="H2571" s="68">
        <f t="shared" si="1"/>
        <v>26.79</v>
      </c>
      <c r="I2571" s="81">
        <f>IFERROR(__xludf.DUMMYFUNCTION("IF(G2571="""", """", ROUND(G2571 / MAX(FILTER($G$2:$G5067, $D$2:$D5067=$D2571)) * 100, 2))"),70.66)</f>
        <v>70.66</v>
      </c>
      <c r="J2571" s="81">
        <f>IFERROR(__xludf.DUMMYFUNCTION("IF(H2571="""", """", ROUND(H2571 / MAX(FILTER($H$2:$H5067, $D$2:$D5067=$D2571)) * 100, 2))"),11.65)</f>
        <v>11.65</v>
      </c>
      <c r="K2571" s="2"/>
      <c r="L2571" s="48"/>
      <c r="M2571" s="48"/>
      <c r="N2571" s="48"/>
      <c r="O2571" s="48" t="str">
        <f t="shared" si="2"/>
        <v/>
      </c>
      <c r="P2571" s="48" t="str">
        <f t="shared" si="3"/>
        <v/>
      </c>
      <c r="Q2571" s="84"/>
      <c r="R2571" s="84"/>
      <c r="S2571" s="84"/>
      <c r="T2571" s="84"/>
      <c r="U2571" s="84"/>
      <c r="V2571" s="84"/>
      <c r="W2571" s="84"/>
      <c r="X2571" s="84"/>
      <c r="Y2571" s="84"/>
      <c r="Z2571" s="84"/>
      <c r="AA2571" s="84"/>
      <c r="AB2571" s="84"/>
    </row>
    <row r="2572">
      <c r="A2572" s="63">
        <v>172.0</v>
      </c>
      <c r="B2572" s="63">
        <v>285.0</v>
      </c>
      <c r="C2572" s="64" t="s">
        <v>564</v>
      </c>
      <c r="D2572" s="64" t="s">
        <v>565</v>
      </c>
      <c r="E2572" s="64" t="s">
        <v>566</v>
      </c>
      <c r="F2572" s="63">
        <v>1500.0</v>
      </c>
      <c r="G2572" s="63">
        <v>20.42</v>
      </c>
      <c r="H2572" s="66">
        <f t="shared" si="1"/>
        <v>42.77</v>
      </c>
      <c r="I2572" s="81">
        <f>IFERROR(__xludf.DUMMYFUNCTION("IF(G2572="""", """", ROUND(G2572 / MAX(FILTER($G$2:$G5067, $D$2:$D5067=$D2572)) * 100, 2))"),75.18)</f>
        <v>75.18</v>
      </c>
      <c r="J2572" s="81">
        <f>IFERROR(__xludf.DUMMYFUNCTION("IF(H2572="""", """", ROUND(H2572 / MAX(FILTER($H$2:$H5067, $D$2:$D5067=$D2572)) * 100, 2))"),18.6)</f>
        <v>18.6</v>
      </c>
      <c r="K2572" s="2"/>
      <c r="L2572" s="49"/>
      <c r="M2572" s="49"/>
      <c r="N2572" s="49"/>
      <c r="O2572" s="49" t="str">
        <f t="shared" si="2"/>
        <v/>
      </c>
      <c r="P2572" s="49" t="str">
        <f t="shared" si="3"/>
        <v/>
      </c>
      <c r="Q2572" s="84"/>
      <c r="R2572" s="84"/>
      <c r="S2572" s="84"/>
      <c r="T2572" s="84"/>
      <c r="U2572" s="84"/>
      <c r="V2572" s="84"/>
      <c r="W2572" s="84"/>
      <c r="X2572" s="84"/>
      <c r="Y2572" s="84"/>
      <c r="Z2572" s="84"/>
      <c r="AA2572" s="84"/>
      <c r="AB2572" s="84"/>
    </row>
    <row r="2573">
      <c r="A2573" s="69">
        <v>172.0</v>
      </c>
      <c r="B2573" s="69">
        <v>285.0</v>
      </c>
      <c r="C2573" s="86" t="s">
        <v>564</v>
      </c>
      <c r="D2573" s="86" t="s">
        <v>565</v>
      </c>
      <c r="E2573" s="86" t="s">
        <v>566</v>
      </c>
      <c r="F2573" s="69">
        <v>2000.0</v>
      </c>
      <c r="G2573" s="69">
        <v>22.32</v>
      </c>
      <c r="H2573" s="68">
        <f t="shared" si="1"/>
        <v>62.33</v>
      </c>
      <c r="I2573" s="81">
        <f>IFERROR(__xludf.DUMMYFUNCTION("IF(G2573="""", """", ROUND(G2573 / MAX(FILTER($G$2:$G5067, $D$2:$D5067=$D2573)) * 100, 2))"),82.18)</f>
        <v>82.18</v>
      </c>
      <c r="J2573" s="81">
        <f>IFERROR(__xludf.DUMMYFUNCTION("IF(H2573="""", """", ROUND(H2573 / MAX(FILTER($H$2:$H5067, $D$2:$D5067=$D2573)) * 100, 2))"),27.11)</f>
        <v>27.11</v>
      </c>
      <c r="K2573" s="2"/>
      <c r="L2573" s="48"/>
      <c r="M2573" s="48"/>
      <c r="N2573" s="48"/>
      <c r="O2573" s="48" t="str">
        <f t="shared" si="2"/>
        <v/>
      </c>
      <c r="P2573" s="48" t="str">
        <f t="shared" si="3"/>
        <v/>
      </c>
      <c r="Q2573" s="84"/>
      <c r="R2573" s="84"/>
      <c r="S2573" s="84"/>
      <c r="T2573" s="84"/>
      <c r="U2573" s="84"/>
      <c r="V2573" s="84"/>
      <c r="W2573" s="84"/>
      <c r="X2573" s="84"/>
      <c r="Y2573" s="84"/>
      <c r="Z2573" s="84"/>
      <c r="AA2573" s="84"/>
      <c r="AB2573" s="84"/>
    </row>
    <row r="2574">
      <c r="A2574" s="63">
        <v>172.0</v>
      </c>
      <c r="B2574" s="63">
        <v>285.0</v>
      </c>
      <c r="C2574" s="64" t="s">
        <v>564</v>
      </c>
      <c r="D2574" s="64" t="s">
        <v>565</v>
      </c>
      <c r="E2574" s="64" t="s">
        <v>566</v>
      </c>
      <c r="F2574" s="63">
        <v>2500.0</v>
      </c>
      <c r="G2574" s="63">
        <v>24.67</v>
      </c>
      <c r="H2574" s="66">
        <f t="shared" si="1"/>
        <v>86.11</v>
      </c>
      <c r="I2574" s="81">
        <f>IFERROR(__xludf.DUMMYFUNCTION("IF(G2574="""", """", ROUND(G2574 / MAX(FILTER($G$2:$G5067, $D$2:$D5067=$D2574)) * 100, 2))"),90.83)</f>
        <v>90.83</v>
      </c>
      <c r="J2574" s="81">
        <f>IFERROR(__xludf.DUMMYFUNCTION("IF(H2574="""", """", ROUND(H2574 / MAX(FILTER($H$2:$H5067, $D$2:$D5067=$D2574)) * 100, 2))"),37.46)</f>
        <v>37.46</v>
      </c>
      <c r="K2574" s="2"/>
      <c r="L2574" s="49"/>
      <c r="M2574" s="49"/>
      <c r="N2574" s="49"/>
      <c r="O2574" s="49" t="str">
        <f t="shared" si="2"/>
        <v/>
      </c>
      <c r="P2574" s="49" t="str">
        <f t="shared" si="3"/>
        <v/>
      </c>
      <c r="Q2574" s="84"/>
      <c r="R2574" s="84"/>
      <c r="S2574" s="84"/>
      <c r="T2574" s="84"/>
      <c r="U2574" s="84"/>
      <c r="V2574" s="84"/>
      <c r="W2574" s="84"/>
      <c r="X2574" s="84"/>
      <c r="Y2574" s="84"/>
      <c r="Z2574" s="84"/>
      <c r="AA2574" s="84"/>
      <c r="AB2574" s="84"/>
    </row>
    <row r="2575">
      <c r="A2575" s="69">
        <v>172.0</v>
      </c>
      <c r="B2575" s="69">
        <v>285.0</v>
      </c>
      <c r="C2575" s="86" t="s">
        <v>564</v>
      </c>
      <c r="D2575" s="86" t="s">
        <v>565</v>
      </c>
      <c r="E2575" s="86" t="s">
        <v>566</v>
      </c>
      <c r="F2575" s="69">
        <v>3000.0</v>
      </c>
      <c r="G2575" s="69">
        <v>26.02</v>
      </c>
      <c r="H2575" s="68">
        <f t="shared" si="1"/>
        <v>108.99</v>
      </c>
      <c r="I2575" s="81">
        <f>IFERROR(__xludf.DUMMYFUNCTION("IF(G2575="""", """", ROUND(G2575 / MAX(FILTER($G$2:$G5067, $D$2:$D5067=$D2575)) * 100, 2))"),95.8)</f>
        <v>95.8</v>
      </c>
      <c r="J2575" s="81">
        <f>IFERROR(__xludf.DUMMYFUNCTION("IF(H2575="""", """", ROUND(H2575 / MAX(FILTER($H$2:$H5067, $D$2:$D5067=$D2575)) * 100, 2))"),47.41)</f>
        <v>47.41</v>
      </c>
      <c r="K2575" s="2"/>
      <c r="L2575" s="48"/>
      <c r="M2575" s="48"/>
      <c r="N2575" s="48"/>
      <c r="O2575" s="48" t="str">
        <f t="shared" si="2"/>
        <v/>
      </c>
      <c r="P2575" s="48" t="str">
        <f t="shared" si="3"/>
        <v/>
      </c>
      <c r="Q2575" s="84"/>
      <c r="R2575" s="84"/>
      <c r="S2575" s="84"/>
      <c r="T2575" s="84"/>
      <c r="U2575" s="84"/>
      <c r="V2575" s="84"/>
      <c r="W2575" s="84"/>
      <c r="X2575" s="84"/>
      <c r="Y2575" s="84"/>
      <c r="Z2575" s="84"/>
      <c r="AA2575" s="84"/>
      <c r="AB2575" s="84"/>
    </row>
    <row r="2576">
      <c r="A2576" s="63">
        <v>172.0</v>
      </c>
      <c r="B2576" s="63">
        <v>285.0</v>
      </c>
      <c r="C2576" s="64" t="s">
        <v>564</v>
      </c>
      <c r="D2576" s="64" t="s">
        <v>565</v>
      </c>
      <c r="E2576" s="64" t="s">
        <v>566</v>
      </c>
      <c r="F2576" s="63">
        <v>3500.0</v>
      </c>
      <c r="G2576" s="63">
        <v>26.35</v>
      </c>
      <c r="H2576" s="66">
        <f t="shared" si="1"/>
        <v>128.77</v>
      </c>
      <c r="I2576" s="81">
        <f>IFERROR(__xludf.DUMMYFUNCTION("IF(G2576="""", """", ROUND(G2576 / MAX(FILTER($G$2:$G5067, $D$2:$D5067=$D2576)) * 100, 2))"),97.02)</f>
        <v>97.02</v>
      </c>
      <c r="J2576" s="81">
        <f>IFERROR(__xludf.DUMMYFUNCTION("IF(H2576="""", """", ROUND(H2576 / MAX(FILTER($H$2:$H5067, $D$2:$D5067=$D2576)) * 100, 2))"),56.01)</f>
        <v>56.01</v>
      </c>
      <c r="K2576" s="2"/>
      <c r="L2576" s="49"/>
      <c r="M2576" s="49"/>
      <c r="N2576" s="49"/>
      <c r="O2576" s="49" t="str">
        <f t="shared" si="2"/>
        <v/>
      </c>
      <c r="P2576" s="49" t="str">
        <f t="shared" si="3"/>
        <v/>
      </c>
      <c r="Q2576" s="84"/>
      <c r="R2576" s="84"/>
      <c r="S2576" s="84"/>
      <c r="T2576" s="84"/>
      <c r="U2576" s="84"/>
      <c r="V2576" s="84"/>
      <c r="W2576" s="84"/>
      <c r="X2576" s="84"/>
      <c r="Y2576" s="84"/>
      <c r="Z2576" s="84"/>
      <c r="AA2576" s="84"/>
      <c r="AB2576" s="84"/>
    </row>
    <row r="2577">
      <c r="A2577" s="69">
        <v>172.0</v>
      </c>
      <c r="B2577" s="69">
        <v>285.0</v>
      </c>
      <c r="C2577" s="86" t="s">
        <v>564</v>
      </c>
      <c r="D2577" s="86" t="s">
        <v>565</v>
      </c>
      <c r="E2577" s="86" t="s">
        <v>566</v>
      </c>
      <c r="F2577" s="69">
        <v>4000.0</v>
      </c>
      <c r="G2577" s="69">
        <v>26.52</v>
      </c>
      <c r="H2577" s="68">
        <f t="shared" si="1"/>
        <v>148.12</v>
      </c>
      <c r="I2577" s="81">
        <f>IFERROR(__xludf.DUMMYFUNCTION("IF(G2577="""", """", ROUND(G2577 / MAX(FILTER($G$2:$G5067, $D$2:$D5067=$D2577)) * 100, 2))"),97.64)</f>
        <v>97.64</v>
      </c>
      <c r="J2577" s="81">
        <f>IFERROR(__xludf.DUMMYFUNCTION("IF(H2577="""", """", ROUND(H2577 / MAX(FILTER($H$2:$H5067, $D$2:$D5067=$D2577)) * 100, 2))"),64.43)</f>
        <v>64.43</v>
      </c>
      <c r="K2577" s="2"/>
      <c r="L2577" s="48"/>
      <c r="M2577" s="48"/>
      <c r="N2577" s="48"/>
      <c r="O2577" s="48" t="str">
        <f t="shared" si="2"/>
        <v/>
      </c>
      <c r="P2577" s="48" t="str">
        <f t="shared" si="3"/>
        <v/>
      </c>
      <c r="Q2577" s="84"/>
      <c r="R2577" s="84"/>
      <c r="S2577" s="84"/>
      <c r="T2577" s="84"/>
      <c r="U2577" s="84"/>
      <c r="V2577" s="84"/>
      <c r="W2577" s="84"/>
      <c r="X2577" s="84"/>
      <c r="Y2577" s="84"/>
      <c r="Z2577" s="84"/>
      <c r="AA2577" s="84"/>
      <c r="AB2577" s="84"/>
    </row>
    <row r="2578">
      <c r="A2578" s="63">
        <v>172.0</v>
      </c>
      <c r="B2578" s="63">
        <v>285.0</v>
      </c>
      <c r="C2578" s="64" t="s">
        <v>564</v>
      </c>
      <c r="D2578" s="64" t="s">
        <v>565</v>
      </c>
      <c r="E2578" s="64" t="s">
        <v>566</v>
      </c>
      <c r="F2578" s="63">
        <v>4500.0</v>
      </c>
      <c r="G2578" s="63">
        <v>26.77</v>
      </c>
      <c r="H2578" s="66">
        <f t="shared" si="1"/>
        <v>168.2</v>
      </c>
      <c r="I2578" s="81">
        <f>IFERROR(__xludf.DUMMYFUNCTION("IF(G2578="""", """", ROUND(G2578 / MAX(FILTER($G$2:$G5067, $D$2:$D5067=$D2578)) * 100, 2))"),98.56)</f>
        <v>98.56</v>
      </c>
      <c r="J2578" s="81">
        <f>IFERROR(__xludf.DUMMYFUNCTION("IF(H2578="""", """", ROUND(H2578 / MAX(FILTER($H$2:$H5067, $D$2:$D5067=$D2578)) * 100, 2))"),73.17)</f>
        <v>73.17</v>
      </c>
      <c r="K2578" s="2"/>
      <c r="L2578" s="49"/>
      <c r="M2578" s="49"/>
      <c r="N2578" s="49"/>
      <c r="O2578" s="49" t="str">
        <f t="shared" si="2"/>
        <v/>
      </c>
      <c r="P2578" s="49" t="str">
        <f t="shared" si="3"/>
        <v/>
      </c>
      <c r="Q2578" s="84"/>
      <c r="R2578" s="84"/>
      <c r="S2578" s="84"/>
      <c r="T2578" s="84"/>
      <c r="U2578" s="84"/>
      <c r="V2578" s="84"/>
      <c r="W2578" s="84"/>
      <c r="X2578" s="84"/>
      <c r="Y2578" s="84"/>
      <c r="Z2578" s="84"/>
      <c r="AA2578" s="84"/>
      <c r="AB2578" s="84"/>
    </row>
    <row r="2579">
      <c r="A2579" s="69">
        <v>172.0</v>
      </c>
      <c r="B2579" s="69">
        <v>285.0</v>
      </c>
      <c r="C2579" s="86" t="s">
        <v>564</v>
      </c>
      <c r="D2579" s="86" t="s">
        <v>565</v>
      </c>
      <c r="E2579" s="86" t="s">
        <v>566</v>
      </c>
      <c r="F2579" s="69">
        <v>5000.0</v>
      </c>
      <c r="G2579" s="69">
        <v>27.1</v>
      </c>
      <c r="H2579" s="68">
        <f t="shared" si="1"/>
        <v>189.19</v>
      </c>
      <c r="I2579" s="81">
        <f>IFERROR(__xludf.DUMMYFUNCTION("IF(G2579="""", """", ROUND(G2579 / MAX(FILTER($G$2:$G5067, $D$2:$D5067=$D2579)) * 100, 2))"),99.78)</f>
        <v>99.78</v>
      </c>
      <c r="J2579" s="81">
        <f>IFERROR(__xludf.DUMMYFUNCTION("IF(H2579="""", """", ROUND(H2579 / MAX(FILTER($H$2:$H5067, $D$2:$D5067=$D2579)) * 100, 2))"),82.3)</f>
        <v>82.3</v>
      </c>
      <c r="K2579" s="2"/>
      <c r="L2579" s="48"/>
      <c r="M2579" s="48"/>
      <c r="N2579" s="48"/>
      <c r="O2579" s="48" t="str">
        <f t="shared" si="2"/>
        <v/>
      </c>
      <c r="P2579" s="48" t="str">
        <f t="shared" si="3"/>
        <v/>
      </c>
      <c r="Q2579" s="84"/>
      <c r="R2579" s="84"/>
      <c r="S2579" s="84"/>
      <c r="T2579" s="84"/>
      <c r="U2579" s="84"/>
      <c r="V2579" s="84"/>
      <c r="W2579" s="84"/>
      <c r="X2579" s="84"/>
      <c r="Y2579" s="84"/>
      <c r="Z2579" s="84"/>
      <c r="AA2579" s="84"/>
      <c r="AB2579" s="84"/>
    </row>
    <row r="2580">
      <c r="A2580" s="63">
        <v>172.0</v>
      </c>
      <c r="B2580" s="63">
        <v>285.0</v>
      </c>
      <c r="C2580" s="64" t="s">
        <v>564</v>
      </c>
      <c r="D2580" s="64" t="s">
        <v>565</v>
      </c>
      <c r="E2580" s="64" t="s">
        <v>566</v>
      </c>
      <c r="F2580" s="63">
        <v>5500.0</v>
      </c>
      <c r="G2580" s="63">
        <v>27.16</v>
      </c>
      <c r="H2580" s="66">
        <f t="shared" si="1"/>
        <v>208.57</v>
      </c>
      <c r="I2580" s="81">
        <f>IFERROR(__xludf.DUMMYFUNCTION("IF(G2580="""", """", ROUND(G2580 / MAX(FILTER($G$2:$G5067, $D$2:$D5067=$D2580)) * 100, 2))"),100.0)</f>
        <v>100</v>
      </c>
      <c r="J2580" s="81">
        <f>IFERROR(__xludf.DUMMYFUNCTION("IF(H2580="""", """", ROUND(H2580 / MAX(FILTER($H$2:$H5067, $D$2:$D5067=$D2580)) * 100, 2))"),90.73)</f>
        <v>90.73</v>
      </c>
      <c r="K2580" s="2"/>
      <c r="L2580" s="49"/>
      <c r="M2580" s="49"/>
      <c r="N2580" s="49"/>
      <c r="O2580" s="49" t="str">
        <f t="shared" si="2"/>
        <v/>
      </c>
      <c r="P2580" s="49" t="str">
        <f t="shared" si="3"/>
        <v/>
      </c>
      <c r="Q2580" s="84"/>
      <c r="R2580" s="84"/>
      <c r="S2580" s="84"/>
      <c r="T2580" s="84"/>
      <c r="U2580" s="84"/>
      <c r="V2580" s="84"/>
      <c r="W2580" s="84"/>
      <c r="X2580" s="84"/>
      <c r="Y2580" s="84"/>
      <c r="Z2580" s="84"/>
      <c r="AA2580" s="84"/>
      <c r="AB2580" s="84"/>
    </row>
    <row r="2581">
      <c r="A2581" s="69">
        <v>172.0</v>
      </c>
      <c r="B2581" s="69">
        <v>285.0</v>
      </c>
      <c r="C2581" s="86" t="s">
        <v>564</v>
      </c>
      <c r="D2581" s="86" t="s">
        <v>565</v>
      </c>
      <c r="E2581" s="86" t="s">
        <v>566</v>
      </c>
      <c r="F2581" s="69">
        <v>6000.0</v>
      </c>
      <c r="G2581" s="69">
        <v>26.55</v>
      </c>
      <c r="H2581" s="68">
        <f t="shared" si="1"/>
        <v>222.42</v>
      </c>
      <c r="I2581" s="81">
        <f>IFERROR(__xludf.DUMMYFUNCTION("IF(G2581="""", """", ROUND(G2581 / MAX(FILTER($G$2:$G5067, $D$2:$D5067=$D2581)) * 100, 2))"),97.75)</f>
        <v>97.75</v>
      </c>
      <c r="J2581" s="81">
        <f>IFERROR(__xludf.DUMMYFUNCTION("IF(H2581="""", """", ROUND(H2581 / MAX(FILTER($H$2:$H5067, $D$2:$D5067=$D2581)) * 100, 2))"),96.75)</f>
        <v>96.75</v>
      </c>
      <c r="K2581" s="2"/>
      <c r="L2581" s="48"/>
      <c r="M2581" s="48"/>
      <c r="N2581" s="48"/>
      <c r="O2581" s="48" t="str">
        <f t="shared" si="2"/>
        <v/>
      </c>
      <c r="P2581" s="48" t="str">
        <f t="shared" si="3"/>
        <v/>
      </c>
      <c r="Q2581" s="84"/>
      <c r="R2581" s="84"/>
      <c r="S2581" s="84"/>
      <c r="T2581" s="84"/>
      <c r="U2581" s="84"/>
      <c r="V2581" s="84"/>
      <c r="W2581" s="84"/>
      <c r="X2581" s="84"/>
      <c r="Y2581" s="84"/>
      <c r="Z2581" s="84"/>
      <c r="AA2581" s="84"/>
      <c r="AB2581" s="84"/>
    </row>
    <row r="2582">
      <c r="A2582" s="63">
        <v>172.0</v>
      </c>
      <c r="B2582" s="63">
        <v>285.0</v>
      </c>
      <c r="C2582" s="64" t="s">
        <v>564</v>
      </c>
      <c r="D2582" s="64" t="s">
        <v>565</v>
      </c>
      <c r="E2582" s="64" t="s">
        <v>566</v>
      </c>
      <c r="F2582" s="63">
        <v>6500.0</v>
      </c>
      <c r="G2582" s="63">
        <v>25.33</v>
      </c>
      <c r="H2582" s="66">
        <f t="shared" si="1"/>
        <v>229.89</v>
      </c>
      <c r="I2582" s="81">
        <f>IFERROR(__xludf.DUMMYFUNCTION("IF(G2582="""", """", ROUND(G2582 / MAX(FILTER($G$2:$G5067, $D$2:$D5067=$D2582)) * 100, 2))"),93.26)</f>
        <v>93.26</v>
      </c>
      <c r="J2582" s="81">
        <f>IFERROR(__xludf.DUMMYFUNCTION("IF(H2582="""", """", ROUND(H2582 / MAX(FILTER($H$2:$H5067, $D$2:$D5067=$D2582)) * 100, 2))"),100.0)</f>
        <v>100</v>
      </c>
      <c r="K2582" s="2"/>
      <c r="L2582" s="49"/>
      <c r="M2582" s="49"/>
      <c r="N2582" s="49"/>
      <c r="O2582" s="49" t="str">
        <f t="shared" si="2"/>
        <v/>
      </c>
      <c r="P2582" s="49" t="str">
        <f t="shared" si="3"/>
        <v/>
      </c>
      <c r="Q2582" s="84"/>
      <c r="R2582" s="84"/>
      <c r="S2582" s="84"/>
      <c r="T2582" s="84"/>
      <c r="U2582" s="84"/>
      <c r="V2582" s="84"/>
      <c r="W2582" s="84"/>
      <c r="X2582" s="84"/>
      <c r="Y2582" s="84"/>
      <c r="Z2582" s="84"/>
      <c r="AA2582" s="84"/>
      <c r="AB2582" s="84"/>
    </row>
    <row r="2583">
      <c r="A2583" s="69">
        <v>172.0</v>
      </c>
      <c r="B2583" s="69">
        <v>285.0</v>
      </c>
      <c r="C2583" s="86" t="s">
        <v>564</v>
      </c>
      <c r="D2583" s="86" t="s">
        <v>565</v>
      </c>
      <c r="E2583" s="86" t="s">
        <v>566</v>
      </c>
      <c r="F2583" s="69">
        <v>7000.0</v>
      </c>
      <c r="G2583" s="69">
        <v>22.75</v>
      </c>
      <c r="H2583" s="68">
        <f t="shared" si="1"/>
        <v>222.35</v>
      </c>
      <c r="I2583" s="81">
        <f>IFERROR(__xludf.DUMMYFUNCTION("IF(G2583="""", """", ROUND(G2583 / MAX(FILTER($G$2:$G5067, $D$2:$D5067=$D2583)) * 100, 2))"),83.76)</f>
        <v>83.76</v>
      </c>
      <c r="J2583" s="81">
        <f>IFERROR(__xludf.DUMMYFUNCTION("IF(H2583="""", """", ROUND(H2583 / MAX(FILTER($H$2:$H5067, $D$2:$D5067=$D2583)) * 100, 2))"),96.72)</f>
        <v>96.72</v>
      </c>
      <c r="K2583" s="2"/>
      <c r="L2583" s="48"/>
      <c r="M2583" s="48"/>
      <c r="N2583" s="48"/>
      <c r="O2583" s="48" t="str">
        <f t="shared" si="2"/>
        <v/>
      </c>
      <c r="P2583" s="48" t="str">
        <f t="shared" si="3"/>
        <v/>
      </c>
      <c r="Q2583" s="84"/>
      <c r="R2583" s="84"/>
      <c r="S2583" s="84"/>
      <c r="T2583" s="84"/>
      <c r="U2583" s="84"/>
      <c r="V2583" s="84"/>
      <c r="W2583" s="84"/>
      <c r="X2583" s="84"/>
      <c r="Y2583" s="84"/>
      <c r="Z2583" s="84"/>
      <c r="AA2583" s="84"/>
      <c r="AB2583" s="84"/>
    </row>
    <row r="2584">
      <c r="A2584" s="63">
        <v>172.0</v>
      </c>
      <c r="B2584" s="63">
        <v>285.0</v>
      </c>
      <c r="C2584" s="64" t="s">
        <v>564</v>
      </c>
      <c r="D2584" s="64" t="s">
        <v>565</v>
      </c>
      <c r="E2584" s="64" t="s">
        <v>566</v>
      </c>
      <c r="F2584" s="63">
        <v>7500.0</v>
      </c>
      <c r="G2584" s="63">
        <v>20.17</v>
      </c>
      <c r="H2584" s="66">
        <f t="shared" si="1"/>
        <v>211.22</v>
      </c>
      <c r="I2584" s="81">
        <f>IFERROR(__xludf.DUMMYFUNCTION("IF(G2584="""", """", ROUND(G2584 / MAX(FILTER($G$2:$G5067, $D$2:$D5067=$D2584)) * 100, 2))"),74.26)</f>
        <v>74.26</v>
      </c>
      <c r="J2584" s="81">
        <f>IFERROR(__xludf.DUMMYFUNCTION("IF(H2584="""", """", ROUND(H2584 / MAX(FILTER($H$2:$H5067, $D$2:$D5067=$D2584)) * 100, 2))"),91.88)</f>
        <v>91.88</v>
      </c>
      <c r="K2584" s="2"/>
      <c r="L2584" s="49"/>
      <c r="M2584" s="49"/>
      <c r="N2584" s="49"/>
      <c r="O2584" s="49" t="str">
        <f t="shared" si="2"/>
        <v/>
      </c>
      <c r="P2584" s="49" t="str">
        <f t="shared" si="3"/>
        <v/>
      </c>
      <c r="Q2584" s="84"/>
      <c r="R2584" s="84"/>
      <c r="S2584" s="84"/>
      <c r="T2584" s="84"/>
      <c r="U2584" s="84"/>
      <c r="V2584" s="84"/>
      <c r="W2584" s="84"/>
      <c r="X2584" s="84"/>
      <c r="Y2584" s="84"/>
      <c r="Z2584" s="84"/>
      <c r="AA2584" s="84"/>
      <c r="AB2584" s="84"/>
    </row>
    <row r="2585">
      <c r="A2585" s="69">
        <v>172.0</v>
      </c>
      <c r="B2585" s="69">
        <v>285.0</v>
      </c>
      <c r="C2585" s="86" t="s">
        <v>564</v>
      </c>
      <c r="D2585" s="86" t="s">
        <v>565</v>
      </c>
      <c r="E2585" s="86" t="s">
        <v>566</v>
      </c>
      <c r="F2585" s="69">
        <v>8000.0</v>
      </c>
      <c r="G2585" s="69">
        <v>17.0</v>
      </c>
      <c r="H2585" s="68">
        <f t="shared" si="1"/>
        <v>189.89</v>
      </c>
      <c r="I2585" s="81">
        <f>IFERROR(__xludf.DUMMYFUNCTION("IF(G2585="""", """", ROUND(G2585 / MAX(FILTER($G$2:$G5067, $D$2:$D5067=$D2585)) * 100, 2))"),62.59)</f>
        <v>62.59</v>
      </c>
      <c r="J2585" s="81">
        <f>IFERROR(__xludf.DUMMYFUNCTION("IF(H2585="""", """", ROUND(H2585 / MAX(FILTER($H$2:$H5067, $D$2:$D5067=$D2585)) * 100, 2))"),82.6)</f>
        <v>82.6</v>
      </c>
      <c r="K2585" s="2"/>
      <c r="L2585" s="48"/>
      <c r="M2585" s="48"/>
      <c r="N2585" s="48"/>
      <c r="O2585" s="48" t="str">
        <f t="shared" si="2"/>
        <v/>
      </c>
      <c r="P2585" s="48" t="str">
        <f t="shared" si="3"/>
        <v/>
      </c>
      <c r="Q2585" s="84"/>
      <c r="R2585" s="84"/>
      <c r="S2585" s="84"/>
      <c r="T2585" s="84"/>
      <c r="U2585" s="84"/>
      <c r="V2585" s="84"/>
      <c r="W2585" s="84"/>
      <c r="X2585" s="84"/>
      <c r="Y2585" s="84"/>
      <c r="Z2585" s="84"/>
      <c r="AA2585" s="84"/>
      <c r="AB2585" s="84"/>
    </row>
    <row r="2586">
      <c r="A2586" s="63">
        <v>173.0</v>
      </c>
      <c r="B2586" s="63">
        <v>286.0</v>
      </c>
      <c r="C2586" s="64" t="s">
        <v>567</v>
      </c>
      <c r="D2586" s="64" t="s">
        <v>568</v>
      </c>
      <c r="E2586" s="64" t="s">
        <v>569</v>
      </c>
      <c r="F2586" s="63">
        <v>500.0</v>
      </c>
      <c r="G2586" s="63">
        <v>16.94</v>
      </c>
      <c r="H2586" s="66">
        <f t="shared" si="1"/>
        <v>11.83</v>
      </c>
      <c r="I2586" s="81">
        <f>IFERROR(__xludf.DUMMYFUNCTION("IF(G2586="""", """", ROUND(G2586 / MAX(FILTER($G$2:$G5067, $D$2:$D5067=$D2586)) * 100, 2))"),43.37)</f>
        <v>43.37</v>
      </c>
      <c r="J2586" s="81">
        <f>IFERROR(__xludf.DUMMYFUNCTION("IF(H2586="""", """", ROUND(H2586 / MAX(FILTER($H$2:$H5067, $D$2:$D5067=$D2586)) * 100, 2))"),3.95)</f>
        <v>3.95</v>
      </c>
      <c r="K2586" s="2"/>
      <c r="L2586" s="49"/>
      <c r="M2586" s="49"/>
      <c r="N2586" s="49"/>
      <c r="O2586" s="49" t="str">
        <f t="shared" si="2"/>
        <v/>
      </c>
      <c r="P2586" s="49" t="str">
        <f t="shared" si="3"/>
        <v/>
      </c>
      <c r="Q2586" s="84"/>
      <c r="R2586" s="84"/>
      <c r="S2586" s="84"/>
      <c r="T2586" s="84"/>
      <c r="U2586" s="84"/>
      <c r="V2586" s="84"/>
      <c r="W2586" s="84"/>
      <c r="X2586" s="84"/>
      <c r="Y2586" s="84"/>
      <c r="Z2586" s="84"/>
      <c r="AA2586" s="84"/>
      <c r="AB2586" s="84"/>
    </row>
    <row r="2587">
      <c r="A2587" s="69">
        <v>173.0</v>
      </c>
      <c r="B2587" s="69">
        <v>286.0</v>
      </c>
      <c r="C2587" s="86" t="s">
        <v>567</v>
      </c>
      <c r="D2587" s="86" t="s">
        <v>568</v>
      </c>
      <c r="E2587" s="86" t="s">
        <v>569</v>
      </c>
      <c r="F2587" s="69">
        <v>1000.0</v>
      </c>
      <c r="G2587" s="69">
        <v>19.19</v>
      </c>
      <c r="H2587" s="68">
        <f t="shared" si="1"/>
        <v>26.79</v>
      </c>
      <c r="I2587" s="81">
        <f>IFERROR(__xludf.DUMMYFUNCTION("IF(G2587="""", """", ROUND(G2587 / MAX(FILTER($G$2:$G5067, $D$2:$D5067=$D2587)) * 100, 2))"),49.13)</f>
        <v>49.13</v>
      </c>
      <c r="J2587" s="81">
        <f>IFERROR(__xludf.DUMMYFUNCTION("IF(H2587="""", """", ROUND(H2587 / MAX(FILTER($H$2:$H5067, $D$2:$D5067=$D2587)) * 100, 2))"),8.96)</f>
        <v>8.96</v>
      </c>
      <c r="K2587" s="2"/>
      <c r="L2587" s="48"/>
      <c r="M2587" s="48"/>
      <c r="N2587" s="48"/>
      <c r="O2587" s="48" t="str">
        <f t="shared" si="2"/>
        <v/>
      </c>
      <c r="P2587" s="48" t="str">
        <f t="shared" si="3"/>
        <v/>
      </c>
      <c r="Q2587" s="84"/>
      <c r="R2587" s="84"/>
      <c r="S2587" s="84"/>
      <c r="T2587" s="84"/>
      <c r="U2587" s="84"/>
      <c r="V2587" s="84"/>
      <c r="W2587" s="84"/>
      <c r="X2587" s="84"/>
      <c r="Y2587" s="84"/>
      <c r="Z2587" s="84"/>
      <c r="AA2587" s="84"/>
      <c r="AB2587" s="84"/>
    </row>
    <row r="2588">
      <c r="A2588" s="63">
        <v>173.0</v>
      </c>
      <c r="B2588" s="63">
        <v>286.0</v>
      </c>
      <c r="C2588" s="64" t="s">
        <v>567</v>
      </c>
      <c r="D2588" s="64" t="s">
        <v>568</v>
      </c>
      <c r="E2588" s="64" t="s">
        <v>569</v>
      </c>
      <c r="F2588" s="63">
        <v>1500.0</v>
      </c>
      <c r="G2588" s="63">
        <v>22.47</v>
      </c>
      <c r="H2588" s="66">
        <f t="shared" si="1"/>
        <v>47.06</v>
      </c>
      <c r="I2588" s="81">
        <f>IFERROR(__xludf.DUMMYFUNCTION("IF(G2588="""", """", ROUND(G2588 / MAX(FILTER($G$2:$G5067, $D$2:$D5067=$D2588)) * 100, 2))"),57.53)</f>
        <v>57.53</v>
      </c>
      <c r="J2588" s="81">
        <f>IFERROR(__xludf.DUMMYFUNCTION("IF(H2588="""", """", ROUND(H2588 / MAX(FILTER($H$2:$H5067, $D$2:$D5067=$D2588)) * 100, 2))"),15.73)</f>
        <v>15.73</v>
      </c>
      <c r="K2588" s="2"/>
      <c r="L2588" s="49"/>
      <c r="M2588" s="49"/>
      <c r="N2588" s="49"/>
      <c r="O2588" s="49" t="str">
        <f t="shared" si="2"/>
        <v/>
      </c>
      <c r="P2588" s="49" t="str">
        <f t="shared" si="3"/>
        <v/>
      </c>
      <c r="Q2588" s="84"/>
      <c r="R2588" s="84"/>
      <c r="S2588" s="84"/>
      <c r="T2588" s="84"/>
      <c r="U2588" s="84"/>
      <c r="V2588" s="84"/>
      <c r="W2588" s="84"/>
      <c r="X2588" s="84"/>
      <c r="Y2588" s="84"/>
      <c r="Z2588" s="84"/>
      <c r="AA2588" s="84"/>
      <c r="AB2588" s="84"/>
    </row>
    <row r="2589">
      <c r="A2589" s="69">
        <v>173.0</v>
      </c>
      <c r="B2589" s="69">
        <v>286.0</v>
      </c>
      <c r="C2589" s="86" t="s">
        <v>567</v>
      </c>
      <c r="D2589" s="86" t="s">
        <v>568</v>
      </c>
      <c r="E2589" s="86" t="s">
        <v>569</v>
      </c>
      <c r="F2589" s="69">
        <v>2000.0</v>
      </c>
      <c r="G2589" s="69">
        <v>28.75</v>
      </c>
      <c r="H2589" s="68">
        <f t="shared" si="1"/>
        <v>80.28</v>
      </c>
      <c r="I2589" s="81">
        <f>IFERROR(__xludf.DUMMYFUNCTION("IF(G2589="""", """", ROUND(G2589 / MAX(FILTER($G$2:$G5067, $D$2:$D5067=$D2589)) * 100, 2))"),73.6)</f>
        <v>73.6</v>
      </c>
      <c r="J2589" s="81">
        <f>IFERROR(__xludf.DUMMYFUNCTION("IF(H2589="""", """", ROUND(H2589 / MAX(FILTER($H$2:$H5067, $D$2:$D5067=$D2589)) * 100, 2))"),26.84)</f>
        <v>26.84</v>
      </c>
      <c r="K2589" s="2"/>
      <c r="L2589" s="48"/>
      <c r="M2589" s="48"/>
      <c r="N2589" s="48"/>
      <c r="O2589" s="48" t="str">
        <f t="shared" si="2"/>
        <v/>
      </c>
      <c r="P2589" s="48" t="str">
        <f t="shared" si="3"/>
        <v/>
      </c>
      <c r="Q2589" s="84"/>
      <c r="R2589" s="84"/>
      <c r="S2589" s="84"/>
      <c r="T2589" s="84"/>
      <c r="U2589" s="84"/>
      <c r="V2589" s="84"/>
      <c r="W2589" s="84"/>
      <c r="X2589" s="84"/>
      <c r="Y2589" s="84"/>
      <c r="Z2589" s="84"/>
      <c r="AA2589" s="84"/>
      <c r="AB2589" s="84"/>
    </row>
    <row r="2590">
      <c r="A2590" s="63">
        <v>173.0</v>
      </c>
      <c r="B2590" s="63">
        <v>286.0</v>
      </c>
      <c r="C2590" s="64" t="s">
        <v>567</v>
      </c>
      <c r="D2590" s="64" t="s">
        <v>568</v>
      </c>
      <c r="E2590" s="64" t="s">
        <v>569</v>
      </c>
      <c r="F2590" s="63">
        <v>2500.0</v>
      </c>
      <c r="G2590" s="63">
        <v>35.44</v>
      </c>
      <c r="H2590" s="66">
        <f t="shared" si="1"/>
        <v>123.71</v>
      </c>
      <c r="I2590" s="81">
        <f>IFERROR(__xludf.DUMMYFUNCTION("IF(G2590="""", """", ROUND(G2590 / MAX(FILTER($G$2:$G5067, $D$2:$D5067=$D2590)) * 100, 2))"),90.73)</f>
        <v>90.73</v>
      </c>
      <c r="J2590" s="81">
        <f>IFERROR(__xludf.DUMMYFUNCTION("IF(H2590="""", """", ROUND(H2590 / MAX(FILTER($H$2:$H5067, $D$2:$D5067=$D2590)) * 100, 2))"),41.36)</f>
        <v>41.36</v>
      </c>
      <c r="K2590" s="2"/>
      <c r="L2590" s="49"/>
      <c r="M2590" s="49"/>
      <c r="N2590" s="49"/>
      <c r="O2590" s="49" t="str">
        <f t="shared" si="2"/>
        <v/>
      </c>
      <c r="P2590" s="49" t="str">
        <f t="shared" si="3"/>
        <v/>
      </c>
      <c r="Q2590" s="84"/>
      <c r="R2590" s="84"/>
      <c r="S2590" s="84"/>
      <c r="T2590" s="84"/>
      <c r="U2590" s="84"/>
      <c r="V2590" s="84"/>
      <c r="W2590" s="84"/>
      <c r="X2590" s="84"/>
      <c r="Y2590" s="84"/>
      <c r="Z2590" s="84"/>
      <c r="AA2590" s="84"/>
      <c r="AB2590" s="84"/>
    </row>
    <row r="2591">
      <c r="A2591" s="69">
        <v>173.0</v>
      </c>
      <c r="B2591" s="69">
        <v>286.0</v>
      </c>
      <c r="C2591" s="86" t="s">
        <v>567</v>
      </c>
      <c r="D2591" s="86" t="s">
        <v>568</v>
      </c>
      <c r="E2591" s="86" t="s">
        <v>569</v>
      </c>
      <c r="F2591" s="69">
        <v>3000.0</v>
      </c>
      <c r="G2591" s="69">
        <v>38.51</v>
      </c>
      <c r="H2591" s="68">
        <f t="shared" si="1"/>
        <v>161.31</v>
      </c>
      <c r="I2591" s="81">
        <f>IFERROR(__xludf.DUMMYFUNCTION("IF(G2591="""", """", ROUND(G2591 / MAX(FILTER($G$2:$G5067, $D$2:$D5067=$D2591)) * 100, 2))"),98.59)</f>
        <v>98.59</v>
      </c>
      <c r="J2591" s="81">
        <f>IFERROR(__xludf.DUMMYFUNCTION("IF(H2591="""", """", ROUND(H2591 / MAX(FILTER($H$2:$H5067, $D$2:$D5067=$D2591)) * 100, 2))"),53.93)</f>
        <v>53.93</v>
      </c>
      <c r="K2591" s="2"/>
      <c r="L2591" s="48"/>
      <c r="M2591" s="48"/>
      <c r="N2591" s="48"/>
      <c r="O2591" s="48" t="str">
        <f t="shared" si="2"/>
        <v/>
      </c>
      <c r="P2591" s="48" t="str">
        <f t="shared" si="3"/>
        <v/>
      </c>
      <c r="Q2591" s="84"/>
      <c r="R2591" s="84"/>
      <c r="S2591" s="84"/>
      <c r="T2591" s="84"/>
      <c r="U2591" s="84"/>
      <c r="V2591" s="84"/>
      <c r="W2591" s="84"/>
      <c r="X2591" s="84"/>
      <c r="Y2591" s="84"/>
      <c r="Z2591" s="84"/>
      <c r="AA2591" s="84"/>
      <c r="AB2591" s="84"/>
    </row>
    <row r="2592">
      <c r="A2592" s="63">
        <v>173.0</v>
      </c>
      <c r="B2592" s="63">
        <v>286.0</v>
      </c>
      <c r="C2592" s="64" t="s">
        <v>567</v>
      </c>
      <c r="D2592" s="64" t="s">
        <v>568</v>
      </c>
      <c r="E2592" s="64" t="s">
        <v>569</v>
      </c>
      <c r="F2592" s="63">
        <v>3500.0</v>
      </c>
      <c r="G2592" s="63">
        <v>39.06</v>
      </c>
      <c r="H2592" s="66">
        <f t="shared" si="1"/>
        <v>190.88</v>
      </c>
      <c r="I2592" s="81">
        <f>IFERROR(__xludf.DUMMYFUNCTION("IF(G2592="""", """", ROUND(G2592 / MAX(FILTER($G$2:$G5067, $D$2:$D5067=$D2592)) * 100, 2))"),100.0)</f>
        <v>100</v>
      </c>
      <c r="J2592" s="81">
        <f>IFERROR(__xludf.DUMMYFUNCTION("IF(H2592="""", """", ROUND(H2592 / MAX(FILTER($H$2:$H5067, $D$2:$D5067=$D2592)) * 100, 2))"),63.81)</f>
        <v>63.81</v>
      </c>
      <c r="K2592" s="2"/>
      <c r="L2592" s="49"/>
      <c r="M2592" s="49"/>
      <c r="N2592" s="49"/>
      <c r="O2592" s="49" t="str">
        <f t="shared" si="2"/>
        <v/>
      </c>
      <c r="P2592" s="49" t="str">
        <f t="shared" si="3"/>
        <v/>
      </c>
      <c r="Q2592" s="84"/>
      <c r="R2592" s="84"/>
      <c r="S2592" s="84"/>
      <c r="T2592" s="84"/>
      <c r="U2592" s="84"/>
      <c r="V2592" s="84"/>
      <c r="W2592" s="84"/>
      <c r="X2592" s="84"/>
      <c r="Y2592" s="84"/>
      <c r="Z2592" s="84"/>
      <c r="AA2592" s="84"/>
      <c r="AB2592" s="84"/>
    </row>
    <row r="2593">
      <c r="A2593" s="69">
        <v>173.0</v>
      </c>
      <c r="B2593" s="69">
        <v>286.0</v>
      </c>
      <c r="C2593" s="86" t="s">
        <v>567</v>
      </c>
      <c r="D2593" s="86" t="s">
        <v>568</v>
      </c>
      <c r="E2593" s="86" t="s">
        <v>569</v>
      </c>
      <c r="F2593" s="69">
        <v>4000.0</v>
      </c>
      <c r="G2593" s="69">
        <v>39.01</v>
      </c>
      <c r="H2593" s="68">
        <f t="shared" si="1"/>
        <v>217.87</v>
      </c>
      <c r="I2593" s="81">
        <f>IFERROR(__xludf.DUMMYFUNCTION("IF(G2593="""", """", ROUND(G2593 / MAX(FILTER($G$2:$G5067, $D$2:$D5067=$D2593)) * 100, 2))"),99.87)</f>
        <v>99.87</v>
      </c>
      <c r="J2593" s="81">
        <f>IFERROR(__xludf.DUMMYFUNCTION("IF(H2593="""", """", ROUND(H2593 / MAX(FILTER($H$2:$H5067, $D$2:$D5067=$D2593)) * 100, 2))"),72.83)</f>
        <v>72.83</v>
      </c>
      <c r="K2593" s="2"/>
      <c r="L2593" s="48"/>
      <c r="M2593" s="48"/>
      <c r="N2593" s="48"/>
      <c r="O2593" s="48" t="str">
        <f t="shared" si="2"/>
        <v/>
      </c>
      <c r="P2593" s="48" t="str">
        <f t="shared" si="3"/>
        <v/>
      </c>
      <c r="Q2593" s="84"/>
      <c r="R2593" s="84"/>
      <c r="S2593" s="84"/>
      <c r="T2593" s="84"/>
      <c r="U2593" s="84"/>
      <c r="V2593" s="84"/>
      <c r="W2593" s="84"/>
      <c r="X2593" s="84"/>
      <c r="Y2593" s="84"/>
      <c r="Z2593" s="84"/>
      <c r="AA2593" s="84"/>
      <c r="AB2593" s="84"/>
    </row>
    <row r="2594">
      <c r="A2594" s="63">
        <v>173.0</v>
      </c>
      <c r="B2594" s="63">
        <v>286.0</v>
      </c>
      <c r="C2594" s="64" t="s">
        <v>567</v>
      </c>
      <c r="D2594" s="64" t="s">
        <v>568</v>
      </c>
      <c r="E2594" s="64" t="s">
        <v>569</v>
      </c>
      <c r="F2594" s="63">
        <v>4500.0</v>
      </c>
      <c r="G2594" s="63">
        <v>38.83</v>
      </c>
      <c r="H2594" s="66">
        <f t="shared" si="1"/>
        <v>243.98</v>
      </c>
      <c r="I2594" s="81">
        <f>IFERROR(__xludf.DUMMYFUNCTION("IF(G2594="""", """", ROUND(G2594 / MAX(FILTER($G$2:$G5067, $D$2:$D5067=$D2594)) * 100, 2))"),99.41)</f>
        <v>99.41</v>
      </c>
      <c r="J2594" s="81">
        <f>IFERROR(__xludf.DUMMYFUNCTION("IF(H2594="""", """", ROUND(H2594 / MAX(FILTER($H$2:$H5067, $D$2:$D5067=$D2594)) * 100, 2))"),81.56)</f>
        <v>81.56</v>
      </c>
      <c r="K2594" s="2"/>
      <c r="L2594" s="49"/>
      <c r="M2594" s="49"/>
      <c r="N2594" s="49"/>
      <c r="O2594" s="49" t="str">
        <f t="shared" si="2"/>
        <v/>
      </c>
      <c r="P2594" s="49" t="str">
        <f t="shared" si="3"/>
        <v/>
      </c>
      <c r="Q2594" s="84"/>
      <c r="R2594" s="84"/>
      <c r="S2594" s="84"/>
      <c r="T2594" s="84"/>
      <c r="U2594" s="84"/>
      <c r="V2594" s="84"/>
      <c r="W2594" s="84"/>
      <c r="X2594" s="84"/>
      <c r="Y2594" s="84"/>
      <c r="Z2594" s="84"/>
      <c r="AA2594" s="84"/>
      <c r="AB2594" s="84"/>
    </row>
    <row r="2595">
      <c r="A2595" s="69">
        <v>173.0</v>
      </c>
      <c r="B2595" s="69">
        <v>286.0</v>
      </c>
      <c r="C2595" s="86" t="s">
        <v>567</v>
      </c>
      <c r="D2595" s="86" t="s">
        <v>568</v>
      </c>
      <c r="E2595" s="86" t="s">
        <v>569</v>
      </c>
      <c r="F2595" s="69">
        <v>5000.0</v>
      </c>
      <c r="G2595" s="69">
        <v>38.41</v>
      </c>
      <c r="H2595" s="68">
        <f t="shared" si="1"/>
        <v>268.15</v>
      </c>
      <c r="I2595" s="81">
        <f>IFERROR(__xludf.DUMMYFUNCTION("IF(G2595="""", """", ROUND(G2595 / MAX(FILTER($G$2:$G5067, $D$2:$D5067=$D2595)) * 100, 2))"),98.34)</f>
        <v>98.34</v>
      </c>
      <c r="J2595" s="81">
        <f>IFERROR(__xludf.DUMMYFUNCTION("IF(H2595="""", """", ROUND(H2595 / MAX(FILTER($H$2:$H5067, $D$2:$D5067=$D2595)) * 100, 2))"),89.64)</f>
        <v>89.64</v>
      </c>
      <c r="K2595" s="2"/>
      <c r="L2595" s="48"/>
      <c r="M2595" s="48"/>
      <c r="N2595" s="48"/>
      <c r="O2595" s="48" t="str">
        <f t="shared" si="2"/>
        <v/>
      </c>
      <c r="P2595" s="48" t="str">
        <f t="shared" si="3"/>
        <v/>
      </c>
      <c r="Q2595" s="84"/>
      <c r="R2595" s="84"/>
      <c r="S2595" s="84"/>
      <c r="T2595" s="84"/>
      <c r="U2595" s="84"/>
      <c r="V2595" s="84"/>
      <c r="W2595" s="84"/>
      <c r="X2595" s="84"/>
      <c r="Y2595" s="84"/>
      <c r="Z2595" s="84"/>
      <c r="AA2595" s="84"/>
      <c r="AB2595" s="84"/>
    </row>
    <row r="2596">
      <c r="A2596" s="63">
        <v>173.0</v>
      </c>
      <c r="B2596" s="63">
        <v>286.0</v>
      </c>
      <c r="C2596" s="64" t="s">
        <v>567</v>
      </c>
      <c r="D2596" s="64" t="s">
        <v>568</v>
      </c>
      <c r="E2596" s="64" t="s">
        <v>569</v>
      </c>
      <c r="F2596" s="63">
        <v>5500.0</v>
      </c>
      <c r="G2596" s="63">
        <v>37.42</v>
      </c>
      <c r="H2596" s="66">
        <f t="shared" si="1"/>
        <v>287.36</v>
      </c>
      <c r="I2596" s="81">
        <f>IFERROR(__xludf.DUMMYFUNCTION("IF(G2596="""", """", ROUND(G2596 / MAX(FILTER($G$2:$G5067, $D$2:$D5067=$D2596)) * 100, 2))"),95.8)</f>
        <v>95.8</v>
      </c>
      <c r="J2596" s="81">
        <f>IFERROR(__xludf.DUMMYFUNCTION("IF(H2596="""", """", ROUND(H2596 / MAX(FILTER($H$2:$H5067, $D$2:$D5067=$D2596)) * 100, 2))"),96.07)</f>
        <v>96.07</v>
      </c>
      <c r="K2596" s="2"/>
      <c r="L2596" s="49"/>
      <c r="M2596" s="49"/>
      <c r="N2596" s="49"/>
      <c r="O2596" s="49" t="str">
        <f t="shared" si="2"/>
        <v/>
      </c>
      <c r="P2596" s="49" t="str">
        <f t="shared" si="3"/>
        <v/>
      </c>
      <c r="Q2596" s="84"/>
      <c r="R2596" s="84"/>
      <c r="S2596" s="84"/>
      <c r="T2596" s="84"/>
      <c r="U2596" s="84"/>
      <c r="V2596" s="84"/>
      <c r="W2596" s="84"/>
      <c r="X2596" s="84"/>
      <c r="Y2596" s="84"/>
      <c r="Z2596" s="84"/>
      <c r="AA2596" s="84"/>
      <c r="AB2596" s="84"/>
    </row>
    <row r="2597">
      <c r="A2597" s="69">
        <v>173.0</v>
      </c>
      <c r="B2597" s="69">
        <v>286.0</v>
      </c>
      <c r="C2597" s="86" t="s">
        <v>567</v>
      </c>
      <c r="D2597" s="86" t="s">
        <v>568</v>
      </c>
      <c r="E2597" s="86" t="s">
        <v>569</v>
      </c>
      <c r="F2597" s="69">
        <v>6000.0</v>
      </c>
      <c r="G2597" s="69">
        <v>35.47</v>
      </c>
      <c r="H2597" s="68">
        <f t="shared" si="1"/>
        <v>297.15</v>
      </c>
      <c r="I2597" s="81">
        <f>IFERROR(__xludf.DUMMYFUNCTION("IF(G2597="""", """", ROUND(G2597 / MAX(FILTER($G$2:$G5067, $D$2:$D5067=$D2597)) * 100, 2))"),90.81)</f>
        <v>90.81</v>
      </c>
      <c r="J2597" s="81">
        <f>IFERROR(__xludf.DUMMYFUNCTION("IF(H2597="""", """", ROUND(H2597 / MAX(FILTER($H$2:$H5067, $D$2:$D5067=$D2597)) * 100, 2))"),99.34)</f>
        <v>99.34</v>
      </c>
      <c r="K2597" s="2"/>
      <c r="L2597" s="48"/>
      <c r="M2597" s="48"/>
      <c r="N2597" s="48"/>
      <c r="O2597" s="48" t="str">
        <f t="shared" si="2"/>
        <v/>
      </c>
      <c r="P2597" s="48" t="str">
        <f t="shared" si="3"/>
        <v/>
      </c>
      <c r="Q2597" s="84"/>
      <c r="R2597" s="84"/>
      <c r="S2597" s="84"/>
      <c r="T2597" s="84"/>
      <c r="U2597" s="84"/>
      <c r="V2597" s="84"/>
      <c r="W2597" s="84"/>
      <c r="X2597" s="84"/>
      <c r="Y2597" s="84"/>
      <c r="Z2597" s="84"/>
      <c r="AA2597" s="84"/>
      <c r="AB2597" s="84"/>
    </row>
    <row r="2598">
      <c r="A2598" s="63">
        <v>173.0</v>
      </c>
      <c r="B2598" s="63">
        <v>286.0</v>
      </c>
      <c r="C2598" s="64" t="s">
        <v>567</v>
      </c>
      <c r="D2598" s="64" t="s">
        <v>568</v>
      </c>
      <c r="E2598" s="64" t="s">
        <v>569</v>
      </c>
      <c r="F2598" s="63">
        <v>6500.0</v>
      </c>
      <c r="G2598" s="63">
        <v>32.96</v>
      </c>
      <c r="H2598" s="66">
        <f t="shared" si="1"/>
        <v>299.13</v>
      </c>
      <c r="I2598" s="81">
        <f>IFERROR(__xludf.DUMMYFUNCTION("IF(G2598="""", """", ROUND(G2598 / MAX(FILTER($G$2:$G5067, $D$2:$D5067=$D2598)) * 100, 2))"),84.38)</f>
        <v>84.38</v>
      </c>
      <c r="J2598" s="81">
        <f>IFERROR(__xludf.DUMMYFUNCTION("IF(H2598="""", """", ROUND(H2598 / MAX(FILTER($H$2:$H5067, $D$2:$D5067=$D2598)) * 100, 2))"),100.0)</f>
        <v>100</v>
      </c>
      <c r="K2598" s="2"/>
      <c r="L2598" s="49"/>
      <c r="M2598" s="49"/>
      <c r="N2598" s="49"/>
      <c r="O2598" s="49" t="str">
        <f t="shared" si="2"/>
        <v/>
      </c>
      <c r="P2598" s="49" t="str">
        <f t="shared" si="3"/>
        <v/>
      </c>
      <c r="Q2598" s="84"/>
      <c r="R2598" s="84"/>
      <c r="S2598" s="84"/>
      <c r="T2598" s="84"/>
      <c r="U2598" s="84"/>
      <c r="V2598" s="84"/>
      <c r="W2598" s="84"/>
      <c r="X2598" s="84"/>
      <c r="Y2598" s="84"/>
      <c r="Z2598" s="84"/>
      <c r="AA2598" s="84"/>
      <c r="AB2598" s="84"/>
    </row>
    <row r="2599">
      <c r="A2599" s="69">
        <v>173.0</v>
      </c>
      <c r="B2599" s="69">
        <v>286.0</v>
      </c>
      <c r="C2599" s="86" t="s">
        <v>567</v>
      </c>
      <c r="D2599" s="86" t="s">
        <v>568</v>
      </c>
      <c r="E2599" s="86" t="s">
        <v>569</v>
      </c>
      <c r="F2599" s="69">
        <v>7000.0</v>
      </c>
      <c r="G2599" s="69">
        <v>30.34</v>
      </c>
      <c r="H2599" s="68">
        <f t="shared" si="1"/>
        <v>296.54</v>
      </c>
      <c r="I2599" s="81">
        <f>IFERROR(__xludf.DUMMYFUNCTION("IF(G2599="""", """", ROUND(G2599 / MAX(FILTER($G$2:$G5067, $D$2:$D5067=$D2599)) * 100, 2))"),77.68)</f>
        <v>77.68</v>
      </c>
      <c r="J2599" s="81">
        <f>IFERROR(__xludf.DUMMYFUNCTION("IF(H2599="""", """", ROUND(H2599 / MAX(FILTER($H$2:$H5067, $D$2:$D5067=$D2599)) * 100, 2))"),99.13)</f>
        <v>99.13</v>
      </c>
      <c r="K2599" s="2"/>
      <c r="L2599" s="48"/>
      <c r="M2599" s="48"/>
      <c r="N2599" s="48"/>
      <c r="O2599" s="48" t="str">
        <f t="shared" si="2"/>
        <v/>
      </c>
      <c r="P2599" s="48" t="str">
        <f t="shared" si="3"/>
        <v/>
      </c>
      <c r="Q2599" s="84"/>
      <c r="R2599" s="84"/>
      <c r="S2599" s="84"/>
      <c r="T2599" s="84"/>
      <c r="U2599" s="84"/>
      <c r="V2599" s="84"/>
      <c r="W2599" s="84"/>
      <c r="X2599" s="84"/>
      <c r="Y2599" s="84"/>
      <c r="Z2599" s="84"/>
      <c r="AA2599" s="84"/>
      <c r="AB2599" s="84"/>
    </row>
    <row r="2600">
      <c r="A2600" s="63">
        <v>173.0</v>
      </c>
      <c r="B2600" s="63">
        <v>286.0</v>
      </c>
      <c r="C2600" s="64" t="s">
        <v>567</v>
      </c>
      <c r="D2600" s="64" t="s">
        <v>568</v>
      </c>
      <c r="E2600" s="64" t="s">
        <v>569</v>
      </c>
      <c r="F2600" s="63">
        <v>7500.0</v>
      </c>
      <c r="G2600" s="63">
        <v>27.8</v>
      </c>
      <c r="H2600" s="66">
        <f t="shared" si="1"/>
        <v>291.12</v>
      </c>
      <c r="I2600" s="81">
        <f>IFERROR(__xludf.DUMMYFUNCTION("IF(G2600="""", """", ROUND(G2600 / MAX(FILTER($G$2:$G5067, $D$2:$D5067=$D2600)) * 100, 2))"),71.17)</f>
        <v>71.17</v>
      </c>
      <c r="J2600" s="81">
        <f>IFERROR(__xludf.DUMMYFUNCTION("IF(H2600="""", """", ROUND(H2600 / MAX(FILTER($H$2:$H5067, $D$2:$D5067=$D2600)) * 100, 2))"),97.32)</f>
        <v>97.32</v>
      </c>
      <c r="K2600" s="2"/>
      <c r="L2600" s="49"/>
      <c r="M2600" s="49"/>
      <c r="N2600" s="49"/>
      <c r="O2600" s="49" t="str">
        <f t="shared" si="2"/>
        <v/>
      </c>
      <c r="P2600" s="49" t="str">
        <f t="shared" si="3"/>
        <v/>
      </c>
      <c r="Q2600" s="84"/>
      <c r="R2600" s="84"/>
      <c r="S2600" s="84"/>
      <c r="T2600" s="84"/>
      <c r="U2600" s="84"/>
      <c r="V2600" s="84"/>
      <c r="W2600" s="84"/>
      <c r="X2600" s="84"/>
      <c r="Y2600" s="84"/>
      <c r="Z2600" s="84"/>
      <c r="AA2600" s="84"/>
      <c r="AB2600" s="84"/>
    </row>
    <row r="2601">
      <c r="A2601" s="69">
        <v>173.0</v>
      </c>
      <c r="B2601" s="69">
        <v>286.0</v>
      </c>
      <c r="C2601" s="86" t="s">
        <v>567</v>
      </c>
      <c r="D2601" s="86" t="s">
        <v>568</v>
      </c>
      <c r="E2601" s="86" t="s">
        <v>569</v>
      </c>
      <c r="F2601" s="69">
        <v>8000.0</v>
      </c>
      <c r="G2601" s="69">
        <v>25.1</v>
      </c>
      <c r="H2601" s="68">
        <f t="shared" si="1"/>
        <v>280.37</v>
      </c>
      <c r="I2601" s="81">
        <f>IFERROR(__xludf.DUMMYFUNCTION("IF(G2601="""", """", ROUND(G2601 / MAX(FILTER($G$2:$G5067, $D$2:$D5067=$D2601)) * 100, 2))"),64.26)</f>
        <v>64.26</v>
      </c>
      <c r="J2601" s="81">
        <f>IFERROR(__xludf.DUMMYFUNCTION("IF(H2601="""", """", ROUND(H2601 / MAX(FILTER($H$2:$H5067, $D$2:$D5067=$D2601)) * 100, 2))"),93.73)</f>
        <v>93.73</v>
      </c>
      <c r="K2601" s="2"/>
      <c r="L2601" s="48"/>
      <c r="M2601" s="48"/>
      <c r="N2601" s="48"/>
      <c r="O2601" s="48" t="str">
        <f t="shared" si="2"/>
        <v/>
      </c>
      <c r="P2601" s="48" t="str">
        <f t="shared" si="3"/>
        <v/>
      </c>
      <c r="Q2601" s="84"/>
      <c r="R2601" s="84"/>
      <c r="S2601" s="84"/>
      <c r="T2601" s="84"/>
      <c r="U2601" s="84"/>
      <c r="V2601" s="84"/>
      <c r="W2601" s="84"/>
      <c r="X2601" s="84"/>
      <c r="Y2601" s="84"/>
      <c r="Z2601" s="84"/>
      <c r="AA2601" s="84"/>
      <c r="AB2601" s="84"/>
    </row>
    <row r="2602">
      <c r="A2602" s="63">
        <v>173.0</v>
      </c>
      <c r="B2602" s="63">
        <v>286.0</v>
      </c>
      <c r="C2602" s="64" t="s">
        <v>567</v>
      </c>
      <c r="D2602" s="64" t="s">
        <v>568</v>
      </c>
      <c r="E2602" s="64" t="s">
        <v>569</v>
      </c>
      <c r="F2602" s="63">
        <v>8500.0</v>
      </c>
      <c r="G2602" s="63">
        <v>21.9</v>
      </c>
      <c r="H2602" s="66">
        <f t="shared" si="1"/>
        <v>259.91</v>
      </c>
      <c r="I2602" s="81">
        <f>IFERROR(__xludf.DUMMYFUNCTION("IF(G2602="""", """", ROUND(G2602 / MAX(FILTER($G$2:$G5067, $D$2:$D5067=$D2602)) * 100, 2))"),56.07)</f>
        <v>56.07</v>
      </c>
      <c r="J2602" s="81">
        <f>IFERROR(__xludf.DUMMYFUNCTION("IF(H2602="""", """", ROUND(H2602 / MAX(FILTER($H$2:$H5067, $D$2:$D5067=$D2602)) * 100, 2))"),86.89)</f>
        <v>86.89</v>
      </c>
      <c r="K2602" s="2"/>
      <c r="L2602" s="49"/>
      <c r="M2602" s="49"/>
      <c r="N2602" s="49"/>
      <c r="O2602" s="49" t="str">
        <f t="shared" si="2"/>
        <v/>
      </c>
      <c r="P2602" s="49" t="str">
        <f t="shared" si="3"/>
        <v/>
      </c>
      <c r="Q2602" s="84"/>
      <c r="R2602" s="84"/>
      <c r="S2602" s="84"/>
      <c r="T2602" s="84"/>
      <c r="U2602" s="84"/>
      <c r="V2602" s="84"/>
      <c r="W2602" s="84"/>
      <c r="X2602" s="84"/>
      <c r="Y2602" s="84"/>
      <c r="Z2602" s="84"/>
      <c r="AA2602" s="84"/>
      <c r="AB2602" s="84"/>
    </row>
    <row r="2603">
      <c r="A2603" s="69">
        <v>174.0</v>
      </c>
      <c r="B2603" s="69">
        <v>290.0</v>
      </c>
      <c r="C2603" s="86" t="s">
        <v>570</v>
      </c>
      <c r="D2603" s="86" t="s">
        <v>571</v>
      </c>
      <c r="E2603" s="86" t="s">
        <v>572</v>
      </c>
      <c r="F2603" s="69">
        <v>500.0</v>
      </c>
      <c r="G2603" s="69">
        <v>25.33</v>
      </c>
      <c r="H2603" s="68">
        <f t="shared" si="1"/>
        <v>17.68</v>
      </c>
      <c r="I2603" s="81">
        <f>IFERROR(__xludf.DUMMYFUNCTION("IF(G2603="""", """", ROUND(G2603 / MAX(FILTER($G$2:$G5067, $D$2:$D5067=$D2603)) * 100, 2))"),44.13)</f>
        <v>44.13</v>
      </c>
      <c r="J2603" s="81">
        <f>IFERROR(__xludf.DUMMYFUNCTION("IF(H2603="""", """", ROUND(H2603 / MAX(FILTER($H$2:$H5067, $D$2:$D5067=$D2603)) * 100, 2))"),3.55)</f>
        <v>3.55</v>
      </c>
      <c r="K2603" s="2"/>
      <c r="L2603" s="48"/>
      <c r="M2603" s="48"/>
      <c r="N2603" s="48"/>
      <c r="O2603" s="48" t="str">
        <f t="shared" si="2"/>
        <v/>
      </c>
      <c r="P2603" s="48" t="str">
        <f t="shared" si="3"/>
        <v/>
      </c>
      <c r="Q2603" s="84"/>
      <c r="R2603" s="84"/>
      <c r="S2603" s="84"/>
      <c r="T2603" s="84"/>
      <c r="U2603" s="84"/>
      <c r="V2603" s="84"/>
      <c r="W2603" s="84"/>
      <c r="X2603" s="84"/>
      <c r="Y2603" s="84"/>
      <c r="Z2603" s="84"/>
      <c r="AA2603" s="84"/>
      <c r="AB2603" s="84"/>
    </row>
    <row r="2604">
      <c r="A2604" s="63">
        <v>174.0</v>
      </c>
      <c r="B2604" s="63">
        <v>290.0</v>
      </c>
      <c r="C2604" s="64" t="s">
        <v>570</v>
      </c>
      <c r="D2604" s="64" t="s">
        <v>571</v>
      </c>
      <c r="E2604" s="64" t="s">
        <v>572</v>
      </c>
      <c r="F2604" s="63">
        <v>1000.0</v>
      </c>
      <c r="G2604" s="63">
        <v>30.87</v>
      </c>
      <c r="H2604" s="66">
        <f t="shared" si="1"/>
        <v>43.1</v>
      </c>
      <c r="I2604" s="81">
        <f>IFERROR(__xludf.DUMMYFUNCTION("IF(G2604="""", """", ROUND(G2604 / MAX(FILTER($G$2:$G5067, $D$2:$D5067=$D2604)) * 100, 2))"),53.78)</f>
        <v>53.78</v>
      </c>
      <c r="J2604" s="81">
        <f>IFERROR(__xludf.DUMMYFUNCTION("IF(H2604="""", """", ROUND(H2604 / MAX(FILTER($H$2:$H5067, $D$2:$D5067=$D2604)) * 100, 2))"),8.65)</f>
        <v>8.65</v>
      </c>
      <c r="K2604" s="2"/>
      <c r="L2604" s="49"/>
      <c r="M2604" s="49"/>
      <c r="N2604" s="49"/>
      <c r="O2604" s="49" t="str">
        <f t="shared" si="2"/>
        <v/>
      </c>
      <c r="P2604" s="49" t="str">
        <f t="shared" si="3"/>
        <v/>
      </c>
      <c r="Q2604" s="84"/>
      <c r="R2604" s="84"/>
      <c r="S2604" s="84"/>
      <c r="T2604" s="84"/>
      <c r="U2604" s="84"/>
      <c r="V2604" s="84"/>
      <c r="W2604" s="84"/>
      <c r="X2604" s="84"/>
      <c r="Y2604" s="84"/>
      <c r="Z2604" s="84"/>
      <c r="AA2604" s="84"/>
      <c r="AB2604" s="84"/>
    </row>
    <row r="2605">
      <c r="A2605" s="69">
        <v>174.0</v>
      </c>
      <c r="B2605" s="69">
        <v>290.0</v>
      </c>
      <c r="C2605" s="86" t="s">
        <v>570</v>
      </c>
      <c r="D2605" s="86" t="s">
        <v>571</v>
      </c>
      <c r="E2605" s="86" t="s">
        <v>572</v>
      </c>
      <c r="F2605" s="69">
        <v>1500.0</v>
      </c>
      <c r="G2605" s="69">
        <v>36.25</v>
      </c>
      <c r="H2605" s="68">
        <f t="shared" si="1"/>
        <v>75.92</v>
      </c>
      <c r="I2605" s="81">
        <f>IFERROR(__xludf.DUMMYFUNCTION("IF(G2605="""", """", ROUND(G2605 / MAX(FILTER($G$2:$G5067, $D$2:$D5067=$D2605)) * 100, 2))"),63.15)</f>
        <v>63.15</v>
      </c>
      <c r="J2605" s="81">
        <f>IFERROR(__xludf.DUMMYFUNCTION("IF(H2605="""", """", ROUND(H2605 / MAX(FILTER($H$2:$H5067, $D$2:$D5067=$D2605)) * 100, 2))"),15.24)</f>
        <v>15.24</v>
      </c>
      <c r="K2605" s="2"/>
      <c r="L2605" s="48"/>
      <c r="M2605" s="48"/>
      <c r="N2605" s="48"/>
      <c r="O2605" s="48" t="str">
        <f t="shared" si="2"/>
        <v/>
      </c>
      <c r="P2605" s="48" t="str">
        <f t="shared" si="3"/>
        <v/>
      </c>
      <c r="Q2605" s="84"/>
      <c r="R2605" s="84"/>
      <c r="S2605" s="84"/>
      <c r="T2605" s="84"/>
      <c r="U2605" s="84"/>
      <c r="V2605" s="84"/>
      <c r="W2605" s="84"/>
      <c r="X2605" s="84"/>
      <c r="Y2605" s="84"/>
      <c r="Z2605" s="84"/>
      <c r="AA2605" s="84"/>
      <c r="AB2605" s="84"/>
    </row>
    <row r="2606">
      <c r="A2606" s="63">
        <v>174.0</v>
      </c>
      <c r="B2606" s="63">
        <v>290.0</v>
      </c>
      <c r="C2606" s="64" t="s">
        <v>570</v>
      </c>
      <c r="D2606" s="64" t="s">
        <v>571</v>
      </c>
      <c r="E2606" s="64" t="s">
        <v>572</v>
      </c>
      <c r="F2606" s="63">
        <v>2000.0</v>
      </c>
      <c r="G2606" s="63">
        <v>42.78</v>
      </c>
      <c r="H2606" s="66">
        <f t="shared" si="1"/>
        <v>119.46</v>
      </c>
      <c r="I2606" s="81">
        <f>IFERROR(__xludf.DUMMYFUNCTION("IF(G2606="""", """", ROUND(G2606 / MAX(FILTER($G$2:$G5067, $D$2:$D5067=$D2606)) * 100, 2))"),74.53)</f>
        <v>74.53</v>
      </c>
      <c r="J2606" s="81">
        <f>IFERROR(__xludf.DUMMYFUNCTION("IF(H2606="""", """", ROUND(H2606 / MAX(FILTER($H$2:$H5067, $D$2:$D5067=$D2606)) * 100, 2))"),23.98)</f>
        <v>23.98</v>
      </c>
      <c r="K2606" s="2"/>
      <c r="L2606" s="49"/>
      <c r="M2606" s="49"/>
      <c r="N2606" s="49"/>
      <c r="O2606" s="49" t="str">
        <f t="shared" si="2"/>
        <v/>
      </c>
      <c r="P2606" s="49" t="str">
        <f t="shared" si="3"/>
        <v/>
      </c>
      <c r="Q2606" s="84"/>
      <c r="R2606" s="84"/>
      <c r="S2606" s="84"/>
      <c r="T2606" s="84"/>
      <c r="U2606" s="84"/>
      <c r="V2606" s="84"/>
      <c r="W2606" s="84"/>
      <c r="X2606" s="84"/>
      <c r="Y2606" s="84"/>
      <c r="Z2606" s="84"/>
      <c r="AA2606" s="84"/>
      <c r="AB2606" s="84"/>
    </row>
    <row r="2607">
      <c r="A2607" s="69">
        <v>174.0</v>
      </c>
      <c r="B2607" s="69">
        <v>290.0</v>
      </c>
      <c r="C2607" s="86" t="s">
        <v>570</v>
      </c>
      <c r="D2607" s="86" t="s">
        <v>571</v>
      </c>
      <c r="E2607" s="86" t="s">
        <v>572</v>
      </c>
      <c r="F2607" s="69">
        <v>2500.0</v>
      </c>
      <c r="G2607" s="69">
        <v>47.45</v>
      </c>
      <c r="H2607" s="68">
        <f t="shared" si="1"/>
        <v>165.63</v>
      </c>
      <c r="I2607" s="81">
        <f>IFERROR(__xludf.DUMMYFUNCTION("IF(G2607="""", """", ROUND(G2607 / MAX(FILTER($G$2:$G5067, $D$2:$D5067=$D2607)) * 100, 2))"),82.67)</f>
        <v>82.67</v>
      </c>
      <c r="J2607" s="81">
        <f>IFERROR(__xludf.DUMMYFUNCTION("IF(H2607="""", """", ROUND(H2607 / MAX(FILTER($H$2:$H5067, $D$2:$D5067=$D2607)) * 100, 2))"),33.25)</f>
        <v>33.25</v>
      </c>
      <c r="K2607" s="2"/>
      <c r="L2607" s="48"/>
      <c r="M2607" s="48"/>
      <c r="N2607" s="48"/>
      <c r="O2607" s="48" t="str">
        <f t="shared" si="2"/>
        <v/>
      </c>
      <c r="P2607" s="48" t="str">
        <f t="shared" si="3"/>
        <v/>
      </c>
      <c r="Q2607" s="84"/>
      <c r="R2607" s="84"/>
      <c r="S2607" s="84"/>
      <c r="T2607" s="84"/>
      <c r="U2607" s="84"/>
      <c r="V2607" s="84"/>
      <c r="W2607" s="84"/>
      <c r="X2607" s="84"/>
      <c r="Y2607" s="84"/>
      <c r="Z2607" s="84"/>
      <c r="AA2607" s="84"/>
      <c r="AB2607" s="84"/>
    </row>
    <row r="2608">
      <c r="A2608" s="63">
        <v>174.0</v>
      </c>
      <c r="B2608" s="63">
        <v>290.0</v>
      </c>
      <c r="C2608" s="64" t="s">
        <v>570</v>
      </c>
      <c r="D2608" s="64" t="s">
        <v>571</v>
      </c>
      <c r="E2608" s="64" t="s">
        <v>572</v>
      </c>
      <c r="F2608" s="63">
        <v>3000.0</v>
      </c>
      <c r="G2608" s="63">
        <v>51.87</v>
      </c>
      <c r="H2608" s="66">
        <f t="shared" si="1"/>
        <v>217.27</v>
      </c>
      <c r="I2608" s="81">
        <f>IFERROR(__xludf.DUMMYFUNCTION("IF(G2608="""", """", ROUND(G2608 / MAX(FILTER($G$2:$G5067, $D$2:$D5067=$D2608)) * 100, 2))"),90.37)</f>
        <v>90.37</v>
      </c>
      <c r="J2608" s="81">
        <f>IFERROR(__xludf.DUMMYFUNCTION("IF(H2608="""", """", ROUND(H2608 / MAX(FILTER($H$2:$H5067, $D$2:$D5067=$D2608)) * 100, 2))"),43.62)</f>
        <v>43.62</v>
      </c>
      <c r="K2608" s="2"/>
      <c r="L2608" s="49"/>
      <c r="M2608" s="49"/>
      <c r="N2608" s="49"/>
      <c r="O2608" s="49" t="str">
        <f t="shared" si="2"/>
        <v/>
      </c>
      <c r="P2608" s="49" t="str">
        <f t="shared" si="3"/>
        <v/>
      </c>
      <c r="Q2608" s="84"/>
      <c r="R2608" s="84"/>
      <c r="S2608" s="84"/>
      <c r="T2608" s="84"/>
      <c r="U2608" s="84"/>
      <c r="V2608" s="84"/>
      <c r="W2608" s="84"/>
      <c r="X2608" s="84"/>
      <c r="Y2608" s="84"/>
      <c r="Z2608" s="84"/>
      <c r="AA2608" s="84"/>
      <c r="AB2608" s="84"/>
    </row>
    <row r="2609">
      <c r="A2609" s="69">
        <v>174.0</v>
      </c>
      <c r="B2609" s="69">
        <v>290.0</v>
      </c>
      <c r="C2609" s="86" t="s">
        <v>570</v>
      </c>
      <c r="D2609" s="86" t="s">
        <v>571</v>
      </c>
      <c r="E2609" s="86" t="s">
        <v>572</v>
      </c>
      <c r="F2609" s="69">
        <v>3500.0</v>
      </c>
      <c r="G2609" s="69">
        <v>55.98</v>
      </c>
      <c r="H2609" s="68">
        <f t="shared" si="1"/>
        <v>273.57</v>
      </c>
      <c r="I2609" s="81">
        <f>IFERROR(__xludf.DUMMYFUNCTION("IF(G2609="""", """", ROUND(G2609 / MAX(FILTER($G$2:$G5067, $D$2:$D5067=$D2609)) * 100, 2))"),97.53)</f>
        <v>97.53</v>
      </c>
      <c r="J2609" s="81">
        <f>IFERROR(__xludf.DUMMYFUNCTION("IF(H2609="""", """", ROUND(H2609 / MAX(FILTER($H$2:$H5067, $D$2:$D5067=$D2609)) * 100, 2))"),54.92)</f>
        <v>54.92</v>
      </c>
      <c r="K2609" s="2"/>
      <c r="L2609" s="48"/>
      <c r="M2609" s="48"/>
      <c r="N2609" s="48"/>
      <c r="O2609" s="48" t="str">
        <f t="shared" si="2"/>
        <v/>
      </c>
      <c r="P2609" s="48" t="str">
        <f t="shared" si="3"/>
        <v/>
      </c>
      <c r="Q2609" s="84"/>
      <c r="R2609" s="84"/>
      <c r="S2609" s="84"/>
      <c r="T2609" s="84"/>
      <c r="U2609" s="84"/>
      <c r="V2609" s="84"/>
      <c r="W2609" s="84"/>
      <c r="X2609" s="84"/>
      <c r="Y2609" s="84"/>
      <c r="Z2609" s="84"/>
      <c r="AA2609" s="84"/>
      <c r="AB2609" s="84"/>
    </row>
    <row r="2610">
      <c r="A2610" s="63">
        <v>174.0</v>
      </c>
      <c r="B2610" s="63">
        <v>290.0</v>
      </c>
      <c r="C2610" s="64" t="s">
        <v>570</v>
      </c>
      <c r="D2610" s="64" t="s">
        <v>571</v>
      </c>
      <c r="E2610" s="64" t="s">
        <v>572</v>
      </c>
      <c r="F2610" s="63">
        <v>3750.0</v>
      </c>
      <c r="G2610" s="63">
        <v>57.4</v>
      </c>
      <c r="H2610" s="66">
        <f t="shared" si="1"/>
        <v>300.54</v>
      </c>
      <c r="I2610" s="81">
        <f>IFERROR(__xludf.DUMMYFUNCTION("IF(G2610="""", """", ROUND(G2610 / MAX(FILTER($G$2:$G5067, $D$2:$D5067=$D2610)) * 100, 2))"),100.0)</f>
        <v>100</v>
      </c>
      <c r="J2610" s="81">
        <f>IFERROR(__xludf.DUMMYFUNCTION("IF(H2610="""", """", ROUND(H2610 / MAX(FILTER($H$2:$H5067, $D$2:$D5067=$D2610)) * 100, 2))"),60.33)</f>
        <v>60.33</v>
      </c>
      <c r="K2610" s="2"/>
      <c r="L2610" s="49"/>
      <c r="M2610" s="49"/>
      <c r="N2610" s="49"/>
      <c r="O2610" s="49" t="str">
        <f t="shared" si="2"/>
        <v/>
      </c>
      <c r="P2610" s="49" t="str">
        <f t="shared" si="3"/>
        <v/>
      </c>
      <c r="Q2610" s="84"/>
      <c r="R2610" s="84"/>
      <c r="S2610" s="84"/>
      <c r="T2610" s="84"/>
      <c r="U2610" s="84"/>
      <c r="V2610" s="84"/>
      <c r="W2610" s="84"/>
      <c r="X2610" s="84"/>
      <c r="Y2610" s="84"/>
      <c r="Z2610" s="84"/>
      <c r="AA2610" s="84"/>
      <c r="AB2610" s="84"/>
    </row>
    <row r="2611">
      <c r="A2611" s="69">
        <v>174.0</v>
      </c>
      <c r="B2611" s="69">
        <v>290.0</v>
      </c>
      <c r="C2611" s="86" t="s">
        <v>570</v>
      </c>
      <c r="D2611" s="86" t="s">
        <v>571</v>
      </c>
      <c r="E2611" s="86" t="s">
        <v>572</v>
      </c>
      <c r="F2611" s="69">
        <v>4200.0</v>
      </c>
      <c r="G2611" s="69">
        <v>57.28</v>
      </c>
      <c r="H2611" s="68">
        <f t="shared" si="1"/>
        <v>335.91</v>
      </c>
      <c r="I2611" s="81">
        <f>IFERROR(__xludf.DUMMYFUNCTION("IF(G2611="""", """", ROUND(G2611 / MAX(FILTER($G$2:$G5067, $D$2:$D5067=$D2611)) * 100, 2))"),99.79)</f>
        <v>99.79</v>
      </c>
      <c r="J2611" s="81">
        <f>IFERROR(__xludf.DUMMYFUNCTION("IF(H2611="""", """", ROUND(H2611 / MAX(FILTER($H$2:$H5067, $D$2:$D5067=$D2611)) * 100, 2))"),67.43)</f>
        <v>67.43</v>
      </c>
      <c r="K2611" s="2"/>
      <c r="L2611" s="48"/>
      <c r="M2611" s="48"/>
      <c r="N2611" s="48"/>
      <c r="O2611" s="48" t="str">
        <f t="shared" si="2"/>
        <v/>
      </c>
      <c r="P2611" s="48" t="str">
        <f t="shared" si="3"/>
        <v/>
      </c>
      <c r="Q2611" s="84"/>
      <c r="R2611" s="84"/>
      <c r="S2611" s="84"/>
      <c r="T2611" s="84"/>
      <c r="U2611" s="84"/>
      <c r="V2611" s="84"/>
      <c r="W2611" s="84"/>
      <c r="X2611" s="84"/>
      <c r="Y2611" s="84"/>
      <c r="Z2611" s="84"/>
      <c r="AA2611" s="84"/>
      <c r="AB2611" s="84"/>
    </row>
    <row r="2612">
      <c r="A2612" s="63">
        <v>174.0</v>
      </c>
      <c r="B2612" s="63">
        <v>290.0</v>
      </c>
      <c r="C2612" s="64" t="s">
        <v>570</v>
      </c>
      <c r="D2612" s="64" t="s">
        <v>571</v>
      </c>
      <c r="E2612" s="64" t="s">
        <v>572</v>
      </c>
      <c r="F2612" s="63">
        <v>5000.0</v>
      </c>
      <c r="G2612" s="63">
        <v>56.55</v>
      </c>
      <c r="H2612" s="66">
        <f t="shared" si="1"/>
        <v>394.79</v>
      </c>
      <c r="I2612" s="81">
        <f>IFERROR(__xludf.DUMMYFUNCTION("IF(G2612="""", """", ROUND(G2612 / MAX(FILTER($G$2:$G5067, $D$2:$D5067=$D2612)) * 100, 2))"),98.52)</f>
        <v>98.52</v>
      </c>
      <c r="J2612" s="81">
        <f>IFERROR(__xludf.DUMMYFUNCTION("IF(H2612="""", """", ROUND(H2612 / MAX(FILTER($H$2:$H5067, $D$2:$D5067=$D2612)) * 100, 2))"),79.25)</f>
        <v>79.25</v>
      </c>
      <c r="K2612" s="2"/>
      <c r="L2612" s="49"/>
      <c r="M2612" s="49"/>
      <c r="N2612" s="49"/>
      <c r="O2612" s="49" t="str">
        <f t="shared" si="2"/>
        <v/>
      </c>
      <c r="P2612" s="49" t="str">
        <f t="shared" si="3"/>
        <v/>
      </c>
      <c r="Q2612" s="84"/>
      <c r="R2612" s="84"/>
      <c r="S2612" s="84"/>
      <c r="T2612" s="84"/>
      <c r="U2612" s="84"/>
      <c r="V2612" s="84"/>
      <c r="W2612" s="84"/>
      <c r="X2612" s="84"/>
      <c r="Y2612" s="84"/>
      <c r="Z2612" s="84"/>
      <c r="AA2612" s="84"/>
      <c r="AB2612" s="84"/>
    </row>
    <row r="2613">
      <c r="A2613" s="69">
        <v>174.0</v>
      </c>
      <c r="B2613" s="69">
        <v>290.0</v>
      </c>
      <c r="C2613" s="86" t="s">
        <v>570</v>
      </c>
      <c r="D2613" s="86" t="s">
        <v>571</v>
      </c>
      <c r="E2613" s="86" t="s">
        <v>572</v>
      </c>
      <c r="F2613" s="69">
        <v>5500.0</v>
      </c>
      <c r="G2613" s="69">
        <v>54.95</v>
      </c>
      <c r="H2613" s="68">
        <f t="shared" si="1"/>
        <v>421.98</v>
      </c>
      <c r="I2613" s="81">
        <f>IFERROR(__xludf.DUMMYFUNCTION("IF(G2613="""", """", ROUND(G2613 / MAX(FILTER($G$2:$G5067, $D$2:$D5067=$D2613)) * 100, 2))"),95.73)</f>
        <v>95.73</v>
      </c>
      <c r="J2613" s="81">
        <f>IFERROR(__xludf.DUMMYFUNCTION("IF(H2613="""", """", ROUND(H2613 / MAX(FILTER($H$2:$H5067, $D$2:$D5067=$D2613)) * 100, 2))"),84.71)</f>
        <v>84.71</v>
      </c>
      <c r="K2613" s="2"/>
      <c r="L2613" s="48"/>
      <c r="M2613" s="48"/>
      <c r="N2613" s="48"/>
      <c r="O2613" s="48" t="str">
        <f t="shared" si="2"/>
        <v/>
      </c>
      <c r="P2613" s="48" t="str">
        <f t="shared" si="3"/>
        <v/>
      </c>
      <c r="Q2613" s="84"/>
      <c r="R2613" s="84"/>
      <c r="S2613" s="84"/>
      <c r="T2613" s="84"/>
      <c r="U2613" s="84"/>
      <c r="V2613" s="84"/>
      <c r="W2613" s="84"/>
      <c r="X2613" s="84"/>
      <c r="Y2613" s="84"/>
      <c r="Z2613" s="84"/>
      <c r="AA2613" s="84"/>
      <c r="AB2613" s="84"/>
    </row>
    <row r="2614">
      <c r="A2614" s="63">
        <v>174.0</v>
      </c>
      <c r="B2614" s="63">
        <v>290.0</v>
      </c>
      <c r="C2614" s="64" t="s">
        <v>570</v>
      </c>
      <c r="D2614" s="64" t="s">
        <v>571</v>
      </c>
      <c r="E2614" s="64" t="s">
        <v>572</v>
      </c>
      <c r="F2614" s="63">
        <v>6000.0</v>
      </c>
      <c r="G2614" s="63">
        <v>53.63</v>
      </c>
      <c r="H2614" s="66">
        <f t="shared" si="1"/>
        <v>449.29</v>
      </c>
      <c r="I2614" s="81">
        <f>IFERROR(__xludf.DUMMYFUNCTION("IF(G2614="""", """", ROUND(G2614 / MAX(FILTER($G$2:$G5067, $D$2:$D5067=$D2614)) * 100, 2))"),93.43)</f>
        <v>93.43</v>
      </c>
      <c r="J2614" s="81">
        <f>IFERROR(__xludf.DUMMYFUNCTION("IF(H2614="""", """", ROUND(H2614 / MAX(FILTER($H$2:$H5067, $D$2:$D5067=$D2614)) * 100, 2))"),90.19)</f>
        <v>90.19</v>
      </c>
      <c r="K2614" s="2"/>
      <c r="L2614" s="49"/>
      <c r="M2614" s="49"/>
      <c r="N2614" s="49"/>
      <c r="O2614" s="49" t="str">
        <f t="shared" si="2"/>
        <v/>
      </c>
      <c r="P2614" s="49" t="str">
        <f t="shared" si="3"/>
        <v/>
      </c>
      <c r="Q2614" s="84"/>
      <c r="R2614" s="84"/>
      <c r="S2614" s="84"/>
      <c r="T2614" s="84"/>
      <c r="U2614" s="84"/>
      <c r="V2614" s="84"/>
      <c r="W2614" s="84"/>
      <c r="X2614" s="84"/>
      <c r="Y2614" s="84"/>
      <c r="Z2614" s="84"/>
      <c r="AA2614" s="84"/>
      <c r="AB2614" s="84"/>
    </row>
    <row r="2615">
      <c r="A2615" s="69">
        <v>174.0</v>
      </c>
      <c r="B2615" s="69">
        <v>290.0</v>
      </c>
      <c r="C2615" s="86" t="s">
        <v>570</v>
      </c>
      <c r="D2615" s="86" t="s">
        <v>571</v>
      </c>
      <c r="E2615" s="86" t="s">
        <v>572</v>
      </c>
      <c r="F2615" s="69">
        <v>6500.0</v>
      </c>
      <c r="G2615" s="69">
        <v>52.02</v>
      </c>
      <c r="H2615" s="68">
        <f t="shared" si="1"/>
        <v>472.12</v>
      </c>
      <c r="I2615" s="81">
        <f>IFERROR(__xludf.DUMMYFUNCTION("IF(G2615="""", """", ROUND(G2615 / MAX(FILTER($G$2:$G5067, $D$2:$D5067=$D2615)) * 100, 2))"),90.63)</f>
        <v>90.63</v>
      </c>
      <c r="J2615" s="81">
        <f>IFERROR(__xludf.DUMMYFUNCTION("IF(H2615="""", """", ROUND(H2615 / MAX(FILTER($H$2:$H5067, $D$2:$D5067=$D2615)) * 100, 2))"),94.77)</f>
        <v>94.77</v>
      </c>
      <c r="K2615" s="2"/>
      <c r="L2615" s="48"/>
      <c r="M2615" s="48"/>
      <c r="N2615" s="48"/>
      <c r="O2615" s="48" t="str">
        <f t="shared" si="2"/>
        <v/>
      </c>
      <c r="P2615" s="48" t="str">
        <f t="shared" si="3"/>
        <v/>
      </c>
      <c r="Q2615" s="84"/>
      <c r="R2615" s="84"/>
      <c r="S2615" s="84"/>
      <c r="T2615" s="84"/>
      <c r="U2615" s="84"/>
      <c r="V2615" s="84"/>
      <c r="W2615" s="84"/>
      <c r="X2615" s="84"/>
      <c r="Y2615" s="84"/>
      <c r="Z2615" s="84"/>
      <c r="AA2615" s="84"/>
      <c r="AB2615" s="84"/>
    </row>
    <row r="2616">
      <c r="A2616" s="63">
        <v>174.0</v>
      </c>
      <c r="B2616" s="63">
        <v>290.0</v>
      </c>
      <c r="C2616" s="64" t="s">
        <v>570</v>
      </c>
      <c r="D2616" s="64" t="s">
        <v>571</v>
      </c>
      <c r="E2616" s="64" t="s">
        <v>572</v>
      </c>
      <c r="F2616" s="63">
        <v>7000.0</v>
      </c>
      <c r="G2616" s="63">
        <v>50.12</v>
      </c>
      <c r="H2616" s="66">
        <f t="shared" si="1"/>
        <v>489.86</v>
      </c>
      <c r="I2616" s="81">
        <f>IFERROR(__xludf.DUMMYFUNCTION("IF(G2616="""", """", ROUND(G2616 / MAX(FILTER($G$2:$G5067, $D$2:$D5067=$D2616)) * 100, 2))"),87.32)</f>
        <v>87.32</v>
      </c>
      <c r="J2616" s="81">
        <f>IFERROR(__xludf.DUMMYFUNCTION("IF(H2616="""", """", ROUND(H2616 / MAX(FILTER($H$2:$H5067, $D$2:$D5067=$D2616)) * 100, 2))"),98.34)</f>
        <v>98.34</v>
      </c>
      <c r="K2616" s="2"/>
      <c r="L2616" s="49"/>
      <c r="M2616" s="49"/>
      <c r="N2616" s="49"/>
      <c r="O2616" s="49" t="str">
        <f t="shared" si="2"/>
        <v/>
      </c>
      <c r="P2616" s="49" t="str">
        <f t="shared" si="3"/>
        <v/>
      </c>
      <c r="Q2616" s="84"/>
      <c r="R2616" s="84"/>
      <c r="S2616" s="84"/>
      <c r="T2616" s="84"/>
      <c r="U2616" s="84"/>
      <c r="V2616" s="84"/>
      <c r="W2616" s="84"/>
      <c r="X2616" s="84"/>
      <c r="Y2616" s="84"/>
      <c r="Z2616" s="84"/>
      <c r="AA2616" s="84"/>
      <c r="AB2616" s="84"/>
    </row>
    <row r="2617">
      <c r="A2617" s="69">
        <v>174.0</v>
      </c>
      <c r="B2617" s="69">
        <v>290.0</v>
      </c>
      <c r="C2617" s="86" t="s">
        <v>570</v>
      </c>
      <c r="D2617" s="86" t="s">
        <v>571</v>
      </c>
      <c r="E2617" s="86" t="s">
        <v>572</v>
      </c>
      <c r="F2617" s="69">
        <v>7500.0</v>
      </c>
      <c r="G2617" s="69">
        <v>47.57</v>
      </c>
      <c r="H2617" s="68">
        <f t="shared" si="1"/>
        <v>498.15</v>
      </c>
      <c r="I2617" s="81">
        <f>IFERROR(__xludf.DUMMYFUNCTION("IF(G2617="""", """", ROUND(G2617 / MAX(FILTER($G$2:$G5067, $D$2:$D5067=$D2617)) * 100, 2))"),82.87)</f>
        <v>82.87</v>
      </c>
      <c r="J2617" s="81">
        <f>IFERROR(__xludf.DUMMYFUNCTION("IF(H2617="""", """", ROUND(H2617 / MAX(FILTER($H$2:$H5067, $D$2:$D5067=$D2617)) * 100, 2))"),100.0)</f>
        <v>100</v>
      </c>
      <c r="K2617" s="2"/>
      <c r="L2617" s="48"/>
      <c r="M2617" s="48"/>
      <c r="N2617" s="48"/>
      <c r="O2617" s="48" t="str">
        <f t="shared" si="2"/>
        <v/>
      </c>
      <c r="P2617" s="48" t="str">
        <f t="shared" si="3"/>
        <v/>
      </c>
      <c r="Q2617" s="84"/>
      <c r="R2617" s="84"/>
      <c r="S2617" s="84"/>
      <c r="T2617" s="84"/>
      <c r="U2617" s="84"/>
      <c r="V2617" s="84"/>
      <c r="W2617" s="84"/>
      <c r="X2617" s="84"/>
      <c r="Y2617" s="84"/>
      <c r="Z2617" s="84"/>
      <c r="AA2617" s="84"/>
      <c r="AB2617" s="84"/>
    </row>
    <row r="2618">
      <c r="A2618" s="63">
        <v>174.0</v>
      </c>
      <c r="B2618" s="63">
        <v>290.0</v>
      </c>
      <c r="C2618" s="64" t="s">
        <v>570</v>
      </c>
      <c r="D2618" s="64" t="s">
        <v>571</v>
      </c>
      <c r="E2618" s="64" t="s">
        <v>572</v>
      </c>
      <c r="F2618" s="63">
        <v>8000.0</v>
      </c>
      <c r="G2618" s="63">
        <v>44.58</v>
      </c>
      <c r="H2618" s="66">
        <f t="shared" si="1"/>
        <v>497.96</v>
      </c>
      <c r="I2618" s="81">
        <f>IFERROR(__xludf.DUMMYFUNCTION("IF(G2618="""", """", ROUND(G2618 / MAX(FILTER($G$2:$G5067, $D$2:$D5067=$D2618)) * 100, 2))"),77.67)</f>
        <v>77.67</v>
      </c>
      <c r="J2618" s="81">
        <f>IFERROR(__xludf.DUMMYFUNCTION("IF(H2618="""", """", ROUND(H2618 / MAX(FILTER($H$2:$H5067, $D$2:$D5067=$D2618)) * 100, 2))"),99.96)</f>
        <v>99.96</v>
      </c>
      <c r="K2618" s="2"/>
      <c r="L2618" s="49"/>
      <c r="M2618" s="49"/>
      <c r="N2618" s="49"/>
      <c r="O2618" s="49" t="str">
        <f t="shared" si="2"/>
        <v/>
      </c>
      <c r="P2618" s="49" t="str">
        <f t="shared" si="3"/>
        <v/>
      </c>
      <c r="Q2618" s="84"/>
      <c r="R2618" s="84"/>
      <c r="S2618" s="84"/>
      <c r="T2618" s="84"/>
      <c r="U2618" s="84"/>
      <c r="V2618" s="84"/>
      <c r="W2618" s="84"/>
      <c r="X2618" s="84"/>
      <c r="Y2618" s="84"/>
      <c r="Z2618" s="84"/>
      <c r="AA2618" s="84"/>
      <c r="AB2618" s="84"/>
    </row>
    <row r="2619">
      <c r="A2619" s="69">
        <v>174.0</v>
      </c>
      <c r="B2619" s="69">
        <v>290.0</v>
      </c>
      <c r="C2619" s="86" t="s">
        <v>570</v>
      </c>
      <c r="D2619" s="86" t="s">
        <v>571</v>
      </c>
      <c r="E2619" s="86" t="s">
        <v>572</v>
      </c>
      <c r="F2619" s="69">
        <v>8500.0</v>
      </c>
      <c r="G2619" s="69">
        <v>40.81</v>
      </c>
      <c r="H2619" s="68">
        <f t="shared" si="1"/>
        <v>484.34</v>
      </c>
      <c r="I2619" s="81">
        <f>IFERROR(__xludf.DUMMYFUNCTION("IF(G2619="""", """", ROUND(G2619 / MAX(FILTER($G$2:$G5067, $D$2:$D5067=$D2619)) * 100, 2))"),71.1)</f>
        <v>71.1</v>
      </c>
      <c r="J2619" s="81">
        <f>IFERROR(__xludf.DUMMYFUNCTION("IF(H2619="""", """", ROUND(H2619 / MAX(FILTER($H$2:$H5067, $D$2:$D5067=$D2619)) * 100, 2))"),97.23)</f>
        <v>97.23</v>
      </c>
      <c r="K2619" s="2"/>
      <c r="L2619" s="48"/>
      <c r="M2619" s="48"/>
      <c r="N2619" s="48"/>
      <c r="O2619" s="48" t="str">
        <f t="shared" si="2"/>
        <v/>
      </c>
      <c r="P2619" s="48" t="str">
        <f t="shared" si="3"/>
        <v/>
      </c>
      <c r="Q2619" s="84"/>
      <c r="R2619" s="84"/>
      <c r="S2619" s="84"/>
      <c r="T2619" s="84"/>
      <c r="U2619" s="84"/>
      <c r="V2619" s="84"/>
      <c r="W2619" s="84"/>
      <c r="X2619" s="84"/>
      <c r="Y2619" s="84"/>
      <c r="Z2619" s="84"/>
      <c r="AA2619" s="84"/>
      <c r="AB2619" s="84"/>
    </row>
    <row r="2620">
      <c r="A2620" s="63">
        <v>174.0</v>
      </c>
      <c r="B2620" s="63">
        <v>290.0</v>
      </c>
      <c r="C2620" s="64" t="s">
        <v>570</v>
      </c>
      <c r="D2620" s="64" t="s">
        <v>571</v>
      </c>
      <c r="E2620" s="64" t="s">
        <v>572</v>
      </c>
      <c r="F2620" s="63">
        <v>9000.0</v>
      </c>
      <c r="G2620" s="63">
        <v>35.85</v>
      </c>
      <c r="H2620" s="66">
        <f t="shared" si="1"/>
        <v>450.5</v>
      </c>
      <c r="I2620" s="81">
        <f>IFERROR(__xludf.DUMMYFUNCTION("IF(G2620="""", """", ROUND(G2620 / MAX(FILTER($G$2:$G5067, $D$2:$D5067=$D2620)) * 100, 2))"),62.46)</f>
        <v>62.46</v>
      </c>
      <c r="J2620" s="81">
        <f>IFERROR(__xludf.DUMMYFUNCTION("IF(H2620="""", """", ROUND(H2620 / MAX(FILTER($H$2:$H5067, $D$2:$D5067=$D2620)) * 100, 2))"),90.43)</f>
        <v>90.43</v>
      </c>
      <c r="K2620" s="2"/>
      <c r="L2620" s="49"/>
      <c r="M2620" s="49"/>
      <c r="N2620" s="49"/>
      <c r="O2620" s="49" t="str">
        <f t="shared" si="2"/>
        <v/>
      </c>
      <c r="P2620" s="49" t="str">
        <f t="shared" si="3"/>
        <v/>
      </c>
      <c r="Q2620" s="84"/>
      <c r="R2620" s="84"/>
      <c r="S2620" s="84"/>
      <c r="T2620" s="84"/>
      <c r="U2620" s="84"/>
      <c r="V2620" s="84"/>
      <c r="W2620" s="84"/>
      <c r="X2620" s="84"/>
      <c r="Y2620" s="84"/>
      <c r="Z2620" s="84"/>
      <c r="AA2620" s="84"/>
      <c r="AB2620" s="84"/>
    </row>
    <row r="2621">
      <c r="A2621" s="69">
        <v>174.0</v>
      </c>
      <c r="B2621" s="69">
        <v>290.0</v>
      </c>
      <c r="C2621" s="86" t="s">
        <v>570</v>
      </c>
      <c r="D2621" s="86" t="s">
        <v>571</v>
      </c>
      <c r="E2621" s="86" t="s">
        <v>572</v>
      </c>
      <c r="F2621" s="69">
        <v>9500.0</v>
      </c>
      <c r="G2621" s="69">
        <v>29.76</v>
      </c>
      <c r="H2621" s="68">
        <f t="shared" si="1"/>
        <v>394.75</v>
      </c>
      <c r="I2621" s="81">
        <f>IFERROR(__xludf.DUMMYFUNCTION("IF(G2621="""", """", ROUND(G2621 / MAX(FILTER($G$2:$G5067, $D$2:$D5067=$D2621)) * 100, 2))"),51.85)</f>
        <v>51.85</v>
      </c>
      <c r="J2621" s="81">
        <f>IFERROR(__xludf.DUMMYFUNCTION("IF(H2621="""", """", ROUND(H2621 / MAX(FILTER($H$2:$H5067, $D$2:$D5067=$D2621)) * 100, 2))"),79.24)</f>
        <v>79.24</v>
      </c>
      <c r="K2621" s="2"/>
      <c r="L2621" s="48"/>
      <c r="M2621" s="48"/>
      <c r="N2621" s="48"/>
      <c r="O2621" s="48" t="str">
        <f t="shared" si="2"/>
        <v/>
      </c>
      <c r="P2621" s="48" t="str">
        <f t="shared" si="3"/>
        <v/>
      </c>
      <c r="Q2621" s="84"/>
      <c r="R2621" s="84"/>
      <c r="S2621" s="84"/>
      <c r="T2621" s="84"/>
      <c r="U2621" s="84"/>
      <c r="V2621" s="84"/>
      <c r="W2621" s="84"/>
      <c r="X2621" s="84"/>
      <c r="Y2621" s="84"/>
      <c r="Z2621" s="84"/>
      <c r="AA2621" s="84"/>
      <c r="AB2621" s="84"/>
    </row>
    <row r="2622">
      <c r="A2622" s="63">
        <v>175.0</v>
      </c>
      <c r="B2622" s="63">
        <v>291.0</v>
      </c>
      <c r="C2622" s="64" t="s">
        <v>573</v>
      </c>
      <c r="D2622" s="64" t="s">
        <v>574</v>
      </c>
      <c r="E2622" s="64" t="s">
        <v>575</v>
      </c>
      <c r="F2622" s="63">
        <v>500.0</v>
      </c>
      <c r="G2622" s="63">
        <v>21.0</v>
      </c>
      <c r="H2622" s="66">
        <f t="shared" si="1"/>
        <v>14.66</v>
      </c>
      <c r="I2622" s="81">
        <f>IFERROR(__xludf.DUMMYFUNCTION("IF(G2622="""", """", ROUND(G2622 / MAX(FILTER($G$2:$G5067, $D$2:$D5067=$D2622)) * 100, 2))"),29.75)</f>
        <v>29.75</v>
      </c>
      <c r="J2622" s="81">
        <f>IFERROR(__xludf.DUMMYFUNCTION("IF(H2622="""", """", ROUND(H2622 / MAX(FILTER($H$2:$H5067, $D$2:$D5067=$D2622)) * 100, 2))"),2.38)</f>
        <v>2.38</v>
      </c>
      <c r="K2622" s="2"/>
      <c r="L2622" s="49"/>
      <c r="M2622" s="49"/>
      <c r="N2622" s="49"/>
      <c r="O2622" s="49" t="str">
        <f t="shared" si="2"/>
        <v/>
      </c>
      <c r="P2622" s="49" t="str">
        <f t="shared" si="3"/>
        <v/>
      </c>
      <c r="Q2622" s="84"/>
      <c r="R2622" s="84"/>
      <c r="S2622" s="84"/>
      <c r="T2622" s="84"/>
      <c r="U2622" s="84"/>
      <c r="V2622" s="84"/>
      <c r="W2622" s="84"/>
      <c r="X2622" s="84"/>
      <c r="Y2622" s="84"/>
      <c r="Z2622" s="84"/>
      <c r="AA2622" s="84"/>
      <c r="AB2622" s="84"/>
    </row>
    <row r="2623">
      <c r="A2623" s="69">
        <v>175.0</v>
      </c>
      <c r="B2623" s="69">
        <v>291.0</v>
      </c>
      <c r="C2623" s="86" t="s">
        <v>573</v>
      </c>
      <c r="D2623" s="86" t="s">
        <v>574</v>
      </c>
      <c r="E2623" s="86" t="s">
        <v>575</v>
      </c>
      <c r="F2623" s="69">
        <v>1000.0</v>
      </c>
      <c r="G2623" s="69">
        <v>24.0</v>
      </c>
      <c r="H2623" s="68">
        <f t="shared" si="1"/>
        <v>33.51</v>
      </c>
      <c r="I2623" s="81">
        <f>IFERROR(__xludf.DUMMYFUNCTION("IF(G2623="""", """", ROUND(G2623 / MAX(FILTER($G$2:$G5067, $D$2:$D5067=$D2623)) * 100, 2))"),33.99)</f>
        <v>33.99</v>
      </c>
      <c r="J2623" s="81">
        <f>IFERROR(__xludf.DUMMYFUNCTION("IF(H2623="""", """", ROUND(H2623 / MAX(FILTER($H$2:$H5067, $D$2:$D5067=$D2623)) * 100, 2))"),5.45)</f>
        <v>5.45</v>
      </c>
      <c r="K2623" s="2"/>
      <c r="L2623" s="48"/>
      <c r="M2623" s="48"/>
      <c r="N2623" s="48"/>
      <c r="O2623" s="48" t="str">
        <f t="shared" si="2"/>
        <v/>
      </c>
      <c r="P2623" s="48" t="str">
        <f t="shared" si="3"/>
        <v/>
      </c>
      <c r="Q2623" s="84"/>
      <c r="R2623" s="84"/>
      <c r="S2623" s="84"/>
      <c r="T2623" s="84"/>
      <c r="U2623" s="84"/>
      <c r="V2623" s="84"/>
      <c r="W2623" s="84"/>
      <c r="X2623" s="84"/>
      <c r="Y2623" s="84"/>
      <c r="Z2623" s="84"/>
      <c r="AA2623" s="84"/>
      <c r="AB2623" s="84"/>
    </row>
    <row r="2624">
      <c r="A2624" s="63">
        <v>175.0</v>
      </c>
      <c r="B2624" s="63">
        <v>291.0</v>
      </c>
      <c r="C2624" s="64" t="s">
        <v>573</v>
      </c>
      <c r="D2624" s="64" t="s">
        <v>574</v>
      </c>
      <c r="E2624" s="64" t="s">
        <v>575</v>
      </c>
      <c r="F2624" s="63">
        <v>1500.0</v>
      </c>
      <c r="G2624" s="63">
        <v>30.0</v>
      </c>
      <c r="H2624" s="66">
        <f t="shared" si="1"/>
        <v>62.83</v>
      </c>
      <c r="I2624" s="81">
        <f>IFERROR(__xludf.DUMMYFUNCTION("IF(G2624="""", """", ROUND(G2624 / MAX(FILTER($G$2:$G5067, $D$2:$D5067=$D2624)) * 100, 2))"),42.49)</f>
        <v>42.49</v>
      </c>
      <c r="J2624" s="81">
        <f>IFERROR(__xludf.DUMMYFUNCTION("IF(H2624="""", """", ROUND(H2624 / MAX(FILTER($H$2:$H5067, $D$2:$D5067=$D2624)) * 100, 2))"),10.21)</f>
        <v>10.21</v>
      </c>
      <c r="K2624" s="2"/>
      <c r="L2624" s="49"/>
      <c r="M2624" s="49"/>
      <c r="N2624" s="49"/>
      <c r="O2624" s="49" t="str">
        <f t="shared" si="2"/>
        <v/>
      </c>
      <c r="P2624" s="49" t="str">
        <f t="shared" si="3"/>
        <v/>
      </c>
      <c r="Q2624" s="84"/>
      <c r="R2624" s="84"/>
      <c r="S2624" s="84"/>
      <c r="T2624" s="84"/>
      <c r="U2624" s="84"/>
      <c r="V2624" s="84"/>
      <c r="W2624" s="84"/>
      <c r="X2624" s="84"/>
      <c r="Y2624" s="84"/>
      <c r="Z2624" s="84"/>
      <c r="AA2624" s="84"/>
      <c r="AB2624" s="84"/>
    </row>
    <row r="2625">
      <c r="A2625" s="69">
        <v>175.0</v>
      </c>
      <c r="B2625" s="69">
        <v>291.0</v>
      </c>
      <c r="C2625" s="86" t="s">
        <v>573</v>
      </c>
      <c r="D2625" s="86" t="s">
        <v>574</v>
      </c>
      <c r="E2625" s="86" t="s">
        <v>575</v>
      </c>
      <c r="F2625" s="69">
        <v>2000.0</v>
      </c>
      <c r="G2625" s="69">
        <v>37.2</v>
      </c>
      <c r="H2625" s="68">
        <f t="shared" si="1"/>
        <v>103.88</v>
      </c>
      <c r="I2625" s="81">
        <f>IFERROR(__xludf.DUMMYFUNCTION("IF(G2625="""", """", ROUND(G2625 / MAX(FILTER($G$2:$G5067, $D$2:$D5067=$D2625)) * 100, 2))"),52.69)</f>
        <v>52.69</v>
      </c>
      <c r="J2625" s="81">
        <f>IFERROR(__xludf.DUMMYFUNCTION("IF(H2625="""", """", ROUND(H2625 / MAX(FILTER($H$2:$H5067, $D$2:$D5067=$D2625)) * 100, 2))"),16.88)</f>
        <v>16.88</v>
      </c>
      <c r="K2625" s="2"/>
      <c r="L2625" s="48"/>
      <c r="M2625" s="48"/>
      <c r="N2625" s="48"/>
      <c r="O2625" s="48" t="str">
        <f t="shared" si="2"/>
        <v/>
      </c>
      <c r="P2625" s="48" t="str">
        <f t="shared" si="3"/>
        <v/>
      </c>
      <c r="Q2625" s="84"/>
      <c r="R2625" s="84"/>
      <c r="S2625" s="84"/>
      <c r="T2625" s="84"/>
      <c r="U2625" s="84"/>
      <c r="V2625" s="84"/>
      <c r="W2625" s="84"/>
      <c r="X2625" s="84"/>
      <c r="Y2625" s="84"/>
      <c r="Z2625" s="84"/>
      <c r="AA2625" s="84"/>
      <c r="AB2625" s="84"/>
    </row>
    <row r="2626">
      <c r="A2626" s="63">
        <v>175.0</v>
      </c>
      <c r="B2626" s="63">
        <v>291.0</v>
      </c>
      <c r="C2626" s="64" t="s">
        <v>573</v>
      </c>
      <c r="D2626" s="64" t="s">
        <v>574</v>
      </c>
      <c r="E2626" s="64" t="s">
        <v>575</v>
      </c>
      <c r="F2626" s="63">
        <v>2500.0</v>
      </c>
      <c r="G2626" s="63">
        <v>49.2</v>
      </c>
      <c r="H2626" s="66">
        <f t="shared" si="1"/>
        <v>171.74</v>
      </c>
      <c r="I2626" s="81">
        <f>IFERROR(__xludf.DUMMYFUNCTION("IF(G2626="""", """", ROUND(G2626 / MAX(FILTER($G$2:$G5067, $D$2:$D5067=$D2626)) * 100, 2))"),69.69)</f>
        <v>69.69</v>
      </c>
      <c r="J2626" s="81">
        <f>IFERROR(__xludf.DUMMYFUNCTION("IF(H2626="""", """", ROUND(H2626 / MAX(FILTER($H$2:$H5067, $D$2:$D5067=$D2626)) * 100, 2))"),27.91)</f>
        <v>27.91</v>
      </c>
      <c r="K2626" s="2"/>
      <c r="L2626" s="49"/>
      <c r="M2626" s="49"/>
      <c r="N2626" s="49"/>
      <c r="O2626" s="49" t="str">
        <f t="shared" si="2"/>
        <v/>
      </c>
      <c r="P2626" s="49" t="str">
        <f t="shared" si="3"/>
        <v/>
      </c>
      <c r="Q2626" s="84"/>
      <c r="R2626" s="84"/>
      <c r="S2626" s="84"/>
      <c r="T2626" s="84"/>
      <c r="U2626" s="84"/>
      <c r="V2626" s="84"/>
      <c r="W2626" s="84"/>
      <c r="X2626" s="84"/>
      <c r="Y2626" s="84"/>
      <c r="Z2626" s="84"/>
      <c r="AA2626" s="84"/>
      <c r="AB2626" s="84"/>
    </row>
    <row r="2627">
      <c r="A2627" s="69">
        <v>175.0</v>
      </c>
      <c r="B2627" s="69">
        <v>291.0</v>
      </c>
      <c r="C2627" s="86" t="s">
        <v>573</v>
      </c>
      <c r="D2627" s="86" t="s">
        <v>574</v>
      </c>
      <c r="E2627" s="86" t="s">
        <v>575</v>
      </c>
      <c r="F2627" s="69">
        <v>3000.0</v>
      </c>
      <c r="G2627" s="69">
        <v>60.6</v>
      </c>
      <c r="H2627" s="68">
        <f t="shared" si="1"/>
        <v>253.84</v>
      </c>
      <c r="I2627" s="81">
        <f>IFERROR(__xludf.DUMMYFUNCTION("IF(G2627="""", """", ROUND(G2627 / MAX(FILTER($G$2:$G5067, $D$2:$D5067=$D2627)) * 100, 2))"),85.84)</f>
        <v>85.84</v>
      </c>
      <c r="J2627" s="81">
        <f>IFERROR(__xludf.DUMMYFUNCTION("IF(H2627="""", """", ROUND(H2627 / MAX(FILTER($H$2:$H5067, $D$2:$D5067=$D2627)) * 100, 2))"),41.25)</f>
        <v>41.25</v>
      </c>
      <c r="K2627" s="2"/>
      <c r="L2627" s="48"/>
      <c r="M2627" s="48"/>
      <c r="N2627" s="48"/>
      <c r="O2627" s="48" t="str">
        <f t="shared" si="2"/>
        <v/>
      </c>
      <c r="P2627" s="48" t="str">
        <f t="shared" si="3"/>
        <v/>
      </c>
      <c r="Q2627" s="84"/>
      <c r="R2627" s="84"/>
      <c r="S2627" s="84"/>
      <c r="T2627" s="84"/>
      <c r="U2627" s="84"/>
      <c r="V2627" s="84"/>
      <c r="W2627" s="84"/>
      <c r="X2627" s="84"/>
      <c r="Y2627" s="84"/>
      <c r="Z2627" s="84"/>
      <c r="AA2627" s="84"/>
      <c r="AB2627" s="84"/>
    </row>
    <row r="2628">
      <c r="A2628" s="63">
        <v>175.0</v>
      </c>
      <c r="B2628" s="63">
        <v>291.0</v>
      </c>
      <c r="C2628" s="64" t="s">
        <v>573</v>
      </c>
      <c r="D2628" s="64" t="s">
        <v>574</v>
      </c>
      <c r="E2628" s="64" t="s">
        <v>575</v>
      </c>
      <c r="F2628" s="63">
        <v>3500.0</v>
      </c>
      <c r="G2628" s="63">
        <v>63.8</v>
      </c>
      <c r="H2628" s="66">
        <f t="shared" si="1"/>
        <v>311.78</v>
      </c>
      <c r="I2628" s="81">
        <f>IFERROR(__xludf.DUMMYFUNCTION("IF(G2628="""", """", ROUND(G2628 / MAX(FILTER($G$2:$G5067, $D$2:$D5067=$D2628)) * 100, 2))"),90.37)</f>
        <v>90.37</v>
      </c>
      <c r="J2628" s="81">
        <f>IFERROR(__xludf.DUMMYFUNCTION("IF(H2628="""", """", ROUND(H2628 / MAX(FILTER($H$2:$H5067, $D$2:$D5067=$D2628)) * 100, 2))"),50.67)</f>
        <v>50.67</v>
      </c>
      <c r="K2628" s="2"/>
      <c r="L2628" s="49"/>
      <c r="M2628" s="49"/>
      <c r="N2628" s="49"/>
      <c r="O2628" s="49" t="str">
        <f t="shared" si="2"/>
        <v/>
      </c>
      <c r="P2628" s="49" t="str">
        <f t="shared" si="3"/>
        <v/>
      </c>
      <c r="Q2628" s="84"/>
      <c r="R2628" s="84"/>
      <c r="S2628" s="84"/>
      <c r="T2628" s="84"/>
      <c r="U2628" s="84"/>
      <c r="V2628" s="84"/>
      <c r="W2628" s="84"/>
      <c r="X2628" s="84"/>
      <c r="Y2628" s="84"/>
      <c r="Z2628" s="84"/>
      <c r="AA2628" s="84"/>
      <c r="AB2628" s="84"/>
    </row>
    <row r="2629">
      <c r="A2629" s="69">
        <v>175.0</v>
      </c>
      <c r="B2629" s="69">
        <v>291.0</v>
      </c>
      <c r="C2629" s="86" t="s">
        <v>573</v>
      </c>
      <c r="D2629" s="86" t="s">
        <v>574</v>
      </c>
      <c r="E2629" s="86" t="s">
        <v>575</v>
      </c>
      <c r="F2629" s="69">
        <v>4000.0</v>
      </c>
      <c r="G2629" s="69">
        <v>66.4</v>
      </c>
      <c r="H2629" s="68">
        <f t="shared" si="1"/>
        <v>370.85</v>
      </c>
      <c r="I2629" s="81">
        <f>IFERROR(__xludf.DUMMYFUNCTION("IF(G2629="""", """", ROUND(G2629 / MAX(FILTER($G$2:$G5067, $D$2:$D5067=$D2629)) * 100, 2))"),94.05)</f>
        <v>94.05</v>
      </c>
      <c r="J2629" s="81">
        <f>IFERROR(__xludf.DUMMYFUNCTION("IF(H2629="""", """", ROUND(H2629 / MAX(FILTER($H$2:$H5067, $D$2:$D5067=$D2629)) * 100, 2))"),60.27)</f>
        <v>60.27</v>
      </c>
      <c r="K2629" s="2"/>
      <c r="L2629" s="48"/>
      <c r="M2629" s="48"/>
      <c r="N2629" s="48"/>
      <c r="O2629" s="48" t="str">
        <f t="shared" si="2"/>
        <v/>
      </c>
      <c r="P2629" s="48" t="str">
        <f t="shared" si="3"/>
        <v/>
      </c>
      <c r="Q2629" s="84"/>
      <c r="R2629" s="84"/>
      <c r="S2629" s="84"/>
      <c r="T2629" s="84"/>
      <c r="U2629" s="84"/>
      <c r="V2629" s="84"/>
      <c r="W2629" s="84"/>
      <c r="X2629" s="84"/>
      <c r="Y2629" s="84"/>
      <c r="Z2629" s="84"/>
      <c r="AA2629" s="84"/>
      <c r="AB2629" s="84"/>
    </row>
    <row r="2630">
      <c r="A2630" s="63">
        <v>175.0</v>
      </c>
      <c r="B2630" s="63">
        <v>291.0</v>
      </c>
      <c r="C2630" s="64" t="s">
        <v>573</v>
      </c>
      <c r="D2630" s="64" t="s">
        <v>574</v>
      </c>
      <c r="E2630" s="64" t="s">
        <v>575</v>
      </c>
      <c r="F2630" s="63">
        <v>4500.0</v>
      </c>
      <c r="G2630" s="63">
        <v>68.2</v>
      </c>
      <c r="H2630" s="66">
        <f t="shared" si="1"/>
        <v>428.51</v>
      </c>
      <c r="I2630" s="81">
        <f>IFERROR(__xludf.DUMMYFUNCTION("IF(G2630="""", """", ROUND(G2630 / MAX(FILTER($G$2:$G5067, $D$2:$D5067=$D2630)) * 100, 2))"),96.6)</f>
        <v>96.6</v>
      </c>
      <c r="J2630" s="81">
        <f>IFERROR(__xludf.DUMMYFUNCTION("IF(H2630="""", """", ROUND(H2630 / MAX(FILTER($H$2:$H5067, $D$2:$D5067=$D2630)) * 100, 2))"),69.64)</f>
        <v>69.64</v>
      </c>
      <c r="K2630" s="2"/>
      <c r="L2630" s="49"/>
      <c r="M2630" s="49"/>
      <c r="N2630" s="49"/>
      <c r="O2630" s="49" t="str">
        <f t="shared" si="2"/>
        <v/>
      </c>
      <c r="P2630" s="49" t="str">
        <f t="shared" si="3"/>
        <v/>
      </c>
      <c r="Q2630" s="84"/>
      <c r="R2630" s="84"/>
      <c r="S2630" s="84"/>
      <c r="T2630" s="84"/>
      <c r="U2630" s="84"/>
      <c r="V2630" s="84"/>
      <c r="W2630" s="84"/>
      <c r="X2630" s="84"/>
      <c r="Y2630" s="84"/>
      <c r="Z2630" s="84"/>
      <c r="AA2630" s="84"/>
      <c r="AB2630" s="84"/>
    </row>
    <row r="2631">
      <c r="A2631" s="69">
        <v>175.0</v>
      </c>
      <c r="B2631" s="69">
        <v>291.0</v>
      </c>
      <c r="C2631" s="86" t="s">
        <v>573</v>
      </c>
      <c r="D2631" s="86" t="s">
        <v>574</v>
      </c>
      <c r="E2631" s="86" t="s">
        <v>575</v>
      </c>
      <c r="F2631" s="69">
        <v>5000.0</v>
      </c>
      <c r="G2631" s="69">
        <v>70.0</v>
      </c>
      <c r="H2631" s="68">
        <f t="shared" si="1"/>
        <v>488.69</v>
      </c>
      <c r="I2631" s="81">
        <f>IFERROR(__xludf.DUMMYFUNCTION("IF(G2631="""", """", ROUND(G2631 / MAX(FILTER($G$2:$G5067, $D$2:$D5067=$D2631)) * 100, 2))"),99.15)</f>
        <v>99.15</v>
      </c>
      <c r="J2631" s="81">
        <f>IFERROR(__xludf.DUMMYFUNCTION("IF(H2631="""", """", ROUND(H2631 / MAX(FILTER($H$2:$H5067, $D$2:$D5067=$D2631)) * 100, 2))"),79.42)</f>
        <v>79.42</v>
      </c>
      <c r="K2631" s="2"/>
      <c r="L2631" s="48"/>
      <c r="M2631" s="48"/>
      <c r="N2631" s="48"/>
      <c r="O2631" s="48" t="str">
        <f t="shared" si="2"/>
        <v/>
      </c>
      <c r="P2631" s="48" t="str">
        <f t="shared" si="3"/>
        <v/>
      </c>
      <c r="Q2631" s="84"/>
      <c r="R2631" s="84"/>
      <c r="S2631" s="84"/>
      <c r="T2631" s="84"/>
      <c r="U2631" s="84"/>
      <c r="V2631" s="84"/>
      <c r="W2631" s="84"/>
      <c r="X2631" s="84"/>
      <c r="Y2631" s="84"/>
      <c r="Z2631" s="84"/>
      <c r="AA2631" s="84"/>
      <c r="AB2631" s="84"/>
    </row>
    <row r="2632">
      <c r="A2632" s="63">
        <v>175.0</v>
      </c>
      <c r="B2632" s="63">
        <v>291.0</v>
      </c>
      <c r="C2632" s="64" t="s">
        <v>573</v>
      </c>
      <c r="D2632" s="64" t="s">
        <v>574</v>
      </c>
      <c r="E2632" s="64" t="s">
        <v>575</v>
      </c>
      <c r="F2632" s="63">
        <v>5500.0</v>
      </c>
      <c r="G2632" s="63">
        <v>70.6</v>
      </c>
      <c r="H2632" s="66">
        <f t="shared" si="1"/>
        <v>542.17</v>
      </c>
      <c r="I2632" s="81">
        <f>IFERROR(__xludf.DUMMYFUNCTION("IF(G2632="""", """", ROUND(G2632 / MAX(FILTER($G$2:$G5067, $D$2:$D5067=$D2632)) * 100, 2))"),100.0)</f>
        <v>100</v>
      </c>
      <c r="J2632" s="81">
        <f>IFERROR(__xludf.DUMMYFUNCTION("IF(H2632="""", """", ROUND(H2632 / MAX(FILTER($H$2:$H5067, $D$2:$D5067=$D2632)) * 100, 2))"),88.11)</f>
        <v>88.11</v>
      </c>
      <c r="K2632" s="2"/>
      <c r="L2632" s="49"/>
      <c r="M2632" s="49"/>
      <c r="N2632" s="49"/>
      <c r="O2632" s="49" t="str">
        <f t="shared" si="2"/>
        <v/>
      </c>
      <c r="P2632" s="49" t="str">
        <f t="shared" si="3"/>
        <v/>
      </c>
      <c r="Q2632" s="84"/>
      <c r="R2632" s="84"/>
      <c r="S2632" s="84"/>
      <c r="T2632" s="84"/>
      <c r="U2632" s="84"/>
      <c r="V2632" s="84"/>
      <c r="W2632" s="84"/>
      <c r="X2632" s="84"/>
      <c r="Y2632" s="84"/>
      <c r="Z2632" s="84"/>
      <c r="AA2632" s="84"/>
      <c r="AB2632" s="84"/>
    </row>
    <row r="2633">
      <c r="A2633" s="69">
        <v>175.0</v>
      </c>
      <c r="B2633" s="69">
        <v>291.0</v>
      </c>
      <c r="C2633" s="86" t="s">
        <v>573</v>
      </c>
      <c r="D2633" s="86" t="s">
        <v>574</v>
      </c>
      <c r="E2633" s="86" t="s">
        <v>575</v>
      </c>
      <c r="F2633" s="69">
        <v>6000.0</v>
      </c>
      <c r="G2633" s="69">
        <v>69.8</v>
      </c>
      <c r="H2633" s="68">
        <f t="shared" si="1"/>
        <v>584.75</v>
      </c>
      <c r="I2633" s="81">
        <f>IFERROR(__xludf.DUMMYFUNCTION("IF(G2633="""", """", ROUND(G2633 / MAX(FILTER($G$2:$G5067, $D$2:$D5067=$D2633)) * 100, 2))"),98.87)</f>
        <v>98.87</v>
      </c>
      <c r="J2633" s="81">
        <f>IFERROR(__xludf.DUMMYFUNCTION("IF(H2633="""", """", ROUND(H2633 / MAX(FILTER($H$2:$H5067, $D$2:$D5067=$D2633)) * 100, 2))"),95.03)</f>
        <v>95.03</v>
      </c>
      <c r="K2633" s="2"/>
      <c r="L2633" s="48"/>
      <c r="M2633" s="48"/>
      <c r="N2633" s="48"/>
      <c r="O2633" s="48" t="str">
        <f t="shared" si="2"/>
        <v/>
      </c>
      <c r="P2633" s="48" t="str">
        <f t="shared" si="3"/>
        <v/>
      </c>
      <c r="Q2633" s="84"/>
      <c r="R2633" s="84"/>
      <c r="S2633" s="84"/>
      <c r="T2633" s="84"/>
      <c r="U2633" s="84"/>
      <c r="V2633" s="84"/>
      <c r="W2633" s="84"/>
      <c r="X2633" s="84"/>
      <c r="Y2633" s="84"/>
      <c r="Z2633" s="84"/>
      <c r="AA2633" s="84"/>
      <c r="AB2633" s="84"/>
    </row>
    <row r="2634">
      <c r="A2634" s="63">
        <v>175.0</v>
      </c>
      <c r="B2634" s="63">
        <v>291.0</v>
      </c>
      <c r="C2634" s="64" t="s">
        <v>573</v>
      </c>
      <c r="D2634" s="64" t="s">
        <v>574</v>
      </c>
      <c r="E2634" s="64" t="s">
        <v>575</v>
      </c>
      <c r="F2634" s="63">
        <v>6500.0</v>
      </c>
      <c r="G2634" s="63">
        <v>67.8</v>
      </c>
      <c r="H2634" s="66">
        <f t="shared" si="1"/>
        <v>615.33</v>
      </c>
      <c r="I2634" s="81">
        <f>IFERROR(__xludf.DUMMYFUNCTION("IF(G2634="""", """", ROUND(G2634 / MAX(FILTER($G$2:$G5067, $D$2:$D5067=$D2634)) * 100, 2))"),96.03)</f>
        <v>96.03</v>
      </c>
      <c r="J2634" s="81">
        <f>IFERROR(__xludf.DUMMYFUNCTION("IF(H2634="""", """", ROUND(H2634 / MAX(FILTER($H$2:$H5067, $D$2:$D5067=$D2634)) * 100, 2))"),100.0)</f>
        <v>100</v>
      </c>
      <c r="K2634" s="2"/>
      <c r="L2634" s="49"/>
      <c r="M2634" s="49"/>
      <c r="N2634" s="49"/>
      <c r="O2634" s="49" t="str">
        <f t="shared" si="2"/>
        <v/>
      </c>
      <c r="P2634" s="49" t="str">
        <f t="shared" si="3"/>
        <v/>
      </c>
      <c r="Q2634" s="84"/>
      <c r="R2634" s="84"/>
      <c r="S2634" s="84"/>
      <c r="T2634" s="84"/>
      <c r="U2634" s="84"/>
      <c r="V2634" s="84"/>
      <c r="W2634" s="84"/>
      <c r="X2634" s="84"/>
      <c r="Y2634" s="84"/>
      <c r="Z2634" s="84"/>
      <c r="AA2634" s="84"/>
      <c r="AB2634" s="84"/>
    </row>
    <row r="2635">
      <c r="A2635" s="69">
        <v>175.0</v>
      </c>
      <c r="B2635" s="69">
        <v>291.0</v>
      </c>
      <c r="C2635" s="86" t="s">
        <v>573</v>
      </c>
      <c r="D2635" s="86" t="s">
        <v>574</v>
      </c>
      <c r="E2635" s="86" t="s">
        <v>575</v>
      </c>
      <c r="F2635" s="69">
        <v>7000.0</v>
      </c>
      <c r="G2635" s="69">
        <v>62.6</v>
      </c>
      <c r="H2635" s="68">
        <f t="shared" si="1"/>
        <v>611.84</v>
      </c>
      <c r="I2635" s="81">
        <f>IFERROR(__xludf.DUMMYFUNCTION("IF(G2635="""", """", ROUND(G2635 / MAX(FILTER($G$2:$G5067, $D$2:$D5067=$D2635)) * 100, 2))"),88.67)</f>
        <v>88.67</v>
      </c>
      <c r="J2635" s="81">
        <f>IFERROR(__xludf.DUMMYFUNCTION("IF(H2635="""", """", ROUND(H2635 / MAX(FILTER($H$2:$H5067, $D$2:$D5067=$D2635)) * 100, 2))"),99.43)</f>
        <v>99.43</v>
      </c>
      <c r="K2635" s="2"/>
      <c r="L2635" s="48"/>
      <c r="M2635" s="48"/>
      <c r="N2635" s="48"/>
      <c r="O2635" s="48" t="str">
        <f t="shared" si="2"/>
        <v/>
      </c>
      <c r="P2635" s="48" t="str">
        <f t="shared" si="3"/>
        <v/>
      </c>
      <c r="Q2635" s="84"/>
      <c r="R2635" s="84"/>
      <c r="S2635" s="84"/>
      <c r="T2635" s="84"/>
      <c r="U2635" s="84"/>
      <c r="V2635" s="84"/>
      <c r="W2635" s="84"/>
      <c r="X2635" s="84"/>
      <c r="Y2635" s="84"/>
      <c r="Z2635" s="84"/>
      <c r="AA2635" s="84"/>
      <c r="AB2635" s="84"/>
    </row>
    <row r="2636">
      <c r="A2636" s="63">
        <v>175.0</v>
      </c>
      <c r="B2636" s="63">
        <v>291.0</v>
      </c>
      <c r="C2636" s="64" t="s">
        <v>573</v>
      </c>
      <c r="D2636" s="64" t="s">
        <v>574</v>
      </c>
      <c r="E2636" s="64" t="s">
        <v>575</v>
      </c>
      <c r="F2636" s="63">
        <v>7200.0</v>
      </c>
      <c r="G2636" s="63">
        <v>58.6</v>
      </c>
      <c r="H2636" s="66">
        <f t="shared" si="1"/>
        <v>589.11</v>
      </c>
      <c r="I2636" s="81">
        <f>IFERROR(__xludf.DUMMYFUNCTION("IF(G2636="""", """", ROUND(G2636 / MAX(FILTER($G$2:$G5067, $D$2:$D5067=$D2636)) * 100, 2))"),83.0)</f>
        <v>83</v>
      </c>
      <c r="J2636" s="81">
        <f>IFERROR(__xludf.DUMMYFUNCTION("IF(H2636="""", """", ROUND(H2636 / MAX(FILTER($H$2:$H5067, $D$2:$D5067=$D2636)) * 100, 2))"),95.74)</f>
        <v>95.74</v>
      </c>
      <c r="K2636" s="2"/>
      <c r="L2636" s="49"/>
      <c r="M2636" s="49"/>
      <c r="N2636" s="49"/>
      <c r="O2636" s="49" t="str">
        <f t="shared" si="2"/>
        <v/>
      </c>
      <c r="P2636" s="49" t="str">
        <f t="shared" si="3"/>
        <v/>
      </c>
      <c r="Q2636" s="84"/>
      <c r="R2636" s="84"/>
      <c r="S2636" s="84"/>
      <c r="T2636" s="84"/>
      <c r="U2636" s="84"/>
      <c r="V2636" s="84"/>
      <c r="W2636" s="84"/>
      <c r="X2636" s="84"/>
      <c r="Y2636" s="84"/>
      <c r="Z2636" s="84"/>
      <c r="AA2636" s="84"/>
      <c r="AB2636" s="84"/>
    </row>
    <row r="2637">
      <c r="A2637" s="69">
        <v>175.0</v>
      </c>
      <c r="B2637" s="69">
        <v>291.0</v>
      </c>
      <c r="C2637" s="86" t="s">
        <v>573</v>
      </c>
      <c r="D2637" s="86" t="s">
        <v>574</v>
      </c>
      <c r="E2637" s="86" t="s">
        <v>575</v>
      </c>
      <c r="F2637" s="69">
        <v>7800.0</v>
      </c>
      <c r="G2637" s="69">
        <v>47.0</v>
      </c>
      <c r="H2637" s="68">
        <f t="shared" si="1"/>
        <v>511.87</v>
      </c>
      <c r="I2637" s="81">
        <f>IFERROR(__xludf.DUMMYFUNCTION("IF(G2637="""", """", ROUND(G2637 / MAX(FILTER($G$2:$G5067, $D$2:$D5067=$D2637)) * 100, 2))"),66.57)</f>
        <v>66.57</v>
      </c>
      <c r="J2637" s="81">
        <f>IFERROR(__xludf.DUMMYFUNCTION("IF(H2637="""", """", ROUND(H2637 / MAX(FILTER($H$2:$H5067, $D$2:$D5067=$D2637)) * 100, 2))"),83.19)</f>
        <v>83.19</v>
      </c>
      <c r="K2637" s="2"/>
      <c r="L2637" s="48"/>
      <c r="M2637" s="48"/>
      <c r="N2637" s="48"/>
      <c r="O2637" s="48" t="str">
        <f t="shared" si="2"/>
        <v/>
      </c>
      <c r="P2637" s="48" t="str">
        <f t="shared" si="3"/>
        <v/>
      </c>
      <c r="Q2637" s="84"/>
      <c r="R2637" s="84"/>
      <c r="S2637" s="84"/>
      <c r="T2637" s="84"/>
      <c r="U2637" s="84"/>
      <c r="V2637" s="84"/>
      <c r="W2637" s="84"/>
      <c r="X2637" s="84"/>
      <c r="Y2637" s="84"/>
      <c r="Z2637" s="84"/>
      <c r="AA2637" s="84"/>
      <c r="AB2637" s="84"/>
    </row>
    <row r="2638">
      <c r="A2638" s="63">
        <v>175.0</v>
      </c>
      <c r="B2638" s="63">
        <v>291.0</v>
      </c>
      <c r="C2638" s="64" t="s">
        <v>573</v>
      </c>
      <c r="D2638" s="64" t="s">
        <v>574</v>
      </c>
      <c r="E2638" s="64" t="s">
        <v>575</v>
      </c>
      <c r="F2638" s="63">
        <v>8500.0</v>
      </c>
      <c r="G2638" s="63">
        <v>31.6</v>
      </c>
      <c r="H2638" s="66">
        <f t="shared" si="1"/>
        <v>375.03</v>
      </c>
      <c r="I2638" s="81">
        <f>IFERROR(__xludf.DUMMYFUNCTION("IF(G2638="""", """", ROUND(G2638 / MAX(FILTER($G$2:$G5067, $D$2:$D5067=$D2638)) * 100, 2))"),44.76)</f>
        <v>44.76</v>
      </c>
      <c r="J2638" s="81">
        <f>IFERROR(__xludf.DUMMYFUNCTION("IF(H2638="""", """", ROUND(H2638 / MAX(FILTER($H$2:$H5067, $D$2:$D5067=$D2638)) * 100, 2))"),60.95)</f>
        <v>60.95</v>
      </c>
      <c r="K2638" s="2"/>
      <c r="L2638" s="49"/>
      <c r="M2638" s="49"/>
      <c r="N2638" s="49"/>
      <c r="O2638" s="49" t="str">
        <f t="shared" si="2"/>
        <v/>
      </c>
      <c r="P2638" s="49" t="str">
        <f t="shared" si="3"/>
        <v/>
      </c>
      <c r="Q2638" s="84"/>
      <c r="R2638" s="84"/>
      <c r="S2638" s="84"/>
      <c r="T2638" s="84"/>
      <c r="U2638" s="84"/>
      <c r="V2638" s="84"/>
      <c r="W2638" s="84"/>
      <c r="X2638" s="84"/>
      <c r="Y2638" s="84"/>
      <c r="Z2638" s="84"/>
      <c r="AA2638" s="84"/>
      <c r="AB2638" s="84"/>
    </row>
    <row r="2639">
      <c r="A2639" s="69">
        <v>176.0</v>
      </c>
      <c r="B2639" s="69">
        <v>292.0</v>
      </c>
      <c r="C2639" s="86" t="s">
        <v>576</v>
      </c>
      <c r="D2639" s="86" t="s">
        <v>577</v>
      </c>
      <c r="E2639" s="86" t="s">
        <v>578</v>
      </c>
      <c r="F2639" s="69">
        <v>500.0</v>
      </c>
      <c r="G2639" s="69">
        <v>27.75</v>
      </c>
      <c r="H2639" s="68">
        <f t="shared" si="1"/>
        <v>19.37</v>
      </c>
      <c r="I2639" s="81">
        <f>IFERROR(__xludf.DUMMYFUNCTION("IF(G2639="""", """", ROUND(G2639 / MAX(FILTER($G$2:$G5067, $D$2:$D5067=$D2639)) * 100, 2))"),63.41)</f>
        <v>63.41</v>
      </c>
      <c r="J2639" s="81">
        <f>IFERROR(__xludf.DUMMYFUNCTION("IF(H2639="""", """", ROUND(H2639 / MAX(FILTER($H$2:$H5067, $D$2:$D5067=$D2639)) * 100, 2))"),5.96)</f>
        <v>5.96</v>
      </c>
      <c r="K2639" s="2"/>
      <c r="L2639" s="48"/>
      <c r="M2639" s="48"/>
      <c r="N2639" s="48"/>
      <c r="O2639" s="48" t="str">
        <f t="shared" si="2"/>
        <v/>
      </c>
      <c r="P2639" s="48" t="str">
        <f t="shared" si="3"/>
        <v/>
      </c>
      <c r="Q2639" s="84"/>
      <c r="R2639" s="84"/>
      <c r="S2639" s="84"/>
      <c r="T2639" s="84"/>
      <c r="U2639" s="84"/>
      <c r="V2639" s="84"/>
      <c r="W2639" s="84"/>
      <c r="X2639" s="84"/>
      <c r="Y2639" s="84"/>
      <c r="Z2639" s="84"/>
      <c r="AA2639" s="84"/>
      <c r="AB2639" s="84"/>
    </row>
    <row r="2640">
      <c r="A2640" s="63">
        <v>176.0</v>
      </c>
      <c r="B2640" s="63">
        <v>292.0</v>
      </c>
      <c r="C2640" s="64" t="s">
        <v>576</v>
      </c>
      <c r="D2640" s="64" t="s">
        <v>577</v>
      </c>
      <c r="E2640" s="64" t="s">
        <v>578</v>
      </c>
      <c r="F2640" s="63">
        <v>1000.0</v>
      </c>
      <c r="G2640" s="63">
        <v>32.88</v>
      </c>
      <c r="H2640" s="66">
        <f t="shared" si="1"/>
        <v>45.91</v>
      </c>
      <c r="I2640" s="81">
        <f>IFERROR(__xludf.DUMMYFUNCTION("IF(G2640="""", """", ROUND(G2640 / MAX(FILTER($G$2:$G5067, $D$2:$D5067=$D2640)) * 100, 2))"),75.14)</f>
        <v>75.14</v>
      </c>
      <c r="J2640" s="81">
        <f>IFERROR(__xludf.DUMMYFUNCTION("IF(H2640="""", """", ROUND(H2640 / MAX(FILTER($H$2:$H5067, $D$2:$D5067=$D2640)) * 100, 2))"),14.13)</f>
        <v>14.13</v>
      </c>
      <c r="K2640" s="2"/>
      <c r="L2640" s="49"/>
      <c r="M2640" s="49"/>
      <c r="N2640" s="49"/>
      <c r="O2640" s="49" t="str">
        <f t="shared" si="2"/>
        <v/>
      </c>
      <c r="P2640" s="49" t="str">
        <f t="shared" si="3"/>
        <v/>
      </c>
      <c r="Q2640" s="84"/>
      <c r="R2640" s="84"/>
      <c r="S2640" s="84"/>
      <c r="T2640" s="84"/>
      <c r="U2640" s="84"/>
      <c r="V2640" s="84"/>
      <c r="W2640" s="84"/>
      <c r="X2640" s="84"/>
      <c r="Y2640" s="84"/>
      <c r="Z2640" s="84"/>
      <c r="AA2640" s="84"/>
      <c r="AB2640" s="84"/>
    </row>
    <row r="2641">
      <c r="A2641" s="69">
        <v>176.0</v>
      </c>
      <c r="B2641" s="69">
        <v>292.0</v>
      </c>
      <c r="C2641" s="86" t="s">
        <v>576</v>
      </c>
      <c r="D2641" s="86" t="s">
        <v>577</v>
      </c>
      <c r="E2641" s="86" t="s">
        <v>578</v>
      </c>
      <c r="F2641" s="69">
        <v>1500.0</v>
      </c>
      <c r="G2641" s="69">
        <v>35.63</v>
      </c>
      <c r="H2641" s="68">
        <f t="shared" si="1"/>
        <v>74.62</v>
      </c>
      <c r="I2641" s="81">
        <f>IFERROR(__xludf.DUMMYFUNCTION("IF(G2641="""", """", ROUND(G2641 / MAX(FILTER($G$2:$G5067, $D$2:$D5067=$D2641)) * 100, 2))"),81.42)</f>
        <v>81.42</v>
      </c>
      <c r="J2641" s="81">
        <f>IFERROR(__xludf.DUMMYFUNCTION("IF(H2641="""", """", ROUND(H2641 / MAX(FILTER($H$2:$H5067, $D$2:$D5067=$D2641)) * 100, 2))"),22.97)</f>
        <v>22.97</v>
      </c>
      <c r="K2641" s="2"/>
      <c r="L2641" s="48"/>
      <c r="M2641" s="48"/>
      <c r="N2641" s="48"/>
      <c r="O2641" s="48" t="str">
        <f t="shared" si="2"/>
        <v/>
      </c>
      <c r="P2641" s="48" t="str">
        <f t="shared" si="3"/>
        <v/>
      </c>
      <c r="Q2641" s="84"/>
      <c r="R2641" s="84"/>
      <c r="S2641" s="84"/>
      <c r="T2641" s="84"/>
      <c r="U2641" s="84"/>
      <c r="V2641" s="84"/>
      <c r="W2641" s="84"/>
      <c r="X2641" s="84"/>
      <c r="Y2641" s="84"/>
      <c r="Z2641" s="84"/>
      <c r="AA2641" s="84"/>
      <c r="AB2641" s="84"/>
    </row>
    <row r="2642">
      <c r="A2642" s="63">
        <v>176.0</v>
      </c>
      <c r="B2642" s="63">
        <v>292.0</v>
      </c>
      <c r="C2642" s="64" t="s">
        <v>576</v>
      </c>
      <c r="D2642" s="64" t="s">
        <v>577</v>
      </c>
      <c r="E2642" s="64" t="s">
        <v>578</v>
      </c>
      <c r="F2642" s="63">
        <v>2000.0</v>
      </c>
      <c r="G2642" s="63">
        <v>36.88</v>
      </c>
      <c r="H2642" s="66">
        <f t="shared" si="1"/>
        <v>102.99</v>
      </c>
      <c r="I2642" s="81">
        <f>IFERROR(__xludf.DUMMYFUNCTION("IF(G2642="""", """", ROUND(G2642 / MAX(FILTER($G$2:$G5067, $D$2:$D5067=$D2642)) * 100, 2))"),84.28)</f>
        <v>84.28</v>
      </c>
      <c r="J2642" s="81">
        <f>IFERROR(__xludf.DUMMYFUNCTION("IF(H2642="""", """", ROUND(H2642 / MAX(FILTER($H$2:$H5067, $D$2:$D5067=$D2642)) * 100, 2))"),31.7)</f>
        <v>31.7</v>
      </c>
      <c r="K2642" s="2"/>
      <c r="L2642" s="49"/>
      <c r="M2642" s="49"/>
      <c r="N2642" s="49"/>
      <c r="O2642" s="49" t="str">
        <f t="shared" si="2"/>
        <v/>
      </c>
      <c r="P2642" s="49" t="str">
        <f t="shared" si="3"/>
        <v/>
      </c>
      <c r="Q2642" s="84"/>
      <c r="R2642" s="84"/>
      <c r="S2642" s="84"/>
      <c r="T2642" s="84"/>
      <c r="U2642" s="84"/>
      <c r="V2642" s="84"/>
      <c r="W2642" s="84"/>
      <c r="X2642" s="84"/>
      <c r="Y2642" s="84"/>
      <c r="Z2642" s="84"/>
      <c r="AA2642" s="84"/>
      <c r="AB2642" s="84"/>
    </row>
    <row r="2643">
      <c r="A2643" s="69">
        <v>176.0</v>
      </c>
      <c r="B2643" s="69">
        <v>292.0</v>
      </c>
      <c r="C2643" s="86" t="s">
        <v>576</v>
      </c>
      <c r="D2643" s="86" t="s">
        <v>577</v>
      </c>
      <c r="E2643" s="86" t="s">
        <v>578</v>
      </c>
      <c r="F2643" s="69">
        <v>2500.0</v>
      </c>
      <c r="G2643" s="69">
        <v>38.63</v>
      </c>
      <c r="H2643" s="68">
        <f t="shared" si="1"/>
        <v>134.84</v>
      </c>
      <c r="I2643" s="81">
        <f>IFERROR(__xludf.DUMMYFUNCTION("IF(G2643="""", """", ROUND(G2643 / MAX(FILTER($G$2:$G5067, $D$2:$D5067=$D2643)) * 100, 2))"),88.28)</f>
        <v>88.28</v>
      </c>
      <c r="J2643" s="81">
        <f>IFERROR(__xludf.DUMMYFUNCTION("IF(H2643="""", """", ROUND(H2643 / MAX(FILTER($H$2:$H5067, $D$2:$D5067=$D2643)) * 100, 2))"),41.5)</f>
        <v>41.5</v>
      </c>
      <c r="K2643" s="2"/>
      <c r="L2643" s="48"/>
      <c r="M2643" s="48"/>
      <c r="N2643" s="48"/>
      <c r="O2643" s="48" t="str">
        <f t="shared" si="2"/>
        <v/>
      </c>
      <c r="P2643" s="48" t="str">
        <f t="shared" si="3"/>
        <v/>
      </c>
      <c r="Q2643" s="84"/>
      <c r="R2643" s="84"/>
      <c r="S2643" s="84"/>
      <c r="T2643" s="84"/>
      <c r="U2643" s="84"/>
      <c r="V2643" s="84"/>
      <c r="W2643" s="84"/>
      <c r="X2643" s="84"/>
      <c r="Y2643" s="84"/>
      <c r="Z2643" s="84"/>
      <c r="AA2643" s="84"/>
      <c r="AB2643" s="84"/>
    </row>
    <row r="2644">
      <c r="A2644" s="63">
        <v>176.0</v>
      </c>
      <c r="B2644" s="63">
        <v>292.0</v>
      </c>
      <c r="C2644" s="64" t="s">
        <v>576</v>
      </c>
      <c r="D2644" s="64" t="s">
        <v>577</v>
      </c>
      <c r="E2644" s="64" t="s">
        <v>578</v>
      </c>
      <c r="F2644" s="63">
        <v>3000.0</v>
      </c>
      <c r="G2644" s="63">
        <v>41.38</v>
      </c>
      <c r="H2644" s="66">
        <f t="shared" si="1"/>
        <v>173.33</v>
      </c>
      <c r="I2644" s="81">
        <f>IFERROR(__xludf.DUMMYFUNCTION("IF(G2644="""", """", ROUND(G2644 / MAX(FILTER($G$2:$G5067, $D$2:$D5067=$D2644)) * 100, 2))"),94.56)</f>
        <v>94.56</v>
      </c>
      <c r="J2644" s="81">
        <f>IFERROR(__xludf.DUMMYFUNCTION("IF(H2644="""", """", ROUND(H2644 / MAX(FILTER($H$2:$H5067, $D$2:$D5067=$D2644)) * 100, 2))"),53.35)</f>
        <v>53.35</v>
      </c>
      <c r="K2644" s="2"/>
      <c r="L2644" s="49"/>
      <c r="M2644" s="49"/>
      <c r="N2644" s="49"/>
      <c r="O2644" s="49" t="str">
        <f t="shared" si="2"/>
        <v/>
      </c>
      <c r="P2644" s="49" t="str">
        <f t="shared" si="3"/>
        <v/>
      </c>
      <c r="Q2644" s="84"/>
      <c r="R2644" s="84"/>
      <c r="S2644" s="84"/>
      <c r="T2644" s="84"/>
      <c r="U2644" s="84"/>
      <c r="V2644" s="84"/>
      <c r="W2644" s="84"/>
      <c r="X2644" s="84"/>
      <c r="Y2644" s="84"/>
      <c r="Z2644" s="84"/>
      <c r="AA2644" s="84"/>
      <c r="AB2644" s="84"/>
    </row>
    <row r="2645">
      <c r="A2645" s="69">
        <v>176.0</v>
      </c>
      <c r="B2645" s="69">
        <v>292.0</v>
      </c>
      <c r="C2645" s="86" t="s">
        <v>576</v>
      </c>
      <c r="D2645" s="86" t="s">
        <v>577</v>
      </c>
      <c r="E2645" s="86" t="s">
        <v>578</v>
      </c>
      <c r="F2645" s="69">
        <v>3500.0</v>
      </c>
      <c r="G2645" s="69">
        <v>43.54</v>
      </c>
      <c r="H2645" s="68">
        <f t="shared" si="1"/>
        <v>212.78</v>
      </c>
      <c r="I2645" s="81">
        <f>IFERROR(__xludf.DUMMYFUNCTION("IF(G2645="""", """", ROUND(G2645 / MAX(FILTER($G$2:$G5067, $D$2:$D5067=$D2645)) * 100, 2))"),99.5)</f>
        <v>99.5</v>
      </c>
      <c r="J2645" s="81">
        <f>IFERROR(__xludf.DUMMYFUNCTION("IF(H2645="""", """", ROUND(H2645 / MAX(FILTER($H$2:$H5067, $D$2:$D5067=$D2645)) * 100, 2))"),65.49)</f>
        <v>65.49</v>
      </c>
      <c r="K2645" s="2"/>
      <c r="L2645" s="48"/>
      <c r="M2645" s="48"/>
      <c r="N2645" s="48"/>
      <c r="O2645" s="48" t="str">
        <f t="shared" si="2"/>
        <v/>
      </c>
      <c r="P2645" s="48" t="str">
        <f t="shared" si="3"/>
        <v/>
      </c>
      <c r="Q2645" s="84"/>
      <c r="R2645" s="84"/>
      <c r="S2645" s="84"/>
      <c r="T2645" s="84"/>
      <c r="U2645" s="84"/>
      <c r="V2645" s="84"/>
      <c r="W2645" s="84"/>
      <c r="X2645" s="84"/>
      <c r="Y2645" s="84"/>
      <c r="Z2645" s="84"/>
      <c r="AA2645" s="84"/>
      <c r="AB2645" s="84"/>
    </row>
    <row r="2646">
      <c r="A2646" s="63">
        <v>176.0</v>
      </c>
      <c r="B2646" s="63">
        <v>292.0</v>
      </c>
      <c r="C2646" s="64" t="s">
        <v>576</v>
      </c>
      <c r="D2646" s="64" t="s">
        <v>577</v>
      </c>
      <c r="E2646" s="64" t="s">
        <v>578</v>
      </c>
      <c r="F2646" s="63">
        <v>4000.0</v>
      </c>
      <c r="G2646" s="63">
        <v>43.76</v>
      </c>
      <c r="H2646" s="66">
        <f t="shared" si="1"/>
        <v>244.4</v>
      </c>
      <c r="I2646" s="81">
        <f>IFERROR(__xludf.DUMMYFUNCTION("IF(G2646="""", """", ROUND(G2646 / MAX(FILTER($G$2:$G5067, $D$2:$D5067=$D2646)) * 100, 2))"),100.0)</f>
        <v>100</v>
      </c>
      <c r="J2646" s="81">
        <f>IFERROR(__xludf.DUMMYFUNCTION("IF(H2646="""", """", ROUND(H2646 / MAX(FILTER($H$2:$H5067, $D$2:$D5067=$D2646)) * 100, 2))"),75.22)</f>
        <v>75.22</v>
      </c>
      <c r="K2646" s="2"/>
      <c r="L2646" s="49"/>
      <c r="M2646" s="49"/>
      <c r="N2646" s="49"/>
      <c r="O2646" s="49" t="str">
        <f t="shared" si="2"/>
        <v/>
      </c>
      <c r="P2646" s="49" t="str">
        <f t="shared" si="3"/>
        <v/>
      </c>
      <c r="Q2646" s="84"/>
      <c r="R2646" s="84"/>
      <c r="S2646" s="84"/>
      <c r="T2646" s="84"/>
      <c r="U2646" s="84"/>
      <c r="V2646" s="84"/>
      <c r="W2646" s="84"/>
      <c r="X2646" s="84"/>
      <c r="Y2646" s="84"/>
      <c r="Z2646" s="84"/>
      <c r="AA2646" s="84"/>
      <c r="AB2646" s="84"/>
    </row>
    <row r="2647">
      <c r="A2647" s="69">
        <v>176.0</v>
      </c>
      <c r="B2647" s="69">
        <v>292.0</v>
      </c>
      <c r="C2647" s="86" t="s">
        <v>576</v>
      </c>
      <c r="D2647" s="86" t="s">
        <v>577</v>
      </c>
      <c r="E2647" s="86" t="s">
        <v>578</v>
      </c>
      <c r="F2647" s="69">
        <v>4500.0</v>
      </c>
      <c r="G2647" s="69">
        <v>43.38</v>
      </c>
      <c r="H2647" s="68">
        <f t="shared" si="1"/>
        <v>272.56</v>
      </c>
      <c r="I2647" s="81">
        <f>IFERROR(__xludf.DUMMYFUNCTION("IF(G2647="""", """", ROUND(G2647 / MAX(FILTER($G$2:$G5067, $D$2:$D5067=$D2647)) * 100, 2))"),99.13)</f>
        <v>99.13</v>
      </c>
      <c r="J2647" s="81">
        <f>IFERROR(__xludf.DUMMYFUNCTION("IF(H2647="""", """", ROUND(H2647 / MAX(FILTER($H$2:$H5067, $D$2:$D5067=$D2647)) * 100, 2))"),83.89)</f>
        <v>83.89</v>
      </c>
      <c r="K2647" s="2"/>
      <c r="L2647" s="48"/>
      <c r="M2647" s="48"/>
      <c r="N2647" s="48"/>
      <c r="O2647" s="48" t="str">
        <f t="shared" si="2"/>
        <v/>
      </c>
      <c r="P2647" s="48" t="str">
        <f t="shared" si="3"/>
        <v/>
      </c>
      <c r="Q2647" s="84"/>
      <c r="R2647" s="84"/>
      <c r="S2647" s="84"/>
      <c r="T2647" s="84"/>
      <c r="U2647" s="84"/>
      <c r="V2647" s="84"/>
      <c r="W2647" s="84"/>
      <c r="X2647" s="84"/>
      <c r="Y2647" s="84"/>
      <c r="Z2647" s="84"/>
      <c r="AA2647" s="84"/>
      <c r="AB2647" s="84"/>
    </row>
    <row r="2648">
      <c r="A2648" s="63">
        <v>176.0</v>
      </c>
      <c r="B2648" s="63">
        <v>292.0</v>
      </c>
      <c r="C2648" s="64" t="s">
        <v>576</v>
      </c>
      <c r="D2648" s="64" t="s">
        <v>577</v>
      </c>
      <c r="E2648" s="64" t="s">
        <v>578</v>
      </c>
      <c r="F2648" s="63">
        <v>5000.0</v>
      </c>
      <c r="G2648" s="63">
        <v>41.88</v>
      </c>
      <c r="H2648" s="66">
        <f t="shared" si="1"/>
        <v>292.38</v>
      </c>
      <c r="I2648" s="81">
        <f>IFERROR(__xludf.DUMMYFUNCTION("IF(G2648="""", """", ROUND(G2648 / MAX(FILTER($G$2:$G5067, $D$2:$D5067=$D2648)) * 100, 2))"),95.7)</f>
        <v>95.7</v>
      </c>
      <c r="J2648" s="81">
        <f>IFERROR(__xludf.DUMMYFUNCTION("IF(H2648="""", """", ROUND(H2648 / MAX(FILTER($H$2:$H5067, $D$2:$D5067=$D2648)) * 100, 2))"),89.99)</f>
        <v>89.99</v>
      </c>
      <c r="K2648" s="2"/>
      <c r="L2648" s="49"/>
      <c r="M2648" s="49"/>
      <c r="N2648" s="49"/>
      <c r="O2648" s="49" t="str">
        <f t="shared" si="2"/>
        <v/>
      </c>
      <c r="P2648" s="49" t="str">
        <f t="shared" si="3"/>
        <v/>
      </c>
      <c r="Q2648" s="84"/>
      <c r="R2648" s="84"/>
      <c r="S2648" s="84"/>
      <c r="T2648" s="84"/>
      <c r="U2648" s="84"/>
      <c r="V2648" s="84"/>
      <c r="W2648" s="84"/>
      <c r="X2648" s="84"/>
      <c r="Y2648" s="84"/>
      <c r="Z2648" s="84"/>
      <c r="AA2648" s="84"/>
      <c r="AB2648" s="84"/>
    </row>
    <row r="2649">
      <c r="A2649" s="69">
        <v>176.0</v>
      </c>
      <c r="B2649" s="69">
        <v>292.0</v>
      </c>
      <c r="C2649" s="86" t="s">
        <v>576</v>
      </c>
      <c r="D2649" s="86" t="s">
        <v>577</v>
      </c>
      <c r="E2649" s="86" t="s">
        <v>578</v>
      </c>
      <c r="F2649" s="69">
        <v>5500.0</v>
      </c>
      <c r="G2649" s="69">
        <v>40.13</v>
      </c>
      <c r="H2649" s="68">
        <f t="shared" si="1"/>
        <v>308.18</v>
      </c>
      <c r="I2649" s="81">
        <f>IFERROR(__xludf.DUMMYFUNCTION("IF(G2649="""", """", ROUND(G2649 / MAX(FILTER($G$2:$G5067, $D$2:$D5067=$D2649)) * 100, 2))"),91.7)</f>
        <v>91.7</v>
      </c>
      <c r="J2649" s="81">
        <f>IFERROR(__xludf.DUMMYFUNCTION("IF(H2649="""", """", ROUND(H2649 / MAX(FILTER($H$2:$H5067, $D$2:$D5067=$D2649)) * 100, 2))"),94.85)</f>
        <v>94.85</v>
      </c>
      <c r="K2649" s="2"/>
      <c r="L2649" s="48"/>
      <c r="M2649" s="48"/>
      <c r="N2649" s="48"/>
      <c r="O2649" s="48" t="str">
        <f t="shared" si="2"/>
        <v/>
      </c>
      <c r="P2649" s="48" t="str">
        <f t="shared" si="3"/>
        <v/>
      </c>
      <c r="Q2649" s="84"/>
      <c r="R2649" s="84"/>
      <c r="S2649" s="84"/>
      <c r="T2649" s="84"/>
      <c r="U2649" s="84"/>
      <c r="V2649" s="84"/>
      <c r="W2649" s="84"/>
      <c r="X2649" s="84"/>
      <c r="Y2649" s="84"/>
      <c r="Z2649" s="84"/>
      <c r="AA2649" s="84"/>
      <c r="AB2649" s="84"/>
    </row>
    <row r="2650">
      <c r="A2650" s="63">
        <v>176.0</v>
      </c>
      <c r="B2650" s="63">
        <v>292.0</v>
      </c>
      <c r="C2650" s="64" t="s">
        <v>576</v>
      </c>
      <c r="D2650" s="64" t="s">
        <v>577</v>
      </c>
      <c r="E2650" s="64" t="s">
        <v>578</v>
      </c>
      <c r="F2650" s="63">
        <v>6000.0</v>
      </c>
      <c r="G2650" s="63">
        <v>38.38</v>
      </c>
      <c r="H2650" s="66">
        <f t="shared" si="1"/>
        <v>321.53</v>
      </c>
      <c r="I2650" s="81">
        <f>IFERROR(__xludf.DUMMYFUNCTION("IF(G2650="""", """", ROUND(G2650 / MAX(FILTER($G$2:$G5067, $D$2:$D5067=$D2650)) * 100, 2))"),87.71)</f>
        <v>87.71</v>
      </c>
      <c r="J2650" s="81">
        <f>IFERROR(__xludf.DUMMYFUNCTION("IF(H2650="""", """", ROUND(H2650 / MAX(FILTER($H$2:$H5067, $D$2:$D5067=$D2650)) * 100, 2))"),98.96)</f>
        <v>98.96</v>
      </c>
      <c r="K2650" s="2"/>
      <c r="L2650" s="49"/>
      <c r="M2650" s="49"/>
      <c r="N2650" s="49"/>
      <c r="O2650" s="49" t="str">
        <f t="shared" si="2"/>
        <v/>
      </c>
      <c r="P2650" s="49" t="str">
        <f t="shared" si="3"/>
        <v/>
      </c>
      <c r="Q2650" s="84"/>
      <c r="R2650" s="84"/>
      <c r="S2650" s="84"/>
      <c r="T2650" s="84"/>
      <c r="U2650" s="84"/>
      <c r="V2650" s="84"/>
      <c r="W2650" s="84"/>
      <c r="X2650" s="84"/>
      <c r="Y2650" s="84"/>
      <c r="Z2650" s="84"/>
      <c r="AA2650" s="84"/>
      <c r="AB2650" s="84"/>
    </row>
    <row r="2651">
      <c r="A2651" s="69">
        <v>176.0</v>
      </c>
      <c r="B2651" s="69">
        <v>292.0</v>
      </c>
      <c r="C2651" s="86" t="s">
        <v>576</v>
      </c>
      <c r="D2651" s="86" t="s">
        <v>577</v>
      </c>
      <c r="E2651" s="86" t="s">
        <v>578</v>
      </c>
      <c r="F2651" s="69">
        <v>6500.0</v>
      </c>
      <c r="G2651" s="69">
        <v>35.8</v>
      </c>
      <c r="H2651" s="68">
        <f t="shared" si="1"/>
        <v>324.91</v>
      </c>
      <c r="I2651" s="81">
        <f>IFERROR(__xludf.DUMMYFUNCTION("IF(G2651="""", """", ROUND(G2651 / MAX(FILTER($G$2:$G5067, $D$2:$D5067=$D2651)) * 100, 2))"),81.81)</f>
        <v>81.81</v>
      </c>
      <c r="J2651" s="81">
        <f>IFERROR(__xludf.DUMMYFUNCTION("IF(H2651="""", """", ROUND(H2651 / MAX(FILTER($H$2:$H5067, $D$2:$D5067=$D2651)) * 100, 2))"),100.0)</f>
        <v>100</v>
      </c>
      <c r="K2651" s="2"/>
      <c r="L2651" s="48"/>
      <c r="M2651" s="48"/>
      <c r="N2651" s="48"/>
      <c r="O2651" s="48" t="str">
        <f t="shared" si="2"/>
        <v/>
      </c>
      <c r="P2651" s="48" t="str">
        <f t="shared" si="3"/>
        <v/>
      </c>
      <c r="Q2651" s="84"/>
      <c r="R2651" s="84"/>
      <c r="S2651" s="84"/>
      <c r="T2651" s="84"/>
      <c r="U2651" s="84"/>
      <c r="V2651" s="84"/>
      <c r="W2651" s="84"/>
      <c r="X2651" s="84"/>
      <c r="Y2651" s="84"/>
      <c r="Z2651" s="84"/>
      <c r="AA2651" s="84"/>
      <c r="AB2651" s="84"/>
    </row>
    <row r="2652">
      <c r="A2652" s="63">
        <v>176.0</v>
      </c>
      <c r="B2652" s="63">
        <v>292.0</v>
      </c>
      <c r="C2652" s="64" t="s">
        <v>576</v>
      </c>
      <c r="D2652" s="64" t="s">
        <v>577</v>
      </c>
      <c r="E2652" s="64" t="s">
        <v>578</v>
      </c>
      <c r="F2652" s="63">
        <v>7000.0</v>
      </c>
      <c r="G2652" s="63">
        <v>32.5</v>
      </c>
      <c r="H2652" s="66">
        <f t="shared" si="1"/>
        <v>317.65</v>
      </c>
      <c r="I2652" s="81">
        <f>IFERROR(__xludf.DUMMYFUNCTION("IF(G2652="""", """", ROUND(G2652 / MAX(FILTER($G$2:$G5067, $D$2:$D5067=$D2652)) * 100, 2))"),74.27)</f>
        <v>74.27</v>
      </c>
      <c r="J2652" s="81">
        <f>IFERROR(__xludf.DUMMYFUNCTION("IF(H2652="""", """", ROUND(H2652 / MAX(FILTER($H$2:$H5067, $D$2:$D5067=$D2652)) * 100, 2))"),97.77)</f>
        <v>97.77</v>
      </c>
      <c r="K2652" s="2"/>
      <c r="L2652" s="49"/>
      <c r="M2652" s="49"/>
      <c r="N2652" s="49"/>
      <c r="O2652" s="49" t="str">
        <f t="shared" si="2"/>
        <v/>
      </c>
      <c r="P2652" s="49" t="str">
        <f t="shared" si="3"/>
        <v/>
      </c>
      <c r="Q2652" s="84"/>
      <c r="R2652" s="84"/>
      <c r="S2652" s="84"/>
      <c r="T2652" s="84"/>
      <c r="U2652" s="84"/>
      <c r="V2652" s="84"/>
      <c r="W2652" s="84"/>
      <c r="X2652" s="84"/>
      <c r="Y2652" s="84"/>
      <c r="Z2652" s="84"/>
      <c r="AA2652" s="84"/>
      <c r="AB2652" s="84"/>
    </row>
    <row r="2653">
      <c r="A2653" s="69">
        <v>177.0</v>
      </c>
      <c r="B2653" s="69">
        <v>293.0</v>
      </c>
      <c r="C2653" s="86" t="s">
        <v>579</v>
      </c>
      <c r="D2653" s="86" t="s">
        <v>580</v>
      </c>
      <c r="E2653" s="86" t="s">
        <v>581</v>
      </c>
      <c r="F2653" s="69">
        <v>500.0</v>
      </c>
      <c r="G2653" s="69">
        <v>28.65</v>
      </c>
      <c r="H2653" s="68">
        <f t="shared" si="1"/>
        <v>20</v>
      </c>
      <c r="I2653" s="81">
        <f>IFERROR(__xludf.DUMMYFUNCTION("IF(G2653="""", """", ROUND(G2653 / MAX(FILTER($G$2:$G5067, $D$2:$D5067=$D2653)) * 100, 2))"),52.81)</f>
        <v>52.81</v>
      </c>
      <c r="J2653" s="81">
        <f>IFERROR(__xludf.DUMMYFUNCTION("IF(H2653="""", """", ROUND(H2653 / MAX(FILTER($H$2:$H5067, $D$2:$D5067=$D2653)) * 100, 2))"),4.74)</f>
        <v>4.74</v>
      </c>
      <c r="K2653" s="2"/>
      <c r="L2653" s="48"/>
      <c r="M2653" s="48"/>
      <c r="N2653" s="48"/>
      <c r="O2653" s="48" t="str">
        <f t="shared" si="2"/>
        <v/>
      </c>
      <c r="P2653" s="48" t="str">
        <f t="shared" si="3"/>
        <v/>
      </c>
      <c r="Q2653" s="84"/>
      <c r="R2653" s="84"/>
      <c r="S2653" s="84"/>
      <c r="T2653" s="84"/>
      <c r="U2653" s="84"/>
      <c r="V2653" s="84"/>
      <c r="W2653" s="84"/>
      <c r="X2653" s="84"/>
      <c r="Y2653" s="84"/>
      <c r="Z2653" s="84"/>
      <c r="AA2653" s="84"/>
      <c r="AB2653" s="84"/>
    </row>
    <row r="2654">
      <c r="A2654" s="63">
        <v>177.0</v>
      </c>
      <c r="B2654" s="63">
        <v>293.0</v>
      </c>
      <c r="C2654" s="64" t="s">
        <v>579</v>
      </c>
      <c r="D2654" s="64" t="s">
        <v>580</v>
      </c>
      <c r="E2654" s="64" t="s">
        <v>581</v>
      </c>
      <c r="F2654" s="63">
        <v>1000.0</v>
      </c>
      <c r="G2654" s="63">
        <v>34.34</v>
      </c>
      <c r="H2654" s="66">
        <f t="shared" si="1"/>
        <v>47.95</v>
      </c>
      <c r="I2654" s="81">
        <f>IFERROR(__xludf.DUMMYFUNCTION("IF(G2654="""", """", ROUND(G2654 / MAX(FILTER($G$2:$G5067, $D$2:$D5067=$D2654)) * 100, 2))"),63.3)</f>
        <v>63.3</v>
      </c>
      <c r="J2654" s="81">
        <f>IFERROR(__xludf.DUMMYFUNCTION("IF(H2654="""", """", ROUND(H2654 / MAX(FILTER($H$2:$H5067, $D$2:$D5067=$D2654)) * 100, 2))"),11.36)</f>
        <v>11.36</v>
      </c>
      <c r="K2654" s="2"/>
      <c r="L2654" s="49"/>
      <c r="M2654" s="49"/>
      <c r="N2654" s="49"/>
      <c r="O2654" s="49" t="str">
        <f t="shared" si="2"/>
        <v/>
      </c>
      <c r="P2654" s="49" t="str">
        <f t="shared" si="3"/>
        <v/>
      </c>
      <c r="Q2654" s="84"/>
      <c r="R2654" s="84"/>
      <c r="S2654" s="84"/>
      <c r="T2654" s="84"/>
      <c r="U2654" s="84"/>
      <c r="V2654" s="84"/>
      <c r="W2654" s="84"/>
      <c r="X2654" s="84"/>
      <c r="Y2654" s="84"/>
      <c r="Z2654" s="84"/>
      <c r="AA2654" s="84"/>
      <c r="AB2654" s="84"/>
    </row>
    <row r="2655">
      <c r="A2655" s="69">
        <v>177.0</v>
      </c>
      <c r="B2655" s="69">
        <v>293.0</v>
      </c>
      <c r="C2655" s="86" t="s">
        <v>579</v>
      </c>
      <c r="D2655" s="86" t="s">
        <v>580</v>
      </c>
      <c r="E2655" s="86" t="s">
        <v>581</v>
      </c>
      <c r="F2655" s="69">
        <v>1500.0</v>
      </c>
      <c r="G2655" s="69">
        <v>44.46</v>
      </c>
      <c r="H2655" s="68">
        <f t="shared" si="1"/>
        <v>93.12</v>
      </c>
      <c r="I2655" s="81">
        <f>IFERROR(__xludf.DUMMYFUNCTION("IF(G2655="""", """", ROUND(G2655 / MAX(FILTER($G$2:$G5067, $D$2:$D5067=$D2655)) * 100, 2))"),81.95)</f>
        <v>81.95</v>
      </c>
      <c r="J2655" s="81">
        <f>IFERROR(__xludf.DUMMYFUNCTION("IF(H2655="""", """", ROUND(H2655 / MAX(FILTER($H$2:$H5067, $D$2:$D5067=$D2655)) * 100, 2))"),22.06)</f>
        <v>22.06</v>
      </c>
      <c r="K2655" s="2"/>
      <c r="L2655" s="48"/>
      <c r="M2655" s="48"/>
      <c r="N2655" s="48"/>
      <c r="O2655" s="48" t="str">
        <f t="shared" si="2"/>
        <v/>
      </c>
      <c r="P2655" s="48" t="str">
        <f t="shared" si="3"/>
        <v/>
      </c>
      <c r="Q2655" s="84"/>
      <c r="R2655" s="84"/>
      <c r="S2655" s="84"/>
      <c r="T2655" s="84"/>
      <c r="U2655" s="84"/>
      <c r="V2655" s="84"/>
      <c r="W2655" s="84"/>
      <c r="X2655" s="84"/>
      <c r="Y2655" s="84"/>
      <c r="Z2655" s="84"/>
      <c r="AA2655" s="84"/>
      <c r="AB2655" s="84"/>
    </row>
    <row r="2656">
      <c r="A2656" s="63">
        <v>177.0</v>
      </c>
      <c r="B2656" s="63">
        <v>293.0</v>
      </c>
      <c r="C2656" s="64" t="s">
        <v>579</v>
      </c>
      <c r="D2656" s="64" t="s">
        <v>580</v>
      </c>
      <c r="E2656" s="64" t="s">
        <v>581</v>
      </c>
      <c r="F2656" s="63">
        <v>2000.0</v>
      </c>
      <c r="G2656" s="63">
        <v>52.6</v>
      </c>
      <c r="H2656" s="66">
        <f t="shared" si="1"/>
        <v>146.89</v>
      </c>
      <c r="I2656" s="81">
        <f>IFERROR(__xludf.DUMMYFUNCTION("IF(G2656="""", """", ROUND(G2656 / MAX(FILTER($G$2:$G5067, $D$2:$D5067=$D2656)) * 100, 2))"),96.96)</f>
        <v>96.96</v>
      </c>
      <c r="J2656" s="81">
        <f>IFERROR(__xludf.DUMMYFUNCTION("IF(H2656="""", """", ROUND(H2656 / MAX(FILTER($H$2:$H5067, $D$2:$D5067=$D2656)) * 100, 2))"),34.79)</f>
        <v>34.79</v>
      </c>
      <c r="K2656" s="2"/>
      <c r="L2656" s="49"/>
      <c r="M2656" s="49"/>
      <c r="N2656" s="49"/>
      <c r="O2656" s="49" t="str">
        <f t="shared" si="2"/>
        <v/>
      </c>
      <c r="P2656" s="49" t="str">
        <f t="shared" si="3"/>
        <v/>
      </c>
      <c r="Q2656" s="84"/>
      <c r="R2656" s="84"/>
      <c r="S2656" s="84"/>
      <c r="T2656" s="84"/>
      <c r="U2656" s="84"/>
      <c r="V2656" s="84"/>
      <c r="W2656" s="84"/>
      <c r="X2656" s="84"/>
      <c r="Y2656" s="84"/>
      <c r="Z2656" s="84"/>
      <c r="AA2656" s="84"/>
      <c r="AB2656" s="84"/>
    </row>
    <row r="2657">
      <c r="A2657" s="69">
        <v>177.0</v>
      </c>
      <c r="B2657" s="69">
        <v>293.0</v>
      </c>
      <c r="C2657" s="86" t="s">
        <v>579</v>
      </c>
      <c r="D2657" s="86" t="s">
        <v>580</v>
      </c>
      <c r="E2657" s="86" t="s">
        <v>581</v>
      </c>
      <c r="F2657" s="69">
        <v>2500.0</v>
      </c>
      <c r="G2657" s="69">
        <v>53.8</v>
      </c>
      <c r="H2657" s="68">
        <f t="shared" si="1"/>
        <v>187.8</v>
      </c>
      <c r="I2657" s="81">
        <f>IFERROR(__xludf.DUMMYFUNCTION("IF(G2657="""", """", ROUND(G2657 / MAX(FILTER($G$2:$G5067, $D$2:$D5067=$D2657)) * 100, 2))"),99.17)</f>
        <v>99.17</v>
      </c>
      <c r="J2657" s="81">
        <f>IFERROR(__xludf.DUMMYFUNCTION("IF(H2657="""", """", ROUND(H2657 / MAX(FILTER($H$2:$H5067, $D$2:$D5067=$D2657)) * 100, 2))"),44.48)</f>
        <v>44.48</v>
      </c>
      <c r="K2657" s="2"/>
      <c r="L2657" s="48"/>
      <c r="M2657" s="48"/>
      <c r="N2657" s="48"/>
      <c r="O2657" s="48" t="str">
        <f t="shared" si="2"/>
        <v/>
      </c>
      <c r="P2657" s="48" t="str">
        <f t="shared" si="3"/>
        <v/>
      </c>
      <c r="Q2657" s="84"/>
      <c r="R2657" s="84"/>
      <c r="S2657" s="84"/>
      <c r="T2657" s="84"/>
      <c r="U2657" s="84"/>
      <c r="V2657" s="84"/>
      <c r="W2657" s="84"/>
      <c r="X2657" s="84"/>
      <c r="Y2657" s="84"/>
      <c r="Z2657" s="84"/>
      <c r="AA2657" s="84"/>
      <c r="AB2657" s="84"/>
    </row>
    <row r="2658">
      <c r="A2658" s="63">
        <v>177.0</v>
      </c>
      <c r="B2658" s="63">
        <v>293.0</v>
      </c>
      <c r="C2658" s="64" t="s">
        <v>579</v>
      </c>
      <c r="D2658" s="64" t="s">
        <v>580</v>
      </c>
      <c r="E2658" s="64" t="s">
        <v>581</v>
      </c>
      <c r="F2658" s="63">
        <v>3000.0</v>
      </c>
      <c r="G2658" s="63">
        <v>54.1</v>
      </c>
      <c r="H2658" s="66">
        <f t="shared" si="1"/>
        <v>226.61</v>
      </c>
      <c r="I2658" s="81">
        <f>IFERROR(__xludf.DUMMYFUNCTION("IF(G2658="""", """", ROUND(G2658 / MAX(FILTER($G$2:$G5067, $D$2:$D5067=$D2658)) * 100, 2))"),99.72)</f>
        <v>99.72</v>
      </c>
      <c r="J2658" s="81">
        <f>IFERROR(__xludf.DUMMYFUNCTION("IF(H2658="""", """", ROUND(H2658 / MAX(FILTER($H$2:$H5067, $D$2:$D5067=$D2658)) * 100, 2))"),53.67)</f>
        <v>53.67</v>
      </c>
      <c r="K2658" s="2"/>
      <c r="L2658" s="49"/>
      <c r="M2658" s="49"/>
      <c r="N2658" s="49"/>
      <c r="O2658" s="49" t="str">
        <f t="shared" si="2"/>
        <v/>
      </c>
      <c r="P2658" s="49" t="str">
        <f t="shared" si="3"/>
        <v/>
      </c>
      <c r="Q2658" s="84"/>
      <c r="R2658" s="84"/>
      <c r="S2658" s="84"/>
      <c r="T2658" s="84"/>
      <c r="U2658" s="84"/>
      <c r="V2658" s="84"/>
      <c r="W2658" s="84"/>
      <c r="X2658" s="84"/>
      <c r="Y2658" s="84"/>
      <c r="Z2658" s="84"/>
      <c r="AA2658" s="84"/>
      <c r="AB2658" s="84"/>
    </row>
    <row r="2659">
      <c r="A2659" s="69">
        <v>177.0</v>
      </c>
      <c r="B2659" s="69">
        <v>293.0</v>
      </c>
      <c r="C2659" s="86" t="s">
        <v>579</v>
      </c>
      <c r="D2659" s="86" t="s">
        <v>580</v>
      </c>
      <c r="E2659" s="86" t="s">
        <v>581</v>
      </c>
      <c r="F2659" s="69">
        <v>3500.0</v>
      </c>
      <c r="G2659" s="69">
        <v>54.1</v>
      </c>
      <c r="H2659" s="68">
        <f t="shared" si="1"/>
        <v>264.38</v>
      </c>
      <c r="I2659" s="81">
        <f>IFERROR(__xludf.DUMMYFUNCTION("IF(G2659="""", """", ROUND(G2659 / MAX(FILTER($G$2:$G5067, $D$2:$D5067=$D2659)) * 100, 2))"),99.72)</f>
        <v>99.72</v>
      </c>
      <c r="J2659" s="81">
        <f>IFERROR(__xludf.DUMMYFUNCTION("IF(H2659="""", """", ROUND(H2659 / MAX(FILTER($H$2:$H5067, $D$2:$D5067=$D2659)) * 100, 2))"),62.62)</f>
        <v>62.62</v>
      </c>
      <c r="K2659" s="2"/>
      <c r="L2659" s="48"/>
      <c r="M2659" s="48"/>
      <c r="N2659" s="48"/>
      <c r="O2659" s="48" t="str">
        <f t="shared" si="2"/>
        <v/>
      </c>
      <c r="P2659" s="48" t="str">
        <f t="shared" si="3"/>
        <v/>
      </c>
      <c r="Q2659" s="84"/>
      <c r="R2659" s="84"/>
      <c r="S2659" s="84"/>
      <c r="T2659" s="84"/>
      <c r="U2659" s="84"/>
      <c r="V2659" s="84"/>
      <c r="W2659" s="84"/>
      <c r="X2659" s="84"/>
      <c r="Y2659" s="84"/>
      <c r="Z2659" s="84"/>
      <c r="AA2659" s="84"/>
      <c r="AB2659" s="84"/>
    </row>
    <row r="2660">
      <c r="A2660" s="63">
        <v>177.0</v>
      </c>
      <c r="B2660" s="63">
        <v>293.0</v>
      </c>
      <c r="C2660" s="64" t="s">
        <v>579</v>
      </c>
      <c r="D2660" s="64" t="s">
        <v>580</v>
      </c>
      <c r="E2660" s="64" t="s">
        <v>581</v>
      </c>
      <c r="F2660" s="63">
        <v>4000.0</v>
      </c>
      <c r="G2660" s="63">
        <v>54.1</v>
      </c>
      <c r="H2660" s="66">
        <f t="shared" si="1"/>
        <v>302.15</v>
      </c>
      <c r="I2660" s="81">
        <f>IFERROR(__xludf.DUMMYFUNCTION("IF(G2660="""", """", ROUND(G2660 / MAX(FILTER($G$2:$G5067, $D$2:$D5067=$D2660)) * 100, 2))"),99.72)</f>
        <v>99.72</v>
      </c>
      <c r="J2660" s="81">
        <f>IFERROR(__xludf.DUMMYFUNCTION("IF(H2660="""", """", ROUND(H2660 / MAX(FILTER($H$2:$H5067, $D$2:$D5067=$D2660)) * 100, 2))"),71.56)</f>
        <v>71.56</v>
      </c>
      <c r="K2660" s="2"/>
      <c r="L2660" s="49"/>
      <c r="M2660" s="49"/>
      <c r="N2660" s="49"/>
      <c r="O2660" s="49" t="str">
        <f t="shared" si="2"/>
        <v/>
      </c>
      <c r="P2660" s="49" t="str">
        <f t="shared" si="3"/>
        <v/>
      </c>
      <c r="Q2660" s="84"/>
      <c r="R2660" s="84"/>
      <c r="S2660" s="84"/>
      <c r="T2660" s="84"/>
      <c r="U2660" s="84"/>
      <c r="V2660" s="84"/>
      <c r="W2660" s="84"/>
      <c r="X2660" s="84"/>
      <c r="Y2660" s="84"/>
      <c r="Z2660" s="84"/>
      <c r="AA2660" s="84"/>
      <c r="AB2660" s="84"/>
    </row>
    <row r="2661">
      <c r="A2661" s="69">
        <v>177.0</v>
      </c>
      <c r="B2661" s="69">
        <v>293.0</v>
      </c>
      <c r="C2661" s="86" t="s">
        <v>579</v>
      </c>
      <c r="D2661" s="86" t="s">
        <v>580</v>
      </c>
      <c r="E2661" s="86" t="s">
        <v>581</v>
      </c>
      <c r="F2661" s="69">
        <v>4500.0</v>
      </c>
      <c r="G2661" s="69">
        <v>54.25</v>
      </c>
      <c r="H2661" s="68">
        <f t="shared" si="1"/>
        <v>340.86</v>
      </c>
      <c r="I2661" s="81">
        <f>IFERROR(__xludf.DUMMYFUNCTION("IF(G2661="""", """", ROUND(G2661 / MAX(FILTER($G$2:$G5067, $D$2:$D5067=$D2661)) * 100, 2))"),100.0)</f>
        <v>100</v>
      </c>
      <c r="J2661" s="81">
        <f>IFERROR(__xludf.DUMMYFUNCTION("IF(H2661="""", """", ROUND(H2661 / MAX(FILTER($H$2:$H5067, $D$2:$D5067=$D2661)) * 100, 2))"),80.73)</f>
        <v>80.73</v>
      </c>
      <c r="K2661" s="2"/>
      <c r="L2661" s="48"/>
      <c r="M2661" s="48"/>
      <c r="N2661" s="48"/>
      <c r="O2661" s="48" t="str">
        <f t="shared" si="2"/>
        <v/>
      </c>
      <c r="P2661" s="48" t="str">
        <f t="shared" si="3"/>
        <v/>
      </c>
      <c r="Q2661" s="84"/>
      <c r="R2661" s="84"/>
      <c r="S2661" s="84"/>
      <c r="T2661" s="84"/>
      <c r="U2661" s="84"/>
      <c r="V2661" s="84"/>
      <c r="W2661" s="84"/>
      <c r="X2661" s="84"/>
      <c r="Y2661" s="84"/>
      <c r="Z2661" s="84"/>
      <c r="AA2661" s="84"/>
      <c r="AB2661" s="84"/>
    </row>
    <row r="2662">
      <c r="A2662" s="63">
        <v>177.0</v>
      </c>
      <c r="B2662" s="63">
        <v>293.0</v>
      </c>
      <c r="C2662" s="64" t="s">
        <v>579</v>
      </c>
      <c r="D2662" s="64" t="s">
        <v>580</v>
      </c>
      <c r="E2662" s="64" t="s">
        <v>581</v>
      </c>
      <c r="F2662" s="63">
        <v>5000.0</v>
      </c>
      <c r="G2662" s="63">
        <v>53.95</v>
      </c>
      <c r="H2662" s="66">
        <f t="shared" si="1"/>
        <v>376.64</v>
      </c>
      <c r="I2662" s="81">
        <f>IFERROR(__xludf.DUMMYFUNCTION("IF(G2662="""", """", ROUND(G2662 / MAX(FILTER($G$2:$G5067, $D$2:$D5067=$D2662)) * 100, 2))"),99.45)</f>
        <v>99.45</v>
      </c>
      <c r="J2662" s="81">
        <f>IFERROR(__xludf.DUMMYFUNCTION("IF(H2662="""", """", ROUND(H2662 / MAX(FILTER($H$2:$H5067, $D$2:$D5067=$D2662)) * 100, 2))"),89.21)</f>
        <v>89.21</v>
      </c>
      <c r="K2662" s="2"/>
      <c r="L2662" s="49"/>
      <c r="M2662" s="49"/>
      <c r="N2662" s="49"/>
      <c r="O2662" s="49" t="str">
        <f t="shared" si="2"/>
        <v/>
      </c>
      <c r="P2662" s="49" t="str">
        <f t="shared" si="3"/>
        <v/>
      </c>
      <c r="Q2662" s="84"/>
      <c r="R2662" s="84"/>
      <c r="S2662" s="84"/>
      <c r="T2662" s="84"/>
      <c r="U2662" s="84"/>
      <c r="V2662" s="84"/>
      <c r="W2662" s="84"/>
      <c r="X2662" s="84"/>
      <c r="Y2662" s="84"/>
      <c r="Z2662" s="84"/>
      <c r="AA2662" s="84"/>
      <c r="AB2662" s="84"/>
    </row>
    <row r="2663">
      <c r="A2663" s="69">
        <v>177.0</v>
      </c>
      <c r="B2663" s="69">
        <v>293.0</v>
      </c>
      <c r="C2663" s="86" t="s">
        <v>579</v>
      </c>
      <c r="D2663" s="86" t="s">
        <v>580</v>
      </c>
      <c r="E2663" s="86" t="s">
        <v>581</v>
      </c>
      <c r="F2663" s="69">
        <v>5700.0</v>
      </c>
      <c r="G2663" s="69">
        <v>53.05</v>
      </c>
      <c r="H2663" s="68">
        <f t="shared" si="1"/>
        <v>422.21</v>
      </c>
      <c r="I2663" s="81">
        <f>IFERROR(__xludf.DUMMYFUNCTION("IF(G2663="""", """", ROUND(G2663 / MAX(FILTER($G$2:$G5067, $D$2:$D5067=$D2663)) * 100, 2))"),97.79)</f>
        <v>97.79</v>
      </c>
      <c r="J2663" s="81">
        <f>IFERROR(__xludf.DUMMYFUNCTION("IF(H2663="""", """", ROUND(H2663 / MAX(FILTER($H$2:$H5067, $D$2:$D5067=$D2663)) * 100, 2))"),100.0)</f>
        <v>100</v>
      </c>
      <c r="K2663" s="2"/>
      <c r="L2663" s="48"/>
      <c r="M2663" s="48"/>
      <c r="N2663" s="48"/>
      <c r="O2663" s="48" t="str">
        <f t="shared" si="2"/>
        <v/>
      </c>
      <c r="P2663" s="48" t="str">
        <f t="shared" si="3"/>
        <v/>
      </c>
      <c r="Q2663" s="84"/>
      <c r="R2663" s="84"/>
      <c r="S2663" s="84"/>
      <c r="T2663" s="84"/>
      <c r="U2663" s="84"/>
      <c r="V2663" s="84"/>
      <c r="W2663" s="84"/>
      <c r="X2663" s="84"/>
      <c r="Y2663" s="84"/>
      <c r="Z2663" s="84"/>
      <c r="AA2663" s="84"/>
      <c r="AB2663" s="84"/>
    </row>
    <row r="2664">
      <c r="A2664" s="63">
        <v>177.0</v>
      </c>
      <c r="B2664" s="63">
        <v>293.0</v>
      </c>
      <c r="C2664" s="64" t="s">
        <v>579</v>
      </c>
      <c r="D2664" s="64" t="s">
        <v>580</v>
      </c>
      <c r="E2664" s="64" t="s">
        <v>581</v>
      </c>
      <c r="F2664" s="63">
        <v>6000.0</v>
      </c>
      <c r="G2664" s="63">
        <v>50.04</v>
      </c>
      <c r="H2664" s="66">
        <f t="shared" si="1"/>
        <v>419.21</v>
      </c>
      <c r="I2664" s="81">
        <f>IFERROR(__xludf.DUMMYFUNCTION("IF(G2664="""", """", ROUND(G2664 / MAX(FILTER($G$2:$G5067, $D$2:$D5067=$D2664)) * 100, 2))"),92.24)</f>
        <v>92.24</v>
      </c>
      <c r="J2664" s="81">
        <f>IFERROR(__xludf.DUMMYFUNCTION("IF(H2664="""", """", ROUND(H2664 / MAX(FILTER($H$2:$H5067, $D$2:$D5067=$D2664)) * 100, 2))"),99.29)</f>
        <v>99.29</v>
      </c>
      <c r="K2664" s="2"/>
      <c r="L2664" s="49"/>
      <c r="M2664" s="49"/>
      <c r="N2664" s="49"/>
      <c r="O2664" s="49" t="str">
        <f t="shared" si="2"/>
        <v/>
      </c>
      <c r="P2664" s="49" t="str">
        <f t="shared" si="3"/>
        <v/>
      </c>
      <c r="Q2664" s="84"/>
      <c r="R2664" s="84"/>
      <c r="S2664" s="84"/>
      <c r="T2664" s="84"/>
      <c r="U2664" s="84"/>
      <c r="V2664" s="84"/>
      <c r="W2664" s="84"/>
      <c r="X2664" s="84"/>
      <c r="Y2664" s="84"/>
      <c r="Z2664" s="84"/>
      <c r="AA2664" s="84"/>
      <c r="AB2664" s="84"/>
    </row>
    <row r="2665">
      <c r="A2665" s="69">
        <v>177.0</v>
      </c>
      <c r="B2665" s="69">
        <v>293.0</v>
      </c>
      <c r="C2665" s="86" t="s">
        <v>579</v>
      </c>
      <c r="D2665" s="86" t="s">
        <v>580</v>
      </c>
      <c r="E2665" s="86" t="s">
        <v>581</v>
      </c>
      <c r="F2665" s="69">
        <v>6500.0</v>
      </c>
      <c r="G2665" s="69">
        <v>44.85</v>
      </c>
      <c r="H2665" s="68">
        <f t="shared" si="1"/>
        <v>407.04</v>
      </c>
      <c r="I2665" s="81">
        <f>IFERROR(__xludf.DUMMYFUNCTION("IF(G2665="""", """", ROUND(G2665 / MAX(FILTER($G$2:$G5067, $D$2:$D5067=$D2665)) * 100, 2))"),82.67)</f>
        <v>82.67</v>
      </c>
      <c r="J2665" s="81">
        <f>IFERROR(__xludf.DUMMYFUNCTION("IF(H2665="""", """", ROUND(H2665 / MAX(FILTER($H$2:$H5067, $D$2:$D5067=$D2665)) * 100, 2))"),96.41)</f>
        <v>96.41</v>
      </c>
      <c r="K2665" s="2"/>
      <c r="L2665" s="48"/>
      <c r="M2665" s="48"/>
      <c r="N2665" s="48"/>
      <c r="O2665" s="48" t="str">
        <f t="shared" si="2"/>
        <v/>
      </c>
      <c r="P2665" s="48" t="str">
        <f t="shared" si="3"/>
        <v/>
      </c>
      <c r="Q2665" s="84"/>
      <c r="R2665" s="84"/>
      <c r="S2665" s="84"/>
      <c r="T2665" s="84"/>
      <c r="U2665" s="84"/>
      <c r="V2665" s="84"/>
      <c r="W2665" s="84"/>
      <c r="X2665" s="84"/>
      <c r="Y2665" s="84"/>
      <c r="Z2665" s="84"/>
      <c r="AA2665" s="84"/>
      <c r="AB2665" s="84"/>
    </row>
    <row r="2666">
      <c r="A2666" s="63">
        <v>177.0</v>
      </c>
      <c r="B2666" s="63">
        <v>293.0</v>
      </c>
      <c r="C2666" s="64" t="s">
        <v>579</v>
      </c>
      <c r="D2666" s="64" t="s">
        <v>580</v>
      </c>
      <c r="E2666" s="64" t="s">
        <v>581</v>
      </c>
      <c r="F2666" s="63">
        <v>7000.0</v>
      </c>
      <c r="G2666" s="63">
        <v>36.5</v>
      </c>
      <c r="H2666" s="66">
        <f t="shared" si="1"/>
        <v>356.74</v>
      </c>
      <c r="I2666" s="81">
        <f>IFERROR(__xludf.DUMMYFUNCTION("IF(G2666="""", """", ROUND(G2666 / MAX(FILTER($G$2:$G5067, $D$2:$D5067=$D2666)) * 100, 2))"),67.28)</f>
        <v>67.28</v>
      </c>
      <c r="J2666" s="81">
        <f>IFERROR(__xludf.DUMMYFUNCTION("IF(H2666="""", """", ROUND(H2666 / MAX(FILTER($H$2:$H5067, $D$2:$D5067=$D2666)) * 100, 2))"),84.49)</f>
        <v>84.49</v>
      </c>
      <c r="K2666" s="2"/>
      <c r="L2666" s="49"/>
      <c r="M2666" s="49"/>
      <c r="N2666" s="49"/>
      <c r="O2666" s="49" t="str">
        <f t="shared" si="2"/>
        <v/>
      </c>
      <c r="P2666" s="49" t="str">
        <f t="shared" si="3"/>
        <v/>
      </c>
      <c r="Q2666" s="84"/>
      <c r="R2666" s="84"/>
      <c r="S2666" s="84"/>
      <c r="T2666" s="84"/>
      <c r="U2666" s="84"/>
      <c r="V2666" s="84"/>
      <c r="W2666" s="84"/>
      <c r="X2666" s="84"/>
      <c r="Y2666" s="84"/>
      <c r="Z2666" s="84"/>
      <c r="AA2666" s="84"/>
      <c r="AB2666" s="84"/>
    </row>
    <row r="2667">
      <c r="A2667" s="69">
        <v>178.0</v>
      </c>
      <c r="B2667" s="69">
        <v>295.0</v>
      </c>
      <c r="C2667" s="86" t="s">
        <v>582</v>
      </c>
      <c r="D2667" s="86" t="s">
        <v>583</v>
      </c>
      <c r="E2667" s="86" t="s">
        <v>584</v>
      </c>
      <c r="F2667" s="69">
        <v>500.0</v>
      </c>
      <c r="G2667" s="69">
        <v>41.78</v>
      </c>
      <c r="H2667" s="68">
        <f t="shared" si="1"/>
        <v>29.17</v>
      </c>
      <c r="I2667" s="81">
        <f>IFERROR(__xludf.DUMMYFUNCTION("IF(G2667="""", """", ROUND(G2667 / MAX(FILTER($G$2:$G5067, $D$2:$D5067=$D2667)) * 100, 2))"),78.58)</f>
        <v>78.58</v>
      </c>
      <c r="J2667" s="81">
        <f>IFERROR(__xludf.DUMMYFUNCTION("IF(H2667="""", """", ROUND(H2667 / MAX(FILTER($H$2:$H5067, $D$2:$D5067=$D2667)) * 100, 2))"),6.49)</f>
        <v>6.49</v>
      </c>
      <c r="K2667" s="2"/>
      <c r="L2667" s="48"/>
      <c r="M2667" s="48"/>
      <c r="N2667" s="48"/>
      <c r="O2667" s="48" t="str">
        <f t="shared" si="2"/>
        <v/>
      </c>
      <c r="P2667" s="48" t="str">
        <f t="shared" si="3"/>
        <v/>
      </c>
      <c r="Q2667" s="84"/>
      <c r="R2667" s="84"/>
      <c r="S2667" s="84"/>
      <c r="T2667" s="84"/>
      <c r="U2667" s="84"/>
      <c r="V2667" s="84"/>
      <c r="W2667" s="84"/>
      <c r="X2667" s="84"/>
      <c r="Y2667" s="84"/>
      <c r="Z2667" s="84"/>
      <c r="AA2667" s="84"/>
      <c r="AB2667" s="84"/>
    </row>
    <row r="2668">
      <c r="A2668" s="63">
        <v>178.0</v>
      </c>
      <c r="B2668" s="63">
        <v>295.0</v>
      </c>
      <c r="C2668" s="64" t="s">
        <v>582</v>
      </c>
      <c r="D2668" s="64" t="s">
        <v>583</v>
      </c>
      <c r="E2668" s="64" t="s">
        <v>584</v>
      </c>
      <c r="F2668" s="63">
        <v>1000.0</v>
      </c>
      <c r="G2668" s="63">
        <v>48.47</v>
      </c>
      <c r="H2668" s="66">
        <f t="shared" si="1"/>
        <v>67.68</v>
      </c>
      <c r="I2668" s="81">
        <f>IFERROR(__xludf.DUMMYFUNCTION("IF(G2668="""", """", ROUND(G2668 / MAX(FILTER($G$2:$G5067, $D$2:$D5067=$D2668)) * 100, 2))"),91.16)</f>
        <v>91.16</v>
      </c>
      <c r="J2668" s="81">
        <f>IFERROR(__xludf.DUMMYFUNCTION("IF(H2668="""", """", ROUND(H2668 / MAX(FILTER($H$2:$H5067, $D$2:$D5067=$D2668)) * 100, 2))"),15.05)</f>
        <v>15.05</v>
      </c>
      <c r="K2668" s="2"/>
      <c r="L2668" s="49"/>
      <c r="M2668" s="49"/>
      <c r="N2668" s="49"/>
      <c r="O2668" s="49" t="str">
        <f t="shared" si="2"/>
        <v/>
      </c>
      <c r="P2668" s="49" t="str">
        <f t="shared" si="3"/>
        <v/>
      </c>
      <c r="Q2668" s="84"/>
      <c r="R2668" s="84"/>
      <c r="S2668" s="84"/>
      <c r="T2668" s="84"/>
      <c r="U2668" s="84"/>
      <c r="V2668" s="84"/>
      <c r="W2668" s="84"/>
      <c r="X2668" s="84"/>
      <c r="Y2668" s="84"/>
      <c r="Z2668" s="84"/>
      <c r="AA2668" s="84"/>
      <c r="AB2668" s="84"/>
    </row>
    <row r="2669">
      <c r="A2669" s="69">
        <v>178.0</v>
      </c>
      <c r="B2669" s="69">
        <v>295.0</v>
      </c>
      <c r="C2669" s="86" t="s">
        <v>582</v>
      </c>
      <c r="D2669" s="86" t="s">
        <v>583</v>
      </c>
      <c r="E2669" s="86" t="s">
        <v>584</v>
      </c>
      <c r="F2669" s="69">
        <v>1500.0</v>
      </c>
      <c r="G2669" s="69">
        <v>50.58</v>
      </c>
      <c r="H2669" s="68">
        <f t="shared" si="1"/>
        <v>105.93</v>
      </c>
      <c r="I2669" s="81">
        <f>IFERROR(__xludf.DUMMYFUNCTION("IF(G2669="""", """", ROUND(G2669 / MAX(FILTER($G$2:$G5067, $D$2:$D5067=$D2669)) * 100, 2))"),95.13)</f>
        <v>95.13</v>
      </c>
      <c r="J2669" s="81">
        <f>IFERROR(__xludf.DUMMYFUNCTION("IF(H2669="""", """", ROUND(H2669 / MAX(FILTER($H$2:$H5067, $D$2:$D5067=$D2669)) * 100, 2))"),23.56)</f>
        <v>23.56</v>
      </c>
      <c r="K2669" s="2"/>
      <c r="L2669" s="48"/>
      <c r="M2669" s="48"/>
      <c r="N2669" s="48"/>
      <c r="O2669" s="48" t="str">
        <f t="shared" si="2"/>
        <v/>
      </c>
      <c r="P2669" s="48" t="str">
        <f t="shared" si="3"/>
        <v/>
      </c>
      <c r="Q2669" s="84"/>
      <c r="R2669" s="84"/>
      <c r="S2669" s="84"/>
      <c r="T2669" s="84"/>
      <c r="U2669" s="84"/>
      <c r="V2669" s="84"/>
      <c r="W2669" s="84"/>
      <c r="X2669" s="84"/>
      <c r="Y2669" s="84"/>
      <c r="Z2669" s="84"/>
      <c r="AA2669" s="84"/>
      <c r="AB2669" s="84"/>
    </row>
    <row r="2670">
      <c r="A2670" s="63">
        <v>178.0</v>
      </c>
      <c r="B2670" s="63">
        <v>295.0</v>
      </c>
      <c r="C2670" s="64" t="s">
        <v>582</v>
      </c>
      <c r="D2670" s="64" t="s">
        <v>583</v>
      </c>
      <c r="E2670" s="64" t="s">
        <v>584</v>
      </c>
      <c r="F2670" s="63">
        <v>2000.0</v>
      </c>
      <c r="G2670" s="63">
        <v>50.36</v>
      </c>
      <c r="H2670" s="66">
        <f t="shared" si="1"/>
        <v>140.63</v>
      </c>
      <c r="I2670" s="81">
        <f>IFERROR(__xludf.DUMMYFUNCTION("IF(G2670="""", """", ROUND(G2670 / MAX(FILTER($G$2:$G5067, $D$2:$D5067=$D2670)) * 100, 2))"),94.72)</f>
        <v>94.72</v>
      </c>
      <c r="J2670" s="81">
        <f>IFERROR(__xludf.DUMMYFUNCTION("IF(H2670="""", """", ROUND(H2670 / MAX(FILTER($H$2:$H5067, $D$2:$D5067=$D2670)) * 100, 2))"),31.27)</f>
        <v>31.27</v>
      </c>
      <c r="K2670" s="2"/>
      <c r="L2670" s="49"/>
      <c r="M2670" s="49"/>
      <c r="N2670" s="49"/>
      <c r="O2670" s="49" t="str">
        <f t="shared" si="2"/>
        <v/>
      </c>
      <c r="P2670" s="49" t="str">
        <f t="shared" si="3"/>
        <v/>
      </c>
      <c r="Q2670" s="84"/>
      <c r="R2670" s="84"/>
      <c r="S2670" s="84"/>
      <c r="T2670" s="84"/>
      <c r="U2670" s="84"/>
      <c r="V2670" s="84"/>
      <c r="W2670" s="84"/>
      <c r="X2670" s="84"/>
      <c r="Y2670" s="84"/>
      <c r="Z2670" s="84"/>
      <c r="AA2670" s="84"/>
      <c r="AB2670" s="84"/>
    </row>
    <row r="2671">
      <c r="A2671" s="69">
        <v>178.0</v>
      </c>
      <c r="B2671" s="69">
        <v>295.0</v>
      </c>
      <c r="C2671" s="86" t="s">
        <v>582</v>
      </c>
      <c r="D2671" s="86" t="s">
        <v>583</v>
      </c>
      <c r="E2671" s="86" t="s">
        <v>584</v>
      </c>
      <c r="F2671" s="69">
        <v>2500.0</v>
      </c>
      <c r="G2671" s="69">
        <v>49.85</v>
      </c>
      <c r="H2671" s="68">
        <f t="shared" si="1"/>
        <v>174.01</v>
      </c>
      <c r="I2671" s="81">
        <f>IFERROR(__xludf.DUMMYFUNCTION("IF(G2671="""", """", ROUND(G2671 / MAX(FILTER($G$2:$G5067, $D$2:$D5067=$D2671)) * 100, 2))"),93.76)</f>
        <v>93.76</v>
      </c>
      <c r="J2671" s="81">
        <f>IFERROR(__xludf.DUMMYFUNCTION("IF(H2671="""", """", ROUND(H2671 / MAX(FILTER($H$2:$H5067, $D$2:$D5067=$D2671)) * 100, 2))"),38.7)</f>
        <v>38.7</v>
      </c>
      <c r="K2671" s="2"/>
      <c r="L2671" s="48"/>
      <c r="M2671" s="48"/>
      <c r="N2671" s="48"/>
      <c r="O2671" s="48" t="str">
        <f t="shared" si="2"/>
        <v/>
      </c>
      <c r="P2671" s="48" t="str">
        <f t="shared" si="3"/>
        <v/>
      </c>
      <c r="Q2671" s="84"/>
      <c r="R2671" s="84"/>
      <c r="S2671" s="84"/>
      <c r="T2671" s="84"/>
      <c r="U2671" s="84"/>
      <c r="V2671" s="84"/>
      <c r="W2671" s="84"/>
      <c r="X2671" s="84"/>
      <c r="Y2671" s="84"/>
      <c r="Z2671" s="84"/>
      <c r="AA2671" s="84"/>
      <c r="AB2671" s="84"/>
    </row>
    <row r="2672">
      <c r="A2672" s="63">
        <v>178.0</v>
      </c>
      <c r="B2672" s="63">
        <v>295.0</v>
      </c>
      <c r="C2672" s="64" t="s">
        <v>582</v>
      </c>
      <c r="D2672" s="64" t="s">
        <v>583</v>
      </c>
      <c r="E2672" s="64" t="s">
        <v>584</v>
      </c>
      <c r="F2672" s="63">
        <v>3000.0</v>
      </c>
      <c r="G2672" s="63">
        <v>50.48</v>
      </c>
      <c r="H2672" s="66">
        <f t="shared" si="1"/>
        <v>211.45</v>
      </c>
      <c r="I2672" s="81">
        <f>IFERROR(__xludf.DUMMYFUNCTION("IF(G2672="""", """", ROUND(G2672 / MAX(FILTER($G$2:$G5067, $D$2:$D5067=$D2672)) * 100, 2))"),94.94)</f>
        <v>94.94</v>
      </c>
      <c r="J2672" s="81">
        <f>IFERROR(__xludf.DUMMYFUNCTION("IF(H2672="""", """", ROUND(H2672 / MAX(FILTER($H$2:$H5067, $D$2:$D5067=$D2672)) * 100, 2))"),47.02)</f>
        <v>47.02</v>
      </c>
      <c r="K2672" s="2"/>
      <c r="L2672" s="49"/>
      <c r="M2672" s="49"/>
      <c r="N2672" s="49"/>
      <c r="O2672" s="49" t="str">
        <f t="shared" si="2"/>
        <v/>
      </c>
      <c r="P2672" s="49" t="str">
        <f t="shared" si="3"/>
        <v/>
      </c>
      <c r="Q2672" s="84"/>
      <c r="R2672" s="84"/>
      <c r="S2672" s="84"/>
      <c r="T2672" s="84"/>
      <c r="U2672" s="84"/>
      <c r="V2672" s="84"/>
      <c r="W2672" s="84"/>
      <c r="X2672" s="84"/>
      <c r="Y2672" s="84"/>
      <c r="Z2672" s="84"/>
      <c r="AA2672" s="84"/>
      <c r="AB2672" s="84"/>
    </row>
    <row r="2673">
      <c r="A2673" s="69">
        <v>178.0</v>
      </c>
      <c r="B2673" s="69">
        <v>295.0</v>
      </c>
      <c r="C2673" s="86" t="s">
        <v>582</v>
      </c>
      <c r="D2673" s="86" t="s">
        <v>583</v>
      </c>
      <c r="E2673" s="86" t="s">
        <v>584</v>
      </c>
      <c r="F2673" s="69">
        <v>3500.0</v>
      </c>
      <c r="G2673" s="69">
        <v>50.48</v>
      </c>
      <c r="H2673" s="68">
        <f t="shared" si="1"/>
        <v>246.69</v>
      </c>
      <c r="I2673" s="81">
        <f>IFERROR(__xludf.DUMMYFUNCTION("IF(G2673="""", """", ROUND(G2673 / MAX(FILTER($G$2:$G5067, $D$2:$D5067=$D2673)) * 100, 2))"),94.94)</f>
        <v>94.94</v>
      </c>
      <c r="J2673" s="81">
        <f>IFERROR(__xludf.DUMMYFUNCTION("IF(H2673="""", """", ROUND(H2673 / MAX(FILTER($H$2:$H5067, $D$2:$D5067=$D2673)) * 100, 2))"),54.86)</f>
        <v>54.86</v>
      </c>
      <c r="K2673" s="2"/>
      <c r="L2673" s="48"/>
      <c r="M2673" s="48"/>
      <c r="N2673" s="48"/>
      <c r="O2673" s="48" t="str">
        <f t="shared" si="2"/>
        <v/>
      </c>
      <c r="P2673" s="48" t="str">
        <f t="shared" si="3"/>
        <v/>
      </c>
      <c r="Q2673" s="84"/>
      <c r="R2673" s="84"/>
      <c r="S2673" s="84"/>
      <c r="T2673" s="84"/>
      <c r="U2673" s="84"/>
      <c r="V2673" s="84"/>
      <c r="W2673" s="84"/>
      <c r="X2673" s="84"/>
      <c r="Y2673" s="84"/>
      <c r="Z2673" s="84"/>
      <c r="AA2673" s="84"/>
      <c r="AB2673" s="84"/>
    </row>
    <row r="2674">
      <c r="A2674" s="63">
        <v>178.0</v>
      </c>
      <c r="B2674" s="63">
        <v>295.0</v>
      </c>
      <c r="C2674" s="64" t="s">
        <v>582</v>
      </c>
      <c r="D2674" s="64" t="s">
        <v>583</v>
      </c>
      <c r="E2674" s="64" t="s">
        <v>584</v>
      </c>
      <c r="F2674" s="63">
        <v>4000.0</v>
      </c>
      <c r="G2674" s="63">
        <v>50.48</v>
      </c>
      <c r="H2674" s="66">
        <f t="shared" si="1"/>
        <v>281.93</v>
      </c>
      <c r="I2674" s="81">
        <f>IFERROR(__xludf.DUMMYFUNCTION("IF(G2674="""", """", ROUND(G2674 / MAX(FILTER($G$2:$G5067, $D$2:$D5067=$D2674)) * 100, 2))"),94.94)</f>
        <v>94.94</v>
      </c>
      <c r="J2674" s="81">
        <f>IFERROR(__xludf.DUMMYFUNCTION("IF(H2674="""", """", ROUND(H2674 / MAX(FILTER($H$2:$H5067, $D$2:$D5067=$D2674)) * 100, 2))"),62.7)</f>
        <v>62.7</v>
      </c>
      <c r="K2674" s="2"/>
      <c r="L2674" s="49"/>
      <c r="M2674" s="49"/>
      <c r="N2674" s="49"/>
      <c r="O2674" s="49" t="str">
        <f t="shared" si="2"/>
        <v/>
      </c>
      <c r="P2674" s="49" t="str">
        <f t="shared" si="3"/>
        <v/>
      </c>
      <c r="Q2674" s="84"/>
      <c r="R2674" s="84"/>
      <c r="S2674" s="84"/>
      <c r="T2674" s="84"/>
      <c r="U2674" s="84"/>
      <c r="V2674" s="84"/>
      <c r="W2674" s="84"/>
      <c r="X2674" s="84"/>
      <c r="Y2674" s="84"/>
      <c r="Z2674" s="84"/>
      <c r="AA2674" s="84"/>
      <c r="AB2674" s="84"/>
    </row>
    <row r="2675">
      <c r="A2675" s="69">
        <v>178.0</v>
      </c>
      <c r="B2675" s="69">
        <v>295.0</v>
      </c>
      <c r="C2675" s="86" t="s">
        <v>582</v>
      </c>
      <c r="D2675" s="86" t="s">
        <v>583</v>
      </c>
      <c r="E2675" s="86" t="s">
        <v>584</v>
      </c>
      <c r="F2675" s="69">
        <v>4500.0</v>
      </c>
      <c r="G2675" s="69">
        <v>50.99</v>
      </c>
      <c r="H2675" s="68">
        <f t="shared" si="1"/>
        <v>320.38</v>
      </c>
      <c r="I2675" s="81">
        <f>IFERROR(__xludf.DUMMYFUNCTION("IF(G2675="""", """", ROUND(G2675 / MAX(FILTER($G$2:$G5067, $D$2:$D5067=$D2675)) * 100, 2))"),95.9)</f>
        <v>95.9</v>
      </c>
      <c r="J2675" s="81">
        <f>IFERROR(__xludf.DUMMYFUNCTION("IF(H2675="""", """", ROUND(H2675 / MAX(FILTER($H$2:$H5067, $D$2:$D5067=$D2675)) * 100, 2))"),71.25)</f>
        <v>71.25</v>
      </c>
      <c r="K2675" s="2"/>
      <c r="L2675" s="48"/>
      <c r="M2675" s="48"/>
      <c r="N2675" s="48"/>
      <c r="O2675" s="48" t="str">
        <f t="shared" si="2"/>
        <v/>
      </c>
      <c r="P2675" s="48" t="str">
        <f t="shared" si="3"/>
        <v/>
      </c>
      <c r="Q2675" s="84"/>
      <c r="R2675" s="84"/>
      <c r="S2675" s="84"/>
      <c r="T2675" s="84"/>
      <c r="U2675" s="84"/>
      <c r="V2675" s="84"/>
      <c r="W2675" s="84"/>
      <c r="X2675" s="84"/>
      <c r="Y2675" s="84"/>
      <c r="Z2675" s="84"/>
      <c r="AA2675" s="84"/>
      <c r="AB2675" s="84"/>
    </row>
    <row r="2676">
      <c r="A2676" s="63">
        <v>178.0</v>
      </c>
      <c r="B2676" s="63">
        <v>295.0</v>
      </c>
      <c r="C2676" s="64" t="s">
        <v>582</v>
      </c>
      <c r="D2676" s="64" t="s">
        <v>583</v>
      </c>
      <c r="E2676" s="64" t="s">
        <v>584</v>
      </c>
      <c r="F2676" s="63">
        <v>5000.0</v>
      </c>
      <c r="G2676" s="63">
        <v>52.54</v>
      </c>
      <c r="H2676" s="66">
        <f t="shared" si="1"/>
        <v>366.8</v>
      </c>
      <c r="I2676" s="81">
        <f>IFERROR(__xludf.DUMMYFUNCTION("IF(G2676="""", """", ROUND(G2676 / MAX(FILTER($G$2:$G5067, $D$2:$D5067=$D2676)) * 100, 2))"),98.82)</f>
        <v>98.82</v>
      </c>
      <c r="J2676" s="81">
        <f>IFERROR(__xludf.DUMMYFUNCTION("IF(H2676="""", """", ROUND(H2676 / MAX(FILTER($H$2:$H5067, $D$2:$D5067=$D2676)) * 100, 2))"),81.57)</f>
        <v>81.57</v>
      </c>
      <c r="K2676" s="2"/>
      <c r="L2676" s="49"/>
      <c r="M2676" s="49"/>
      <c r="N2676" s="49"/>
      <c r="O2676" s="49" t="str">
        <f t="shared" si="2"/>
        <v/>
      </c>
      <c r="P2676" s="49" t="str">
        <f t="shared" si="3"/>
        <v/>
      </c>
      <c r="Q2676" s="84"/>
      <c r="R2676" s="84"/>
      <c r="S2676" s="84"/>
      <c r="T2676" s="84"/>
      <c r="U2676" s="84"/>
      <c r="V2676" s="84"/>
      <c r="W2676" s="84"/>
      <c r="X2676" s="84"/>
      <c r="Y2676" s="84"/>
      <c r="Z2676" s="84"/>
      <c r="AA2676" s="84"/>
      <c r="AB2676" s="84"/>
    </row>
    <row r="2677">
      <c r="A2677" s="69">
        <v>178.0</v>
      </c>
      <c r="B2677" s="69">
        <v>295.0</v>
      </c>
      <c r="C2677" s="86" t="s">
        <v>582</v>
      </c>
      <c r="D2677" s="86" t="s">
        <v>583</v>
      </c>
      <c r="E2677" s="86" t="s">
        <v>584</v>
      </c>
      <c r="F2677" s="69">
        <v>5500.0</v>
      </c>
      <c r="G2677" s="69">
        <v>53.17</v>
      </c>
      <c r="H2677" s="68">
        <f t="shared" si="1"/>
        <v>408.31</v>
      </c>
      <c r="I2677" s="81">
        <f>IFERROR(__xludf.DUMMYFUNCTION("IF(G2677="""", """", ROUND(G2677 / MAX(FILTER($G$2:$G5067, $D$2:$D5067=$D2677)) * 100, 2))"),100.0)</f>
        <v>100</v>
      </c>
      <c r="J2677" s="81">
        <f>IFERROR(__xludf.DUMMYFUNCTION("IF(H2677="""", """", ROUND(H2677 / MAX(FILTER($H$2:$H5067, $D$2:$D5067=$D2677)) * 100, 2))"),90.8)</f>
        <v>90.8</v>
      </c>
      <c r="K2677" s="2"/>
      <c r="L2677" s="48"/>
      <c r="M2677" s="48"/>
      <c r="N2677" s="48"/>
      <c r="O2677" s="48" t="str">
        <f t="shared" si="2"/>
        <v/>
      </c>
      <c r="P2677" s="48" t="str">
        <f t="shared" si="3"/>
        <v/>
      </c>
      <c r="Q2677" s="84"/>
      <c r="R2677" s="84"/>
      <c r="S2677" s="84"/>
      <c r="T2677" s="84"/>
      <c r="U2677" s="84"/>
      <c r="V2677" s="84"/>
      <c r="W2677" s="84"/>
      <c r="X2677" s="84"/>
      <c r="Y2677" s="84"/>
      <c r="Z2677" s="84"/>
      <c r="AA2677" s="84"/>
      <c r="AB2677" s="84"/>
    </row>
    <row r="2678">
      <c r="A2678" s="63">
        <v>178.0</v>
      </c>
      <c r="B2678" s="63">
        <v>295.0</v>
      </c>
      <c r="C2678" s="64" t="s">
        <v>582</v>
      </c>
      <c r="D2678" s="64" t="s">
        <v>583</v>
      </c>
      <c r="E2678" s="64" t="s">
        <v>584</v>
      </c>
      <c r="F2678" s="63">
        <v>6000.0</v>
      </c>
      <c r="G2678" s="63">
        <v>51.88</v>
      </c>
      <c r="H2678" s="66">
        <f t="shared" si="1"/>
        <v>434.63</v>
      </c>
      <c r="I2678" s="81">
        <f>IFERROR(__xludf.DUMMYFUNCTION("IF(G2678="""", """", ROUND(G2678 / MAX(FILTER($G$2:$G5067, $D$2:$D5067=$D2678)) * 100, 2))"),97.57)</f>
        <v>97.57</v>
      </c>
      <c r="J2678" s="81">
        <f>IFERROR(__xludf.DUMMYFUNCTION("IF(H2678="""", """", ROUND(H2678 / MAX(FILTER($H$2:$H5067, $D$2:$D5067=$D2678)) * 100, 2))"),96.66)</f>
        <v>96.66</v>
      </c>
      <c r="K2678" s="2"/>
      <c r="L2678" s="49"/>
      <c r="M2678" s="49"/>
      <c r="N2678" s="49"/>
      <c r="O2678" s="49" t="str">
        <f t="shared" si="2"/>
        <v/>
      </c>
      <c r="P2678" s="49" t="str">
        <f t="shared" si="3"/>
        <v/>
      </c>
      <c r="Q2678" s="84"/>
      <c r="R2678" s="84"/>
      <c r="S2678" s="84"/>
      <c r="T2678" s="84"/>
      <c r="U2678" s="84"/>
      <c r="V2678" s="84"/>
      <c r="W2678" s="84"/>
      <c r="X2678" s="84"/>
      <c r="Y2678" s="84"/>
      <c r="Z2678" s="84"/>
      <c r="AA2678" s="84"/>
      <c r="AB2678" s="84"/>
    </row>
    <row r="2679">
      <c r="A2679" s="69">
        <v>178.0</v>
      </c>
      <c r="B2679" s="69">
        <v>295.0</v>
      </c>
      <c r="C2679" s="86" t="s">
        <v>582</v>
      </c>
      <c r="D2679" s="86" t="s">
        <v>583</v>
      </c>
      <c r="E2679" s="86" t="s">
        <v>584</v>
      </c>
      <c r="F2679" s="69">
        <v>6800.0</v>
      </c>
      <c r="G2679" s="69">
        <v>47.36</v>
      </c>
      <c r="H2679" s="68">
        <f t="shared" si="1"/>
        <v>449.66</v>
      </c>
      <c r="I2679" s="81">
        <f>IFERROR(__xludf.DUMMYFUNCTION("IF(G2679="""", """", ROUND(G2679 / MAX(FILTER($G$2:$G5067, $D$2:$D5067=$D2679)) * 100, 2))"),89.07)</f>
        <v>89.07</v>
      </c>
      <c r="J2679" s="81">
        <f>IFERROR(__xludf.DUMMYFUNCTION("IF(H2679="""", """", ROUND(H2679 / MAX(FILTER($H$2:$H5067, $D$2:$D5067=$D2679)) * 100, 2))"),100.0)</f>
        <v>100</v>
      </c>
      <c r="K2679" s="2"/>
      <c r="L2679" s="48"/>
      <c r="M2679" s="48"/>
      <c r="N2679" s="48"/>
      <c r="O2679" s="48" t="str">
        <f t="shared" si="2"/>
        <v/>
      </c>
      <c r="P2679" s="48" t="str">
        <f t="shared" si="3"/>
        <v/>
      </c>
      <c r="Q2679" s="84"/>
      <c r="R2679" s="84"/>
      <c r="S2679" s="84"/>
      <c r="T2679" s="84"/>
      <c r="U2679" s="84"/>
      <c r="V2679" s="84"/>
      <c r="W2679" s="84"/>
      <c r="X2679" s="84"/>
      <c r="Y2679" s="84"/>
      <c r="Z2679" s="84"/>
      <c r="AA2679" s="84"/>
      <c r="AB2679" s="84"/>
    </row>
    <row r="2680">
      <c r="A2680" s="63">
        <v>178.0</v>
      </c>
      <c r="B2680" s="63">
        <v>295.0</v>
      </c>
      <c r="C2680" s="64" t="s">
        <v>582</v>
      </c>
      <c r="D2680" s="64" t="s">
        <v>583</v>
      </c>
      <c r="E2680" s="64" t="s">
        <v>584</v>
      </c>
      <c r="F2680" s="63">
        <v>7000.0</v>
      </c>
      <c r="G2680" s="63">
        <v>45.67</v>
      </c>
      <c r="H2680" s="66">
        <f t="shared" si="1"/>
        <v>446.37</v>
      </c>
      <c r="I2680" s="81">
        <f>IFERROR(__xludf.DUMMYFUNCTION("IF(G2680="""", """", ROUND(G2680 / MAX(FILTER($G$2:$G5067, $D$2:$D5067=$D2680)) * 100, 2))"),85.89)</f>
        <v>85.89</v>
      </c>
      <c r="J2680" s="81">
        <f>IFERROR(__xludf.DUMMYFUNCTION("IF(H2680="""", """", ROUND(H2680 / MAX(FILTER($H$2:$H5067, $D$2:$D5067=$D2680)) * 100, 2))"),99.27)</f>
        <v>99.27</v>
      </c>
      <c r="K2680" s="2"/>
      <c r="L2680" s="49"/>
      <c r="M2680" s="49"/>
      <c r="N2680" s="49"/>
      <c r="O2680" s="49" t="str">
        <f t="shared" si="2"/>
        <v/>
      </c>
      <c r="P2680" s="49" t="str">
        <f t="shared" si="3"/>
        <v/>
      </c>
      <c r="Q2680" s="84"/>
      <c r="R2680" s="84"/>
      <c r="S2680" s="84"/>
      <c r="T2680" s="84"/>
      <c r="U2680" s="84"/>
      <c r="V2680" s="84"/>
      <c r="W2680" s="84"/>
      <c r="X2680" s="84"/>
      <c r="Y2680" s="84"/>
      <c r="Z2680" s="84"/>
      <c r="AA2680" s="84"/>
      <c r="AB2680" s="84"/>
    </row>
    <row r="2681">
      <c r="A2681" s="69">
        <v>178.0</v>
      </c>
      <c r="B2681" s="69">
        <v>295.0</v>
      </c>
      <c r="C2681" s="86" t="s">
        <v>582</v>
      </c>
      <c r="D2681" s="86" t="s">
        <v>583</v>
      </c>
      <c r="E2681" s="86" t="s">
        <v>584</v>
      </c>
      <c r="F2681" s="69">
        <v>7500.0</v>
      </c>
      <c r="G2681" s="69">
        <v>40.76</v>
      </c>
      <c r="H2681" s="68">
        <f t="shared" si="1"/>
        <v>426.84</v>
      </c>
      <c r="I2681" s="81">
        <f>IFERROR(__xludf.DUMMYFUNCTION("IF(G2681="""", """", ROUND(G2681 / MAX(FILTER($G$2:$G5067, $D$2:$D5067=$D2681)) * 100, 2))"),76.66)</f>
        <v>76.66</v>
      </c>
      <c r="J2681" s="81">
        <f>IFERROR(__xludf.DUMMYFUNCTION("IF(H2681="""", """", ROUND(H2681 / MAX(FILTER($H$2:$H5067, $D$2:$D5067=$D2681)) * 100, 2))"),94.93)</f>
        <v>94.93</v>
      </c>
      <c r="K2681" s="2"/>
      <c r="L2681" s="48"/>
      <c r="M2681" s="48"/>
      <c r="N2681" s="48"/>
      <c r="O2681" s="48" t="str">
        <f t="shared" si="2"/>
        <v/>
      </c>
      <c r="P2681" s="48" t="str">
        <f t="shared" si="3"/>
        <v/>
      </c>
      <c r="Q2681" s="84"/>
      <c r="R2681" s="84"/>
      <c r="S2681" s="84"/>
      <c r="T2681" s="84"/>
      <c r="U2681" s="84"/>
      <c r="V2681" s="84"/>
      <c r="W2681" s="84"/>
      <c r="X2681" s="84"/>
      <c r="Y2681" s="84"/>
      <c r="Z2681" s="84"/>
      <c r="AA2681" s="84"/>
      <c r="AB2681" s="84"/>
    </row>
    <row r="2682">
      <c r="A2682" s="63">
        <v>178.0</v>
      </c>
      <c r="B2682" s="63">
        <v>295.0</v>
      </c>
      <c r="C2682" s="64" t="s">
        <v>582</v>
      </c>
      <c r="D2682" s="64" t="s">
        <v>583</v>
      </c>
      <c r="E2682" s="64" t="s">
        <v>584</v>
      </c>
      <c r="F2682" s="63">
        <v>8000.0</v>
      </c>
      <c r="G2682" s="63">
        <v>33.9</v>
      </c>
      <c r="H2682" s="66">
        <f t="shared" si="1"/>
        <v>378.67</v>
      </c>
      <c r="I2682" s="81">
        <f>IFERROR(__xludf.DUMMYFUNCTION("IF(G2682="""", """", ROUND(G2682 / MAX(FILTER($G$2:$G5067, $D$2:$D5067=$D2682)) * 100, 2))"),63.76)</f>
        <v>63.76</v>
      </c>
      <c r="J2682" s="81">
        <f>IFERROR(__xludf.DUMMYFUNCTION("IF(H2682="""", """", ROUND(H2682 / MAX(FILTER($H$2:$H5067, $D$2:$D5067=$D2682)) * 100, 2))"),84.21)</f>
        <v>84.21</v>
      </c>
      <c r="K2682" s="2"/>
      <c r="L2682" s="49"/>
      <c r="M2682" s="49"/>
      <c r="N2682" s="49"/>
      <c r="O2682" s="49" t="str">
        <f t="shared" si="2"/>
        <v/>
      </c>
      <c r="P2682" s="49" t="str">
        <f t="shared" si="3"/>
        <v/>
      </c>
      <c r="Q2682" s="84"/>
      <c r="R2682" s="84"/>
      <c r="S2682" s="84"/>
      <c r="T2682" s="84"/>
      <c r="U2682" s="84"/>
      <c r="V2682" s="84"/>
      <c r="W2682" s="84"/>
      <c r="X2682" s="84"/>
      <c r="Y2682" s="84"/>
      <c r="Z2682" s="84"/>
      <c r="AA2682" s="84"/>
      <c r="AB2682" s="84"/>
    </row>
    <row r="2683">
      <c r="A2683" s="69">
        <v>179.0</v>
      </c>
      <c r="B2683" s="69">
        <v>296.0</v>
      </c>
      <c r="C2683" s="86" t="s">
        <v>585</v>
      </c>
      <c r="D2683" s="86" t="s">
        <v>586</v>
      </c>
      <c r="E2683" s="86" t="s">
        <v>587</v>
      </c>
      <c r="F2683" s="69">
        <v>500.0</v>
      </c>
      <c r="G2683" s="69">
        <v>22.1</v>
      </c>
      <c r="H2683" s="68">
        <f t="shared" si="1"/>
        <v>15.43</v>
      </c>
      <c r="I2683" s="81">
        <f>IFERROR(__xludf.DUMMYFUNCTION("IF(G2683="""", """", ROUND(G2683 / MAX(FILTER($G$2:$G5067, $D$2:$D5067=$D2683)) * 100, 2))"),44.2)</f>
        <v>44.2</v>
      </c>
      <c r="J2683" s="81">
        <f>IFERROR(__xludf.DUMMYFUNCTION("IF(H2683="""", """", ROUND(H2683 / MAX(FILTER($H$2:$H5067, $D$2:$D5067=$D2683)) * 100, 2))"),3.44)</f>
        <v>3.44</v>
      </c>
      <c r="K2683" s="2"/>
      <c r="L2683" s="48"/>
      <c r="M2683" s="48"/>
      <c r="N2683" s="48"/>
      <c r="O2683" s="48" t="str">
        <f t="shared" si="2"/>
        <v/>
      </c>
      <c r="P2683" s="48" t="str">
        <f t="shared" si="3"/>
        <v/>
      </c>
      <c r="Q2683" s="84"/>
      <c r="R2683" s="84"/>
      <c r="S2683" s="84"/>
      <c r="T2683" s="84"/>
      <c r="U2683" s="84"/>
      <c r="V2683" s="84"/>
      <c r="W2683" s="84"/>
      <c r="X2683" s="84"/>
      <c r="Y2683" s="84"/>
      <c r="Z2683" s="84"/>
      <c r="AA2683" s="84"/>
      <c r="AB2683" s="84"/>
    </row>
    <row r="2684">
      <c r="A2684" s="63">
        <v>179.0</v>
      </c>
      <c r="B2684" s="63">
        <v>296.0</v>
      </c>
      <c r="C2684" s="64" t="s">
        <v>585</v>
      </c>
      <c r="D2684" s="64" t="s">
        <v>586</v>
      </c>
      <c r="E2684" s="64" t="s">
        <v>587</v>
      </c>
      <c r="F2684" s="63">
        <v>1000.0</v>
      </c>
      <c r="G2684" s="63">
        <v>29.55</v>
      </c>
      <c r="H2684" s="66">
        <f t="shared" si="1"/>
        <v>41.26</v>
      </c>
      <c r="I2684" s="81">
        <f>IFERROR(__xludf.DUMMYFUNCTION("IF(G2684="""", """", ROUND(G2684 / MAX(FILTER($G$2:$G5067, $D$2:$D5067=$D2684)) * 100, 2))"),59.1)</f>
        <v>59.1</v>
      </c>
      <c r="J2684" s="81">
        <f>IFERROR(__xludf.DUMMYFUNCTION("IF(H2684="""", """", ROUND(H2684 / MAX(FILTER($H$2:$H5067, $D$2:$D5067=$D2684)) * 100, 2))"),9.2)</f>
        <v>9.2</v>
      </c>
      <c r="K2684" s="2"/>
      <c r="L2684" s="49"/>
      <c r="M2684" s="49"/>
      <c r="N2684" s="49"/>
      <c r="O2684" s="49" t="str">
        <f t="shared" si="2"/>
        <v/>
      </c>
      <c r="P2684" s="49" t="str">
        <f t="shared" si="3"/>
        <v/>
      </c>
      <c r="Q2684" s="84"/>
      <c r="R2684" s="84"/>
      <c r="S2684" s="84"/>
      <c r="T2684" s="84"/>
      <c r="U2684" s="84"/>
      <c r="V2684" s="84"/>
      <c r="W2684" s="84"/>
      <c r="X2684" s="84"/>
      <c r="Y2684" s="84"/>
      <c r="Z2684" s="84"/>
      <c r="AA2684" s="84"/>
      <c r="AB2684" s="84"/>
    </row>
    <row r="2685">
      <c r="A2685" s="69">
        <v>179.0</v>
      </c>
      <c r="B2685" s="69">
        <v>296.0</v>
      </c>
      <c r="C2685" s="86" t="s">
        <v>585</v>
      </c>
      <c r="D2685" s="86" t="s">
        <v>586</v>
      </c>
      <c r="E2685" s="86" t="s">
        <v>587</v>
      </c>
      <c r="F2685" s="69">
        <v>1500.0</v>
      </c>
      <c r="G2685" s="69">
        <v>33.05</v>
      </c>
      <c r="H2685" s="68">
        <f t="shared" si="1"/>
        <v>69.22</v>
      </c>
      <c r="I2685" s="81">
        <f>IFERROR(__xludf.DUMMYFUNCTION("IF(G2685="""", """", ROUND(G2685 / MAX(FILTER($G$2:$G5067, $D$2:$D5067=$D2685)) * 100, 2))"),66.1)</f>
        <v>66.1</v>
      </c>
      <c r="J2685" s="81">
        <f>IFERROR(__xludf.DUMMYFUNCTION("IF(H2685="""", """", ROUND(H2685 / MAX(FILTER($H$2:$H5067, $D$2:$D5067=$D2685)) * 100, 2))"),15.43)</f>
        <v>15.43</v>
      </c>
      <c r="K2685" s="2"/>
      <c r="L2685" s="48"/>
      <c r="M2685" s="48"/>
      <c r="N2685" s="48"/>
      <c r="O2685" s="48" t="str">
        <f t="shared" si="2"/>
        <v/>
      </c>
      <c r="P2685" s="48" t="str">
        <f t="shared" si="3"/>
        <v/>
      </c>
      <c r="Q2685" s="84"/>
      <c r="R2685" s="84"/>
      <c r="S2685" s="84"/>
      <c r="T2685" s="84"/>
      <c r="U2685" s="84"/>
      <c r="V2685" s="84"/>
      <c r="W2685" s="84"/>
      <c r="X2685" s="84"/>
      <c r="Y2685" s="84"/>
      <c r="Z2685" s="84"/>
      <c r="AA2685" s="84"/>
      <c r="AB2685" s="84"/>
    </row>
    <row r="2686">
      <c r="A2686" s="63">
        <v>179.0</v>
      </c>
      <c r="B2686" s="63">
        <v>296.0</v>
      </c>
      <c r="C2686" s="64" t="s">
        <v>585</v>
      </c>
      <c r="D2686" s="64" t="s">
        <v>586</v>
      </c>
      <c r="E2686" s="64" t="s">
        <v>587</v>
      </c>
      <c r="F2686" s="63">
        <v>2000.0</v>
      </c>
      <c r="G2686" s="63">
        <v>35.55</v>
      </c>
      <c r="H2686" s="66">
        <f t="shared" si="1"/>
        <v>99.27</v>
      </c>
      <c r="I2686" s="81">
        <f>IFERROR(__xludf.DUMMYFUNCTION("IF(G2686="""", """", ROUND(G2686 / MAX(FILTER($G$2:$G5067, $D$2:$D5067=$D2686)) * 100, 2))"),71.1)</f>
        <v>71.1</v>
      </c>
      <c r="J2686" s="81">
        <f>IFERROR(__xludf.DUMMYFUNCTION("IF(H2686="""", """", ROUND(H2686 / MAX(FILTER($H$2:$H5067, $D$2:$D5067=$D2686)) * 100, 2))"),22.13)</f>
        <v>22.13</v>
      </c>
      <c r="K2686" s="2"/>
      <c r="L2686" s="49"/>
      <c r="M2686" s="49"/>
      <c r="N2686" s="49"/>
      <c r="O2686" s="49" t="str">
        <f t="shared" si="2"/>
        <v/>
      </c>
      <c r="P2686" s="49" t="str">
        <f t="shared" si="3"/>
        <v/>
      </c>
      <c r="Q2686" s="84"/>
      <c r="R2686" s="84"/>
      <c r="S2686" s="84"/>
      <c r="T2686" s="84"/>
      <c r="U2686" s="84"/>
      <c r="V2686" s="84"/>
      <c r="W2686" s="84"/>
      <c r="X2686" s="84"/>
      <c r="Y2686" s="84"/>
      <c r="Z2686" s="84"/>
      <c r="AA2686" s="84"/>
      <c r="AB2686" s="84"/>
    </row>
    <row r="2687">
      <c r="A2687" s="69">
        <v>179.0</v>
      </c>
      <c r="B2687" s="69">
        <v>296.0</v>
      </c>
      <c r="C2687" s="86" t="s">
        <v>585</v>
      </c>
      <c r="D2687" s="86" t="s">
        <v>586</v>
      </c>
      <c r="E2687" s="86" t="s">
        <v>587</v>
      </c>
      <c r="F2687" s="69">
        <v>2500.0</v>
      </c>
      <c r="G2687" s="69">
        <v>37.1</v>
      </c>
      <c r="H2687" s="68">
        <f t="shared" si="1"/>
        <v>129.5</v>
      </c>
      <c r="I2687" s="81">
        <f>IFERROR(__xludf.DUMMYFUNCTION("IF(G2687="""", """", ROUND(G2687 / MAX(FILTER($G$2:$G5067, $D$2:$D5067=$D2687)) * 100, 2))"),74.2)</f>
        <v>74.2</v>
      </c>
      <c r="J2687" s="81">
        <f>IFERROR(__xludf.DUMMYFUNCTION("IF(H2687="""", """", ROUND(H2687 / MAX(FILTER($H$2:$H5067, $D$2:$D5067=$D2687)) * 100, 2))"),28.87)</f>
        <v>28.87</v>
      </c>
      <c r="K2687" s="2"/>
      <c r="L2687" s="48"/>
      <c r="M2687" s="48"/>
      <c r="N2687" s="48"/>
      <c r="O2687" s="48" t="str">
        <f t="shared" si="2"/>
        <v/>
      </c>
      <c r="P2687" s="48" t="str">
        <f t="shared" si="3"/>
        <v/>
      </c>
      <c r="Q2687" s="84"/>
      <c r="R2687" s="84"/>
      <c r="S2687" s="84"/>
      <c r="T2687" s="84"/>
      <c r="U2687" s="84"/>
      <c r="V2687" s="84"/>
      <c r="W2687" s="84"/>
      <c r="X2687" s="84"/>
      <c r="Y2687" s="84"/>
      <c r="Z2687" s="84"/>
      <c r="AA2687" s="84"/>
      <c r="AB2687" s="84"/>
    </row>
    <row r="2688">
      <c r="A2688" s="63">
        <v>179.0</v>
      </c>
      <c r="B2688" s="63">
        <v>296.0</v>
      </c>
      <c r="C2688" s="64" t="s">
        <v>585</v>
      </c>
      <c r="D2688" s="64" t="s">
        <v>586</v>
      </c>
      <c r="E2688" s="64" t="s">
        <v>587</v>
      </c>
      <c r="F2688" s="63">
        <v>3000.0</v>
      </c>
      <c r="G2688" s="63">
        <v>38.9</v>
      </c>
      <c r="H2688" s="66">
        <f t="shared" si="1"/>
        <v>162.94</v>
      </c>
      <c r="I2688" s="81">
        <f>IFERROR(__xludf.DUMMYFUNCTION("IF(G2688="""", """", ROUND(G2688 / MAX(FILTER($G$2:$G5067, $D$2:$D5067=$D2688)) * 100, 2))"),77.8)</f>
        <v>77.8</v>
      </c>
      <c r="J2688" s="81">
        <f>IFERROR(__xludf.DUMMYFUNCTION("IF(H2688="""", """", ROUND(H2688 / MAX(FILTER($H$2:$H5067, $D$2:$D5067=$D2688)) * 100, 2))"),36.32)</f>
        <v>36.32</v>
      </c>
      <c r="K2688" s="2"/>
      <c r="L2688" s="49"/>
      <c r="M2688" s="49"/>
      <c r="N2688" s="49"/>
      <c r="O2688" s="49" t="str">
        <f t="shared" si="2"/>
        <v/>
      </c>
      <c r="P2688" s="49" t="str">
        <f t="shared" si="3"/>
        <v/>
      </c>
      <c r="Q2688" s="84"/>
      <c r="R2688" s="84"/>
      <c r="S2688" s="84"/>
      <c r="T2688" s="84"/>
      <c r="U2688" s="84"/>
      <c r="V2688" s="84"/>
      <c r="W2688" s="84"/>
      <c r="X2688" s="84"/>
      <c r="Y2688" s="84"/>
      <c r="Z2688" s="84"/>
      <c r="AA2688" s="84"/>
      <c r="AB2688" s="84"/>
    </row>
    <row r="2689">
      <c r="A2689" s="69">
        <v>179.0</v>
      </c>
      <c r="B2689" s="69">
        <v>296.0</v>
      </c>
      <c r="C2689" s="86" t="s">
        <v>585</v>
      </c>
      <c r="D2689" s="86" t="s">
        <v>586</v>
      </c>
      <c r="E2689" s="86" t="s">
        <v>587</v>
      </c>
      <c r="F2689" s="69">
        <v>3500.0</v>
      </c>
      <c r="G2689" s="69">
        <v>40.2</v>
      </c>
      <c r="H2689" s="68">
        <f t="shared" si="1"/>
        <v>196.45</v>
      </c>
      <c r="I2689" s="81">
        <f>IFERROR(__xludf.DUMMYFUNCTION("IF(G2689="""", """", ROUND(G2689 / MAX(FILTER($G$2:$G5067, $D$2:$D5067=$D2689)) * 100, 2))"),80.4)</f>
        <v>80.4</v>
      </c>
      <c r="J2689" s="81">
        <f>IFERROR(__xludf.DUMMYFUNCTION("IF(H2689="""", """", ROUND(H2689 / MAX(FILTER($H$2:$H5067, $D$2:$D5067=$D2689)) * 100, 2))"),43.79)</f>
        <v>43.79</v>
      </c>
      <c r="K2689" s="2"/>
      <c r="L2689" s="48"/>
      <c r="M2689" s="48"/>
      <c r="N2689" s="48"/>
      <c r="O2689" s="48" t="str">
        <f t="shared" si="2"/>
        <v/>
      </c>
      <c r="P2689" s="48" t="str">
        <f t="shared" si="3"/>
        <v/>
      </c>
      <c r="Q2689" s="84"/>
      <c r="R2689" s="84"/>
      <c r="S2689" s="84"/>
      <c r="T2689" s="84"/>
      <c r="U2689" s="84"/>
      <c r="V2689" s="84"/>
      <c r="W2689" s="84"/>
      <c r="X2689" s="84"/>
      <c r="Y2689" s="84"/>
      <c r="Z2689" s="84"/>
      <c r="AA2689" s="84"/>
      <c r="AB2689" s="84"/>
    </row>
    <row r="2690">
      <c r="A2690" s="63">
        <v>179.0</v>
      </c>
      <c r="B2690" s="63">
        <v>296.0</v>
      </c>
      <c r="C2690" s="64" t="s">
        <v>585</v>
      </c>
      <c r="D2690" s="64" t="s">
        <v>586</v>
      </c>
      <c r="E2690" s="64" t="s">
        <v>587</v>
      </c>
      <c r="F2690" s="63">
        <v>4000.0</v>
      </c>
      <c r="G2690" s="63">
        <v>42.8</v>
      </c>
      <c r="H2690" s="66">
        <f t="shared" si="1"/>
        <v>239.04</v>
      </c>
      <c r="I2690" s="81">
        <f>IFERROR(__xludf.DUMMYFUNCTION("IF(G2690="""", """", ROUND(G2690 / MAX(FILTER($G$2:$G5067, $D$2:$D5067=$D2690)) * 100, 2))"),85.6)</f>
        <v>85.6</v>
      </c>
      <c r="J2690" s="81">
        <f>IFERROR(__xludf.DUMMYFUNCTION("IF(H2690="""", """", ROUND(H2690 / MAX(FILTER($H$2:$H5067, $D$2:$D5067=$D2690)) * 100, 2))"),53.28)</f>
        <v>53.28</v>
      </c>
      <c r="K2690" s="2"/>
      <c r="L2690" s="49"/>
      <c r="M2690" s="49"/>
      <c r="N2690" s="49"/>
      <c r="O2690" s="49" t="str">
        <f t="shared" si="2"/>
        <v/>
      </c>
      <c r="P2690" s="49" t="str">
        <f t="shared" si="3"/>
        <v/>
      </c>
      <c r="Q2690" s="84"/>
      <c r="R2690" s="84"/>
      <c r="S2690" s="84"/>
      <c r="T2690" s="84"/>
      <c r="U2690" s="84"/>
      <c r="V2690" s="84"/>
      <c r="W2690" s="84"/>
      <c r="X2690" s="84"/>
      <c r="Y2690" s="84"/>
      <c r="Z2690" s="84"/>
      <c r="AA2690" s="84"/>
      <c r="AB2690" s="84"/>
    </row>
    <row r="2691">
      <c r="A2691" s="69">
        <v>179.0</v>
      </c>
      <c r="B2691" s="69">
        <v>296.0</v>
      </c>
      <c r="C2691" s="86" t="s">
        <v>585</v>
      </c>
      <c r="D2691" s="86" t="s">
        <v>586</v>
      </c>
      <c r="E2691" s="86" t="s">
        <v>587</v>
      </c>
      <c r="F2691" s="69">
        <v>4500.0</v>
      </c>
      <c r="G2691" s="69">
        <v>46.3</v>
      </c>
      <c r="H2691" s="68">
        <f t="shared" si="1"/>
        <v>290.91</v>
      </c>
      <c r="I2691" s="81">
        <f>IFERROR(__xludf.DUMMYFUNCTION("IF(G2691="""", """", ROUND(G2691 / MAX(FILTER($G$2:$G5067, $D$2:$D5067=$D2691)) * 100, 2))"),92.6)</f>
        <v>92.6</v>
      </c>
      <c r="J2691" s="81">
        <f>IFERROR(__xludf.DUMMYFUNCTION("IF(H2691="""", """", ROUND(H2691 / MAX(FILTER($H$2:$H5067, $D$2:$D5067=$D2691)) * 100, 2))"),64.85)</f>
        <v>64.85</v>
      </c>
      <c r="K2691" s="2"/>
      <c r="L2691" s="48"/>
      <c r="M2691" s="48"/>
      <c r="N2691" s="48"/>
      <c r="O2691" s="48" t="str">
        <f t="shared" si="2"/>
        <v/>
      </c>
      <c r="P2691" s="48" t="str">
        <f t="shared" si="3"/>
        <v/>
      </c>
      <c r="Q2691" s="84"/>
      <c r="R2691" s="84"/>
      <c r="S2691" s="84"/>
      <c r="T2691" s="84"/>
      <c r="U2691" s="84"/>
      <c r="V2691" s="84"/>
      <c r="W2691" s="84"/>
      <c r="X2691" s="84"/>
      <c r="Y2691" s="84"/>
      <c r="Z2691" s="84"/>
      <c r="AA2691" s="84"/>
      <c r="AB2691" s="84"/>
    </row>
    <row r="2692">
      <c r="A2692" s="63">
        <v>179.0</v>
      </c>
      <c r="B2692" s="63">
        <v>296.0</v>
      </c>
      <c r="C2692" s="64" t="s">
        <v>585</v>
      </c>
      <c r="D2692" s="64" t="s">
        <v>586</v>
      </c>
      <c r="E2692" s="64" t="s">
        <v>587</v>
      </c>
      <c r="F2692" s="63">
        <v>5000.0</v>
      </c>
      <c r="G2692" s="63">
        <v>48.45</v>
      </c>
      <c r="H2692" s="66">
        <f t="shared" si="1"/>
        <v>338.24</v>
      </c>
      <c r="I2692" s="81">
        <f>IFERROR(__xludf.DUMMYFUNCTION("IF(G2692="""", """", ROUND(G2692 / MAX(FILTER($G$2:$G5067, $D$2:$D5067=$D2692)) * 100, 2))"),96.9)</f>
        <v>96.9</v>
      </c>
      <c r="J2692" s="81">
        <f>IFERROR(__xludf.DUMMYFUNCTION("IF(H2692="""", """", ROUND(H2692 / MAX(FILTER($H$2:$H5067, $D$2:$D5067=$D2692)) * 100, 2))"),75.4)</f>
        <v>75.4</v>
      </c>
      <c r="K2692" s="2"/>
      <c r="L2692" s="49"/>
      <c r="M2692" s="49"/>
      <c r="N2692" s="49"/>
      <c r="O2692" s="49" t="str">
        <f t="shared" si="2"/>
        <v/>
      </c>
      <c r="P2692" s="49" t="str">
        <f t="shared" si="3"/>
        <v/>
      </c>
      <c r="Q2692" s="84"/>
      <c r="R2692" s="84"/>
      <c r="S2692" s="84"/>
      <c r="T2692" s="84"/>
      <c r="U2692" s="84"/>
      <c r="V2692" s="84"/>
      <c r="W2692" s="84"/>
      <c r="X2692" s="84"/>
      <c r="Y2692" s="84"/>
      <c r="Z2692" s="84"/>
      <c r="AA2692" s="84"/>
      <c r="AB2692" s="84"/>
    </row>
    <row r="2693">
      <c r="A2693" s="69">
        <v>179.0</v>
      </c>
      <c r="B2693" s="69">
        <v>296.0</v>
      </c>
      <c r="C2693" s="86" t="s">
        <v>585</v>
      </c>
      <c r="D2693" s="86" t="s">
        <v>586</v>
      </c>
      <c r="E2693" s="86" t="s">
        <v>587</v>
      </c>
      <c r="F2693" s="69">
        <v>5500.0</v>
      </c>
      <c r="G2693" s="69">
        <v>50.0</v>
      </c>
      <c r="H2693" s="68">
        <f t="shared" si="1"/>
        <v>383.97</v>
      </c>
      <c r="I2693" s="81">
        <f>IFERROR(__xludf.DUMMYFUNCTION("IF(G2693="""", """", ROUND(G2693 / MAX(FILTER($G$2:$G5067, $D$2:$D5067=$D2693)) * 100, 2))"),100.0)</f>
        <v>100</v>
      </c>
      <c r="J2693" s="81">
        <f>IFERROR(__xludf.DUMMYFUNCTION("IF(H2693="""", """", ROUND(H2693 / MAX(FILTER($H$2:$H5067, $D$2:$D5067=$D2693)) * 100, 2))"),85.59)</f>
        <v>85.59</v>
      </c>
      <c r="K2693" s="2"/>
      <c r="L2693" s="48"/>
      <c r="M2693" s="48"/>
      <c r="N2693" s="48"/>
      <c r="O2693" s="48" t="str">
        <f t="shared" si="2"/>
        <v/>
      </c>
      <c r="P2693" s="48" t="str">
        <f t="shared" si="3"/>
        <v/>
      </c>
      <c r="Q2693" s="84"/>
      <c r="R2693" s="84"/>
      <c r="S2693" s="84"/>
      <c r="T2693" s="84"/>
      <c r="U2693" s="84"/>
      <c r="V2693" s="84"/>
      <c r="W2693" s="84"/>
      <c r="X2693" s="84"/>
      <c r="Y2693" s="84"/>
      <c r="Z2693" s="84"/>
      <c r="AA2693" s="84"/>
      <c r="AB2693" s="84"/>
    </row>
    <row r="2694">
      <c r="A2694" s="63">
        <v>179.0</v>
      </c>
      <c r="B2694" s="63">
        <v>296.0</v>
      </c>
      <c r="C2694" s="64" t="s">
        <v>585</v>
      </c>
      <c r="D2694" s="64" t="s">
        <v>586</v>
      </c>
      <c r="E2694" s="64" t="s">
        <v>587</v>
      </c>
      <c r="F2694" s="63">
        <v>6000.0</v>
      </c>
      <c r="G2694" s="63">
        <v>49.7</v>
      </c>
      <c r="H2694" s="66">
        <f t="shared" si="1"/>
        <v>416.36</v>
      </c>
      <c r="I2694" s="81">
        <f>IFERROR(__xludf.DUMMYFUNCTION("IF(G2694="""", """", ROUND(G2694 / MAX(FILTER($G$2:$G5067, $D$2:$D5067=$D2694)) * 100, 2))"),99.4)</f>
        <v>99.4</v>
      </c>
      <c r="J2694" s="81">
        <f>IFERROR(__xludf.DUMMYFUNCTION("IF(H2694="""", """", ROUND(H2694 / MAX(FILTER($H$2:$H5067, $D$2:$D5067=$D2694)) * 100, 2))"),92.81)</f>
        <v>92.81</v>
      </c>
      <c r="K2694" s="2"/>
      <c r="L2694" s="49"/>
      <c r="M2694" s="49"/>
      <c r="N2694" s="49"/>
      <c r="O2694" s="49" t="str">
        <f t="shared" si="2"/>
        <v/>
      </c>
      <c r="P2694" s="49" t="str">
        <f t="shared" si="3"/>
        <v/>
      </c>
      <c r="Q2694" s="84"/>
      <c r="R2694" s="84"/>
      <c r="S2694" s="84"/>
      <c r="T2694" s="84"/>
      <c r="U2694" s="84"/>
      <c r="V2694" s="84"/>
      <c r="W2694" s="84"/>
      <c r="X2694" s="84"/>
      <c r="Y2694" s="84"/>
      <c r="Z2694" s="84"/>
      <c r="AA2694" s="84"/>
      <c r="AB2694" s="84"/>
    </row>
    <row r="2695">
      <c r="A2695" s="69">
        <v>179.0</v>
      </c>
      <c r="B2695" s="69">
        <v>296.0</v>
      </c>
      <c r="C2695" s="86" t="s">
        <v>585</v>
      </c>
      <c r="D2695" s="86" t="s">
        <v>586</v>
      </c>
      <c r="E2695" s="86" t="s">
        <v>587</v>
      </c>
      <c r="F2695" s="69">
        <v>6500.0</v>
      </c>
      <c r="G2695" s="69">
        <v>48.65</v>
      </c>
      <c r="H2695" s="68">
        <f t="shared" si="1"/>
        <v>441.53</v>
      </c>
      <c r="I2695" s="81">
        <f>IFERROR(__xludf.DUMMYFUNCTION("IF(G2695="""", """", ROUND(G2695 / MAX(FILTER($G$2:$G5067, $D$2:$D5067=$D2695)) * 100, 2))"),97.3)</f>
        <v>97.3</v>
      </c>
      <c r="J2695" s="81">
        <f>IFERROR(__xludf.DUMMYFUNCTION("IF(H2695="""", """", ROUND(H2695 / MAX(FILTER($H$2:$H5067, $D$2:$D5067=$D2695)) * 100, 2))"),98.42)</f>
        <v>98.42</v>
      </c>
      <c r="K2695" s="2"/>
      <c r="L2695" s="48"/>
      <c r="M2695" s="48"/>
      <c r="N2695" s="48"/>
      <c r="O2695" s="48" t="str">
        <f t="shared" si="2"/>
        <v/>
      </c>
      <c r="P2695" s="48" t="str">
        <f t="shared" si="3"/>
        <v/>
      </c>
      <c r="Q2695" s="84"/>
      <c r="R2695" s="84"/>
      <c r="S2695" s="84"/>
      <c r="T2695" s="84"/>
      <c r="U2695" s="84"/>
      <c r="V2695" s="84"/>
      <c r="W2695" s="84"/>
      <c r="X2695" s="84"/>
      <c r="Y2695" s="84"/>
      <c r="Z2695" s="84"/>
      <c r="AA2695" s="84"/>
      <c r="AB2695" s="84"/>
    </row>
    <row r="2696">
      <c r="A2696" s="63">
        <v>179.0</v>
      </c>
      <c r="B2696" s="63">
        <v>296.0</v>
      </c>
      <c r="C2696" s="64" t="s">
        <v>585</v>
      </c>
      <c r="D2696" s="64" t="s">
        <v>586</v>
      </c>
      <c r="E2696" s="64" t="s">
        <v>587</v>
      </c>
      <c r="F2696" s="63">
        <v>6800.0</v>
      </c>
      <c r="G2696" s="63">
        <v>47.25</v>
      </c>
      <c r="H2696" s="66">
        <f t="shared" si="1"/>
        <v>448.62</v>
      </c>
      <c r="I2696" s="81">
        <f>IFERROR(__xludf.DUMMYFUNCTION("IF(G2696="""", """", ROUND(G2696 / MAX(FILTER($G$2:$G5067, $D$2:$D5067=$D2696)) * 100, 2))"),94.5)</f>
        <v>94.5</v>
      </c>
      <c r="J2696" s="81">
        <f>IFERROR(__xludf.DUMMYFUNCTION("IF(H2696="""", """", ROUND(H2696 / MAX(FILTER($H$2:$H5067, $D$2:$D5067=$D2696)) * 100, 2))"),100.0)</f>
        <v>100</v>
      </c>
      <c r="K2696" s="2"/>
      <c r="L2696" s="49"/>
      <c r="M2696" s="49"/>
      <c r="N2696" s="49"/>
      <c r="O2696" s="49" t="str">
        <f t="shared" si="2"/>
        <v/>
      </c>
      <c r="P2696" s="49" t="str">
        <f t="shared" si="3"/>
        <v/>
      </c>
      <c r="Q2696" s="84"/>
      <c r="R2696" s="84"/>
      <c r="S2696" s="84"/>
      <c r="T2696" s="84"/>
      <c r="U2696" s="84"/>
      <c r="V2696" s="84"/>
      <c r="W2696" s="84"/>
      <c r="X2696" s="84"/>
      <c r="Y2696" s="84"/>
      <c r="Z2696" s="84"/>
      <c r="AA2696" s="84"/>
      <c r="AB2696" s="84"/>
    </row>
    <row r="2697">
      <c r="A2697" s="69">
        <v>179.0</v>
      </c>
      <c r="B2697" s="69">
        <v>296.0</v>
      </c>
      <c r="C2697" s="86" t="s">
        <v>585</v>
      </c>
      <c r="D2697" s="86" t="s">
        <v>586</v>
      </c>
      <c r="E2697" s="86" t="s">
        <v>587</v>
      </c>
      <c r="F2697" s="69">
        <v>7500.0</v>
      </c>
      <c r="G2697" s="69">
        <v>41.85</v>
      </c>
      <c r="H2697" s="68">
        <f t="shared" si="1"/>
        <v>438.25</v>
      </c>
      <c r="I2697" s="81">
        <f>IFERROR(__xludf.DUMMYFUNCTION("IF(G2697="""", """", ROUND(G2697 / MAX(FILTER($G$2:$G5067, $D$2:$D5067=$D2697)) * 100, 2))"),83.7)</f>
        <v>83.7</v>
      </c>
      <c r="J2697" s="81">
        <f>IFERROR(__xludf.DUMMYFUNCTION("IF(H2697="""", """", ROUND(H2697 / MAX(FILTER($H$2:$H5067, $D$2:$D5067=$D2697)) * 100, 2))"),97.69)</f>
        <v>97.69</v>
      </c>
      <c r="K2697" s="2"/>
      <c r="L2697" s="48"/>
      <c r="M2697" s="48"/>
      <c r="N2697" s="48"/>
      <c r="O2697" s="48" t="str">
        <f t="shared" si="2"/>
        <v/>
      </c>
      <c r="P2697" s="48" t="str">
        <f t="shared" si="3"/>
        <v/>
      </c>
      <c r="Q2697" s="84"/>
      <c r="R2697" s="84"/>
      <c r="S2697" s="84"/>
      <c r="T2697" s="84"/>
      <c r="U2697" s="84"/>
      <c r="V2697" s="84"/>
      <c r="W2697" s="84"/>
      <c r="X2697" s="84"/>
      <c r="Y2697" s="84"/>
      <c r="Z2697" s="84"/>
      <c r="AA2697" s="84"/>
      <c r="AB2697" s="84"/>
    </row>
    <row r="2698">
      <c r="A2698" s="63">
        <v>179.0</v>
      </c>
      <c r="B2698" s="63">
        <v>296.0</v>
      </c>
      <c r="C2698" s="64" t="s">
        <v>585</v>
      </c>
      <c r="D2698" s="64" t="s">
        <v>586</v>
      </c>
      <c r="E2698" s="64" t="s">
        <v>587</v>
      </c>
      <c r="F2698" s="63">
        <v>8000.0</v>
      </c>
      <c r="G2698" s="63">
        <v>34.5</v>
      </c>
      <c r="H2698" s="66">
        <f t="shared" si="1"/>
        <v>385.37</v>
      </c>
      <c r="I2698" s="81">
        <f>IFERROR(__xludf.DUMMYFUNCTION("IF(G2698="""", """", ROUND(G2698 / MAX(FILTER($G$2:$G5067, $D$2:$D5067=$D2698)) * 100, 2))"),69.0)</f>
        <v>69</v>
      </c>
      <c r="J2698" s="81">
        <f>IFERROR(__xludf.DUMMYFUNCTION("IF(H2698="""", """", ROUND(H2698 / MAX(FILTER($H$2:$H5067, $D$2:$D5067=$D2698)) * 100, 2))"),85.9)</f>
        <v>85.9</v>
      </c>
      <c r="K2698" s="2"/>
      <c r="L2698" s="49"/>
      <c r="M2698" s="49"/>
      <c r="N2698" s="49"/>
      <c r="O2698" s="49" t="str">
        <f t="shared" si="2"/>
        <v/>
      </c>
      <c r="P2698" s="49" t="str">
        <f t="shared" si="3"/>
        <v/>
      </c>
      <c r="Q2698" s="84"/>
      <c r="R2698" s="84"/>
      <c r="S2698" s="84"/>
      <c r="T2698" s="84"/>
      <c r="U2698" s="84"/>
      <c r="V2698" s="84"/>
      <c r="W2698" s="84"/>
      <c r="X2698" s="84"/>
      <c r="Y2698" s="84"/>
      <c r="Z2698" s="84"/>
      <c r="AA2698" s="84"/>
      <c r="AB2698" s="84"/>
    </row>
    <row r="2699">
      <c r="A2699" s="69">
        <v>180.0</v>
      </c>
      <c r="B2699" s="69">
        <v>297.0</v>
      </c>
      <c r="C2699" s="86" t="s">
        <v>588</v>
      </c>
      <c r="D2699" s="86" t="s">
        <v>589</v>
      </c>
      <c r="E2699" s="86" t="s">
        <v>590</v>
      </c>
      <c r="F2699" s="69">
        <v>500.0</v>
      </c>
      <c r="G2699" s="69">
        <v>10.31</v>
      </c>
      <c r="H2699" s="68">
        <f t="shared" si="1"/>
        <v>7.2</v>
      </c>
      <c r="I2699" s="81">
        <f>IFERROR(__xludf.DUMMYFUNCTION("IF(G2699="""", """", ROUND(G2699 / MAX(FILTER($G$2:$G5067, $D$2:$D5067=$D2699)) * 100, 2))"),68.78)</f>
        <v>68.78</v>
      </c>
      <c r="J2699" s="81">
        <f>IFERROR(__xludf.DUMMYFUNCTION("IF(H2699="""", """", ROUND(H2699 / MAX(FILTER($H$2:$H5067, $D$2:$D5067=$D2699)) * 100, 2))"),6.63)</f>
        <v>6.63</v>
      </c>
      <c r="K2699" s="2"/>
      <c r="L2699" s="48"/>
      <c r="M2699" s="48"/>
      <c r="N2699" s="48"/>
      <c r="O2699" s="48" t="str">
        <f t="shared" si="2"/>
        <v/>
      </c>
      <c r="P2699" s="48" t="str">
        <f t="shared" si="3"/>
        <v/>
      </c>
      <c r="Q2699" s="84"/>
      <c r="R2699" s="84"/>
      <c r="S2699" s="84"/>
      <c r="T2699" s="84"/>
      <c r="U2699" s="84"/>
      <c r="V2699" s="84"/>
      <c r="W2699" s="84"/>
      <c r="X2699" s="84"/>
      <c r="Y2699" s="84"/>
      <c r="Z2699" s="84"/>
      <c r="AA2699" s="84"/>
      <c r="AB2699" s="84"/>
    </row>
    <row r="2700">
      <c r="A2700" s="63">
        <v>180.0</v>
      </c>
      <c r="B2700" s="63">
        <v>297.0</v>
      </c>
      <c r="C2700" s="64" t="s">
        <v>588</v>
      </c>
      <c r="D2700" s="64" t="s">
        <v>589</v>
      </c>
      <c r="E2700" s="64" t="s">
        <v>590</v>
      </c>
      <c r="F2700" s="63">
        <v>1000.0</v>
      </c>
      <c r="G2700" s="63">
        <v>11.63</v>
      </c>
      <c r="H2700" s="66">
        <f t="shared" si="1"/>
        <v>16.24</v>
      </c>
      <c r="I2700" s="81">
        <f>IFERROR(__xludf.DUMMYFUNCTION("IF(G2700="""", """", ROUND(G2700 / MAX(FILTER($G$2:$G5067, $D$2:$D5067=$D2700)) * 100, 2))"),77.59)</f>
        <v>77.59</v>
      </c>
      <c r="J2700" s="81">
        <f>IFERROR(__xludf.DUMMYFUNCTION("IF(H2700="""", """", ROUND(H2700 / MAX(FILTER($H$2:$H5067, $D$2:$D5067=$D2700)) * 100, 2))"),14.95)</f>
        <v>14.95</v>
      </c>
      <c r="K2700" s="2"/>
      <c r="L2700" s="49"/>
      <c r="M2700" s="49"/>
      <c r="N2700" s="49"/>
      <c r="O2700" s="49" t="str">
        <f t="shared" si="2"/>
        <v/>
      </c>
      <c r="P2700" s="49" t="str">
        <f t="shared" si="3"/>
        <v/>
      </c>
      <c r="Q2700" s="84"/>
      <c r="R2700" s="84"/>
      <c r="S2700" s="84"/>
      <c r="T2700" s="84"/>
      <c r="U2700" s="84"/>
      <c r="V2700" s="84"/>
      <c r="W2700" s="84"/>
      <c r="X2700" s="84"/>
      <c r="Y2700" s="84"/>
      <c r="Z2700" s="84"/>
      <c r="AA2700" s="84"/>
      <c r="AB2700" s="84"/>
    </row>
    <row r="2701">
      <c r="A2701" s="69">
        <v>180.0</v>
      </c>
      <c r="B2701" s="69">
        <v>297.0</v>
      </c>
      <c r="C2701" s="86" t="s">
        <v>588</v>
      </c>
      <c r="D2701" s="86" t="s">
        <v>589</v>
      </c>
      <c r="E2701" s="86" t="s">
        <v>590</v>
      </c>
      <c r="F2701" s="69">
        <v>1500.0</v>
      </c>
      <c r="G2701" s="69">
        <v>12.64</v>
      </c>
      <c r="H2701" s="68">
        <f t="shared" si="1"/>
        <v>26.47</v>
      </c>
      <c r="I2701" s="81">
        <f>IFERROR(__xludf.DUMMYFUNCTION("IF(G2701="""", """", ROUND(G2701 / MAX(FILTER($G$2:$G5067, $D$2:$D5067=$D2701)) * 100, 2))"),84.32)</f>
        <v>84.32</v>
      </c>
      <c r="J2701" s="81">
        <f>IFERROR(__xludf.DUMMYFUNCTION("IF(H2701="""", """", ROUND(H2701 / MAX(FILTER($H$2:$H5067, $D$2:$D5067=$D2701)) * 100, 2))"),24.36)</f>
        <v>24.36</v>
      </c>
      <c r="K2701" s="2"/>
      <c r="L2701" s="48"/>
      <c r="M2701" s="48"/>
      <c r="N2701" s="48"/>
      <c r="O2701" s="48" t="str">
        <f t="shared" si="2"/>
        <v/>
      </c>
      <c r="P2701" s="48" t="str">
        <f t="shared" si="3"/>
        <v/>
      </c>
      <c r="Q2701" s="84"/>
      <c r="R2701" s="84"/>
      <c r="S2701" s="84"/>
      <c r="T2701" s="84"/>
      <c r="U2701" s="84"/>
      <c r="V2701" s="84"/>
      <c r="W2701" s="84"/>
      <c r="X2701" s="84"/>
      <c r="Y2701" s="84"/>
      <c r="Z2701" s="84"/>
      <c r="AA2701" s="84"/>
      <c r="AB2701" s="84"/>
    </row>
    <row r="2702">
      <c r="A2702" s="63">
        <v>180.0</v>
      </c>
      <c r="B2702" s="63">
        <v>297.0</v>
      </c>
      <c r="C2702" s="64" t="s">
        <v>588</v>
      </c>
      <c r="D2702" s="64" t="s">
        <v>589</v>
      </c>
      <c r="E2702" s="64" t="s">
        <v>590</v>
      </c>
      <c r="F2702" s="63">
        <v>2000.0</v>
      </c>
      <c r="G2702" s="63">
        <v>13.46</v>
      </c>
      <c r="H2702" s="66">
        <f t="shared" si="1"/>
        <v>37.59</v>
      </c>
      <c r="I2702" s="81">
        <f>IFERROR(__xludf.DUMMYFUNCTION("IF(G2702="""", """", ROUND(G2702 / MAX(FILTER($G$2:$G5067, $D$2:$D5067=$D2702)) * 100, 2))"),89.79)</f>
        <v>89.79</v>
      </c>
      <c r="J2702" s="81">
        <f>IFERROR(__xludf.DUMMYFUNCTION("IF(H2702="""", """", ROUND(H2702 / MAX(FILTER($H$2:$H5067, $D$2:$D5067=$D2702)) * 100, 2))"),34.59)</f>
        <v>34.59</v>
      </c>
      <c r="K2702" s="2"/>
      <c r="L2702" s="49"/>
      <c r="M2702" s="49"/>
      <c r="N2702" s="49"/>
      <c r="O2702" s="49" t="str">
        <f t="shared" si="2"/>
        <v/>
      </c>
      <c r="P2702" s="49" t="str">
        <f t="shared" si="3"/>
        <v/>
      </c>
      <c r="Q2702" s="84"/>
      <c r="R2702" s="84"/>
      <c r="S2702" s="84"/>
      <c r="T2702" s="84"/>
      <c r="U2702" s="84"/>
      <c r="V2702" s="84"/>
      <c r="W2702" s="84"/>
      <c r="X2702" s="84"/>
      <c r="Y2702" s="84"/>
      <c r="Z2702" s="84"/>
      <c r="AA2702" s="84"/>
      <c r="AB2702" s="84"/>
    </row>
    <row r="2703">
      <c r="A2703" s="69">
        <v>180.0</v>
      </c>
      <c r="B2703" s="69">
        <v>297.0</v>
      </c>
      <c r="C2703" s="86" t="s">
        <v>588</v>
      </c>
      <c r="D2703" s="86" t="s">
        <v>589</v>
      </c>
      <c r="E2703" s="86" t="s">
        <v>590</v>
      </c>
      <c r="F2703" s="69">
        <v>2500.0</v>
      </c>
      <c r="G2703" s="69">
        <v>14.17</v>
      </c>
      <c r="H2703" s="68">
        <f t="shared" si="1"/>
        <v>49.46</v>
      </c>
      <c r="I2703" s="81">
        <f>IFERROR(__xludf.DUMMYFUNCTION("IF(G2703="""", """", ROUND(G2703 / MAX(FILTER($G$2:$G5067, $D$2:$D5067=$D2703)) * 100, 2))"),94.53)</f>
        <v>94.53</v>
      </c>
      <c r="J2703" s="81">
        <f>IFERROR(__xludf.DUMMYFUNCTION("IF(H2703="""", """", ROUND(H2703 / MAX(FILTER($H$2:$H5067, $D$2:$D5067=$D2703)) * 100, 2))"),45.52)</f>
        <v>45.52</v>
      </c>
      <c r="K2703" s="2"/>
      <c r="L2703" s="48"/>
      <c r="M2703" s="48"/>
      <c r="N2703" s="48"/>
      <c r="O2703" s="48" t="str">
        <f t="shared" si="2"/>
        <v/>
      </c>
      <c r="P2703" s="48" t="str">
        <f t="shared" si="3"/>
        <v/>
      </c>
      <c r="Q2703" s="84"/>
      <c r="R2703" s="84"/>
      <c r="S2703" s="84"/>
      <c r="T2703" s="84"/>
      <c r="U2703" s="84"/>
      <c r="V2703" s="84"/>
      <c r="W2703" s="84"/>
      <c r="X2703" s="84"/>
      <c r="Y2703" s="84"/>
      <c r="Z2703" s="84"/>
      <c r="AA2703" s="84"/>
      <c r="AB2703" s="84"/>
    </row>
    <row r="2704">
      <c r="A2704" s="63">
        <v>180.0</v>
      </c>
      <c r="B2704" s="63">
        <v>297.0</v>
      </c>
      <c r="C2704" s="64" t="s">
        <v>588</v>
      </c>
      <c r="D2704" s="64" t="s">
        <v>589</v>
      </c>
      <c r="E2704" s="64" t="s">
        <v>590</v>
      </c>
      <c r="F2704" s="63">
        <v>3000.0</v>
      </c>
      <c r="G2704" s="63">
        <v>14.56</v>
      </c>
      <c r="H2704" s="66">
        <f t="shared" si="1"/>
        <v>60.99</v>
      </c>
      <c r="I2704" s="81">
        <f>IFERROR(__xludf.DUMMYFUNCTION("IF(G2704="""", """", ROUND(G2704 / MAX(FILTER($G$2:$G5067, $D$2:$D5067=$D2704)) * 100, 2))"),97.13)</f>
        <v>97.13</v>
      </c>
      <c r="J2704" s="81">
        <f>IFERROR(__xludf.DUMMYFUNCTION("IF(H2704="""", """", ROUND(H2704 / MAX(FILTER($H$2:$H5067, $D$2:$D5067=$D2704)) * 100, 2))"),56.13)</f>
        <v>56.13</v>
      </c>
      <c r="K2704" s="2"/>
      <c r="L2704" s="49"/>
      <c r="M2704" s="49"/>
      <c r="N2704" s="49"/>
      <c r="O2704" s="49" t="str">
        <f t="shared" si="2"/>
        <v/>
      </c>
      <c r="P2704" s="49" t="str">
        <f t="shared" si="3"/>
        <v/>
      </c>
      <c r="Q2704" s="84"/>
      <c r="R2704" s="84"/>
      <c r="S2704" s="84"/>
      <c r="T2704" s="84"/>
      <c r="U2704" s="84"/>
      <c r="V2704" s="84"/>
      <c r="W2704" s="84"/>
      <c r="X2704" s="84"/>
      <c r="Y2704" s="84"/>
      <c r="Z2704" s="84"/>
      <c r="AA2704" s="84"/>
      <c r="AB2704" s="84"/>
    </row>
    <row r="2705">
      <c r="A2705" s="69">
        <v>180.0</v>
      </c>
      <c r="B2705" s="69">
        <v>297.0</v>
      </c>
      <c r="C2705" s="86" t="s">
        <v>588</v>
      </c>
      <c r="D2705" s="86" t="s">
        <v>589</v>
      </c>
      <c r="E2705" s="86" t="s">
        <v>590</v>
      </c>
      <c r="F2705" s="69">
        <v>3500.0</v>
      </c>
      <c r="G2705" s="69">
        <v>14.82</v>
      </c>
      <c r="H2705" s="68">
        <f t="shared" si="1"/>
        <v>72.42</v>
      </c>
      <c r="I2705" s="81">
        <f>IFERROR(__xludf.DUMMYFUNCTION("IF(G2705="""", """", ROUND(G2705 / MAX(FILTER($G$2:$G5067, $D$2:$D5067=$D2705)) * 100, 2))"),98.87)</f>
        <v>98.87</v>
      </c>
      <c r="J2705" s="81">
        <f>IFERROR(__xludf.DUMMYFUNCTION("IF(H2705="""", """", ROUND(H2705 / MAX(FILTER($H$2:$H5067, $D$2:$D5067=$D2705)) * 100, 2))"),66.65)</f>
        <v>66.65</v>
      </c>
      <c r="K2705" s="2"/>
      <c r="L2705" s="48"/>
      <c r="M2705" s="48"/>
      <c r="N2705" s="48"/>
      <c r="O2705" s="48" t="str">
        <f t="shared" si="2"/>
        <v/>
      </c>
      <c r="P2705" s="48" t="str">
        <f t="shared" si="3"/>
        <v/>
      </c>
      <c r="Q2705" s="84"/>
      <c r="R2705" s="84"/>
      <c r="S2705" s="84"/>
      <c r="T2705" s="84"/>
      <c r="U2705" s="84"/>
      <c r="V2705" s="84"/>
      <c r="W2705" s="84"/>
      <c r="X2705" s="84"/>
      <c r="Y2705" s="84"/>
      <c r="Z2705" s="84"/>
      <c r="AA2705" s="84"/>
      <c r="AB2705" s="84"/>
    </row>
    <row r="2706">
      <c r="A2706" s="63">
        <v>180.0</v>
      </c>
      <c r="B2706" s="63">
        <v>297.0</v>
      </c>
      <c r="C2706" s="64" t="s">
        <v>588</v>
      </c>
      <c r="D2706" s="64" t="s">
        <v>589</v>
      </c>
      <c r="E2706" s="64" t="s">
        <v>590</v>
      </c>
      <c r="F2706" s="63">
        <v>4000.0</v>
      </c>
      <c r="G2706" s="63">
        <v>14.99</v>
      </c>
      <c r="H2706" s="66">
        <f t="shared" si="1"/>
        <v>83.72</v>
      </c>
      <c r="I2706" s="81">
        <f>IFERROR(__xludf.DUMMYFUNCTION("IF(G2706="""", """", ROUND(G2706 / MAX(FILTER($G$2:$G5067, $D$2:$D5067=$D2706)) * 100, 2))"),100.0)</f>
        <v>100</v>
      </c>
      <c r="J2706" s="81">
        <f>IFERROR(__xludf.DUMMYFUNCTION("IF(H2706="""", """", ROUND(H2706 / MAX(FILTER($H$2:$H5067, $D$2:$D5067=$D2706)) * 100, 2))"),77.05)</f>
        <v>77.05</v>
      </c>
      <c r="K2706" s="2"/>
      <c r="L2706" s="49"/>
      <c r="M2706" s="49"/>
      <c r="N2706" s="49"/>
      <c r="O2706" s="49" t="str">
        <f t="shared" si="2"/>
        <v/>
      </c>
      <c r="P2706" s="49" t="str">
        <f t="shared" si="3"/>
        <v/>
      </c>
      <c r="Q2706" s="84"/>
      <c r="R2706" s="84"/>
      <c r="S2706" s="84"/>
      <c r="T2706" s="84"/>
      <c r="U2706" s="84"/>
      <c r="V2706" s="84"/>
      <c r="W2706" s="84"/>
      <c r="X2706" s="84"/>
      <c r="Y2706" s="84"/>
      <c r="Z2706" s="84"/>
      <c r="AA2706" s="84"/>
      <c r="AB2706" s="84"/>
    </row>
    <row r="2707">
      <c r="A2707" s="69">
        <v>180.0</v>
      </c>
      <c r="B2707" s="69">
        <v>297.0</v>
      </c>
      <c r="C2707" s="86" t="s">
        <v>588</v>
      </c>
      <c r="D2707" s="86" t="s">
        <v>589</v>
      </c>
      <c r="E2707" s="86" t="s">
        <v>590</v>
      </c>
      <c r="F2707" s="69">
        <v>4500.0</v>
      </c>
      <c r="G2707" s="69">
        <v>14.72</v>
      </c>
      <c r="H2707" s="68">
        <f t="shared" si="1"/>
        <v>92.49</v>
      </c>
      <c r="I2707" s="81">
        <f>IFERROR(__xludf.DUMMYFUNCTION("IF(G2707="""", """", ROUND(G2707 / MAX(FILTER($G$2:$G5067, $D$2:$D5067=$D2707)) * 100, 2))"),98.2)</f>
        <v>98.2</v>
      </c>
      <c r="J2707" s="81">
        <f>IFERROR(__xludf.DUMMYFUNCTION("IF(H2707="""", """", ROUND(H2707 / MAX(FILTER($H$2:$H5067, $D$2:$D5067=$D2707)) * 100, 2))"),85.12)</f>
        <v>85.12</v>
      </c>
      <c r="K2707" s="2"/>
      <c r="L2707" s="48"/>
      <c r="M2707" s="48"/>
      <c r="N2707" s="48"/>
      <c r="O2707" s="48" t="str">
        <f t="shared" si="2"/>
        <v/>
      </c>
      <c r="P2707" s="48" t="str">
        <f t="shared" si="3"/>
        <v/>
      </c>
      <c r="Q2707" s="84"/>
      <c r="R2707" s="84"/>
      <c r="S2707" s="84"/>
      <c r="T2707" s="84"/>
      <c r="U2707" s="84"/>
      <c r="V2707" s="84"/>
      <c r="W2707" s="84"/>
      <c r="X2707" s="84"/>
      <c r="Y2707" s="84"/>
      <c r="Z2707" s="84"/>
      <c r="AA2707" s="84"/>
      <c r="AB2707" s="84"/>
    </row>
    <row r="2708">
      <c r="A2708" s="63">
        <v>180.0</v>
      </c>
      <c r="B2708" s="63">
        <v>297.0</v>
      </c>
      <c r="C2708" s="64" t="s">
        <v>588</v>
      </c>
      <c r="D2708" s="64" t="s">
        <v>589</v>
      </c>
      <c r="E2708" s="64" t="s">
        <v>590</v>
      </c>
      <c r="F2708" s="63">
        <v>5000.0</v>
      </c>
      <c r="G2708" s="63">
        <v>14.35</v>
      </c>
      <c r="H2708" s="66">
        <f t="shared" si="1"/>
        <v>100.18</v>
      </c>
      <c r="I2708" s="81">
        <f>IFERROR(__xludf.DUMMYFUNCTION("IF(G2708="""", """", ROUND(G2708 / MAX(FILTER($G$2:$G5067, $D$2:$D5067=$D2708)) * 100, 2))"),95.73)</f>
        <v>95.73</v>
      </c>
      <c r="J2708" s="81">
        <f>IFERROR(__xludf.DUMMYFUNCTION("IF(H2708="""", """", ROUND(H2708 / MAX(FILTER($H$2:$H5067, $D$2:$D5067=$D2708)) * 100, 2))"),92.2)</f>
        <v>92.2</v>
      </c>
      <c r="K2708" s="2"/>
      <c r="L2708" s="49"/>
      <c r="M2708" s="49"/>
      <c r="N2708" s="49"/>
      <c r="O2708" s="49" t="str">
        <f t="shared" si="2"/>
        <v/>
      </c>
      <c r="P2708" s="49" t="str">
        <f t="shared" si="3"/>
        <v/>
      </c>
      <c r="Q2708" s="84"/>
      <c r="R2708" s="84"/>
      <c r="S2708" s="84"/>
      <c r="T2708" s="84"/>
      <c r="U2708" s="84"/>
      <c r="V2708" s="84"/>
      <c r="W2708" s="84"/>
      <c r="X2708" s="84"/>
      <c r="Y2708" s="84"/>
      <c r="Z2708" s="84"/>
      <c r="AA2708" s="84"/>
      <c r="AB2708" s="84"/>
    </row>
    <row r="2709">
      <c r="A2709" s="69">
        <v>180.0</v>
      </c>
      <c r="B2709" s="69">
        <v>297.0</v>
      </c>
      <c r="C2709" s="86" t="s">
        <v>588</v>
      </c>
      <c r="D2709" s="86" t="s">
        <v>589</v>
      </c>
      <c r="E2709" s="86" t="s">
        <v>590</v>
      </c>
      <c r="F2709" s="69">
        <v>5500.0</v>
      </c>
      <c r="G2709" s="69">
        <v>13.82</v>
      </c>
      <c r="H2709" s="68">
        <f t="shared" si="1"/>
        <v>106.13</v>
      </c>
      <c r="I2709" s="81">
        <f>IFERROR(__xludf.DUMMYFUNCTION("IF(G2709="""", """", ROUND(G2709 / MAX(FILTER($G$2:$G5067, $D$2:$D5067=$D2709)) * 100, 2))"),92.19)</f>
        <v>92.19</v>
      </c>
      <c r="J2709" s="81">
        <f>IFERROR(__xludf.DUMMYFUNCTION("IF(H2709="""", """", ROUND(H2709 / MAX(FILTER($H$2:$H5067, $D$2:$D5067=$D2709)) * 100, 2))"),97.67)</f>
        <v>97.67</v>
      </c>
      <c r="K2709" s="2"/>
      <c r="L2709" s="48"/>
      <c r="M2709" s="48"/>
      <c r="N2709" s="48"/>
      <c r="O2709" s="48" t="str">
        <f t="shared" si="2"/>
        <v/>
      </c>
      <c r="P2709" s="48" t="str">
        <f t="shared" si="3"/>
        <v/>
      </c>
      <c r="Q2709" s="84"/>
      <c r="R2709" s="84"/>
      <c r="S2709" s="84"/>
      <c r="T2709" s="84"/>
      <c r="U2709" s="84"/>
      <c r="V2709" s="84"/>
      <c r="W2709" s="84"/>
      <c r="X2709" s="84"/>
      <c r="Y2709" s="84"/>
      <c r="Z2709" s="84"/>
      <c r="AA2709" s="84"/>
      <c r="AB2709" s="84"/>
    </row>
    <row r="2710">
      <c r="A2710" s="63">
        <v>180.0</v>
      </c>
      <c r="B2710" s="63">
        <v>297.0</v>
      </c>
      <c r="C2710" s="64" t="s">
        <v>588</v>
      </c>
      <c r="D2710" s="64" t="s">
        <v>589</v>
      </c>
      <c r="E2710" s="64" t="s">
        <v>590</v>
      </c>
      <c r="F2710" s="63">
        <v>6000.0</v>
      </c>
      <c r="G2710" s="63">
        <v>12.97</v>
      </c>
      <c r="H2710" s="66">
        <f t="shared" si="1"/>
        <v>108.66</v>
      </c>
      <c r="I2710" s="81">
        <f>IFERROR(__xludf.DUMMYFUNCTION("IF(G2710="""", """", ROUND(G2710 / MAX(FILTER($G$2:$G5067, $D$2:$D5067=$D2710)) * 100, 2))"),86.52)</f>
        <v>86.52</v>
      </c>
      <c r="J2710" s="81">
        <f>IFERROR(__xludf.DUMMYFUNCTION("IF(H2710="""", """", ROUND(H2710 / MAX(FILTER($H$2:$H5067, $D$2:$D5067=$D2710)) * 100, 2))"),100.0)</f>
        <v>100</v>
      </c>
      <c r="K2710" s="2"/>
      <c r="L2710" s="49"/>
      <c r="M2710" s="49"/>
      <c r="N2710" s="49"/>
      <c r="O2710" s="49" t="str">
        <f t="shared" si="2"/>
        <v/>
      </c>
      <c r="P2710" s="49" t="str">
        <f t="shared" si="3"/>
        <v/>
      </c>
      <c r="Q2710" s="84"/>
      <c r="R2710" s="84"/>
      <c r="S2710" s="84"/>
      <c r="T2710" s="84"/>
      <c r="U2710" s="84"/>
      <c r="V2710" s="84"/>
      <c r="W2710" s="84"/>
      <c r="X2710" s="84"/>
      <c r="Y2710" s="84"/>
      <c r="Z2710" s="84"/>
      <c r="AA2710" s="84"/>
      <c r="AB2710" s="84"/>
    </row>
    <row r="2711">
      <c r="A2711" s="69">
        <v>180.0</v>
      </c>
      <c r="B2711" s="69">
        <v>297.0</v>
      </c>
      <c r="C2711" s="86" t="s">
        <v>588</v>
      </c>
      <c r="D2711" s="86" t="s">
        <v>589</v>
      </c>
      <c r="E2711" s="86" t="s">
        <v>590</v>
      </c>
      <c r="F2711" s="69">
        <v>6500.0</v>
      </c>
      <c r="G2711" s="69">
        <v>11.73</v>
      </c>
      <c r="H2711" s="68">
        <f t="shared" si="1"/>
        <v>106.46</v>
      </c>
      <c r="I2711" s="81">
        <f>IFERROR(__xludf.DUMMYFUNCTION("IF(G2711="""", """", ROUND(G2711 / MAX(FILTER($G$2:$G5067, $D$2:$D5067=$D2711)) * 100, 2))"),78.25)</f>
        <v>78.25</v>
      </c>
      <c r="J2711" s="81">
        <f>IFERROR(__xludf.DUMMYFUNCTION("IF(H2711="""", """", ROUND(H2711 / MAX(FILTER($H$2:$H5067, $D$2:$D5067=$D2711)) * 100, 2))"),97.98)</f>
        <v>97.98</v>
      </c>
      <c r="K2711" s="2"/>
      <c r="L2711" s="48"/>
      <c r="M2711" s="48"/>
      <c r="N2711" s="48"/>
      <c r="O2711" s="48" t="str">
        <f t="shared" si="2"/>
        <v/>
      </c>
      <c r="P2711" s="48" t="str">
        <f t="shared" si="3"/>
        <v/>
      </c>
      <c r="Q2711" s="84"/>
      <c r="R2711" s="84"/>
      <c r="S2711" s="84"/>
      <c r="T2711" s="84"/>
      <c r="U2711" s="84"/>
      <c r="V2711" s="84"/>
      <c r="W2711" s="84"/>
      <c r="X2711" s="84"/>
      <c r="Y2711" s="84"/>
      <c r="Z2711" s="84"/>
      <c r="AA2711" s="84"/>
      <c r="AB2711" s="84"/>
    </row>
    <row r="2712">
      <c r="A2712" s="63">
        <v>180.0</v>
      </c>
      <c r="B2712" s="63">
        <v>297.0</v>
      </c>
      <c r="C2712" s="64" t="s">
        <v>588</v>
      </c>
      <c r="D2712" s="64" t="s">
        <v>589</v>
      </c>
      <c r="E2712" s="64" t="s">
        <v>590</v>
      </c>
      <c r="F2712" s="63">
        <v>7000.0</v>
      </c>
      <c r="G2712" s="63">
        <v>10.2</v>
      </c>
      <c r="H2712" s="66">
        <f t="shared" si="1"/>
        <v>99.69</v>
      </c>
      <c r="I2712" s="81">
        <f>IFERROR(__xludf.DUMMYFUNCTION("IF(G2712="""", """", ROUND(G2712 / MAX(FILTER($G$2:$G5067, $D$2:$D5067=$D2712)) * 100, 2))"),68.05)</f>
        <v>68.05</v>
      </c>
      <c r="J2712" s="81">
        <f>IFERROR(__xludf.DUMMYFUNCTION("IF(H2712="""", """", ROUND(H2712 / MAX(FILTER($H$2:$H5067, $D$2:$D5067=$D2712)) * 100, 2))"),91.74)</f>
        <v>91.74</v>
      </c>
      <c r="K2712" s="2"/>
      <c r="L2712" s="49"/>
      <c r="M2712" s="49"/>
      <c r="N2712" s="49"/>
      <c r="O2712" s="49" t="str">
        <f t="shared" si="2"/>
        <v/>
      </c>
      <c r="P2712" s="49" t="str">
        <f t="shared" si="3"/>
        <v/>
      </c>
      <c r="Q2712" s="84"/>
      <c r="R2712" s="84"/>
      <c r="S2712" s="84"/>
      <c r="T2712" s="84"/>
      <c r="U2712" s="84"/>
      <c r="V2712" s="84"/>
      <c r="W2712" s="84"/>
      <c r="X2712" s="84"/>
      <c r="Y2712" s="84"/>
      <c r="Z2712" s="84"/>
      <c r="AA2712" s="84"/>
      <c r="AB2712" s="84"/>
    </row>
    <row r="2713">
      <c r="A2713" s="69">
        <v>181.0</v>
      </c>
      <c r="B2713" s="69">
        <v>298.0</v>
      </c>
      <c r="C2713" s="86" t="s">
        <v>591</v>
      </c>
      <c r="D2713" s="86" t="s">
        <v>592</v>
      </c>
      <c r="E2713" s="86" t="s">
        <v>593</v>
      </c>
      <c r="F2713" s="69">
        <v>500.0</v>
      </c>
      <c r="G2713" s="69">
        <v>18.0</v>
      </c>
      <c r="H2713" s="68">
        <f t="shared" si="1"/>
        <v>12.57</v>
      </c>
      <c r="I2713" s="81">
        <f>IFERROR(__xludf.DUMMYFUNCTION("IF(G2713="""", """", ROUND(G2713 / MAX(FILTER($G$2:$G5067, $D$2:$D5067=$D2713)) * 100, 2))"),33.9)</f>
        <v>33.9</v>
      </c>
      <c r="J2713" s="81">
        <f>IFERROR(__xludf.DUMMYFUNCTION("IF(H2713="""", """", ROUND(H2713 / MAX(FILTER($H$2:$H5067, $D$2:$D5067=$D2713)) * 100, 2))"),4.19)</f>
        <v>4.19</v>
      </c>
      <c r="K2713" s="2"/>
      <c r="L2713" s="48"/>
      <c r="M2713" s="48"/>
      <c r="N2713" s="48"/>
      <c r="O2713" s="48" t="str">
        <f t="shared" si="2"/>
        <v/>
      </c>
      <c r="P2713" s="48" t="str">
        <f t="shared" si="3"/>
        <v/>
      </c>
      <c r="Q2713" s="84"/>
      <c r="R2713" s="84"/>
      <c r="S2713" s="84"/>
      <c r="T2713" s="84"/>
      <c r="U2713" s="84"/>
      <c r="V2713" s="84"/>
      <c r="W2713" s="84"/>
      <c r="X2713" s="84"/>
      <c r="Y2713" s="84"/>
      <c r="Z2713" s="84"/>
      <c r="AA2713" s="84"/>
      <c r="AB2713" s="84"/>
    </row>
    <row r="2714">
      <c r="A2714" s="63">
        <v>181.0</v>
      </c>
      <c r="B2714" s="63">
        <v>298.0</v>
      </c>
      <c r="C2714" s="64" t="s">
        <v>591</v>
      </c>
      <c r="D2714" s="64" t="s">
        <v>592</v>
      </c>
      <c r="E2714" s="64" t="s">
        <v>593</v>
      </c>
      <c r="F2714" s="63">
        <v>1000.0</v>
      </c>
      <c r="G2714" s="63">
        <v>23.55</v>
      </c>
      <c r="H2714" s="66">
        <f t="shared" si="1"/>
        <v>32.88</v>
      </c>
      <c r="I2714" s="81">
        <f>IFERROR(__xludf.DUMMYFUNCTION("IF(G2714="""", """", ROUND(G2714 / MAX(FILTER($G$2:$G5067, $D$2:$D5067=$D2714)) * 100, 2))"),44.35)</f>
        <v>44.35</v>
      </c>
      <c r="J2714" s="81">
        <f>IFERROR(__xludf.DUMMYFUNCTION("IF(H2714="""", """", ROUND(H2714 / MAX(FILTER($H$2:$H5067, $D$2:$D5067=$D2714)) * 100, 2))"),10.96)</f>
        <v>10.96</v>
      </c>
      <c r="K2714" s="2"/>
      <c r="L2714" s="49"/>
      <c r="M2714" s="49"/>
      <c r="N2714" s="49"/>
      <c r="O2714" s="49" t="str">
        <f t="shared" si="2"/>
        <v/>
      </c>
      <c r="P2714" s="49" t="str">
        <f t="shared" si="3"/>
        <v/>
      </c>
      <c r="Q2714" s="84"/>
      <c r="R2714" s="84"/>
      <c r="S2714" s="84"/>
      <c r="T2714" s="84"/>
      <c r="U2714" s="84"/>
      <c r="V2714" s="84"/>
      <c r="W2714" s="84"/>
      <c r="X2714" s="84"/>
      <c r="Y2714" s="84"/>
      <c r="Z2714" s="84"/>
      <c r="AA2714" s="84"/>
      <c r="AB2714" s="84"/>
    </row>
    <row r="2715">
      <c r="A2715" s="69">
        <v>181.0</v>
      </c>
      <c r="B2715" s="69">
        <v>298.0</v>
      </c>
      <c r="C2715" s="86" t="s">
        <v>591</v>
      </c>
      <c r="D2715" s="86" t="s">
        <v>592</v>
      </c>
      <c r="E2715" s="86" t="s">
        <v>593</v>
      </c>
      <c r="F2715" s="69">
        <v>1500.0</v>
      </c>
      <c r="G2715" s="69">
        <v>40.35</v>
      </c>
      <c r="H2715" s="68">
        <f t="shared" si="1"/>
        <v>84.51</v>
      </c>
      <c r="I2715" s="81">
        <f>IFERROR(__xludf.DUMMYFUNCTION("IF(G2715="""", """", ROUND(G2715 / MAX(FILTER($G$2:$G5067, $D$2:$D5067=$D2715)) * 100, 2))"),75.99)</f>
        <v>75.99</v>
      </c>
      <c r="J2715" s="81">
        <f>IFERROR(__xludf.DUMMYFUNCTION("IF(H2715="""", """", ROUND(H2715 / MAX(FILTER($H$2:$H5067, $D$2:$D5067=$D2715)) * 100, 2))"),28.18)</f>
        <v>28.18</v>
      </c>
      <c r="K2715" s="2"/>
      <c r="L2715" s="48"/>
      <c r="M2715" s="48"/>
      <c r="N2715" s="48"/>
      <c r="O2715" s="48" t="str">
        <f t="shared" si="2"/>
        <v/>
      </c>
      <c r="P2715" s="48" t="str">
        <f t="shared" si="3"/>
        <v/>
      </c>
      <c r="Q2715" s="84"/>
      <c r="R2715" s="84"/>
      <c r="S2715" s="84"/>
      <c r="T2715" s="84"/>
      <c r="U2715" s="84"/>
      <c r="V2715" s="84"/>
      <c r="W2715" s="84"/>
      <c r="X2715" s="84"/>
      <c r="Y2715" s="84"/>
      <c r="Z2715" s="84"/>
      <c r="AA2715" s="84"/>
      <c r="AB2715" s="84"/>
    </row>
    <row r="2716">
      <c r="A2716" s="63">
        <v>181.0</v>
      </c>
      <c r="B2716" s="63">
        <v>298.0</v>
      </c>
      <c r="C2716" s="64" t="s">
        <v>591</v>
      </c>
      <c r="D2716" s="64" t="s">
        <v>592</v>
      </c>
      <c r="E2716" s="64" t="s">
        <v>593</v>
      </c>
      <c r="F2716" s="63">
        <v>2000.0</v>
      </c>
      <c r="G2716" s="63">
        <v>47.1</v>
      </c>
      <c r="H2716" s="66">
        <f t="shared" si="1"/>
        <v>131.53</v>
      </c>
      <c r="I2716" s="81">
        <f>IFERROR(__xludf.DUMMYFUNCTION("IF(G2716="""", """", ROUND(G2716 / MAX(FILTER($G$2:$G5067, $D$2:$D5067=$D2716)) * 100, 2))"),88.7)</f>
        <v>88.7</v>
      </c>
      <c r="J2716" s="81">
        <f>IFERROR(__xludf.DUMMYFUNCTION("IF(H2716="""", """", ROUND(H2716 / MAX(FILTER($H$2:$H5067, $D$2:$D5067=$D2716)) * 100, 2))"),43.86)</f>
        <v>43.86</v>
      </c>
      <c r="K2716" s="2"/>
      <c r="L2716" s="49"/>
      <c r="M2716" s="49"/>
      <c r="N2716" s="49"/>
      <c r="O2716" s="49" t="str">
        <f t="shared" si="2"/>
        <v/>
      </c>
      <c r="P2716" s="49" t="str">
        <f t="shared" si="3"/>
        <v/>
      </c>
      <c r="Q2716" s="84"/>
      <c r="R2716" s="84"/>
      <c r="S2716" s="84"/>
      <c r="T2716" s="84"/>
      <c r="U2716" s="84"/>
      <c r="V2716" s="84"/>
      <c r="W2716" s="84"/>
      <c r="X2716" s="84"/>
      <c r="Y2716" s="84"/>
      <c r="Z2716" s="84"/>
      <c r="AA2716" s="84"/>
      <c r="AB2716" s="84"/>
    </row>
    <row r="2717">
      <c r="A2717" s="69">
        <v>181.0</v>
      </c>
      <c r="B2717" s="69">
        <v>298.0</v>
      </c>
      <c r="C2717" s="86" t="s">
        <v>591</v>
      </c>
      <c r="D2717" s="86" t="s">
        <v>592</v>
      </c>
      <c r="E2717" s="86" t="s">
        <v>593</v>
      </c>
      <c r="F2717" s="69">
        <v>2500.0</v>
      </c>
      <c r="G2717" s="69">
        <v>50.55</v>
      </c>
      <c r="H2717" s="68">
        <f t="shared" si="1"/>
        <v>176.45</v>
      </c>
      <c r="I2717" s="81">
        <f>IFERROR(__xludf.DUMMYFUNCTION("IF(G2717="""", """", ROUND(G2717 / MAX(FILTER($G$2:$G5067, $D$2:$D5067=$D2717)) * 100, 2))"),95.2)</f>
        <v>95.2</v>
      </c>
      <c r="J2717" s="81">
        <f>IFERROR(__xludf.DUMMYFUNCTION("IF(H2717="""", """", ROUND(H2717 / MAX(FILTER($H$2:$H5067, $D$2:$D5067=$D2717)) * 100, 2))"),58.84)</f>
        <v>58.84</v>
      </c>
      <c r="K2717" s="2"/>
      <c r="L2717" s="48"/>
      <c r="M2717" s="48"/>
      <c r="N2717" s="48"/>
      <c r="O2717" s="48" t="str">
        <f t="shared" si="2"/>
        <v/>
      </c>
      <c r="P2717" s="48" t="str">
        <f t="shared" si="3"/>
        <v/>
      </c>
      <c r="Q2717" s="84"/>
      <c r="R2717" s="84"/>
      <c r="S2717" s="84"/>
      <c r="T2717" s="84"/>
      <c r="U2717" s="84"/>
      <c r="V2717" s="84"/>
      <c r="W2717" s="84"/>
      <c r="X2717" s="84"/>
      <c r="Y2717" s="84"/>
      <c r="Z2717" s="84"/>
      <c r="AA2717" s="84"/>
      <c r="AB2717" s="84"/>
    </row>
    <row r="2718">
      <c r="A2718" s="63">
        <v>181.0</v>
      </c>
      <c r="B2718" s="63">
        <v>298.0</v>
      </c>
      <c r="C2718" s="64" t="s">
        <v>591</v>
      </c>
      <c r="D2718" s="64" t="s">
        <v>592</v>
      </c>
      <c r="E2718" s="64" t="s">
        <v>593</v>
      </c>
      <c r="F2718" s="63">
        <v>2750.0</v>
      </c>
      <c r="G2718" s="63">
        <v>51.7</v>
      </c>
      <c r="H2718" s="66">
        <f t="shared" si="1"/>
        <v>198.51</v>
      </c>
      <c r="I2718" s="81">
        <f>IFERROR(__xludf.DUMMYFUNCTION("IF(G2718="""", """", ROUND(G2718 / MAX(FILTER($G$2:$G5067, $D$2:$D5067=$D2718)) * 100, 2))"),97.36)</f>
        <v>97.36</v>
      </c>
      <c r="J2718" s="81">
        <f>IFERROR(__xludf.DUMMYFUNCTION("IF(H2718="""", """", ROUND(H2718 / MAX(FILTER($H$2:$H5067, $D$2:$D5067=$D2718)) * 100, 2))"),66.2)</f>
        <v>66.2</v>
      </c>
      <c r="K2718" s="2"/>
      <c r="L2718" s="49"/>
      <c r="M2718" s="49"/>
      <c r="N2718" s="49"/>
      <c r="O2718" s="49" t="str">
        <f t="shared" si="2"/>
        <v/>
      </c>
      <c r="P2718" s="49" t="str">
        <f t="shared" si="3"/>
        <v/>
      </c>
      <c r="Q2718" s="84"/>
      <c r="R2718" s="84"/>
      <c r="S2718" s="84"/>
      <c r="T2718" s="84"/>
      <c r="U2718" s="84"/>
      <c r="V2718" s="84"/>
      <c r="W2718" s="84"/>
      <c r="X2718" s="84"/>
      <c r="Y2718" s="84"/>
      <c r="Z2718" s="84"/>
      <c r="AA2718" s="84"/>
      <c r="AB2718" s="84"/>
    </row>
    <row r="2719">
      <c r="A2719" s="69">
        <v>181.0</v>
      </c>
      <c r="B2719" s="69">
        <v>298.0</v>
      </c>
      <c r="C2719" s="86" t="s">
        <v>591</v>
      </c>
      <c r="D2719" s="86" t="s">
        <v>592</v>
      </c>
      <c r="E2719" s="86" t="s">
        <v>593</v>
      </c>
      <c r="F2719" s="69">
        <v>3300.0</v>
      </c>
      <c r="G2719" s="69">
        <v>52.65</v>
      </c>
      <c r="H2719" s="68">
        <f t="shared" si="1"/>
        <v>242.59</v>
      </c>
      <c r="I2719" s="81">
        <f>IFERROR(__xludf.DUMMYFUNCTION("IF(G2719="""", """", ROUND(G2719 / MAX(FILTER($G$2:$G5067, $D$2:$D5067=$D2719)) * 100, 2))"),99.15)</f>
        <v>99.15</v>
      </c>
      <c r="J2719" s="81">
        <f>IFERROR(__xludf.DUMMYFUNCTION("IF(H2719="""", """", ROUND(H2719 / MAX(FILTER($H$2:$H5067, $D$2:$D5067=$D2719)) * 100, 2))"),80.9)</f>
        <v>80.9</v>
      </c>
      <c r="K2719" s="2"/>
      <c r="L2719" s="48"/>
      <c r="M2719" s="48"/>
      <c r="N2719" s="48"/>
      <c r="O2719" s="48" t="str">
        <f t="shared" si="2"/>
        <v/>
      </c>
      <c r="P2719" s="48" t="str">
        <f t="shared" si="3"/>
        <v/>
      </c>
      <c r="Q2719" s="84"/>
      <c r="R2719" s="84"/>
      <c r="S2719" s="84"/>
      <c r="T2719" s="84"/>
      <c r="U2719" s="84"/>
      <c r="V2719" s="84"/>
      <c r="W2719" s="84"/>
      <c r="X2719" s="84"/>
      <c r="Y2719" s="84"/>
      <c r="Z2719" s="84"/>
      <c r="AA2719" s="84"/>
      <c r="AB2719" s="84"/>
    </row>
    <row r="2720">
      <c r="A2720" s="63">
        <v>181.0</v>
      </c>
      <c r="B2720" s="63">
        <v>298.0</v>
      </c>
      <c r="C2720" s="64" t="s">
        <v>591</v>
      </c>
      <c r="D2720" s="64" t="s">
        <v>592</v>
      </c>
      <c r="E2720" s="64" t="s">
        <v>593</v>
      </c>
      <c r="F2720" s="63">
        <v>4000.0</v>
      </c>
      <c r="G2720" s="63">
        <v>53.1</v>
      </c>
      <c r="H2720" s="66">
        <f t="shared" si="1"/>
        <v>296.57</v>
      </c>
      <c r="I2720" s="81">
        <f>IFERROR(__xludf.DUMMYFUNCTION("IF(G2720="""", """", ROUND(G2720 / MAX(FILTER($G$2:$G5067, $D$2:$D5067=$D2720)) * 100, 2))"),100.0)</f>
        <v>100</v>
      </c>
      <c r="J2720" s="81">
        <f>IFERROR(__xludf.DUMMYFUNCTION("IF(H2720="""", """", ROUND(H2720 / MAX(FILTER($H$2:$H5067, $D$2:$D5067=$D2720)) * 100, 2))"),98.9)</f>
        <v>98.9</v>
      </c>
      <c r="K2720" s="2"/>
      <c r="L2720" s="49"/>
      <c r="M2720" s="49"/>
      <c r="N2720" s="49"/>
      <c r="O2720" s="49" t="str">
        <f t="shared" si="2"/>
        <v/>
      </c>
      <c r="P2720" s="49" t="str">
        <f t="shared" si="3"/>
        <v/>
      </c>
      <c r="Q2720" s="84"/>
      <c r="R2720" s="84"/>
      <c r="S2720" s="84"/>
      <c r="T2720" s="84"/>
      <c r="U2720" s="84"/>
      <c r="V2720" s="84"/>
      <c r="W2720" s="84"/>
      <c r="X2720" s="84"/>
      <c r="Y2720" s="84"/>
      <c r="Z2720" s="84"/>
      <c r="AA2720" s="84"/>
      <c r="AB2720" s="84"/>
    </row>
    <row r="2721">
      <c r="A2721" s="69">
        <v>181.0</v>
      </c>
      <c r="B2721" s="69">
        <v>298.0</v>
      </c>
      <c r="C2721" s="86" t="s">
        <v>591</v>
      </c>
      <c r="D2721" s="86" t="s">
        <v>592</v>
      </c>
      <c r="E2721" s="86" t="s">
        <v>593</v>
      </c>
      <c r="F2721" s="69">
        <v>4500.0</v>
      </c>
      <c r="G2721" s="69">
        <v>47.4</v>
      </c>
      <c r="H2721" s="68">
        <f t="shared" si="1"/>
        <v>297.82</v>
      </c>
      <c r="I2721" s="81">
        <f>IFERROR(__xludf.DUMMYFUNCTION("IF(G2721="""", """", ROUND(G2721 / MAX(FILTER($G$2:$G5067, $D$2:$D5067=$D2721)) * 100, 2))"),89.27)</f>
        <v>89.27</v>
      </c>
      <c r="J2721" s="81">
        <f>IFERROR(__xludf.DUMMYFUNCTION("IF(H2721="""", """", ROUND(H2721 / MAX(FILTER($H$2:$H5067, $D$2:$D5067=$D2721)) * 100, 2))"),99.31)</f>
        <v>99.31</v>
      </c>
      <c r="K2721" s="2"/>
      <c r="L2721" s="48"/>
      <c r="M2721" s="48"/>
      <c r="N2721" s="48"/>
      <c r="O2721" s="48" t="str">
        <f t="shared" si="2"/>
        <v/>
      </c>
      <c r="P2721" s="48" t="str">
        <f t="shared" si="3"/>
        <v/>
      </c>
      <c r="Q2721" s="84"/>
      <c r="R2721" s="84"/>
      <c r="S2721" s="84"/>
      <c r="T2721" s="84"/>
      <c r="U2721" s="84"/>
      <c r="V2721" s="84"/>
      <c r="W2721" s="84"/>
      <c r="X2721" s="84"/>
      <c r="Y2721" s="84"/>
      <c r="Z2721" s="84"/>
      <c r="AA2721" s="84"/>
      <c r="AB2721" s="84"/>
    </row>
    <row r="2722">
      <c r="A2722" s="63">
        <v>181.0</v>
      </c>
      <c r="B2722" s="63">
        <v>298.0</v>
      </c>
      <c r="C2722" s="64" t="s">
        <v>591</v>
      </c>
      <c r="D2722" s="64" t="s">
        <v>592</v>
      </c>
      <c r="E2722" s="64" t="s">
        <v>593</v>
      </c>
      <c r="F2722" s="63">
        <v>5000.0</v>
      </c>
      <c r="G2722" s="63">
        <v>42.6</v>
      </c>
      <c r="H2722" s="66">
        <f t="shared" si="1"/>
        <v>297.4</v>
      </c>
      <c r="I2722" s="81">
        <f>IFERROR(__xludf.DUMMYFUNCTION("IF(G2722="""", """", ROUND(G2722 / MAX(FILTER($G$2:$G5067, $D$2:$D5067=$D2722)) * 100, 2))"),80.23)</f>
        <v>80.23</v>
      </c>
      <c r="J2722" s="81">
        <f>IFERROR(__xludf.DUMMYFUNCTION("IF(H2722="""", """", ROUND(H2722 / MAX(FILTER($H$2:$H5067, $D$2:$D5067=$D2722)) * 100, 2))"),99.17)</f>
        <v>99.17</v>
      </c>
      <c r="K2722" s="2"/>
      <c r="L2722" s="49"/>
      <c r="M2722" s="49"/>
      <c r="N2722" s="49"/>
      <c r="O2722" s="49" t="str">
        <f t="shared" si="2"/>
        <v/>
      </c>
      <c r="P2722" s="49" t="str">
        <f t="shared" si="3"/>
        <v/>
      </c>
      <c r="Q2722" s="84"/>
      <c r="R2722" s="84"/>
      <c r="S2722" s="84"/>
      <c r="T2722" s="84"/>
      <c r="U2722" s="84"/>
      <c r="V2722" s="84"/>
      <c r="W2722" s="84"/>
      <c r="X2722" s="84"/>
      <c r="Y2722" s="84"/>
      <c r="Z2722" s="84"/>
      <c r="AA2722" s="84"/>
      <c r="AB2722" s="84"/>
    </row>
    <row r="2723">
      <c r="A2723" s="69">
        <v>181.0</v>
      </c>
      <c r="B2723" s="69">
        <v>298.0</v>
      </c>
      <c r="C2723" s="86" t="s">
        <v>591</v>
      </c>
      <c r="D2723" s="86" t="s">
        <v>592</v>
      </c>
      <c r="E2723" s="86" t="s">
        <v>593</v>
      </c>
      <c r="F2723" s="69">
        <v>5500.0</v>
      </c>
      <c r="G2723" s="69">
        <v>39.05</v>
      </c>
      <c r="H2723" s="68">
        <f t="shared" si="1"/>
        <v>299.88</v>
      </c>
      <c r="I2723" s="81">
        <f>IFERROR(__xludf.DUMMYFUNCTION("IF(G2723="""", """", ROUND(G2723 / MAX(FILTER($G$2:$G5067, $D$2:$D5067=$D2723)) * 100, 2))"),73.54)</f>
        <v>73.54</v>
      </c>
      <c r="J2723" s="81">
        <f>IFERROR(__xludf.DUMMYFUNCTION("IF(H2723="""", """", ROUND(H2723 / MAX(FILTER($H$2:$H5067, $D$2:$D5067=$D2723)) * 100, 2))"),100.0)</f>
        <v>100</v>
      </c>
      <c r="K2723" s="2"/>
      <c r="L2723" s="48"/>
      <c r="M2723" s="48"/>
      <c r="N2723" s="48"/>
      <c r="O2723" s="48" t="str">
        <f t="shared" si="2"/>
        <v/>
      </c>
      <c r="P2723" s="48" t="str">
        <f t="shared" si="3"/>
        <v/>
      </c>
      <c r="Q2723" s="84"/>
      <c r="R2723" s="84"/>
      <c r="S2723" s="84"/>
      <c r="T2723" s="84"/>
      <c r="U2723" s="84"/>
      <c r="V2723" s="84"/>
      <c r="W2723" s="84"/>
      <c r="X2723" s="84"/>
      <c r="Y2723" s="84"/>
      <c r="Z2723" s="84"/>
      <c r="AA2723" s="84"/>
      <c r="AB2723" s="84"/>
    </row>
    <row r="2724">
      <c r="A2724" s="63">
        <v>181.0</v>
      </c>
      <c r="B2724" s="63">
        <v>298.0</v>
      </c>
      <c r="C2724" s="64" t="s">
        <v>591</v>
      </c>
      <c r="D2724" s="64" t="s">
        <v>592</v>
      </c>
      <c r="E2724" s="64" t="s">
        <v>593</v>
      </c>
      <c r="F2724" s="63">
        <v>6000.0</v>
      </c>
      <c r="G2724" s="63">
        <v>34.5</v>
      </c>
      <c r="H2724" s="66">
        <f t="shared" si="1"/>
        <v>289.03</v>
      </c>
      <c r="I2724" s="81">
        <f>IFERROR(__xludf.DUMMYFUNCTION("IF(G2724="""", """", ROUND(G2724 / MAX(FILTER($G$2:$G5067, $D$2:$D5067=$D2724)) * 100, 2))"),64.97)</f>
        <v>64.97</v>
      </c>
      <c r="J2724" s="81">
        <f>IFERROR(__xludf.DUMMYFUNCTION("IF(H2724="""", """", ROUND(H2724 / MAX(FILTER($H$2:$H5067, $D$2:$D5067=$D2724)) * 100, 2))"),96.38)</f>
        <v>96.38</v>
      </c>
      <c r="K2724" s="2"/>
      <c r="L2724" s="49"/>
      <c r="M2724" s="49"/>
      <c r="N2724" s="49"/>
      <c r="O2724" s="49" t="str">
        <f t="shared" si="2"/>
        <v/>
      </c>
      <c r="P2724" s="49" t="str">
        <f t="shared" si="3"/>
        <v/>
      </c>
      <c r="Q2724" s="84"/>
      <c r="R2724" s="84"/>
      <c r="S2724" s="84"/>
      <c r="T2724" s="84"/>
      <c r="U2724" s="84"/>
      <c r="V2724" s="84"/>
      <c r="W2724" s="84"/>
      <c r="X2724" s="84"/>
      <c r="Y2724" s="84"/>
      <c r="Z2724" s="84"/>
      <c r="AA2724" s="84"/>
      <c r="AB2724" s="84"/>
    </row>
    <row r="2725">
      <c r="A2725" s="69">
        <v>181.0</v>
      </c>
      <c r="B2725" s="69">
        <v>298.0</v>
      </c>
      <c r="C2725" s="86" t="s">
        <v>591</v>
      </c>
      <c r="D2725" s="86" t="s">
        <v>592</v>
      </c>
      <c r="E2725" s="86" t="s">
        <v>593</v>
      </c>
      <c r="F2725" s="69">
        <v>6500.0</v>
      </c>
      <c r="G2725" s="69">
        <v>28.35</v>
      </c>
      <c r="H2725" s="68">
        <f t="shared" si="1"/>
        <v>257.3</v>
      </c>
      <c r="I2725" s="81">
        <f>IFERROR(__xludf.DUMMYFUNCTION("IF(G2725="""", """", ROUND(G2725 / MAX(FILTER($G$2:$G5067, $D$2:$D5067=$D2725)) * 100, 2))"),53.39)</f>
        <v>53.39</v>
      </c>
      <c r="J2725" s="81">
        <f>IFERROR(__xludf.DUMMYFUNCTION("IF(H2725="""", """", ROUND(H2725 / MAX(FILTER($H$2:$H5067, $D$2:$D5067=$D2725)) * 100, 2))"),85.8)</f>
        <v>85.8</v>
      </c>
      <c r="K2725" s="2"/>
      <c r="L2725" s="48"/>
      <c r="M2725" s="48"/>
      <c r="N2725" s="48"/>
      <c r="O2725" s="48" t="str">
        <f t="shared" si="2"/>
        <v/>
      </c>
      <c r="P2725" s="48" t="str">
        <f t="shared" si="3"/>
        <v/>
      </c>
      <c r="Q2725" s="84"/>
      <c r="R2725" s="84"/>
      <c r="S2725" s="84"/>
      <c r="T2725" s="84"/>
      <c r="U2725" s="84"/>
      <c r="V2725" s="84"/>
      <c r="W2725" s="84"/>
      <c r="X2725" s="84"/>
      <c r="Y2725" s="84"/>
      <c r="Z2725" s="84"/>
      <c r="AA2725" s="84"/>
      <c r="AB2725" s="84"/>
    </row>
    <row r="2726">
      <c r="A2726" s="63">
        <v>181.0</v>
      </c>
      <c r="B2726" s="63">
        <v>298.0</v>
      </c>
      <c r="C2726" s="64" t="s">
        <v>591</v>
      </c>
      <c r="D2726" s="64" t="s">
        <v>592</v>
      </c>
      <c r="E2726" s="64" t="s">
        <v>593</v>
      </c>
      <c r="F2726" s="63">
        <v>7000.0</v>
      </c>
      <c r="G2726" s="63">
        <v>21.9</v>
      </c>
      <c r="H2726" s="66">
        <f t="shared" si="1"/>
        <v>214.05</v>
      </c>
      <c r="I2726" s="81">
        <f>IFERROR(__xludf.DUMMYFUNCTION("IF(G2726="""", """", ROUND(G2726 / MAX(FILTER($G$2:$G5067, $D$2:$D5067=$D2726)) * 100, 2))"),41.24)</f>
        <v>41.24</v>
      </c>
      <c r="J2726" s="81">
        <f>IFERROR(__xludf.DUMMYFUNCTION("IF(H2726="""", """", ROUND(H2726 / MAX(FILTER($H$2:$H5067, $D$2:$D5067=$D2726)) * 100, 2))"),71.38)</f>
        <v>71.38</v>
      </c>
      <c r="K2726" s="2"/>
      <c r="L2726" s="49"/>
      <c r="M2726" s="49"/>
      <c r="N2726" s="49"/>
      <c r="O2726" s="49" t="str">
        <f t="shared" si="2"/>
        <v/>
      </c>
      <c r="P2726" s="49" t="str">
        <f t="shared" si="3"/>
        <v/>
      </c>
      <c r="Q2726" s="84"/>
      <c r="R2726" s="84"/>
      <c r="S2726" s="84"/>
      <c r="T2726" s="84"/>
      <c r="U2726" s="84"/>
      <c r="V2726" s="84"/>
      <c r="W2726" s="84"/>
      <c r="X2726" s="84"/>
      <c r="Y2726" s="84"/>
      <c r="Z2726" s="84"/>
      <c r="AA2726" s="84"/>
      <c r="AB2726" s="84"/>
    </row>
    <row r="2727">
      <c r="A2727" s="69">
        <v>181.0</v>
      </c>
      <c r="B2727" s="69">
        <v>298.0</v>
      </c>
      <c r="C2727" s="86" t="s">
        <v>591</v>
      </c>
      <c r="D2727" s="86" t="s">
        <v>592</v>
      </c>
      <c r="E2727" s="86" t="s">
        <v>593</v>
      </c>
      <c r="F2727" s="69">
        <v>7500.0</v>
      </c>
      <c r="G2727" s="69">
        <v>15.0</v>
      </c>
      <c r="H2727" s="68">
        <f t="shared" si="1"/>
        <v>157.08</v>
      </c>
      <c r="I2727" s="81">
        <f>IFERROR(__xludf.DUMMYFUNCTION("IF(G2727="""", """", ROUND(G2727 / MAX(FILTER($G$2:$G5067, $D$2:$D5067=$D2727)) * 100, 2))"),28.25)</f>
        <v>28.25</v>
      </c>
      <c r="J2727" s="81">
        <f>IFERROR(__xludf.DUMMYFUNCTION("IF(H2727="""", """", ROUND(H2727 / MAX(FILTER($H$2:$H5067, $D$2:$D5067=$D2727)) * 100, 2))"),52.38)</f>
        <v>52.38</v>
      </c>
      <c r="K2727" s="2"/>
      <c r="L2727" s="48"/>
      <c r="M2727" s="48"/>
      <c r="N2727" s="48"/>
      <c r="O2727" s="48" t="str">
        <f t="shared" si="2"/>
        <v/>
      </c>
      <c r="P2727" s="48" t="str">
        <f t="shared" si="3"/>
        <v/>
      </c>
      <c r="Q2727" s="84"/>
      <c r="R2727" s="84"/>
      <c r="S2727" s="84"/>
      <c r="T2727" s="84"/>
      <c r="U2727" s="84"/>
      <c r="V2727" s="84"/>
      <c r="W2727" s="84"/>
      <c r="X2727" s="84"/>
      <c r="Y2727" s="84"/>
      <c r="Z2727" s="84"/>
      <c r="AA2727" s="84"/>
      <c r="AB2727" s="84"/>
    </row>
    <row r="2728">
      <c r="A2728" s="63">
        <v>182.0</v>
      </c>
      <c r="B2728" s="63">
        <v>299.0</v>
      </c>
      <c r="C2728" s="64" t="s">
        <v>594</v>
      </c>
      <c r="D2728" s="64" t="s">
        <v>595</v>
      </c>
      <c r="E2728" s="64" t="s">
        <v>596</v>
      </c>
      <c r="F2728" s="63">
        <v>500.0</v>
      </c>
      <c r="G2728" s="63">
        <v>18.0</v>
      </c>
      <c r="H2728" s="66">
        <f t="shared" si="1"/>
        <v>12.57</v>
      </c>
      <c r="I2728" s="81">
        <f>IFERROR(__xludf.DUMMYFUNCTION("IF(G2728="""", """", ROUND(G2728 / MAX(FILTER($G$2:$G5067, $D$2:$D5067=$D2728)) * 100, 2))"),58.06)</f>
        <v>58.06</v>
      </c>
      <c r="J2728" s="81">
        <f>IFERROR(__xludf.DUMMYFUNCTION("IF(H2728="""", """", ROUND(H2728 / MAX(FILTER($H$2:$H5067, $D$2:$D5067=$D2728)) * 100, 2))"),5.71)</f>
        <v>5.71</v>
      </c>
      <c r="K2728" s="2"/>
      <c r="L2728" s="49"/>
      <c r="M2728" s="49"/>
      <c r="N2728" s="49"/>
      <c r="O2728" s="49" t="str">
        <f t="shared" si="2"/>
        <v/>
      </c>
      <c r="P2728" s="49" t="str">
        <f t="shared" si="3"/>
        <v/>
      </c>
      <c r="Q2728" s="84"/>
      <c r="R2728" s="84"/>
      <c r="S2728" s="84"/>
      <c r="T2728" s="84"/>
      <c r="U2728" s="84"/>
      <c r="V2728" s="84"/>
      <c r="W2728" s="84"/>
      <c r="X2728" s="84"/>
      <c r="Y2728" s="84"/>
      <c r="Z2728" s="84"/>
      <c r="AA2728" s="84"/>
      <c r="AB2728" s="84"/>
    </row>
    <row r="2729">
      <c r="A2729" s="69">
        <v>182.0</v>
      </c>
      <c r="B2729" s="69">
        <v>299.0</v>
      </c>
      <c r="C2729" s="86" t="s">
        <v>594</v>
      </c>
      <c r="D2729" s="86" t="s">
        <v>595</v>
      </c>
      <c r="E2729" s="86" t="s">
        <v>596</v>
      </c>
      <c r="F2729" s="69">
        <v>1000.0</v>
      </c>
      <c r="G2729" s="69">
        <v>19.7</v>
      </c>
      <c r="H2729" s="68">
        <f t="shared" si="1"/>
        <v>27.51</v>
      </c>
      <c r="I2729" s="81">
        <f>IFERROR(__xludf.DUMMYFUNCTION("IF(G2729="""", """", ROUND(G2729 / MAX(FILTER($G$2:$G5067, $D$2:$D5067=$D2729)) * 100, 2))"),63.55)</f>
        <v>63.55</v>
      </c>
      <c r="J2729" s="81">
        <f>IFERROR(__xludf.DUMMYFUNCTION("IF(H2729="""", """", ROUND(H2729 / MAX(FILTER($H$2:$H5067, $D$2:$D5067=$D2729)) * 100, 2))"),12.49)</f>
        <v>12.49</v>
      </c>
      <c r="K2729" s="2"/>
      <c r="L2729" s="48"/>
      <c r="M2729" s="48"/>
      <c r="N2729" s="48"/>
      <c r="O2729" s="48" t="str">
        <f t="shared" si="2"/>
        <v/>
      </c>
      <c r="P2729" s="48" t="str">
        <f t="shared" si="3"/>
        <v/>
      </c>
      <c r="Q2729" s="84"/>
      <c r="R2729" s="84"/>
      <c r="S2729" s="84"/>
      <c r="T2729" s="84"/>
      <c r="U2729" s="84"/>
      <c r="V2729" s="84"/>
      <c r="W2729" s="84"/>
      <c r="X2729" s="84"/>
      <c r="Y2729" s="84"/>
      <c r="Z2729" s="84"/>
      <c r="AA2729" s="84"/>
      <c r="AB2729" s="84"/>
    </row>
    <row r="2730">
      <c r="A2730" s="63">
        <v>182.0</v>
      </c>
      <c r="B2730" s="63">
        <v>299.0</v>
      </c>
      <c r="C2730" s="64" t="s">
        <v>594</v>
      </c>
      <c r="D2730" s="64" t="s">
        <v>595</v>
      </c>
      <c r="E2730" s="64" t="s">
        <v>596</v>
      </c>
      <c r="F2730" s="63">
        <v>1500.0</v>
      </c>
      <c r="G2730" s="63">
        <v>20.9</v>
      </c>
      <c r="H2730" s="66">
        <f t="shared" si="1"/>
        <v>43.77</v>
      </c>
      <c r="I2730" s="81">
        <f>IFERROR(__xludf.DUMMYFUNCTION("IF(G2730="""", """", ROUND(G2730 / MAX(FILTER($G$2:$G5067, $D$2:$D5067=$D2730)) * 100, 2))"),67.42)</f>
        <v>67.42</v>
      </c>
      <c r="J2730" s="81">
        <f>IFERROR(__xludf.DUMMYFUNCTION("IF(H2730="""", """", ROUND(H2730 / MAX(FILTER($H$2:$H5067, $D$2:$D5067=$D2730)) * 100, 2))"),19.87)</f>
        <v>19.87</v>
      </c>
      <c r="K2730" s="2"/>
      <c r="L2730" s="49"/>
      <c r="M2730" s="49"/>
      <c r="N2730" s="49"/>
      <c r="O2730" s="49" t="str">
        <f t="shared" si="2"/>
        <v/>
      </c>
      <c r="P2730" s="49" t="str">
        <f t="shared" si="3"/>
        <v/>
      </c>
      <c r="Q2730" s="84"/>
      <c r="R2730" s="84"/>
      <c r="S2730" s="84"/>
      <c r="T2730" s="84"/>
      <c r="U2730" s="84"/>
      <c r="V2730" s="84"/>
      <c r="W2730" s="84"/>
      <c r="X2730" s="84"/>
      <c r="Y2730" s="84"/>
      <c r="Z2730" s="84"/>
      <c r="AA2730" s="84"/>
      <c r="AB2730" s="84"/>
    </row>
    <row r="2731">
      <c r="A2731" s="69">
        <v>182.0</v>
      </c>
      <c r="B2731" s="69">
        <v>299.0</v>
      </c>
      <c r="C2731" s="86" t="s">
        <v>594</v>
      </c>
      <c r="D2731" s="86" t="s">
        <v>595</v>
      </c>
      <c r="E2731" s="86" t="s">
        <v>596</v>
      </c>
      <c r="F2731" s="69">
        <v>2000.0</v>
      </c>
      <c r="G2731" s="69">
        <v>23.4</v>
      </c>
      <c r="H2731" s="68">
        <f t="shared" si="1"/>
        <v>65.34</v>
      </c>
      <c r="I2731" s="81">
        <f>IFERROR(__xludf.DUMMYFUNCTION("IF(G2731="""", """", ROUND(G2731 / MAX(FILTER($G$2:$G5067, $D$2:$D5067=$D2731)) * 100, 2))"),75.48)</f>
        <v>75.48</v>
      </c>
      <c r="J2731" s="81">
        <f>IFERROR(__xludf.DUMMYFUNCTION("IF(H2731="""", """", ROUND(H2731 / MAX(FILTER($H$2:$H5067, $D$2:$D5067=$D2731)) * 100, 2))"),29.66)</f>
        <v>29.66</v>
      </c>
      <c r="K2731" s="2"/>
      <c r="L2731" s="48"/>
      <c r="M2731" s="48"/>
      <c r="N2731" s="48"/>
      <c r="O2731" s="48" t="str">
        <f t="shared" si="2"/>
        <v/>
      </c>
      <c r="P2731" s="48" t="str">
        <f t="shared" si="3"/>
        <v/>
      </c>
      <c r="Q2731" s="84"/>
      <c r="R2731" s="84"/>
      <c r="S2731" s="84"/>
      <c r="T2731" s="84"/>
      <c r="U2731" s="84"/>
      <c r="V2731" s="84"/>
      <c r="W2731" s="84"/>
      <c r="X2731" s="84"/>
      <c r="Y2731" s="84"/>
      <c r="Z2731" s="84"/>
      <c r="AA2731" s="84"/>
      <c r="AB2731" s="84"/>
    </row>
    <row r="2732">
      <c r="A2732" s="63">
        <v>182.0</v>
      </c>
      <c r="B2732" s="63">
        <v>299.0</v>
      </c>
      <c r="C2732" s="64" t="s">
        <v>594</v>
      </c>
      <c r="D2732" s="64" t="s">
        <v>595</v>
      </c>
      <c r="E2732" s="64" t="s">
        <v>596</v>
      </c>
      <c r="F2732" s="63">
        <v>2500.0</v>
      </c>
      <c r="G2732" s="63">
        <v>26.7</v>
      </c>
      <c r="H2732" s="66">
        <f t="shared" si="1"/>
        <v>93.2</v>
      </c>
      <c r="I2732" s="81">
        <f>IFERROR(__xludf.DUMMYFUNCTION("IF(G2732="""", """", ROUND(G2732 / MAX(FILTER($G$2:$G5067, $D$2:$D5067=$D2732)) * 100, 2))"),86.13)</f>
        <v>86.13</v>
      </c>
      <c r="J2732" s="81">
        <f>IFERROR(__xludf.DUMMYFUNCTION("IF(H2732="""", """", ROUND(H2732 / MAX(FILTER($H$2:$H5067, $D$2:$D5067=$D2732)) * 100, 2))"),42.31)</f>
        <v>42.31</v>
      </c>
      <c r="K2732" s="2"/>
      <c r="L2732" s="49"/>
      <c r="M2732" s="49"/>
      <c r="N2732" s="49"/>
      <c r="O2732" s="49" t="str">
        <f t="shared" si="2"/>
        <v/>
      </c>
      <c r="P2732" s="49" t="str">
        <f t="shared" si="3"/>
        <v/>
      </c>
      <c r="Q2732" s="84"/>
      <c r="R2732" s="84"/>
      <c r="S2732" s="84"/>
      <c r="T2732" s="84"/>
      <c r="U2732" s="84"/>
      <c r="V2732" s="84"/>
      <c r="W2732" s="84"/>
      <c r="X2732" s="84"/>
      <c r="Y2732" s="84"/>
      <c r="Z2732" s="84"/>
      <c r="AA2732" s="84"/>
      <c r="AB2732" s="84"/>
    </row>
    <row r="2733">
      <c r="A2733" s="69">
        <v>182.0</v>
      </c>
      <c r="B2733" s="69">
        <v>299.0</v>
      </c>
      <c r="C2733" s="86" t="s">
        <v>594</v>
      </c>
      <c r="D2733" s="86" t="s">
        <v>595</v>
      </c>
      <c r="E2733" s="86" t="s">
        <v>596</v>
      </c>
      <c r="F2733" s="69">
        <v>3000.0</v>
      </c>
      <c r="G2733" s="69">
        <v>29.2</v>
      </c>
      <c r="H2733" s="68">
        <f t="shared" si="1"/>
        <v>122.31</v>
      </c>
      <c r="I2733" s="81">
        <f>IFERROR(__xludf.DUMMYFUNCTION("IF(G2733="""", """", ROUND(G2733 / MAX(FILTER($G$2:$G5067, $D$2:$D5067=$D2733)) * 100, 2))"),94.19)</f>
        <v>94.19</v>
      </c>
      <c r="J2733" s="81">
        <f>IFERROR(__xludf.DUMMYFUNCTION("IF(H2733="""", """", ROUND(H2733 / MAX(FILTER($H$2:$H5067, $D$2:$D5067=$D2733)) * 100, 2))"),55.53)</f>
        <v>55.53</v>
      </c>
      <c r="K2733" s="2"/>
      <c r="L2733" s="48"/>
      <c r="M2733" s="48"/>
      <c r="N2733" s="48"/>
      <c r="O2733" s="48" t="str">
        <f t="shared" si="2"/>
        <v/>
      </c>
      <c r="P2733" s="48" t="str">
        <f t="shared" si="3"/>
        <v/>
      </c>
      <c r="Q2733" s="84"/>
      <c r="R2733" s="84"/>
      <c r="S2733" s="84"/>
      <c r="T2733" s="84"/>
      <c r="U2733" s="84"/>
      <c r="V2733" s="84"/>
      <c r="W2733" s="84"/>
      <c r="X2733" s="84"/>
      <c r="Y2733" s="84"/>
      <c r="Z2733" s="84"/>
      <c r="AA2733" s="84"/>
      <c r="AB2733" s="84"/>
    </row>
    <row r="2734">
      <c r="A2734" s="63">
        <v>182.0</v>
      </c>
      <c r="B2734" s="63">
        <v>299.0</v>
      </c>
      <c r="C2734" s="64" t="s">
        <v>594</v>
      </c>
      <c r="D2734" s="64" t="s">
        <v>595</v>
      </c>
      <c r="E2734" s="64" t="s">
        <v>596</v>
      </c>
      <c r="F2734" s="63">
        <v>3500.0</v>
      </c>
      <c r="G2734" s="63">
        <v>30.4</v>
      </c>
      <c r="H2734" s="66">
        <f t="shared" si="1"/>
        <v>148.56</v>
      </c>
      <c r="I2734" s="81">
        <f>IFERROR(__xludf.DUMMYFUNCTION("IF(G2734="""", """", ROUND(G2734 / MAX(FILTER($G$2:$G5067, $D$2:$D5067=$D2734)) * 100, 2))"),98.06)</f>
        <v>98.06</v>
      </c>
      <c r="J2734" s="81">
        <f>IFERROR(__xludf.DUMMYFUNCTION("IF(H2734="""", """", ROUND(H2734 / MAX(FILTER($H$2:$H5067, $D$2:$D5067=$D2734)) * 100, 2))"),67.44)</f>
        <v>67.44</v>
      </c>
      <c r="K2734" s="2"/>
      <c r="L2734" s="49"/>
      <c r="M2734" s="49"/>
      <c r="N2734" s="49"/>
      <c r="O2734" s="49" t="str">
        <f t="shared" si="2"/>
        <v/>
      </c>
      <c r="P2734" s="49" t="str">
        <f t="shared" si="3"/>
        <v/>
      </c>
      <c r="Q2734" s="84"/>
      <c r="R2734" s="84"/>
      <c r="S2734" s="84"/>
      <c r="T2734" s="84"/>
      <c r="U2734" s="84"/>
      <c r="V2734" s="84"/>
      <c r="W2734" s="84"/>
      <c r="X2734" s="84"/>
      <c r="Y2734" s="84"/>
      <c r="Z2734" s="84"/>
      <c r="AA2734" s="84"/>
      <c r="AB2734" s="84"/>
    </row>
    <row r="2735">
      <c r="A2735" s="69">
        <v>182.0</v>
      </c>
      <c r="B2735" s="69">
        <v>299.0</v>
      </c>
      <c r="C2735" s="86" t="s">
        <v>594</v>
      </c>
      <c r="D2735" s="86" t="s">
        <v>595</v>
      </c>
      <c r="E2735" s="86" t="s">
        <v>596</v>
      </c>
      <c r="F2735" s="69">
        <v>4000.0</v>
      </c>
      <c r="G2735" s="69">
        <v>30.8</v>
      </c>
      <c r="H2735" s="68">
        <f t="shared" si="1"/>
        <v>172.02</v>
      </c>
      <c r="I2735" s="81">
        <f>IFERROR(__xludf.DUMMYFUNCTION("IF(G2735="""", """", ROUND(G2735 / MAX(FILTER($G$2:$G5067, $D$2:$D5067=$D2735)) * 100, 2))"),99.35)</f>
        <v>99.35</v>
      </c>
      <c r="J2735" s="81">
        <f>IFERROR(__xludf.DUMMYFUNCTION("IF(H2735="""", """", ROUND(H2735 / MAX(FILTER($H$2:$H5067, $D$2:$D5067=$D2735)) * 100, 2))"),78.1)</f>
        <v>78.1</v>
      </c>
      <c r="K2735" s="2"/>
      <c r="L2735" s="48"/>
      <c r="M2735" s="48"/>
      <c r="N2735" s="48"/>
      <c r="O2735" s="48" t="str">
        <f t="shared" si="2"/>
        <v/>
      </c>
      <c r="P2735" s="48" t="str">
        <f t="shared" si="3"/>
        <v/>
      </c>
      <c r="Q2735" s="84"/>
      <c r="R2735" s="84"/>
      <c r="S2735" s="84"/>
      <c r="T2735" s="84"/>
      <c r="U2735" s="84"/>
      <c r="V2735" s="84"/>
      <c r="W2735" s="84"/>
      <c r="X2735" s="84"/>
      <c r="Y2735" s="84"/>
      <c r="Z2735" s="84"/>
      <c r="AA2735" s="84"/>
      <c r="AB2735" s="84"/>
    </row>
    <row r="2736">
      <c r="A2736" s="63">
        <v>182.0</v>
      </c>
      <c r="B2736" s="63">
        <v>299.0</v>
      </c>
      <c r="C2736" s="64" t="s">
        <v>594</v>
      </c>
      <c r="D2736" s="64" t="s">
        <v>595</v>
      </c>
      <c r="E2736" s="64" t="s">
        <v>596</v>
      </c>
      <c r="F2736" s="63">
        <v>4400.0</v>
      </c>
      <c r="G2736" s="63">
        <v>31.0</v>
      </c>
      <c r="H2736" s="66">
        <f t="shared" si="1"/>
        <v>190.45</v>
      </c>
      <c r="I2736" s="81">
        <f>IFERROR(__xludf.DUMMYFUNCTION("IF(G2736="""", """", ROUND(G2736 / MAX(FILTER($G$2:$G5067, $D$2:$D5067=$D2736)) * 100, 2))"),100.0)</f>
        <v>100</v>
      </c>
      <c r="J2736" s="81">
        <f>IFERROR(__xludf.DUMMYFUNCTION("IF(H2736="""", """", ROUND(H2736 / MAX(FILTER($H$2:$H5067, $D$2:$D5067=$D2736)) * 100, 2))"),86.46)</f>
        <v>86.46</v>
      </c>
      <c r="K2736" s="2"/>
      <c r="L2736" s="49"/>
      <c r="M2736" s="49"/>
      <c r="N2736" s="49"/>
      <c r="O2736" s="49" t="str">
        <f t="shared" si="2"/>
        <v/>
      </c>
      <c r="P2736" s="49" t="str">
        <f t="shared" si="3"/>
        <v/>
      </c>
      <c r="Q2736" s="84"/>
      <c r="R2736" s="84"/>
      <c r="S2736" s="84"/>
      <c r="T2736" s="84"/>
      <c r="U2736" s="84"/>
      <c r="V2736" s="84"/>
      <c r="W2736" s="84"/>
      <c r="X2736" s="84"/>
      <c r="Y2736" s="84"/>
      <c r="Z2736" s="84"/>
      <c r="AA2736" s="84"/>
      <c r="AB2736" s="84"/>
    </row>
    <row r="2737">
      <c r="A2737" s="69">
        <v>182.0</v>
      </c>
      <c r="B2737" s="69">
        <v>299.0</v>
      </c>
      <c r="C2737" s="86" t="s">
        <v>594</v>
      </c>
      <c r="D2737" s="86" t="s">
        <v>595</v>
      </c>
      <c r="E2737" s="86" t="s">
        <v>596</v>
      </c>
      <c r="F2737" s="69">
        <v>5000.0</v>
      </c>
      <c r="G2737" s="69">
        <v>29.6</v>
      </c>
      <c r="H2737" s="68">
        <f t="shared" si="1"/>
        <v>206.65</v>
      </c>
      <c r="I2737" s="81">
        <f>IFERROR(__xludf.DUMMYFUNCTION("IF(G2737="""", """", ROUND(G2737 / MAX(FILTER($G$2:$G5067, $D$2:$D5067=$D2737)) * 100, 2))"),95.48)</f>
        <v>95.48</v>
      </c>
      <c r="J2737" s="81">
        <f>IFERROR(__xludf.DUMMYFUNCTION("IF(H2737="""", """", ROUND(H2737 / MAX(FILTER($H$2:$H5067, $D$2:$D5067=$D2737)) * 100, 2))"),93.82)</f>
        <v>93.82</v>
      </c>
      <c r="K2737" s="2"/>
      <c r="L2737" s="48"/>
      <c r="M2737" s="48"/>
      <c r="N2737" s="48"/>
      <c r="O2737" s="48" t="str">
        <f t="shared" si="2"/>
        <v/>
      </c>
      <c r="P2737" s="48" t="str">
        <f t="shared" si="3"/>
        <v/>
      </c>
      <c r="Q2737" s="84"/>
      <c r="R2737" s="84"/>
      <c r="S2737" s="84"/>
      <c r="T2737" s="84"/>
      <c r="U2737" s="84"/>
      <c r="V2737" s="84"/>
      <c r="W2737" s="84"/>
      <c r="X2737" s="84"/>
      <c r="Y2737" s="84"/>
      <c r="Z2737" s="84"/>
      <c r="AA2737" s="84"/>
      <c r="AB2737" s="84"/>
    </row>
    <row r="2738">
      <c r="A2738" s="63">
        <v>182.0</v>
      </c>
      <c r="B2738" s="63">
        <v>299.0</v>
      </c>
      <c r="C2738" s="64" t="s">
        <v>594</v>
      </c>
      <c r="D2738" s="64" t="s">
        <v>595</v>
      </c>
      <c r="E2738" s="64" t="s">
        <v>596</v>
      </c>
      <c r="F2738" s="63">
        <v>5400.0</v>
      </c>
      <c r="G2738" s="63">
        <v>28.5</v>
      </c>
      <c r="H2738" s="66">
        <f t="shared" si="1"/>
        <v>214.88</v>
      </c>
      <c r="I2738" s="81">
        <f>IFERROR(__xludf.DUMMYFUNCTION("IF(G2738="""", """", ROUND(G2738 / MAX(FILTER($G$2:$G5067, $D$2:$D5067=$D2738)) * 100, 2))"),91.94)</f>
        <v>91.94</v>
      </c>
      <c r="J2738" s="81">
        <f>IFERROR(__xludf.DUMMYFUNCTION("IF(H2738="""", """", ROUND(H2738 / MAX(FILTER($H$2:$H5067, $D$2:$D5067=$D2738)) * 100, 2))"),97.55)</f>
        <v>97.55</v>
      </c>
      <c r="K2738" s="2"/>
      <c r="L2738" s="49"/>
      <c r="M2738" s="49"/>
      <c r="N2738" s="49"/>
      <c r="O2738" s="49" t="str">
        <f t="shared" si="2"/>
        <v/>
      </c>
      <c r="P2738" s="49" t="str">
        <f t="shared" si="3"/>
        <v/>
      </c>
      <c r="Q2738" s="84"/>
      <c r="R2738" s="84"/>
      <c r="S2738" s="84"/>
      <c r="T2738" s="84"/>
      <c r="U2738" s="84"/>
      <c r="V2738" s="84"/>
      <c r="W2738" s="84"/>
      <c r="X2738" s="84"/>
      <c r="Y2738" s="84"/>
      <c r="Z2738" s="84"/>
      <c r="AA2738" s="84"/>
      <c r="AB2738" s="84"/>
    </row>
    <row r="2739">
      <c r="A2739" s="69">
        <v>182.0</v>
      </c>
      <c r="B2739" s="69">
        <v>299.0</v>
      </c>
      <c r="C2739" s="86" t="s">
        <v>594</v>
      </c>
      <c r="D2739" s="86" t="s">
        <v>595</v>
      </c>
      <c r="E2739" s="86" t="s">
        <v>596</v>
      </c>
      <c r="F2739" s="69">
        <v>5800.0</v>
      </c>
      <c r="G2739" s="69">
        <v>27.2</v>
      </c>
      <c r="H2739" s="68">
        <f t="shared" si="1"/>
        <v>220.27</v>
      </c>
      <c r="I2739" s="81">
        <f>IFERROR(__xludf.DUMMYFUNCTION("IF(G2739="""", """", ROUND(G2739 / MAX(FILTER($G$2:$G5067, $D$2:$D5067=$D2739)) * 100, 2))"),87.74)</f>
        <v>87.74</v>
      </c>
      <c r="J2739" s="81">
        <f>IFERROR(__xludf.DUMMYFUNCTION("IF(H2739="""", """", ROUND(H2739 / MAX(FILTER($H$2:$H5067, $D$2:$D5067=$D2739)) * 100, 2))"),100.0)</f>
        <v>100</v>
      </c>
      <c r="K2739" s="2"/>
      <c r="L2739" s="48"/>
      <c r="M2739" s="48"/>
      <c r="N2739" s="48"/>
      <c r="O2739" s="48" t="str">
        <f t="shared" si="2"/>
        <v/>
      </c>
      <c r="P2739" s="48" t="str">
        <f t="shared" si="3"/>
        <v/>
      </c>
      <c r="Q2739" s="84"/>
      <c r="R2739" s="84"/>
      <c r="S2739" s="84"/>
      <c r="T2739" s="84"/>
      <c r="U2739" s="84"/>
      <c r="V2739" s="84"/>
      <c r="W2739" s="84"/>
      <c r="X2739" s="84"/>
      <c r="Y2739" s="84"/>
      <c r="Z2739" s="84"/>
      <c r="AA2739" s="84"/>
      <c r="AB2739" s="84"/>
    </row>
    <row r="2740">
      <c r="A2740" s="63">
        <v>182.0</v>
      </c>
      <c r="B2740" s="63">
        <v>299.0</v>
      </c>
      <c r="C2740" s="64" t="s">
        <v>594</v>
      </c>
      <c r="D2740" s="64" t="s">
        <v>595</v>
      </c>
      <c r="E2740" s="64" t="s">
        <v>596</v>
      </c>
      <c r="F2740" s="63">
        <v>6200.0</v>
      </c>
      <c r="G2740" s="63">
        <v>25.2</v>
      </c>
      <c r="H2740" s="66">
        <f t="shared" si="1"/>
        <v>218.15</v>
      </c>
      <c r="I2740" s="81">
        <f>IFERROR(__xludf.DUMMYFUNCTION("IF(G2740="""", """", ROUND(G2740 / MAX(FILTER($G$2:$G5067, $D$2:$D5067=$D2740)) * 100, 2))"),81.29)</f>
        <v>81.29</v>
      </c>
      <c r="J2740" s="81">
        <f>IFERROR(__xludf.DUMMYFUNCTION("IF(H2740="""", """", ROUND(H2740 / MAX(FILTER($H$2:$H5067, $D$2:$D5067=$D2740)) * 100, 2))"),99.04)</f>
        <v>99.04</v>
      </c>
      <c r="K2740" s="2"/>
      <c r="L2740" s="49"/>
      <c r="M2740" s="49"/>
      <c r="N2740" s="49"/>
      <c r="O2740" s="49" t="str">
        <f t="shared" si="2"/>
        <v/>
      </c>
      <c r="P2740" s="49" t="str">
        <f t="shared" si="3"/>
        <v/>
      </c>
      <c r="Q2740" s="84"/>
      <c r="R2740" s="84"/>
      <c r="S2740" s="84"/>
      <c r="T2740" s="84"/>
      <c r="U2740" s="84"/>
      <c r="V2740" s="84"/>
      <c r="W2740" s="84"/>
      <c r="X2740" s="84"/>
      <c r="Y2740" s="84"/>
      <c r="Z2740" s="84"/>
      <c r="AA2740" s="84"/>
      <c r="AB2740" s="84"/>
    </row>
    <row r="2741">
      <c r="A2741" s="69">
        <v>182.0</v>
      </c>
      <c r="B2741" s="69">
        <v>299.0</v>
      </c>
      <c r="C2741" s="86" t="s">
        <v>594</v>
      </c>
      <c r="D2741" s="86" t="s">
        <v>595</v>
      </c>
      <c r="E2741" s="86" t="s">
        <v>596</v>
      </c>
      <c r="F2741" s="69">
        <v>6800.0</v>
      </c>
      <c r="G2741" s="69">
        <v>21.4</v>
      </c>
      <c r="H2741" s="68">
        <f t="shared" si="1"/>
        <v>203.18</v>
      </c>
      <c r="I2741" s="81">
        <f>IFERROR(__xludf.DUMMYFUNCTION("IF(G2741="""", """", ROUND(G2741 / MAX(FILTER($G$2:$G5067, $D$2:$D5067=$D2741)) * 100, 2))"),69.03)</f>
        <v>69.03</v>
      </c>
      <c r="J2741" s="81">
        <f>IFERROR(__xludf.DUMMYFUNCTION("IF(H2741="""", """", ROUND(H2741 / MAX(FILTER($H$2:$H5067, $D$2:$D5067=$D2741)) * 100, 2))"),92.24)</f>
        <v>92.24</v>
      </c>
      <c r="K2741" s="2"/>
      <c r="L2741" s="48"/>
      <c r="M2741" s="48"/>
      <c r="N2741" s="48"/>
      <c r="O2741" s="48" t="str">
        <f t="shared" si="2"/>
        <v/>
      </c>
      <c r="P2741" s="48" t="str">
        <f t="shared" si="3"/>
        <v/>
      </c>
      <c r="Q2741" s="84"/>
      <c r="R2741" s="84"/>
      <c r="S2741" s="84"/>
      <c r="T2741" s="84"/>
      <c r="U2741" s="84"/>
      <c r="V2741" s="84"/>
      <c r="W2741" s="84"/>
      <c r="X2741" s="84"/>
      <c r="Y2741" s="84"/>
      <c r="Z2741" s="84"/>
      <c r="AA2741" s="84"/>
      <c r="AB2741" s="84"/>
    </row>
    <row r="2742">
      <c r="A2742" s="63">
        <v>183.0</v>
      </c>
      <c r="B2742" s="63">
        <v>300.0</v>
      </c>
      <c r="C2742" s="64" t="s">
        <v>597</v>
      </c>
      <c r="D2742" s="64" t="s">
        <v>598</v>
      </c>
      <c r="E2742" s="64" t="s">
        <v>599</v>
      </c>
      <c r="F2742" s="63">
        <v>500.0</v>
      </c>
      <c r="G2742" s="63">
        <v>24.1</v>
      </c>
      <c r="H2742" s="66">
        <f t="shared" si="1"/>
        <v>16.82</v>
      </c>
      <c r="I2742" s="81">
        <f>IFERROR(__xludf.DUMMYFUNCTION("IF(G2742="""", """", ROUND(G2742 / MAX(FILTER($G$2:$G5067, $D$2:$D5067=$D2742)) * 100, 2))"),61.79)</f>
        <v>61.79</v>
      </c>
      <c r="J2742" s="81">
        <f>IFERROR(__xludf.DUMMYFUNCTION("IF(H2742="""", """", ROUND(H2742 / MAX(FILTER($H$2:$H5067, $D$2:$D5067=$D2742)) * 100, 2))"),6.08)</f>
        <v>6.08</v>
      </c>
      <c r="K2742" s="2"/>
      <c r="L2742" s="49"/>
      <c r="M2742" s="49"/>
      <c r="N2742" s="49"/>
      <c r="O2742" s="49" t="str">
        <f t="shared" si="2"/>
        <v/>
      </c>
      <c r="P2742" s="49" t="str">
        <f t="shared" si="3"/>
        <v/>
      </c>
      <c r="Q2742" s="84"/>
      <c r="R2742" s="84"/>
      <c r="S2742" s="84"/>
      <c r="T2742" s="84"/>
      <c r="U2742" s="84"/>
      <c r="V2742" s="84"/>
      <c r="W2742" s="84"/>
      <c r="X2742" s="84"/>
      <c r="Y2742" s="84"/>
      <c r="Z2742" s="84"/>
      <c r="AA2742" s="84"/>
      <c r="AB2742" s="84"/>
    </row>
    <row r="2743">
      <c r="A2743" s="69">
        <v>183.0</v>
      </c>
      <c r="B2743" s="69">
        <v>300.0</v>
      </c>
      <c r="C2743" s="86" t="s">
        <v>597</v>
      </c>
      <c r="D2743" s="86" t="s">
        <v>598</v>
      </c>
      <c r="E2743" s="86" t="s">
        <v>599</v>
      </c>
      <c r="F2743" s="69">
        <v>1000.0</v>
      </c>
      <c r="G2743" s="69">
        <v>28.3</v>
      </c>
      <c r="H2743" s="68">
        <f t="shared" si="1"/>
        <v>39.51</v>
      </c>
      <c r="I2743" s="81">
        <f>IFERROR(__xludf.DUMMYFUNCTION("IF(G2743="""", """", ROUND(G2743 / MAX(FILTER($G$2:$G5067, $D$2:$D5067=$D2743)) * 100, 2))"),72.56)</f>
        <v>72.56</v>
      </c>
      <c r="J2743" s="81">
        <f>IFERROR(__xludf.DUMMYFUNCTION("IF(H2743="""", """", ROUND(H2743 / MAX(FILTER($H$2:$H5067, $D$2:$D5067=$D2743)) * 100, 2))"),14.29)</f>
        <v>14.29</v>
      </c>
      <c r="K2743" s="2"/>
      <c r="L2743" s="48"/>
      <c r="M2743" s="48"/>
      <c r="N2743" s="48"/>
      <c r="O2743" s="48" t="str">
        <f t="shared" si="2"/>
        <v/>
      </c>
      <c r="P2743" s="48" t="str">
        <f t="shared" si="3"/>
        <v/>
      </c>
      <c r="Q2743" s="84"/>
      <c r="R2743" s="84"/>
      <c r="S2743" s="84"/>
      <c r="T2743" s="84"/>
      <c r="U2743" s="84"/>
      <c r="V2743" s="84"/>
      <c r="W2743" s="84"/>
      <c r="X2743" s="84"/>
      <c r="Y2743" s="84"/>
      <c r="Z2743" s="84"/>
      <c r="AA2743" s="84"/>
      <c r="AB2743" s="84"/>
    </row>
    <row r="2744">
      <c r="A2744" s="63">
        <v>183.0</v>
      </c>
      <c r="B2744" s="63">
        <v>300.0</v>
      </c>
      <c r="C2744" s="64" t="s">
        <v>597</v>
      </c>
      <c r="D2744" s="64" t="s">
        <v>598</v>
      </c>
      <c r="E2744" s="64" t="s">
        <v>599</v>
      </c>
      <c r="F2744" s="63">
        <v>1500.0</v>
      </c>
      <c r="G2744" s="63">
        <v>31.8</v>
      </c>
      <c r="H2744" s="66">
        <f t="shared" si="1"/>
        <v>66.6</v>
      </c>
      <c r="I2744" s="81">
        <f>IFERROR(__xludf.DUMMYFUNCTION("IF(G2744="""", """", ROUND(G2744 / MAX(FILTER($G$2:$G5067, $D$2:$D5067=$D2744)) * 100, 2))"),81.54)</f>
        <v>81.54</v>
      </c>
      <c r="J2744" s="81">
        <f>IFERROR(__xludf.DUMMYFUNCTION("IF(H2744="""", """", ROUND(H2744 / MAX(FILTER($H$2:$H5067, $D$2:$D5067=$D2744)) * 100, 2))"),24.09)</f>
        <v>24.09</v>
      </c>
      <c r="K2744" s="2"/>
      <c r="L2744" s="49"/>
      <c r="M2744" s="49"/>
      <c r="N2744" s="49"/>
      <c r="O2744" s="49" t="str">
        <f t="shared" si="2"/>
        <v/>
      </c>
      <c r="P2744" s="49" t="str">
        <f t="shared" si="3"/>
        <v/>
      </c>
      <c r="Q2744" s="84"/>
      <c r="R2744" s="84"/>
      <c r="S2744" s="84"/>
      <c r="T2744" s="84"/>
      <c r="U2744" s="84"/>
      <c r="V2744" s="84"/>
      <c r="W2744" s="84"/>
      <c r="X2744" s="84"/>
      <c r="Y2744" s="84"/>
      <c r="Z2744" s="84"/>
      <c r="AA2744" s="84"/>
      <c r="AB2744" s="84"/>
    </row>
    <row r="2745">
      <c r="A2745" s="69">
        <v>183.0</v>
      </c>
      <c r="B2745" s="69">
        <v>300.0</v>
      </c>
      <c r="C2745" s="86" t="s">
        <v>597</v>
      </c>
      <c r="D2745" s="86" t="s">
        <v>598</v>
      </c>
      <c r="E2745" s="86" t="s">
        <v>599</v>
      </c>
      <c r="F2745" s="69">
        <v>2000.0</v>
      </c>
      <c r="G2745" s="69">
        <v>34.5</v>
      </c>
      <c r="H2745" s="68">
        <f t="shared" si="1"/>
        <v>96.34</v>
      </c>
      <c r="I2745" s="81">
        <f>IFERROR(__xludf.DUMMYFUNCTION("IF(G2745="""", """", ROUND(G2745 / MAX(FILTER($G$2:$G5067, $D$2:$D5067=$D2745)) * 100, 2))"),88.46)</f>
        <v>88.46</v>
      </c>
      <c r="J2745" s="81">
        <f>IFERROR(__xludf.DUMMYFUNCTION("IF(H2745="""", """", ROUND(H2745 / MAX(FILTER($H$2:$H5067, $D$2:$D5067=$D2745)) * 100, 2))"),34.85)</f>
        <v>34.85</v>
      </c>
      <c r="K2745" s="2"/>
      <c r="L2745" s="48"/>
      <c r="M2745" s="48"/>
      <c r="N2745" s="48"/>
      <c r="O2745" s="48" t="str">
        <f t="shared" si="2"/>
        <v/>
      </c>
      <c r="P2745" s="48" t="str">
        <f t="shared" si="3"/>
        <v/>
      </c>
      <c r="Q2745" s="84"/>
      <c r="R2745" s="84"/>
      <c r="S2745" s="84"/>
      <c r="T2745" s="84"/>
      <c r="U2745" s="84"/>
      <c r="V2745" s="84"/>
      <c r="W2745" s="84"/>
      <c r="X2745" s="84"/>
      <c r="Y2745" s="84"/>
      <c r="Z2745" s="84"/>
      <c r="AA2745" s="84"/>
      <c r="AB2745" s="84"/>
    </row>
    <row r="2746">
      <c r="A2746" s="63">
        <v>183.0</v>
      </c>
      <c r="B2746" s="63">
        <v>300.0</v>
      </c>
      <c r="C2746" s="64" t="s">
        <v>597</v>
      </c>
      <c r="D2746" s="64" t="s">
        <v>598</v>
      </c>
      <c r="E2746" s="64" t="s">
        <v>599</v>
      </c>
      <c r="F2746" s="63">
        <v>2500.0</v>
      </c>
      <c r="G2746" s="63">
        <v>36.5</v>
      </c>
      <c r="H2746" s="66">
        <f t="shared" si="1"/>
        <v>127.41</v>
      </c>
      <c r="I2746" s="81">
        <f>IFERROR(__xludf.DUMMYFUNCTION("IF(G2746="""", """", ROUND(G2746 / MAX(FILTER($G$2:$G5067, $D$2:$D5067=$D2746)) * 100, 2))"),93.59)</f>
        <v>93.59</v>
      </c>
      <c r="J2746" s="81">
        <f>IFERROR(__xludf.DUMMYFUNCTION("IF(H2746="""", """", ROUND(H2746 / MAX(FILTER($H$2:$H5067, $D$2:$D5067=$D2746)) * 100, 2))"),46.09)</f>
        <v>46.09</v>
      </c>
      <c r="K2746" s="2"/>
      <c r="L2746" s="49"/>
      <c r="M2746" s="49"/>
      <c r="N2746" s="49"/>
      <c r="O2746" s="49" t="str">
        <f t="shared" si="2"/>
        <v/>
      </c>
      <c r="P2746" s="49" t="str">
        <f t="shared" si="3"/>
        <v/>
      </c>
      <c r="Q2746" s="84"/>
      <c r="R2746" s="84"/>
      <c r="S2746" s="84"/>
      <c r="T2746" s="84"/>
      <c r="U2746" s="84"/>
      <c r="V2746" s="84"/>
      <c r="W2746" s="84"/>
      <c r="X2746" s="84"/>
      <c r="Y2746" s="84"/>
      <c r="Z2746" s="84"/>
      <c r="AA2746" s="84"/>
      <c r="AB2746" s="84"/>
    </row>
    <row r="2747">
      <c r="A2747" s="69">
        <v>183.0</v>
      </c>
      <c r="B2747" s="69">
        <v>300.0</v>
      </c>
      <c r="C2747" s="86" t="s">
        <v>597</v>
      </c>
      <c r="D2747" s="86" t="s">
        <v>598</v>
      </c>
      <c r="E2747" s="86" t="s">
        <v>599</v>
      </c>
      <c r="F2747" s="69">
        <v>3000.0</v>
      </c>
      <c r="G2747" s="69">
        <v>37.9</v>
      </c>
      <c r="H2747" s="68">
        <f t="shared" si="1"/>
        <v>158.75</v>
      </c>
      <c r="I2747" s="81">
        <f>IFERROR(__xludf.DUMMYFUNCTION("IF(G2747="""", """", ROUND(G2747 / MAX(FILTER($G$2:$G5067, $D$2:$D5067=$D2747)) * 100, 2))"),97.18)</f>
        <v>97.18</v>
      </c>
      <c r="J2747" s="81">
        <f>IFERROR(__xludf.DUMMYFUNCTION("IF(H2747="""", """", ROUND(H2747 / MAX(FILTER($H$2:$H5067, $D$2:$D5067=$D2747)) * 100, 2))"),57.42)</f>
        <v>57.42</v>
      </c>
      <c r="K2747" s="2"/>
      <c r="L2747" s="48"/>
      <c r="M2747" s="48"/>
      <c r="N2747" s="48"/>
      <c r="O2747" s="48" t="str">
        <f t="shared" si="2"/>
        <v/>
      </c>
      <c r="P2747" s="48" t="str">
        <f t="shared" si="3"/>
        <v/>
      </c>
      <c r="Q2747" s="84"/>
      <c r="R2747" s="84"/>
      <c r="S2747" s="84"/>
      <c r="T2747" s="84"/>
      <c r="U2747" s="84"/>
      <c r="V2747" s="84"/>
      <c r="W2747" s="84"/>
      <c r="X2747" s="84"/>
      <c r="Y2747" s="84"/>
      <c r="Z2747" s="84"/>
      <c r="AA2747" s="84"/>
      <c r="AB2747" s="84"/>
    </row>
    <row r="2748">
      <c r="A2748" s="63">
        <v>183.0</v>
      </c>
      <c r="B2748" s="63">
        <v>300.0</v>
      </c>
      <c r="C2748" s="64" t="s">
        <v>597</v>
      </c>
      <c r="D2748" s="64" t="s">
        <v>598</v>
      </c>
      <c r="E2748" s="64" t="s">
        <v>599</v>
      </c>
      <c r="F2748" s="63">
        <v>3500.0</v>
      </c>
      <c r="G2748" s="63">
        <v>38.7</v>
      </c>
      <c r="H2748" s="66">
        <f t="shared" si="1"/>
        <v>189.12</v>
      </c>
      <c r="I2748" s="81">
        <f>IFERROR(__xludf.DUMMYFUNCTION("IF(G2748="""", """", ROUND(G2748 / MAX(FILTER($G$2:$G5067, $D$2:$D5067=$D2748)) * 100, 2))"),99.23)</f>
        <v>99.23</v>
      </c>
      <c r="J2748" s="81">
        <f>IFERROR(__xludf.DUMMYFUNCTION("IF(H2748="""", """", ROUND(H2748 / MAX(FILTER($H$2:$H5067, $D$2:$D5067=$D2748)) * 100, 2))"),68.41)</f>
        <v>68.41</v>
      </c>
      <c r="K2748" s="2"/>
      <c r="L2748" s="49"/>
      <c r="M2748" s="49"/>
      <c r="N2748" s="49"/>
      <c r="O2748" s="49" t="str">
        <f t="shared" si="2"/>
        <v/>
      </c>
      <c r="P2748" s="49" t="str">
        <f t="shared" si="3"/>
        <v/>
      </c>
      <c r="Q2748" s="84"/>
      <c r="R2748" s="84"/>
      <c r="S2748" s="84"/>
      <c r="T2748" s="84"/>
      <c r="U2748" s="84"/>
      <c r="V2748" s="84"/>
      <c r="W2748" s="84"/>
      <c r="X2748" s="84"/>
      <c r="Y2748" s="84"/>
      <c r="Z2748" s="84"/>
      <c r="AA2748" s="84"/>
      <c r="AB2748" s="84"/>
    </row>
    <row r="2749">
      <c r="A2749" s="69">
        <v>183.0</v>
      </c>
      <c r="B2749" s="69">
        <v>300.0</v>
      </c>
      <c r="C2749" s="86" t="s">
        <v>597</v>
      </c>
      <c r="D2749" s="86" t="s">
        <v>598</v>
      </c>
      <c r="E2749" s="86" t="s">
        <v>599</v>
      </c>
      <c r="F2749" s="69">
        <v>4000.0</v>
      </c>
      <c r="G2749" s="69">
        <v>39.0</v>
      </c>
      <c r="H2749" s="68">
        <f t="shared" si="1"/>
        <v>217.82</v>
      </c>
      <c r="I2749" s="81">
        <f>IFERROR(__xludf.DUMMYFUNCTION("IF(G2749="""", """", ROUND(G2749 / MAX(FILTER($G$2:$G5067, $D$2:$D5067=$D2749)) * 100, 2))"),100.0)</f>
        <v>100</v>
      </c>
      <c r="J2749" s="81">
        <f>IFERROR(__xludf.DUMMYFUNCTION("IF(H2749="""", """", ROUND(H2749 / MAX(FILTER($H$2:$H5067, $D$2:$D5067=$D2749)) * 100, 2))"),78.79)</f>
        <v>78.79</v>
      </c>
      <c r="K2749" s="2"/>
      <c r="L2749" s="48"/>
      <c r="M2749" s="48"/>
      <c r="N2749" s="48"/>
      <c r="O2749" s="48" t="str">
        <f t="shared" si="2"/>
        <v/>
      </c>
      <c r="P2749" s="48" t="str">
        <f t="shared" si="3"/>
        <v/>
      </c>
      <c r="Q2749" s="84"/>
      <c r="R2749" s="84"/>
      <c r="S2749" s="84"/>
      <c r="T2749" s="84"/>
      <c r="U2749" s="84"/>
      <c r="V2749" s="84"/>
      <c r="W2749" s="84"/>
      <c r="X2749" s="84"/>
      <c r="Y2749" s="84"/>
      <c r="Z2749" s="84"/>
      <c r="AA2749" s="84"/>
      <c r="AB2749" s="84"/>
    </row>
    <row r="2750">
      <c r="A2750" s="63">
        <v>183.0</v>
      </c>
      <c r="B2750" s="63">
        <v>300.0</v>
      </c>
      <c r="C2750" s="64" t="s">
        <v>597</v>
      </c>
      <c r="D2750" s="64" t="s">
        <v>598</v>
      </c>
      <c r="E2750" s="64" t="s">
        <v>599</v>
      </c>
      <c r="F2750" s="63">
        <v>4500.0</v>
      </c>
      <c r="G2750" s="63">
        <v>38.7</v>
      </c>
      <c r="H2750" s="66">
        <f t="shared" si="1"/>
        <v>243.16</v>
      </c>
      <c r="I2750" s="81">
        <f>IFERROR(__xludf.DUMMYFUNCTION("IF(G2750="""", """", ROUND(G2750 / MAX(FILTER($G$2:$G5067, $D$2:$D5067=$D2750)) * 100, 2))"),99.23)</f>
        <v>99.23</v>
      </c>
      <c r="J2750" s="81">
        <f>IFERROR(__xludf.DUMMYFUNCTION("IF(H2750="""", """", ROUND(H2750 / MAX(FILTER($H$2:$H5067, $D$2:$D5067=$D2750)) * 100, 2))"),87.95)</f>
        <v>87.95</v>
      </c>
      <c r="K2750" s="2"/>
      <c r="L2750" s="49"/>
      <c r="M2750" s="49"/>
      <c r="N2750" s="49"/>
      <c r="O2750" s="49" t="str">
        <f t="shared" si="2"/>
        <v/>
      </c>
      <c r="P2750" s="49" t="str">
        <f t="shared" si="3"/>
        <v/>
      </c>
      <c r="Q2750" s="84"/>
      <c r="R2750" s="84"/>
      <c r="S2750" s="84"/>
      <c r="T2750" s="84"/>
      <c r="U2750" s="84"/>
      <c r="V2750" s="84"/>
      <c r="W2750" s="84"/>
      <c r="X2750" s="84"/>
      <c r="Y2750" s="84"/>
      <c r="Z2750" s="84"/>
      <c r="AA2750" s="84"/>
      <c r="AB2750" s="84"/>
    </row>
    <row r="2751">
      <c r="A2751" s="69">
        <v>183.0</v>
      </c>
      <c r="B2751" s="69">
        <v>300.0</v>
      </c>
      <c r="C2751" s="86" t="s">
        <v>597</v>
      </c>
      <c r="D2751" s="86" t="s">
        <v>598</v>
      </c>
      <c r="E2751" s="86" t="s">
        <v>599</v>
      </c>
      <c r="F2751" s="69">
        <v>5000.0</v>
      </c>
      <c r="G2751" s="69">
        <v>37.5</v>
      </c>
      <c r="H2751" s="68">
        <f t="shared" si="1"/>
        <v>261.8</v>
      </c>
      <c r="I2751" s="81">
        <f>IFERROR(__xludf.DUMMYFUNCTION("IF(G2751="""", """", ROUND(G2751 / MAX(FILTER($G$2:$G5067, $D$2:$D5067=$D2751)) * 100, 2))"),96.15)</f>
        <v>96.15</v>
      </c>
      <c r="J2751" s="81">
        <f>IFERROR(__xludf.DUMMYFUNCTION("IF(H2751="""", """", ROUND(H2751 / MAX(FILTER($H$2:$H5067, $D$2:$D5067=$D2751)) * 100, 2))"),94.7)</f>
        <v>94.7</v>
      </c>
      <c r="K2751" s="2"/>
      <c r="L2751" s="48"/>
      <c r="M2751" s="48"/>
      <c r="N2751" s="48"/>
      <c r="O2751" s="48" t="str">
        <f t="shared" si="2"/>
        <v/>
      </c>
      <c r="P2751" s="48" t="str">
        <f t="shared" si="3"/>
        <v/>
      </c>
      <c r="Q2751" s="84"/>
      <c r="R2751" s="84"/>
      <c r="S2751" s="84"/>
      <c r="T2751" s="84"/>
      <c r="U2751" s="84"/>
      <c r="V2751" s="84"/>
      <c r="W2751" s="84"/>
      <c r="X2751" s="84"/>
      <c r="Y2751" s="84"/>
      <c r="Z2751" s="84"/>
      <c r="AA2751" s="84"/>
      <c r="AB2751" s="84"/>
    </row>
    <row r="2752">
      <c r="A2752" s="63">
        <v>183.0</v>
      </c>
      <c r="B2752" s="63">
        <v>300.0</v>
      </c>
      <c r="C2752" s="64" t="s">
        <v>597</v>
      </c>
      <c r="D2752" s="64" t="s">
        <v>598</v>
      </c>
      <c r="E2752" s="64" t="s">
        <v>599</v>
      </c>
      <c r="F2752" s="63">
        <v>5500.0</v>
      </c>
      <c r="G2752" s="63">
        <v>35.4</v>
      </c>
      <c r="H2752" s="66">
        <f t="shared" si="1"/>
        <v>271.85</v>
      </c>
      <c r="I2752" s="81">
        <f>IFERROR(__xludf.DUMMYFUNCTION("IF(G2752="""", """", ROUND(G2752 / MAX(FILTER($G$2:$G5067, $D$2:$D5067=$D2752)) * 100, 2))"),90.77)</f>
        <v>90.77</v>
      </c>
      <c r="J2752" s="81">
        <f>IFERROR(__xludf.DUMMYFUNCTION("IF(H2752="""", """", ROUND(H2752 / MAX(FILTER($H$2:$H5067, $D$2:$D5067=$D2752)) * 100, 2))"),98.33)</f>
        <v>98.33</v>
      </c>
      <c r="K2752" s="2"/>
      <c r="L2752" s="49"/>
      <c r="M2752" s="49"/>
      <c r="N2752" s="49"/>
      <c r="O2752" s="49" t="str">
        <f t="shared" si="2"/>
        <v/>
      </c>
      <c r="P2752" s="49" t="str">
        <f t="shared" si="3"/>
        <v/>
      </c>
      <c r="Q2752" s="84"/>
      <c r="R2752" s="84"/>
      <c r="S2752" s="84"/>
      <c r="T2752" s="84"/>
      <c r="U2752" s="84"/>
      <c r="V2752" s="84"/>
      <c r="W2752" s="84"/>
      <c r="X2752" s="84"/>
      <c r="Y2752" s="84"/>
      <c r="Z2752" s="84"/>
      <c r="AA2752" s="84"/>
      <c r="AB2752" s="84"/>
    </row>
    <row r="2753">
      <c r="A2753" s="69">
        <v>183.0</v>
      </c>
      <c r="B2753" s="69">
        <v>300.0</v>
      </c>
      <c r="C2753" s="86" t="s">
        <v>597</v>
      </c>
      <c r="D2753" s="86" t="s">
        <v>598</v>
      </c>
      <c r="E2753" s="86" t="s">
        <v>599</v>
      </c>
      <c r="F2753" s="69">
        <v>6000.0</v>
      </c>
      <c r="G2753" s="69">
        <v>33.0</v>
      </c>
      <c r="H2753" s="68">
        <f t="shared" si="1"/>
        <v>276.46</v>
      </c>
      <c r="I2753" s="81">
        <f>IFERROR(__xludf.DUMMYFUNCTION("IF(G2753="""", """", ROUND(G2753 / MAX(FILTER($G$2:$G5067, $D$2:$D5067=$D2753)) * 100, 2))"),84.62)</f>
        <v>84.62</v>
      </c>
      <c r="J2753" s="81">
        <f>IFERROR(__xludf.DUMMYFUNCTION("IF(H2753="""", """", ROUND(H2753 / MAX(FILTER($H$2:$H5067, $D$2:$D5067=$D2753)) * 100, 2))"),100.0)</f>
        <v>100</v>
      </c>
      <c r="K2753" s="2"/>
      <c r="L2753" s="48"/>
      <c r="M2753" s="48"/>
      <c r="N2753" s="48"/>
      <c r="O2753" s="48" t="str">
        <f t="shared" si="2"/>
        <v/>
      </c>
      <c r="P2753" s="48" t="str">
        <f t="shared" si="3"/>
        <v/>
      </c>
      <c r="Q2753" s="84"/>
      <c r="R2753" s="84"/>
      <c r="S2753" s="84"/>
      <c r="T2753" s="84"/>
      <c r="U2753" s="84"/>
      <c r="V2753" s="84"/>
      <c r="W2753" s="84"/>
      <c r="X2753" s="84"/>
      <c r="Y2753" s="84"/>
      <c r="Z2753" s="84"/>
      <c r="AA2753" s="84"/>
      <c r="AB2753" s="84"/>
    </row>
    <row r="2754">
      <c r="A2754" s="63">
        <v>183.0</v>
      </c>
      <c r="B2754" s="63">
        <v>300.0</v>
      </c>
      <c r="C2754" s="64" t="s">
        <v>597</v>
      </c>
      <c r="D2754" s="64" t="s">
        <v>598</v>
      </c>
      <c r="E2754" s="64" t="s">
        <v>599</v>
      </c>
      <c r="F2754" s="63">
        <v>6500.0</v>
      </c>
      <c r="G2754" s="63">
        <v>29.6</v>
      </c>
      <c r="H2754" s="66">
        <f t="shared" si="1"/>
        <v>268.64</v>
      </c>
      <c r="I2754" s="81">
        <f>IFERROR(__xludf.DUMMYFUNCTION("IF(G2754="""", """", ROUND(G2754 / MAX(FILTER($G$2:$G5067, $D$2:$D5067=$D2754)) * 100, 2))"),75.9)</f>
        <v>75.9</v>
      </c>
      <c r="J2754" s="81">
        <f>IFERROR(__xludf.DUMMYFUNCTION("IF(H2754="""", """", ROUND(H2754 / MAX(FILTER($H$2:$H5067, $D$2:$D5067=$D2754)) * 100, 2))"),97.17)</f>
        <v>97.17</v>
      </c>
      <c r="K2754" s="2"/>
      <c r="L2754" s="49"/>
      <c r="M2754" s="49"/>
      <c r="N2754" s="49"/>
      <c r="O2754" s="49" t="str">
        <f t="shared" si="2"/>
        <v/>
      </c>
      <c r="P2754" s="49" t="str">
        <f t="shared" si="3"/>
        <v/>
      </c>
      <c r="Q2754" s="84"/>
      <c r="R2754" s="84"/>
      <c r="S2754" s="84"/>
      <c r="T2754" s="84"/>
      <c r="U2754" s="84"/>
      <c r="V2754" s="84"/>
      <c r="W2754" s="84"/>
      <c r="X2754" s="84"/>
      <c r="Y2754" s="84"/>
      <c r="Z2754" s="84"/>
      <c r="AA2754" s="84"/>
      <c r="AB2754" s="84"/>
    </row>
    <row r="2755">
      <c r="A2755" s="69">
        <v>183.0</v>
      </c>
      <c r="B2755" s="69">
        <v>300.0</v>
      </c>
      <c r="C2755" s="86" t="s">
        <v>597</v>
      </c>
      <c r="D2755" s="86" t="s">
        <v>598</v>
      </c>
      <c r="E2755" s="86" t="s">
        <v>599</v>
      </c>
      <c r="F2755" s="69">
        <v>7000.0</v>
      </c>
      <c r="G2755" s="69">
        <v>25.5</v>
      </c>
      <c r="H2755" s="68">
        <f t="shared" si="1"/>
        <v>249.23</v>
      </c>
      <c r="I2755" s="81">
        <f>IFERROR(__xludf.DUMMYFUNCTION("IF(G2755="""", """", ROUND(G2755 / MAX(FILTER($G$2:$G5067, $D$2:$D5067=$D2755)) * 100, 2))"),65.38)</f>
        <v>65.38</v>
      </c>
      <c r="J2755" s="81">
        <f>IFERROR(__xludf.DUMMYFUNCTION("IF(H2755="""", """", ROUND(H2755 / MAX(FILTER($H$2:$H5067, $D$2:$D5067=$D2755)) * 100, 2))"),90.15)</f>
        <v>90.15</v>
      </c>
      <c r="K2755" s="2"/>
      <c r="L2755" s="48"/>
      <c r="M2755" s="48"/>
      <c r="N2755" s="48"/>
      <c r="O2755" s="48" t="str">
        <f t="shared" si="2"/>
        <v/>
      </c>
      <c r="P2755" s="48" t="str">
        <f t="shared" si="3"/>
        <v/>
      </c>
      <c r="Q2755" s="84"/>
      <c r="R2755" s="84"/>
      <c r="S2755" s="84"/>
      <c r="T2755" s="84"/>
      <c r="U2755" s="84"/>
      <c r="V2755" s="84"/>
      <c r="W2755" s="84"/>
      <c r="X2755" s="84"/>
      <c r="Y2755" s="84"/>
      <c r="Z2755" s="84"/>
      <c r="AA2755" s="84"/>
      <c r="AB2755" s="84"/>
    </row>
    <row r="2756">
      <c r="A2756" s="63">
        <v>184.0</v>
      </c>
      <c r="B2756" s="63">
        <v>301.0</v>
      </c>
      <c r="C2756" s="64" t="s">
        <v>600</v>
      </c>
      <c r="D2756" s="64" t="s">
        <v>601</v>
      </c>
      <c r="E2756" s="64" t="s">
        <v>602</v>
      </c>
      <c r="F2756" s="63">
        <v>500.0</v>
      </c>
      <c r="G2756" s="63">
        <v>34.0</v>
      </c>
      <c r="H2756" s="66">
        <f t="shared" si="1"/>
        <v>23.74</v>
      </c>
      <c r="I2756" s="81">
        <f>IFERROR(__xludf.DUMMYFUNCTION("IF(G2756="""", """", ROUND(G2756 / MAX(FILTER($G$2:$G5067, $D$2:$D5067=$D2756)) * 100, 2))"),76.84)</f>
        <v>76.84</v>
      </c>
      <c r="J2756" s="81">
        <f>IFERROR(__xludf.DUMMYFUNCTION("IF(H2756="""", """", ROUND(H2756 / MAX(FILTER($H$2:$H5067, $D$2:$D5067=$D2756)) * 100, 2))"),7.82)</f>
        <v>7.82</v>
      </c>
      <c r="K2756" s="2"/>
      <c r="L2756" s="49"/>
      <c r="M2756" s="49"/>
      <c r="N2756" s="49"/>
      <c r="O2756" s="49" t="str">
        <f t="shared" si="2"/>
        <v/>
      </c>
      <c r="P2756" s="49" t="str">
        <f t="shared" si="3"/>
        <v/>
      </c>
      <c r="Q2756" s="84"/>
      <c r="R2756" s="84"/>
      <c r="S2756" s="84"/>
      <c r="T2756" s="84"/>
      <c r="U2756" s="84"/>
      <c r="V2756" s="84"/>
      <c r="W2756" s="84"/>
      <c r="X2756" s="84"/>
      <c r="Y2756" s="84"/>
      <c r="Z2756" s="84"/>
      <c r="AA2756" s="84"/>
      <c r="AB2756" s="84"/>
    </row>
    <row r="2757">
      <c r="A2757" s="69">
        <v>184.0</v>
      </c>
      <c r="B2757" s="69">
        <v>301.0</v>
      </c>
      <c r="C2757" s="86" t="s">
        <v>600</v>
      </c>
      <c r="D2757" s="86" t="s">
        <v>601</v>
      </c>
      <c r="E2757" s="86" t="s">
        <v>602</v>
      </c>
      <c r="F2757" s="69">
        <v>1000.0</v>
      </c>
      <c r="G2757" s="69">
        <v>38.38</v>
      </c>
      <c r="H2757" s="68">
        <f t="shared" si="1"/>
        <v>53.59</v>
      </c>
      <c r="I2757" s="81">
        <f>IFERROR(__xludf.DUMMYFUNCTION("IF(G2757="""", """", ROUND(G2757 / MAX(FILTER($G$2:$G5067, $D$2:$D5067=$D2757)) * 100, 2))"),86.73)</f>
        <v>86.73</v>
      </c>
      <c r="J2757" s="81">
        <f>IFERROR(__xludf.DUMMYFUNCTION("IF(H2757="""", """", ROUND(H2757 / MAX(FILTER($H$2:$H5067, $D$2:$D5067=$D2757)) * 100, 2))"),17.65)</f>
        <v>17.65</v>
      </c>
      <c r="K2757" s="2"/>
      <c r="L2757" s="48"/>
      <c r="M2757" s="48"/>
      <c r="N2757" s="48"/>
      <c r="O2757" s="48" t="str">
        <f t="shared" si="2"/>
        <v/>
      </c>
      <c r="P2757" s="48" t="str">
        <f t="shared" si="3"/>
        <v/>
      </c>
      <c r="Q2757" s="84"/>
      <c r="R2757" s="84"/>
      <c r="S2757" s="84"/>
      <c r="T2757" s="84"/>
      <c r="U2757" s="84"/>
      <c r="V2757" s="84"/>
      <c r="W2757" s="84"/>
      <c r="X2757" s="84"/>
      <c r="Y2757" s="84"/>
      <c r="Z2757" s="84"/>
      <c r="AA2757" s="84"/>
      <c r="AB2757" s="84"/>
    </row>
    <row r="2758">
      <c r="A2758" s="63">
        <v>184.0</v>
      </c>
      <c r="B2758" s="63">
        <v>301.0</v>
      </c>
      <c r="C2758" s="64" t="s">
        <v>600</v>
      </c>
      <c r="D2758" s="64" t="s">
        <v>601</v>
      </c>
      <c r="E2758" s="64" t="s">
        <v>602</v>
      </c>
      <c r="F2758" s="63">
        <v>1500.0</v>
      </c>
      <c r="G2758" s="63">
        <v>41.0</v>
      </c>
      <c r="H2758" s="66">
        <f t="shared" si="1"/>
        <v>85.87</v>
      </c>
      <c r="I2758" s="81">
        <f>IFERROR(__xludf.DUMMYFUNCTION("IF(G2758="""", """", ROUND(G2758 / MAX(FILTER($G$2:$G5067, $D$2:$D5067=$D2758)) * 100, 2))"),92.66)</f>
        <v>92.66</v>
      </c>
      <c r="J2758" s="81">
        <f>IFERROR(__xludf.DUMMYFUNCTION("IF(H2758="""", """", ROUND(H2758 / MAX(FILTER($H$2:$H5067, $D$2:$D5067=$D2758)) * 100, 2))"),28.28)</f>
        <v>28.28</v>
      </c>
      <c r="K2758" s="2"/>
      <c r="L2758" s="49"/>
      <c r="M2758" s="49"/>
      <c r="N2758" s="49"/>
      <c r="O2758" s="49" t="str">
        <f t="shared" si="2"/>
        <v/>
      </c>
      <c r="P2758" s="49" t="str">
        <f t="shared" si="3"/>
        <v/>
      </c>
      <c r="Q2758" s="84"/>
      <c r="R2758" s="84"/>
      <c r="S2758" s="84"/>
      <c r="T2758" s="84"/>
      <c r="U2758" s="84"/>
      <c r="V2758" s="84"/>
      <c r="W2758" s="84"/>
      <c r="X2758" s="84"/>
      <c r="Y2758" s="84"/>
      <c r="Z2758" s="84"/>
      <c r="AA2758" s="84"/>
      <c r="AB2758" s="84"/>
    </row>
    <row r="2759">
      <c r="A2759" s="69">
        <v>184.0</v>
      </c>
      <c r="B2759" s="69">
        <v>301.0</v>
      </c>
      <c r="C2759" s="86" t="s">
        <v>600</v>
      </c>
      <c r="D2759" s="86" t="s">
        <v>601</v>
      </c>
      <c r="E2759" s="86" t="s">
        <v>602</v>
      </c>
      <c r="F2759" s="69">
        <v>2000.0</v>
      </c>
      <c r="G2759" s="69">
        <v>42.75</v>
      </c>
      <c r="H2759" s="68">
        <f t="shared" si="1"/>
        <v>119.38</v>
      </c>
      <c r="I2759" s="81">
        <f>IFERROR(__xludf.DUMMYFUNCTION("IF(G2759="""", """", ROUND(G2759 / MAX(FILTER($G$2:$G5067, $D$2:$D5067=$D2759)) * 100, 2))"),96.61)</f>
        <v>96.61</v>
      </c>
      <c r="J2759" s="81">
        <f>IFERROR(__xludf.DUMMYFUNCTION("IF(H2759="""", """", ROUND(H2759 / MAX(FILTER($H$2:$H5067, $D$2:$D5067=$D2759)) * 100, 2))"),39.31)</f>
        <v>39.31</v>
      </c>
      <c r="K2759" s="2"/>
      <c r="L2759" s="48"/>
      <c r="M2759" s="48"/>
      <c r="N2759" s="48"/>
      <c r="O2759" s="48" t="str">
        <f t="shared" si="2"/>
        <v/>
      </c>
      <c r="P2759" s="48" t="str">
        <f t="shared" si="3"/>
        <v/>
      </c>
      <c r="Q2759" s="84"/>
      <c r="R2759" s="84"/>
      <c r="S2759" s="84"/>
      <c r="T2759" s="84"/>
      <c r="U2759" s="84"/>
      <c r="V2759" s="84"/>
      <c r="W2759" s="84"/>
      <c r="X2759" s="84"/>
      <c r="Y2759" s="84"/>
      <c r="Z2759" s="84"/>
      <c r="AA2759" s="84"/>
      <c r="AB2759" s="84"/>
    </row>
    <row r="2760">
      <c r="A2760" s="63">
        <v>184.0</v>
      </c>
      <c r="B2760" s="63">
        <v>301.0</v>
      </c>
      <c r="C2760" s="64" t="s">
        <v>600</v>
      </c>
      <c r="D2760" s="64" t="s">
        <v>601</v>
      </c>
      <c r="E2760" s="64" t="s">
        <v>602</v>
      </c>
      <c r="F2760" s="63">
        <v>2500.0</v>
      </c>
      <c r="G2760" s="63">
        <v>43.38</v>
      </c>
      <c r="H2760" s="66">
        <f t="shared" si="1"/>
        <v>151.42</v>
      </c>
      <c r="I2760" s="81">
        <f>IFERROR(__xludf.DUMMYFUNCTION("IF(G2760="""", """", ROUND(G2760 / MAX(FILTER($G$2:$G5067, $D$2:$D5067=$D2760)) * 100, 2))"),98.03)</f>
        <v>98.03</v>
      </c>
      <c r="J2760" s="81">
        <f>IFERROR(__xludf.DUMMYFUNCTION("IF(H2760="""", """", ROUND(H2760 / MAX(FILTER($H$2:$H5067, $D$2:$D5067=$D2760)) * 100, 2))"),49.86)</f>
        <v>49.86</v>
      </c>
      <c r="K2760" s="2"/>
      <c r="L2760" s="49"/>
      <c r="M2760" s="49"/>
      <c r="N2760" s="49"/>
      <c r="O2760" s="49" t="str">
        <f t="shared" si="2"/>
        <v/>
      </c>
      <c r="P2760" s="49" t="str">
        <f t="shared" si="3"/>
        <v/>
      </c>
      <c r="Q2760" s="84"/>
      <c r="R2760" s="84"/>
      <c r="S2760" s="84"/>
      <c r="T2760" s="84"/>
      <c r="U2760" s="84"/>
      <c r="V2760" s="84"/>
      <c r="W2760" s="84"/>
      <c r="X2760" s="84"/>
      <c r="Y2760" s="84"/>
      <c r="Z2760" s="84"/>
      <c r="AA2760" s="84"/>
      <c r="AB2760" s="84"/>
    </row>
    <row r="2761">
      <c r="A2761" s="69">
        <v>184.0</v>
      </c>
      <c r="B2761" s="69">
        <v>301.0</v>
      </c>
      <c r="C2761" s="86" t="s">
        <v>600</v>
      </c>
      <c r="D2761" s="86" t="s">
        <v>601</v>
      </c>
      <c r="E2761" s="86" t="s">
        <v>602</v>
      </c>
      <c r="F2761" s="69">
        <v>3000.0</v>
      </c>
      <c r="G2761" s="69">
        <v>43.75</v>
      </c>
      <c r="H2761" s="68">
        <f t="shared" si="1"/>
        <v>183.26</v>
      </c>
      <c r="I2761" s="81">
        <f>IFERROR(__xludf.DUMMYFUNCTION("IF(G2761="""", """", ROUND(G2761 / MAX(FILTER($G$2:$G5067, $D$2:$D5067=$D2761)) * 100, 2))"),98.87)</f>
        <v>98.87</v>
      </c>
      <c r="J2761" s="81">
        <f>IFERROR(__xludf.DUMMYFUNCTION("IF(H2761="""", """", ROUND(H2761 / MAX(FILTER($H$2:$H5067, $D$2:$D5067=$D2761)) * 100, 2))"),60.34)</f>
        <v>60.34</v>
      </c>
      <c r="K2761" s="2"/>
      <c r="L2761" s="48"/>
      <c r="M2761" s="48"/>
      <c r="N2761" s="48"/>
      <c r="O2761" s="48" t="str">
        <f t="shared" si="2"/>
        <v/>
      </c>
      <c r="P2761" s="48" t="str">
        <f t="shared" si="3"/>
        <v/>
      </c>
      <c r="Q2761" s="84"/>
      <c r="R2761" s="84"/>
      <c r="S2761" s="84"/>
      <c r="T2761" s="84"/>
      <c r="U2761" s="84"/>
      <c r="V2761" s="84"/>
      <c r="W2761" s="84"/>
      <c r="X2761" s="84"/>
      <c r="Y2761" s="84"/>
      <c r="Z2761" s="84"/>
      <c r="AA2761" s="84"/>
      <c r="AB2761" s="84"/>
    </row>
    <row r="2762">
      <c r="A2762" s="63">
        <v>184.0</v>
      </c>
      <c r="B2762" s="63">
        <v>301.0</v>
      </c>
      <c r="C2762" s="64" t="s">
        <v>600</v>
      </c>
      <c r="D2762" s="64" t="s">
        <v>601</v>
      </c>
      <c r="E2762" s="64" t="s">
        <v>602</v>
      </c>
      <c r="F2762" s="63">
        <v>3500.0</v>
      </c>
      <c r="G2762" s="63">
        <v>44.13</v>
      </c>
      <c r="H2762" s="66">
        <f t="shared" si="1"/>
        <v>215.66</v>
      </c>
      <c r="I2762" s="81">
        <f>IFERROR(__xludf.DUMMYFUNCTION("IF(G2762="""", """", ROUND(G2762 / MAX(FILTER($G$2:$G5067, $D$2:$D5067=$D2762)) * 100, 2))"),99.73)</f>
        <v>99.73</v>
      </c>
      <c r="J2762" s="81">
        <f>IFERROR(__xludf.DUMMYFUNCTION("IF(H2762="""", """", ROUND(H2762 / MAX(FILTER($H$2:$H5067, $D$2:$D5067=$D2762)) * 100, 2))"),71.01)</f>
        <v>71.01</v>
      </c>
      <c r="K2762" s="2"/>
      <c r="L2762" s="49"/>
      <c r="M2762" s="49"/>
      <c r="N2762" s="49"/>
      <c r="O2762" s="49" t="str">
        <f t="shared" si="2"/>
        <v/>
      </c>
      <c r="P2762" s="49" t="str">
        <f t="shared" si="3"/>
        <v/>
      </c>
      <c r="Q2762" s="84"/>
      <c r="R2762" s="84"/>
      <c r="S2762" s="84"/>
      <c r="T2762" s="84"/>
      <c r="U2762" s="84"/>
      <c r="V2762" s="84"/>
      <c r="W2762" s="84"/>
      <c r="X2762" s="84"/>
      <c r="Y2762" s="84"/>
      <c r="Z2762" s="84"/>
      <c r="AA2762" s="84"/>
      <c r="AB2762" s="84"/>
    </row>
    <row r="2763">
      <c r="A2763" s="69">
        <v>184.0</v>
      </c>
      <c r="B2763" s="69">
        <v>301.0</v>
      </c>
      <c r="C2763" s="86" t="s">
        <v>600</v>
      </c>
      <c r="D2763" s="86" t="s">
        <v>601</v>
      </c>
      <c r="E2763" s="86" t="s">
        <v>602</v>
      </c>
      <c r="F2763" s="69">
        <v>4000.0</v>
      </c>
      <c r="G2763" s="69">
        <v>44.25</v>
      </c>
      <c r="H2763" s="68">
        <f t="shared" si="1"/>
        <v>247.14</v>
      </c>
      <c r="I2763" s="81">
        <f>IFERROR(__xludf.DUMMYFUNCTION("IF(G2763="""", """", ROUND(G2763 / MAX(FILTER($G$2:$G5067, $D$2:$D5067=$D2763)) * 100, 2))"),100.0)</f>
        <v>100</v>
      </c>
      <c r="J2763" s="81">
        <f>IFERROR(__xludf.DUMMYFUNCTION("IF(H2763="""", """", ROUND(H2763 / MAX(FILTER($H$2:$H5067, $D$2:$D5067=$D2763)) * 100, 2))"),81.38)</f>
        <v>81.38</v>
      </c>
      <c r="K2763" s="2"/>
      <c r="L2763" s="48"/>
      <c r="M2763" s="48"/>
      <c r="N2763" s="48"/>
      <c r="O2763" s="48" t="str">
        <f t="shared" si="2"/>
        <v/>
      </c>
      <c r="P2763" s="48" t="str">
        <f t="shared" si="3"/>
        <v/>
      </c>
      <c r="Q2763" s="84"/>
      <c r="R2763" s="84"/>
      <c r="S2763" s="84"/>
      <c r="T2763" s="84"/>
      <c r="U2763" s="84"/>
      <c r="V2763" s="84"/>
      <c r="W2763" s="84"/>
      <c r="X2763" s="84"/>
      <c r="Y2763" s="84"/>
      <c r="Z2763" s="84"/>
      <c r="AA2763" s="84"/>
      <c r="AB2763" s="84"/>
    </row>
    <row r="2764">
      <c r="A2764" s="63">
        <v>184.0</v>
      </c>
      <c r="B2764" s="63">
        <v>301.0</v>
      </c>
      <c r="C2764" s="64" t="s">
        <v>600</v>
      </c>
      <c r="D2764" s="64" t="s">
        <v>601</v>
      </c>
      <c r="E2764" s="64" t="s">
        <v>602</v>
      </c>
      <c r="F2764" s="63">
        <v>4200.0</v>
      </c>
      <c r="G2764" s="63">
        <v>44.24</v>
      </c>
      <c r="H2764" s="66">
        <f t="shared" si="1"/>
        <v>259.44</v>
      </c>
      <c r="I2764" s="81">
        <f>IFERROR(__xludf.DUMMYFUNCTION("IF(G2764="""", """", ROUND(G2764 / MAX(FILTER($G$2:$G5067, $D$2:$D5067=$D2764)) * 100, 2))"),99.98)</f>
        <v>99.98</v>
      </c>
      <c r="J2764" s="81">
        <f>IFERROR(__xludf.DUMMYFUNCTION("IF(H2764="""", """", ROUND(H2764 / MAX(FILTER($H$2:$H5067, $D$2:$D5067=$D2764)) * 100, 2))"),85.43)</f>
        <v>85.43</v>
      </c>
      <c r="K2764" s="2"/>
      <c r="L2764" s="49"/>
      <c r="M2764" s="49"/>
      <c r="N2764" s="49"/>
      <c r="O2764" s="49" t="str">
        <f t="shared" si="2"/>
        <v/>
      </c>
      <c r="P2764" s="49" t="str">
        <f t="shared" si="3"/>
        <v/>
      </c>
      <c r="Q2764" s="84"/>
      <c r="R2764" s="84"/>
      <c r="S2764" s="84"/>
      <c r="T2764" s="84"/>
      <c r="U2764" s="84"/>
      <c r="V2764" s="84"/>
      <c r="W2764" s="84"/>
      <c r="X2764" s="84"/>
      <c r="Y2764" s="84"/>
      <c r="Z2764" s="84"/>
      <c r="AA2764" s="84"/>
      <c r="AB2764" s="84"/>
    </row>
    <row r="2765">
      <c r="A2765" s="69">
        <v>184.0</v>
      </c>
      <c r="B2765" s="69">
        <v>301.0</v>
      </c>
      <c r="C2765" s="86" t="s">
        <v>600</v>
      </c>
      <c r="D2765" s="86" t="s">
        <v>601</v>
      </c>
      <c r="E2765" s="86" t="s">
        <v>602</v>
      </c>
      <c r="F2765" s="69">
        <v>4900.0</v>
      </c>
      <c r="G2765" s="69">
        <v>42.75</v>
      </c>
      <c r="H2765" s="68">
        <f t="shared" si="1"/>
        <v>292.48</v>
      </c>
      <c r="I2765" s="81">
        <f>IFERROR(__xludf.DUMMYFUNCTION("IF(G2765="""", """", ROUND(G2765 / MAX(FILTER($G$2:$G5067, $D$2:$D5067=$D2765)) * 100, 2))"),96.61)</f>
        <v>96.61</v>
      </c>
      <c r="J2765" s="81">
        <f>IFERROR(__xludf.DUMMYFUNCTION("IF(H2765="""", """", ROUND(H2765 / MAX(FILTER($H$2:$H5067, $D$2:$D5067=$D2765)) * 100, 2))"),96.31)</f>
        <v>96.31</v>
      </c>
      <c r="K2765" s="2"/>
      <c r="L2765" s="48"/>
      <c r="M2765" s="48"/>
      <c r="N2765" s="48"/>
      <c r="O2765" s="48" t="str">
        <f t="shared" si="2"/>
        <v/>
      </c>
      <c r="P2765" s="48" t="str">
        <f t="shared" si="3"/>
        <v/>
      </c>
      <c r="Q2765" s="84"/>
      <c r="R2765" s="84"/>
      <c r="S2765" s="84"/>
      <c r="T2765" s="84"/>
      <c r="U2765" s="84"/>
      <c r="V2765" s="84"/>
      <c r="W2765" s="84"/>
      <c r="X2765" s="84"/>
      <c r="Y2765" s="84"/>
      <c r="Z2765" s="84"/>
      <c r="AA2765" s="84"/>
      <c r="AB2765" s="84"/>
    </row>
    <row r="2766">
      <c r="A2766" s="63">
        <v>184.0</v>
      </c>
      <c r="B2766" s="63">
        <v>301.0</v>
      </c>
      <c r="C2766" s="64" t="s">
        <v>600</v>
      </c>
      <c r="D2766" s="64" t="s">
        <v>601</v>
      </c>
      <c r="E2766" s="64" t="s">
        <v>602</v>
      </c>
      <c r="F2766" s="63">
        <v>5400.0</v>
      </c>
      <c r="G2766" s="63">
        <v>40.25</v>
      </c>
      <c r="H2766" s="66">
        <f t="shared" si="1"/>
        <v>303.48</v>
      </c>
      <c r="I2766" s="81">
        <f>IFERROR(__xludf.DUMMYFUNCTION("IF(G2766="""", """", ROUND(G2766 / MAX(FILTER($G$2:$G5067, $D$2:$D5067=$D2766)) * 100, 2))"),90.96)</f>
        <v>90.96</v>
      </c>
      <c r="J2766" s="81">
        <f>IFERROR(__xludf.DUMMYFUNCTION("IF(H2766="""", """", ROUND(H2766 / MAX(FILTER($H$2:$H5067, $D$2:$D5067=$D2766)) * 100, 2))"),99.93)</f>
        <v>99.93</v>
      </c>
      <c r="K2766" s="2"/>
      <c r="L2766" s="49"/>
      <c r="M2766" s="49"/>
      <c r="N2766" s="49"/>
      <c r="O2766" s="49" t="str">
        <f t="shared" si="2"/>
        <v/>
      </c>
      <c r="P2766" s="49" t="str">
        <f t="shared" si="3"/>
        <v/>
      </c>
      <c r="Q2766" s="84"/>
      <c r="R2766" s="84"/>
      <c r="S2766" s="84"/>
      <c r="T2766" s="84"/>
      <c r="U2766" s="84"/>
      <c r="V2766" s="84"/>
      <c r="W2766" s="84"/>
      <c r="X2766" s="84"/>
      <c r="Y2766" s="84"/>
      <c r="Z2766" s="84"/>
      <c r="AA2766" s="84"/>
      <c r="AB2766" s="84"/>
    </row>
    <row r="2767">
      <c r="A2767" s="69">
        <v>184.0</v>
      </c>
      <c r="B2767" s="69">
        <v>301.0</v>
      </c>
      <c r="C2767" s="86" t="s">
        <v>600</v>
      </c>
      <c r="D2767" s="86" t="s">
        <v>601</v>
      </c>
      <c r="E2767" s="86" t="s">
        <v>602</v>
      </c>
      <c r="F2767" s="69">
        <v>5800.0</v>
      </c>
      <c r="G2767" s="69">
        <v>37.5</v>
      </c>
      <c r="H2767" s="68">
        <f t="shared" si="1"/>
        <v>303.69</v>
      </c>
      <c r="I2767" s="81">
        <f>IFERROR(__xludf.DUMMYFUNCTION("IF(G2767="""", """", ROUND(G2767 / MAX(FILTER($G$2:$G5067, $D$2:$D5067=$D2767)) * 100, 2))"),84.75)</f>
        <v>84.75</v>
      </c>
      <c r="J2767" s="81">
        <f>IFERROR(__xludf.DUMMYFUNCTION("IF(H2767="""", """", ROUND(H2767 / MAX(FILTER($H$2:$H5067, $D$2:$D5067=$D2767)) * 100, 2))"),100.0)</f>
        <v>100</v>
      </c>
      <c r="K2767" s="2"/>
      <c r="L2767" s="48"/>
      <c r="M2767" s="48"/>
      <c r="N2767" s="48"/>
      <c r="O2767" s="48" t="str">
        <f t="shared" si="2"/>
        <v/>
      </c>
      <c r="P2767" s="48" t="str">
        <f t="shared" si="3"/>
        <v/>
      </c>
      <c r="Q2767" s="84"/>
      <c r="R2767" s="84"/>
      <c r="S2767" s="84"/>
      <c r="T2767" s="84"/>
      <c r="U2767" s="84"/>
      <c r="V2767" s="84"/>
      <c r="W2767" s="84"/>
      <c r="X2767" s="84"/>
      <c r="Y2767" s="84"/>
      <c r="Z2767" s="84"/>
      <c r="AA2767" s="84"/>
      <c r="AB2767" s="84"/>
    </row>
    <row r="2768">
      <c r="A2768" s="63">
        <v>184.0</v>
      </c>
      <c r="B2768" s="63">
        <v>301.0</v>
      </c>
      <c r="C2768" s="64" t="s">
        <v>600</v>
      </c>
      <c r="D2768" s="64" t="s">
        <v>601</v>
      </c>
      <c r="E2768" s="64" t="s">
        <v>602</v>
      </c>
      <c r="F2768" s="63">
        <v>6500.0</v>
      </c>
      <c r="G2768" s="63">
        <v>32.5</v>
      </c>
      <c r="H2768" s="66">
        <f t="shared" si="1"/>
        <v>294.96</v>
      </c>
      <c r="I2768" s="81">
        <f>IFERROR(__xludf.DUMMYFUNCTION("IF(G2768="""", """", ROUND(G2768 / MAX(FILTER($G$2:$G5067, $D$2:$D5067=$D2768)) * 100, 2))"),73.45)</f>
        <v>73.45</v>
      </c>
      <c r="J2768" s="81">
        <f>IFERROR(__xludf.DUMMYFUNCTION("IF(H2768="""", """", ROUND(H2768 / MAX(FILTER($H$2:$H5067, $D$2:$D5067=$D2768)) * 100, 2))"),97.13)</f>
        <v>97.13</v>
      </c>
      <c r="K2768" s="2"/>
      <c r="L2768" s="49"/>
      <c r="M2768" s="49"/>
      <c r="N2768" s="49"/>
      <c r="O2768" s="49" t="str">
        <f t="shared" si="2"/>
        <v/>
      </c>
      <c r="P2768" s="49" t="str">
        <f t="shared" si="3"/>
        <v/>
      </c>
      <c r="Q2768" s="84"/>
      <c r="R2768" s="84"/>
      <c r="S2768" s="84"/>
      <c r="T2768" s="84"/>
      <c r="U2768" s="84"/>
      <c r="V2768" s="84"/>
      <c r="W2768" s="84"/>
      <c r="X2768" s="84"/>
      <c r="Y2768" s="84"/>
      <c r="Z2768" s="84"/>
      <c r="AA2768" s="84"/>
      <c r="AB2768" s="84"/>
    </row>
    <row r="2769">
      <c r="A2769" s="69">
        <v>184.0</v>
      </c>
      <c r="B2769" s="69">
        <v>301.0</v>
      </c>
      <c r="C2769" s="86" t="s">
        <v>600</v>
      </c>
      <c r="D2769" s="86" t="s">
        <v>601</v>
      </c>
      <c r="E2769" s="86" t="s">
        <v>602</v>
      </c>
      <c r="F2769" s="69">
        <v>7000.0</v>
      </c>
      <c r="G2769" s="69">
        <v>28.88</v>
      </c>
      <c r="H2769" s="68">
        <f t="shared" si="1"/>
        <v>282.27</v>
      </c>
      <c r="I2769" s="81">
        <f>IFERROR(__xludf.DUMMYFUNCTION("IF(G2769="""", """", ROUND(G2769 / MAX(FILTER($G$2:$G5067, $D$2:$D5067=$D2769)) * 100, 2))"),65.27)</f>
        <v>65.27</v>
      </c>
      <c r="J2769" s="81">
        <f>IFERROR(__xludf.DUMMYFUNCTION("IF(H2769="""", """", ROUND(H2769 / MAX(FILTER($H$2:$H5067, $D$2:$D5067=$D2769)) * 100, 2))"),92.95)</f>
        <v>92.95</v>
      </c>
      <c r="K2769" s="2"/>
      <c r="L2769" s="48"/>
      <c r="M2769" s="48"/>
      <c r="N2769" s="48"/>
      <c r="O2769" s="48" t="str">
        <f t="shared" si="2"/>
        <v/>
      </c>
      <c r="P2769" s="48" t="str">
        <f t="shared" si="3"/>
        <v/>
      </c>
      <c r="Q2769" s="84"/>
      <c r="R2769" s="84"/>
      <c r="S2769" s="84"/>
      <c r="T2769" s="84"/>
      <c r="U2769" s="84"/>
      <c r="V2769" s="84"/>
      <c r="W2769" s="84"/>
      <c r="X2769" s="84"/>
      <c r="Y2769" s="84"/>
      <c r="Z2769" s="84"/>
      <c r="AA2769" s="84"/>
      <c r="AB2769" s="84"/>
    </row>
    <row r="2770">
      <c r="A2770" s="63">
        <v>184.0</v>
      </c>
      <c r="B2770" s="63">
        <v>301.0</v>
      </c>
      <c r="C2770" s="64" t="s">
        <v>600</v>
      </c>
      <c r="D2770" s="64" t="s">
        <v>601</v>
      </c>
      <c r="E2770" s="64" t="s">
        <v>602</v>
      </c>
      <c r="F2770" s="63">
        <v>7500.0</v>
      </c>
      <c r="G2770" s="63">
        <v>24.0</v>
      </c>
      <c r="H2770" s="66">
        <f t="shared" si="1"/>
        <v>251.33</v>
      </c>
      <c r="I2770" s="81">
        <f>IFERROR(__xludf.DUMMYFUNCTION("IF(G2770="""", """", ROUND(G2770 / MAX(FILTER($G$2:$G5067, $D$2:$D5067=$D2770)) * 100, 2))"),54.24)</f>
        <v>54.24</v>
      </c>
      <c r="J2770" s="81">
        <f>IFERROR(__xludf.DUMMYFUNCTION("IF(H2770="""", """", ROUND(H2770 / MAX(FILTER($H$2:$H5067, $D$2:$D5067=$D2770)) * 100, 2))"),82.76)</f>
        <v>82.76</v>
      </c>
      <c r="K2770" s="2"/>
      <c r="L2770" s="49"/>
      <c r="M2770" s="49"/>
      <c r="N2770" s="49"/>
      <c r="O2770" s="49" t="str">
        <f t="shared" si="2"/>
        <v/>
      </c>
      <c r="P2770" s="49" t="str">
        <f t="shared" si="3"/>
        <v/>
      </c>
      <c r="Q2770" s="84"/>
      <c r="R2770" s="84"/>
      <c r="S2770" s="84"/>
      <c r="T2770" s="84"/>
      <c r="U2770" s="84"/>
      <c r="V2770" s="84"/>
      <c r="W2770" s="84"/>
      <c r="X2770" s="84"/>
      <c r="Y2770" s="84"/>
      <c r="Z2770" s="84"/>
      <c r="AA2770" s="84"/>
      <c r="AB2770" s="84"/>
    </row>
    <row r="2771">
      <c r="A2771" s="69">
        <v>185.0</v>
      </c>
      <c r="B2771" s="69">
        <v>302.0</v>
      </c>
      <c r="C2771" s="86" t="s">
        <v>603</v>
      </c>
      <c r="D2771" s="86" t="s">
        <v>604</v>
      </c>
      <c r="E2771" s="86" t="s">
        <v>605</v>
      </c>
      <c r="F2771" s="69">
        <v>500.0</v>
      </c>
      <c r="G2771" s="69">
        <v>27.3</v>
      </c>
      <c r="H2771" s="68">
        <f t="shared" si="1"/>
        <v>19.06</v>
      </c>
      <c r="I2771" s="81">
        <f>IFERROR(__xludf.DUMMYFUNCTION("IF(G2771="""", """", ROUND(G2771 / MAX(FILTER($G$2:$G5067, $D$2:$D5067=$D2771)) * 100, 2))"),65.3)</f>
        <v>65.3</v>
      </c>
      <c r="J2771" s="81">
        <f>IFERROR(__xludf.DUMMYFUNCTION("IF(H2771="""", """", ROUND(H2771 / MAX(FILTER($H$2:$H5067, $D$2:$D5067=$D2771)) * 100, 2))"),6.15)</f>
        <v>6.15</v>
      </c>
      <c r="K2771" s="2"/>
      <c r="L2771" s="48"/>
      <c r="M2771" s="48"/>
      <c r="N2771" s="48"/>
      <c r="O2771" s="48" t="str">
        <f t="shared" si="2"/>
        <v/>
      </c>
      <c r="P2771" s="48" t="str">
        <f t="shared" si="3"/>
        <v/>
      </c>
      <c r="Q2771" s="84"/>
      <c r="R2771" s="84"/>
      <c r="S2771" s="84"/>
      <c r="T2771" s="84"/>
      <c r="U2771" s="84"/>
      <c r="V2771" s="84"/>
      <c r="W2771" s="84"/>
      <c r="X2771" s="84"/>
      <c r="Y2771" s="84"/>
      <c r="Z2771" s="84"/>
      <c r="AA2771" s="84"/>
      <c r="AB2771" s="84"/>
    </row>
    <row r="2772">
      <c r="A2772" s="63">
        <v>185.0</v>
      </c>
      <c r="B2772" s="63">
        <v>302.0</v>
      </c>
      <c r="C2772" s="64" t="s">
        <v>603</v>
      </c>
      <c r="D2772" s="64" t="s">
        <v>604</v>
      </c>
      <c r="E2772" s="64" t="s">
        <v>605</v>
      </c>
      <c r="F2772" s="63">
        <v>1000.0</v>
      </c>
      <c r="G2772" s="63">
        <v>30.59</v>
      </c>
      <c r="H2772" s="66">
        <f t="shared" si="1"/>
        <v>42.71</v>
      </c>
      <c r="I2772" s="81">
        <f>IFERROR(__xludf.DUMMYFUNCTION("IF(G2772="""", """", ROUND(G2772 / MAX(FILTER($G$2:$G5067, $D$2:$D5067=$D2772)) * 100, 2))"),73.16)</f>
        <v>73.16</v>
      </c>
      <c r="J2772" s="81">
        <f>IFERROR(__xludf.DUMMYFUNCTION("IF(H2772="""", """", ROUND(H2772 / MAX(FILTER($H$2:$H5067, $D$2:$D5067=$D2772)) * 100, 2))"),13.78)</f>
        <v>13.78</v>
      </c>
      <c r="K2772" s="2"/>
      <c r="L2772" s="49"/>
      <c r="M2772" s="49"/>
      <c r="N2772" s="49"/>
      <c r="O2772" s="49" t="str">
        <f t="shared" si="2"/>
        <v/>
      </c>
      <c r="P2772" s="49" t="str">
        <f t="shared" si="3"/>
        <v/>
      </c>
      <c r="Q2772" s="84"/>
      <c r="R2772" s="84"/>
      <c r="S2772" s="84"/>
      <c r="T2772" s="84"/>
      <c r="U2772" s="84"/>
      <c r="V2772" s="84"/>
      <c r="W2772" s="84"/>
      <c r="X2772" s="84"/>
      <c r="Y2772" s="84"/>
      <c r="Z2772" s="84"/>
      <c r="AA2772" s="84"/>
      <c r="AB2772" s="84"/>
    </row>
    <row r="2773">
      <c r="A2773" s="69">
        <v>185.0</v>
      </c>
      <c r="B2773" s="69">
        <v>302.0</v>
      </c>
      <c r="C2773" s="86" t="s">
        <v>603</v>
      </c>
      <c r="D2773" s="86" t="s">
        <v>604</v>
      </c>
      <c r="E2773" s="86" t="s">
        <v>605</v>
      </c>
      <c r="F2773" s="69">
        <v>1500.0</v>
      </c>
      <c r="G2773" s="69">
        <v>32.97</v>
      </c>
      <c r="H2773" s="68">
        <f t="shared" si="1"/>
        <v>69.05</v>
      </c>
      <c r="I2773" s="81">
        <f>IFERROR(__xludf.DUMMYFUNCTION("IF(G2773="""", """", ROUND(G2773 / MAX(FILTER($G$2:$G5067, $D$2:$D5067=$D2773)) * 100, 2))"),78.86)</f>
        <v>78.86</v>
      </c>
      <c r="J2773" s="81">
        <f>IFERROR(__xludf.DUMMYFUNCTION("IF(H2773="""", """", ROUND(H2773 / MAX(FILTER($H$2:$H5067, $D$2:$D5067=$D2773)) * 100, 2))"),22.27)</f>
        <v>22.27</v>
      </c>
      <c r="K2773" s="2"/>
      <c r="L2773" s="48"/>
      <c r="M2773" s="48"/>
      <c r="N2773" s="48"/>
      <c r="O2773" s="48" t="str">
        <f t="shared" si="2"/>
        <v/>
      </c>
      <c r="P2773" s="48" t="str">
        <f t="shared" si="3"/>
        <v/>
      </c>
      <c r="Q2773" s="84"/>
      <c r="R2773" s="84"/>
      <c r="S2773" s="84"/>
      <c r="T2773" s="84"/>
      <c r="U2773" s="84"/>
      <c r="V2773" s="84"/>
      <c r="W2773" s="84"/>
      <c r="X2773" s="84"/>
      <c r="Y2773" s="84"/>
      <c r="Z2773" s="84"/>
      <c r="AA2773" s="84"/>
      <c r="AB2773" s="84"/>
    </row>
    <row r="2774">
      <c r="A2774" s="63">
        <v>185.0</v>
      </c>
      <c r="B2774" s="63">
        <v>302.0</v>
      </c>
      <c r="C2774" s="64" t="s">
        <v>603</v>
      </c>
      <c r="D2774" s="64" t="s">
        <v>604</v>
      </c>
      <c r="E2774" s="64" t="s">
        <v>605</v>
      </c>
      <c r="F2774" s="63">
        <v>2000.0</v>
      </c>
      <c r="G2774" s="63">
        <v>35.25</v>
      </c>
      <c r="H2774" s="66">
        <f t="shared" si="1"/>
        <v>98.44</v>
      </c>
      <c r="I2774" s="81">
        <f>IFERROR(__xludf.DUMMYFUNCTION("IF(G2774="""", """", ROUND(G2774 / MAX(FILTER($G$2:$G5067, $D$2:$D5067=$D2774)) * 100, 2))"),84.31)</f>
        <v>84.31</v>
      </c>
      <c r="J2774" s="81">
        <f>IFERROR(__xludf.DUMMYFUNCTION("IF(H2774="""", """", ROUND(H2774 / MAX(FILTER($H$2:$H5067, $D$2:$D5067=$D2774)) * 100, 2))"),31.75)</f>
        <v>31.75</v>
      </c>
      <c r="K2774" s="2"/>
      <c r="L2774" s="49"/>
      <c r="M2774" s="49"/>
      <c r="N2774" s="49"/>
      <c r="O2774" s="49" t="str">
        <f t="shared" si="2"/>
        <v/>
      </c>
      <c r="P2774" s="49" t="str">
        <f t="shared" si="3"/>
        <v/>
      </c>
      <c r="Q2774" s="84"/>
      <c r="R2774" s="84"/>
      <c r="S2774" s="84"/>
      <c r="T2774" s="84"/>
      <c r="U2774" s="84"/>
      <c r="V2774" s="84"/>
      <c r="W2774" s="84"/>
      <c r="X2774" s="84"/>
      <c r="Y2774" s="84"/>
      <c r="Z2774" s="84"/>
      <c r="AA2774" s="84"/>
      <c r="AB2774" s="84"/>
    </row>
    <row r="2775">
      <c r="A2775" s="69">
        <v>185.0</v>
      </c>
      <c r="B2775" s="69">
        <v>302.0</v>
      </c>
      <c r="C2775" s="86" t="s">
        <v>603</v>
      </c>
      <c r="D2775" s="86" t="s">
        <v>604</v>
      </c>
      <c r="E2775" s="86" t="s">
        <v>605</v>
      </c>
      <c r="F2775" s="69">
        <v>2500.0</v>
      </c>
      <c r="G2775" s="69">
        <v>38.24</v>
      </c>
      <c r="H2775" s="68">
        <f t="shared" si="1"/>
        <v>133.48</v>
      </c>
      <c r="I2775" s="81">
        <f>IFERROR(__xludf.DUMMYFUNCTION("IF(G2775="""", """", ROUND(G2775 / MAX(FILTER($G$2:$G5067, $D$2:$D5067=$D2775)) * 100, 2))"),91.46)</f>
        <v>91.46</v>
      </c>
      <c r="J2775" s="81">
        <f>IFERROR(__xludf.DUMMYFUNCTION("IF(H2775="""", """", ROUND(H2775 / MAX(FILTER($H$2:$H5067, $D$2:$D5067=$D2775)) * 100, 2))"),43.05)</f>
        <v>43.05</v>
      </c>
      <c r="K2775" s="2"/>
      <c r="L2775" s="48"/>
      <c r="M2775" s="48"/>
      <c r="N2775" s="48"/>
      <c r="O2775" s="48" t="str">
        <f t="shared" si="2"/>
        <v/>
      </c>
      <c r="P2775" s="48" t="str">
        <f t="shared" si="3"/>
        <v/>
      </c>
      <c r="Q2775" s="84"/>
      <c r="R2775" s="84"/>
      <c r="S2775" s="84"/>
      <c r="T2775" s="84"/>
      <c r="U2775" s="84"/>
      <c r="V2775" s="84"/>
      <c r="W2775" s="84"/>
      <c r="X2775" s="84"/>
      <c r="Y2775" s="84"/>
      <c r="Z2775" s="84"/>
      <c r="AA2775" s="84"/>
      <c r="AB2775" s="84"/>
    </row>
    <row r="2776">
      <c r="A2776" s="63">
        <v>185.0</v>
      </c>
      <c r="B2776" s="63">
        <v>302.0</v>
      </c>
      <c r="C2776" s="64" t="s">
        <v>603</v>
      </c>
      <c r="D2776" s="64" t="s">
        <v>604</v>
      </c>
      <c r="E2776" s="64" t="s">
        <v>605</v>
      </c>
      <c r="F2776" s="63">
        <v>3000.0</v>
      </c>
      <c r="G2776" s="63">
        <v>41.81</v>
      </c>
      <c r="H2776" s="66">
        <f t="shared" si="1"/>
        <v>175.13</v>
      </c>
      <c r="I2776" s="81">
        <f>IFERROR(__xludf.DUMMYFUNCTION("IF(G2776="""", """", ROUND(G2776 / MAX(FILTER($G$2:$G5067, $D$2:$D5067=$D2776)) * 100, 2))"),100.0)</f>
        <v>100</v>
      </c>
      <c r="J2776" s="81">
        <f>IFERROR(__xludf.DUMMYFUNCTION("IF(H2776="""", """", ROUND(H2776 / MAX(FILTER($H$2:$H5067, $D$2:$D5067=$D2776)) * 100, 2))"),56.48)</f>
        <v>56.48</v>
      </c>
      <c r="K2776" s="2"/>
      <c r="L2776" s="49"/>
      <c r="M2776" s="49"/>
      <c r="N2776" s="49"/>
      <c r="O2776" s="49" t="str">
        <f t="shared" si="2"/>
        <v/>
      </c>
      <c r="P2776" s="49" t="str">
        <f t="shared" si="3"/>
        <v/>
      </c>
      <c r="Q2776" s="84"/>
      <c r="R2776" s="84"/>
      <c r="S2776" s="84"/>
      <c r="T2776" s="84"/>
      <c r="U2776" s="84"/>
      <c r="V2776" s="84"/>
      <c r="W2776" s="84"/>
      <c r="X2776" s="84"/>
      <c r="Y2776" s="84"/>
      <c r="Z2776" s="84"/>
      <c r="AA2776" s="84"/>
      <c r="AB2776" s="84"/>
    </row>
    <row r="2777">
      <c r="A2777" s="69">
        <v>185.0</v>
      </c>
      <c r="B2777" s="69">
        <v>302.0</v>
      </c>
      <c r="C2777" s="86" t="s">
        <v>603</v>
      </c>
      <c r="D2777" s="86" t="s">
        <v>604</v>
      </c>
      <c r="E2777" s="86" t="s">
        <v>605</v>
      </c>
      <c r="F2777" s="69">
        <v>3500.0</v>
      </c>
      <c r="G2777" s="69">
        <v>41.81</v>
      </c>
      <c r="H2777" s="68">
        <f t="shared" si="1"/>
        <v>204.32</v>
      </c>
      <c r="I2777" s="81">
        <f>IFERROR(__xludf.DUMMYFUNCTION("IF(G2777="""", """", ROUND(G2777 / MAX(FILTER($G$2:$G5067, $D$2:$D5067=$D2777)) * 100, 2))"),100.0)</f>
        <v>100</v>
      </c>
      <c r="J2777" s="81">
        <f>IFERROR(__xludf.DUMMYFUNCTION("IF(H2777="""", """", ROUND(H2777 / MAX(FILTER($H$2:$H5067, $D$2:$D5067=$D2777)) * 100, 2))"),65.9)</f>
        <v>65.9</v>
      </c>
      <c r="K2777" s="2"/>
      <c r="L2777" s="48"/>
      <c r="M2777" s="48"/>
      <c r="N2777" s="48"/>
      <c r="O2777" s="48" t="str">
        <f t="shared" si="2"/>
        <v/>
      </c>
      <c r="P2777" s="48" t="str">
        <f t="shared" si="3"/>
        <v/>
      </c>
      <c r="Q2777" s="84"/>
      <c r="R2777" s="84"/>
      <c r="S2777" s="84"/>
      <c r="T2777" s="84"/>
      <c r="U2777" s="84"/>
      <c r="V2777" s="84"/>
      <c r="W2777" s="84"/>
      <c r="X2777" s="84"/>
      <c r="Y2777" s="84"/>
      <c r="Z2777" s="84"/>
      <c r="AA2777" s="84"/>
      <c r="AB2777" s="84"/>
    </row>
    <row r="2778">
      <c r="A2778" s="63">
        <v>185.0</v>
      </c>
      <c r="B2778" s="63">
        <v>302.0</v>
      </c>
      <c r="C2778" s="64" t="s">
        <v>603</v>
      </c>
      <c r="D2778" s="64" t="s">
        <v>604</v>
      </c>
      <c r="E2778" s="64" t="s">
        <v>605</v>
      </c>
      <c r="F2778" s="63">
        <v>4000.0</v>
      </c>
      <c r="G2778" s="63">
        <v>41.81</v>
      </c>
      <c r="H2778" s="66">
        <f t="shared" si="1"/>
        <v>233.51</v>
      </c>
      <c r="I2778" s="81">
        <f>IFERROR(__xludf.DUMMYFUNCTION("IF(G2778="""", """", ROUND(G2778 / MAX(FILTER($G$2:$G5067, $D$2:$D5067=$D2778)) * 100, 2))"),100.0)</f>
        <v>100</v>
      </c>
      <c r="J2778" s="81">
        <f>IFERROR(__xludf.DUMMYFUNCTION("IF(H2778="""", """", ROUND(H2778 / MAX(FILTER($H$2:$H5067, $D$2:$D5067=$D2778)) * 100, 2))"),75.31)</f>
        <v>75.31</v>
      </c>
      <c r="K2778" s="2"/>
      <c r="L2778" s="49"/>
      <c r="M2778" s="49"/>
      <c r="N2778" s="49"/>
      <c r="O2778" s="49" t="str">
        <f t="shared" si="2"/>
        <v/>
      </c>
      <c r="P2778" s="49" t="str">
        <f t="shared" si="3"/>
        <v/>
      </c>
      <c r="Q2778" s="84"/>
      <c r="R2778" s="84"/>
      <c r="S2778" s="84"/>
      <c r="T2778" s="84"/>
      <c r="U2778" s="84"/>
      <c r="V2778" s="84"/>
      <c r="W2778" s="84"/>
      <c r="X2778" s="84"/>
      <c r="Y2778" s="84"/>
      <c r="Z2778" s="84"/>
      <c r="AA2778" s="84"/>
      <c r="AB2778" s="84"/>
    </row>
    <row r="2779">
      <c r="A2779" s="69">
        <v>185.0</v>
      </c>
      <c r="B2779" s="69">
        <v>302.0</v>
      </c>
      <c r="C2779" s="86" t="s">
        <v>603</v>
      </c>
      <c r="D2779" s="86" t="s">
        <v>604</v>
      </c>
      <c r="E2779" s="86" t="s">
        <v>605</v>
      </c>
      <c r="F2779" s="69">
        <v>4500.0</v>
      </c>
      <c r="G2779" s="69">
        <v>40.52</v>
      </c>
      <c r="H2779" s="68">
        <f t="shared" si="1"/>
        <v>254.59</v>
      </c>
      <c r="I2779" s="81">
        <f>IFERROR(__xludf.DUMMYFUNCTION("IF(G2779="""", """", ROUND(G2779 / MAX(FILTER($G$2:$G5067, $D$2:$D5067=$D2779)) * 100, 2))"),96.91)</f>
        <v>96.91</v>
      </c>
      <c r="J2779" s="81">
        <f>IFERROR(__xludf.DUMMYFUNCTION("IF(H2779="""", """", ROUND(H2779 / MAX(FILTER($H$2:$H5067, $D$2:$D5067=$D2779)) * 100, 2))"),82.11)</f>
        <v>82.11</v>
      </c>
      <c r="K2779" s="2"/>
      <c r="L2779" s="48"/>
      <c r="M2779" s="48"/>
      <c r="N2779" s="48"/>
      <c r="O2779" s="48" t="str">
        <f t="shared" si="2"/>
        <v/>
      </c>
      <c r="P2779" s="48" t="str">
        <f t="shared" si="3"/>
        <v/>
      </c>
      <c r="Q2779" s="84"/>
      <c r="R2779" s="84"/>
      <c r="S2779" s="84"/>
      <c r="T2779" s="84"/>
      <c r="U2779" s="84"/>
      <c r="V2779" s="84"/>
      <c r="W2779" s="84"/>
      <c r="X2779" s="84"/>
      <c r="Y2779" s="84"/>
      <c r="Z2779" s="84"/>
      <c r="AA2779" s="84"/>
      <c r="AB2779" s="84"/>
    </row>
    <row r="2780">
      <c r="A2780" s="63">
        <v>185.0</v>
      </c>
      <c r="B2780" s="63">
        <v>302.0</v>
      </c>
      <c r="C2780" s="64" t="s">
        <v>603</v>
      </c>
      <c r="D2780" s="64" t="s">
        <v>604</v>
      </c>
      <c r="E2780" s="64" t="s">
        <v>605</v>
      </c>
      <c r="F2780" s="63">
        <v>5000.0</v>
      </c>
      <c r="G2780" s="63">
        <v>39.03</v>
      </c>
      <c r="H2780" s="66">
        <f t="shared" si="1"/>
        <v>272.48</v>
      </c>
      <c r="I2780" s="81">
        <f>IFERROR(__xludf.DUMMYFUNCTION("IF(G2780="""", """", ROUND(G2780 / MAX(FILTER($G$2:$G5067, $D$2:$D5067=$D2780)) * 100, 2))"),93.35)</f>
        <v>93.35</v>
      </c>
      <c r="J2780" s="81">
        <f>IFERROR(__xludf.DUMMYFUNCTION("IF(H2780="""", """", ROUND(H2780 / MAX(FILTER($H$2:$H5067, $D$2:$D5067=$D2780)) * 100, 2))"),87.88)</f>
        <v>87.88</v>
      </c>
      <c r="K2780" s="2"/>
      <c r="L2780" s="49"/>
      <c r="M2780" s="49"/>
      <c r="N2780" s="49"/>
      <c r="O2780" s="49" t="str">
        <f t="shared" si="2"/>
        <v/>
      </c>
      <c r="P2780" s="49" t="str">
        <f t="shared" si="3"/>
        <v/>
      </c>
      <c r="Q2780" s="84"/>
      <c r="R2780" s="84"/>
      <c r="S2780" s="84"/>
      <c r="T2780" s="84"/>
      <c r="U2780" s="84"/>
      <c r="V2780" s="84"/>
      <c r="W2780" s="84"/>
      <c r="X2780" s="84"/>
      <c r="Y2780" s="84"/>
      <c r="Z2780" s="84"/>
      <c r="AA2780" s="84"/>
      <c r="AB2780" s="84"/>
    </row>
    <row r="2781">
      <c r="A2781" s="69">
        <v>185.0</v>
      </c>
      <c r="B2781" s="69">
        <v>302.0</v>
      </c>
      <c r="C2781" s="86" t="s">
        <v>603</v>
      </c>
      <c r="D2781" s="86" t="s">
        <v>604</v>
      </c>
      <c r="E2781" s="86" t="s">
        <v>605</v>
      </c>
      <c r="F2781" s="69">
        <v>5500.0</v>
      </c>
      <c r="G2781" s="69">
        <v>37.73</v>
      </c>
      <c r="H2781" s="68">
        <f t="shared" si="1"/>
        <v>289.74</v>
      </c>
      <c r="I2781" s="81">
        <f>IFERROR(__xludf.DUMMYFUNCTION("IF(G2781="""", """", ROUND(G2781 / MAX(FILTER($G$2:$G5067, $D$2:$D5067=$D2781)) * 100, 2))"),90.24)</f>
        <v>90.24</v>
      </c>
      <c r="J2781" s="81">
        <f>IFERROR(__xludf.DUMMYFUNCTION("IF(H2781="""", """", ROUND(H2781 / MAX(FILTER($H$2:$H5067, $D$2:$D5067=$D2781)) * 100, 2))"),93.45)</f>
        <v>93.45</v>
      </c>
      <c r="K2781" s="2"/>
      <c r="L2781" s="48"/>
      <c r="M2781" s="48"/>
      <c r="N2781" s="48"/>
      <c r="O2781" s="48" t="str">
        <f t="shared" si="2"/>
        <v/>
      </c>
      <c r="P2781" s="48" t="str">
        <f t="shared" si="3"/>
        <v/>
      </c>
      <c r="Q2781" s="84"/>
      <c r="R2781" s="84"/>
      <c r="S2781" s="84"/>
      <c r="T2781" s="84"/>
      <c r="U2781" s="84"/>
      <c r="V2781" s="84"/>
      <c r="W2781" s="84"/>
      <c r="X2781" s="84"/>
      <c r="Y2781" s="84"/>
      <c r="Z2781" s="84"/>
      <c r="AA2781" s="84"/>
      <c r="AB2781" s="84"/>
    </row>
    <row r="2782">
      <c r="A2782" s="63">
        <v>185.0</v>
      </c>
      <c r="B2782" s="63">
        <v>302.0</v>
      </c>
      <c r="C2782" s="64" t="s">
        <v>603</v>
      </c>
      <c r="D2782" s="64" t="s">
        <v>604</v>
      </c>
      <c r="E2782" s="64" t="s">
        <v>605</v>
      </c>
      <c r="F2782" s="63">
        <v>6000.0</v>
      </c>
      <c r="G2782" s="63">
        <v>37.01</v>
      </c>
      <c r="H2782" s="66">
        <f t="shared" si="1"/>
        <v>310.05</v>
      </c>
      <c r="I2782" s="81">
        <f>IFERROR(__xludf.DUMMYFUNCTION("IF(G2782="""", """", ROUND(G2782 / MAX(FILTER($G$2:$G5067, $D$2:$D5067=$D2782)) * 100, 2))"),88.52)</f>
        <v>88.52</v>
      </c>
      <c r="J2782" s="81">
        <f>IFERROR(__xludf.DUMMYFUNCTION("IF(H2782="""", """", ROUND(H2782 / MAX(FILTER($H$2:$H5067, $D$2:$D5067=$D2782)) * 100, 2))"),100.0)</f>
        <v>100</v>
      </c>
      <c r="K2782" s="2"/>
      <c r="L2782" s="49"/>
      <c r="M2782" s="49"/>
      <c r="N2782" s="49"/>
      <c r="O2782" s="49" t="str">
        <f t="shared" si="2"/>
        <v/>
      </c>
      <c r="P2782" s="49" t="str">
        <f t="shared" si="3"/>
        <v/>
      </c>
      <c r="Q2782" s="84"/>
      <c r="R2782" s="84"/>
      <c r="S2782" s="84"/>
      <c r="T2782" s="84"/>
      <c r="U2782" s="84"/>
      <c r="V2782" s="84"/>
      <c r="W2782" s="84"/>
      <c r="X2782" s="84"/>
      <c r="Y2782" s="84"/>
      <c r="Z2782" s="84"/>
      <c r="AA2782" s="84"/>
      <c r="AB2782" s="84"/>
    </row>
    <row r="2783">
      <c r="A2783" s="69">
        <v>185.0</v>
      </c>
      <c r="B2783" s="69">
        <v>302.0</v>
      </c>
      <c r="C2783" s="86" t="s">
        <v>603</v>
      </c>
      <c r="D2783" s="86" t="s">
        <v>604</v>
      </c>
      <c r="E2783" s="86" t="s">
        <v>605</v>
      </c>
      <c r="F2783" s="69">
        <v>6500.0</v>
      </c>
      <c r="G2783" s="69">
        <v>33.61</v>
      </c>
      <c r="H2783" s="68">
        <f t="shared" si="1"/>
        <v>305.03</v>
      </c>
      <c r="I2783" s="81">
        <f>IFERROR(__xludf.DUMMYFUNCTION("IF(G2783="""", """", ROUND(G2783 / MAX(FILTER($G$2:$G5067, $D$2:$D5067=$D2783)) * 100, 2))"),80.39)</f>
        <v>80.39</v>
      </c>
      <c r="J2783" s="81">
        <f>IFERROR(__xludf.DUMMYFUNCTION("IF(H2783="""", """", ROUND(H2783 / MAX(FILTER($H$2:$H5067, $D$2:$D5067=$D2783)) * 100, 2))"),98.38)</f>
        <v>98.38</v>
      </c>
      <c r="K2783" s="2"/>
      <c r="L2783" s="48"/>
      <c r="M2783" s="48"/>
      <c r="N2783" s="48"/>
      <c r="O2783" s="48" t="str">
        <f t="shared" si="2"/>
        <v/>
      </c>
      <c r="P2783" s="48" t="str">
        <f t="shared" si="3"/>
        <v/>
      </c>
      <c r="Q2783" s="84"/>
      <c r="R2783" s="84"/>
      <c r="S2783" s="84"/>
      <c r="T2783" s="84"/>
      <c r="U2783" s="84"/>
      <c r="V2783" s="84"/>
      <c r="W2783" s="84"/>
      <c r="X2783" s="84"/>
      <c r="Y2783" s="84"/>
      <c r="Z2783" s="84"/>
      <c r="AA2783" s="84"/>
      <c r="AB2783" s="84"/>
    </row>
    <row r="2784">
      <c r="A2784" s="63">
        <v>185.0</v>
      </c>
      <c r="B2784" s="63">
        <v>302.0</v>
      </c>
      <c r="C2784" s="64" t="s">
        <v>603</v>
      </c>
      <c r="D2784" s="64" t="s">
        <v>604</v>
      </c>
      <c r="E2784" s="64" t="s">
        <v>605</v>
      </c>
      <c r="F2784" s="63">
        <v>7000.0</v>
      </c>
      <c r="G2784" s="63">
        <v>28.0</v>
      </c>
      <c r="H2784" s="66">
        <f t="shared" si="1"/>
        <v>273.67</v>
      </c>
      <c r="I2784" s="81">
        <f>IFERROR(__xludf.DUMMYFUNCTION("IF(G2784="""", """", ROUND(G2784 / MAX(FILTER($G$2:$G5067, $D$2:$D5067=$D2784)) * 100, 2))"),66.97)</f>
        <v>66.97</v>
      </c>
      <c r="J2784" s="81">
        <f>IFERROR(__xludf.DUMMYFUNCTION("IF(H2784="""", """", ROUND(H2784 / MAX(FILTER($H$2:$H5067, $D$2:$D5067=$D2784)) * 100, 2))"),88.27)</f>
        <v>88.27</v>
      </c>
      <c r="K2784" s="2"/>
      <c r="L2784" s="49"/>
      <c r="M2784" s="49"/>
      <c r="N2784" s="49"/>
      <c r="O2784" s="49" t="str">
        <f t="shared" si="2"/>
        <v/>
      </c>
      <c r="P2784" s="49" t="str">
        <f t="shared" si="3"/>
        <v/>
      </c>
      <c r="Q2784" s="84"/>
      <c r="R2784" s="84"/>
      <c r="S2784" s="84"/>
      <c r="T2784" s="84"/>
      <c r="U2784" s="84"/>
      <c r="V2784" s="84"/>
      <c r="W2784" s="84"/>
      <c r="X2784" s="84"/>
      <c r="Y2784" s="84"/>
      <c r="Z2784" s="84"/>
      <c r="AA2784" s="84"/>
      <c r="AB2784" s="84"/>
    </row>
    <row r="2785">
      <c r="A2785" s="69">
        <v>186.0</v>
      </c>
      <c r="B2785" s="69">
        <v>304.0</v>
      </c>
      <c r="C2785" s="86" t="s">
        <v>606</v>
      </c>
      <c r="D2785" s="86" t="s">
        <v>607</v>
      </c>
      <c r="E2785" s="86" t="s">
        <v>607</v>
      </c>
      <c r="F2785" s="69">
        <v>500.0</v>
      </c>
      <c r="G2785" s="69">
        <v>22.0</v>
      </c>
      <c r="H2785" s="68">
        <f t="shared" si="1"/>
        <v>15.36</v>
      </c>
      <c r="I2785" s="81">
        <f>IFERROR(__xludf.DUMMYFUNCTION("IF(G2785="""", """", ROUND(G2785 / MAX(FILTER($G$2:$G5067, $D$2:$D5067=$D2785)) * 100, 2))"),44.9)</f>
        <v>44.9</v>
      </c>
      <c r="J2785" s="81">
        <f>IFERROR(__xludf.DUMMYFUNCTION("IF(H2785="""", """", ROUND(H2785 / MAX(FILTER($H$2:$H5067, $D$2:$D5067=$D2785)) * 100, 2))"),3.33)</f>
        <v>3.33</v>
      </c>
      <c r="K2785" s="2"/>
      <c r="L2785" s="48"/>
      <c r="M2785" s="48"/>
      <c r="N2785" s="48"/>
      <c r="O2785" s="48" t="str">
        <f t="shared" si="2"/>
        <v/>
      </c>
      <c r="P2785" s="48" t="str">
        <f t="shared" si="3"/>
        <v/>
      </c>
      <c r="Q2785" s="84"/>
      <c r="R2785" s="84"/>
      <c r="S2785" s="84"/>
      <c r="T2785" s="84"/>
      <c r="U2785" s="84"/>
      <c r="V2785" s="84"/>
      <c r="W2785" s="84"/>
      <c r="X2785" s="84"/>
      <c r="Y2785" s="84"/>
      <c r="Z2785" s="84"/>
      <c r="AA2785" s="84"/>
      <c r="AB2785" s="84"/>
    </row>
    <row r="2786">
      <c r="A2786" s="63">
        <v>186.0</v>
      </c>
      <c r="B2786" s="63">
        <v>304.0</v>
      </c>
      <c r="C2786" s="64" t="s">
        <v>606</v>
      </c>
      <c r="D2786" s="64" t="s">
        <v>607</v>
      </c>
      <c r="E2786" s="64" t="s">
        <v>607</v>
      </c>
      <c r="F2786" s="63">
        <v>1000.0</v>
      </c>
      <c r="G2786" s="63">
        <v>24.88</v>
      </c>
      <c r="H2786" s="66">
        <f t="shared" si="1"/>
        <v>34.74</v>
      </c>
      <c r="I2786" s="81">
        <f>IFERROR(__xludf.DUMMYFUNCTION("IF(G2786="""", """", ROUND(G2786 / MAX(FILTER($G$2:$G5067, $D$2:$D5067=$D2786)) * 100, 2))"),50.78)</f>
        <v>50.78</v>
      </c>
      <c r="J2786" s="81">
        <f>IFERROR(__xludf.DUMMYFUNCTION("IF(H2786="""", """", ROUND(H2786 / MAX(FILTER($H$2:$H5067, $D$2:$D5067=$D2786)) * 100, 2))"),7.54)</f>
        <v>7.54</v>
      </c>
      <c r="K2786" s="2"/>
      <c r="L2786" s="49"/>
      <c r="M2786" s="49"/>
      <c r="N2786" s="49"/>
      <c r="O2786" s="49" t="str">
        <f t="shared" si="2"/>
        <v/>
      </c>
      <c r="P2786" s="49" t="str">
        <f t="shared" si="3"/>
        <v/>
      </c>
      <c r="Q2786" s="84"/>
      <c r="R2786" s="84"/>
      <c r="S2786" s="84"/>
      <c r="T2786" s="84"/>
      <c r="U2786" s="84"/>
      <c r="V2786" s="84"/>
      <c r="W2786" s="84"/>
      <c r="X2786" s="84"/>
      <c r="Y2786" s="84"/>
      <c r="Z2786" s="84"/>
      <c r="AA2786" s="84"/>
      <c r="AB2786" s="84"/>
    </row>
    <row r="2787">
      <c r="A2787" s="69">
        <v>186.0</v>
      </c>
      <c r="B2787" s="69">
        <v>304.0</v>
      </c>
      <c r="C2787" s="86" t="s">
        <v>606</v>
      </c>
      <c r="D2787" s="86" t="s">
        <v>607</v>
      </c>
      <c r="E2787" s="86" t="s">
        <v>607</v>
      </c>
      <c r="F2787" s="69">
        <v>1500.0</v>
      </c>
      <c r="G2787" s="69">
        <v>27.05</v>
      </c>
      <c r="H2787" s="68">
        <f t="shared" si="1"/>
        <v>56.65</v>
      </c>
      <c r="I2787" s="81">
        <f>IFERROR(__xludf.DUMMYFUNCTION("IF(G2787="""", """", ROUND(G2787 / MAX(FILTER($G$2:$G5067, $D$2:$D5067=$D2787)) * 100, 2))"),55.2)</f>
        <v>55.2</v>
      </c>
      <c r="J2787" s="81">
        <f>IFERROR(__xludf.DUMMYFUNCTION("IF(H2787="""", """", ROUND(H2787 / MAX(FILTER($H$2:$H5067, $D$2:$D5067=$D2787)) * 100, 2))"),12.29)</f>
        <v>12.29</v>
      </c>
      <c r="K2787" s="2"/>
      <c r="L2787" s="48"/>
      <c r="M2787" s="48"/>
      <c r="N2787" s="48"/>
      <c r="O2787" s="48" t="str">
        <f t="shared" si="2"/>
        <v/>
      </c>
      <c r="P2787" s="48" t="str">
        <f t="shared" si="3"/>
        <v/>
      </c>
      <c r="Q2787" s="84"/>
      <c r="R2787" s="84"/>
      <c r="S2787" s="84"/>
      <c r="T2787" s="84"/>
      <c r="U2787" s="84"/>
      <c r="V2787" s="84"/>
      <c r="W2787" s="84"/>
      <c r="X2787" s="84"/>
      <c r="Y2787" s="84"/>
      <c r="Z2787" s="84"/>
      <c r="AA2787" s="84"/>
      <c r="AB2787" s="84"/>
    </row>
    <row r="2788">
      <c r="A2788" s="63">
        <v>186.0</v>
      </c>
      <c r="B2788" s="63">
        <v>304.0</v>
      </c>
      <c r="C2788" s="64" t="s">
        <v>606</v>
      </c>
      <c r="D2788" s="64" t="s">
        <v>607</v>
      </c>
      <c r="E2788" s="64" t="s">
        <v>607</v>
      </c>
      <c r="F2788" s="63">
        <v>2000.0</v>
      </c>
      <c r="G2788" s="63">
        <v>28.88</v>
      </c>
      <c r="H2788" s="66">
        <f t="shared" si="1"/>
        <v>80.65</v>
      </c>
      <c r="I2788" s="81">
        <f>IFERROR(__xludf.DUMMYFUNCTION("IF(G2788="""", """", ROUND(G2788 / MAX(FILTER($G$2:$G5067, $D$2:$D5067=$D2788)) * 100, 2))"),58.94)</f>
        <v>58.94</v>
      </c>
      <c r="J2788" s="81">
        <f>IFERROR(__xludf.DUMMYFUNCTION("IF(H2788="""", """", ROUND(H2788 / MAX(FILTER($H$2:$H5067, $D$2:$D5067=$D2788)) * 100, 2))"),17.5)</f>
        <v>17.5</v>
      </c>
      <c r="K2788" s="2"/>
      <c r="L2788" s="49"/>
      <c r="M2788" s="49"/>
      <c r="N2788" s="49"/>
      <c r="O2788" s="49" t="str">
        <f t="shared" si="2"/>
        <v/>
      </c>
      <c r="P2788" s="49" t="str">
        <f t="shared" si="3"/>
        <v/>
      </c>
      <c r="Q2788" s="84"/>
      <c r="R2788" s="84"/>
      <c r="S2788" s="84"/>
      <c r="T2788" s="84"/>
      <c r="U2788" s="84"/>
      <c r="V2788" s="84"/>
      <c r="W2788" s="84"/>
      <c r="X2788" s="84"/>
      <c r="Y2788" s="84"/>
      <c r="Z2788" s="84"/>
      <c r="AA2788" s="84"/>
      <c r="AB2788" s="84"/>
    </row>
    <row r="2789">
      <c r="A2789" s="69">
        <v>186.0</v>
      </c>
      <c r="B2789" s="69">
        <v>304.0</v>
      </c>
      <c r="C2789" s="86" t="s">
        <v>606</v>
      </c>
      <c r="D2789" s="86" t="s">
        <v>607</v>
      </c>
      <c r="E2789" s="86" t="s">
        <v>607</v>
      </c>
      <c r="F2789" s="69">
        <v>2500.0</v>
      </c>
      <c r="G2789" s="69">
        <v>31.13</v>
      </c>
      <c r="H2789" s="68">
        <f t="shared" si="1"/>
        <v>108.66</v>
      </c>
      <c r="I2789" s="81">
        <f>IFERROR(__xludf.DUMMYFUNCTION("IF(G2789="""", """", ROUND(G2789 / MAX(FILTER($G$2:$G5067, $D$2:$D5067=$D2789)) * 100, 2))"),63.53)</f>
        <v>63.53</v>
      </c>
      <c r="J2789" s="81">
        <f>IFERROR(__xludf.DUMMYFUNCTION("IF(H2789="""", """", ROUND(H2789 / MAX(FILTER($H$2:$H5067, $D$2:$D5067=$D2789)) * 100, 2))"),23.58)</f>
        <v>23.58</v>
      </c>
      <c r="K2789" s="2"/>
      <c r="L2789" s="48"/>
      <c r="M2789" s="48"/>
      <c r="N2789" s="48"/>
      <c r="O2789" s="48" t="str">
        <f t="shared" si="2"/>
        <v/>
      </c>
      <c r="P2789" s="48" t="str">
        <f t="shared" si="3"/>
        <v/>
      </c>
      <c r="Q2789" s="84"/>
      <c r="R2789" s="84"/>
      <c r="S2789" s="84"/>
      <c r="T2789" s="84"/>
      <c r="U2789" s="84"/>
      <c r="V2789" s="84"/>
      <c r="W2789" s="84"/>
      <c r="X2789" s="84"/>
      <c r="Y2789" s="84"/>
      <c r="Z2789" s="84"/>
      <c r="AA2789" s="84"/>
      <c r="AB2789" s="84"/>
    </row>
    <row r="2790">
      <c r="A2790" s="63">
        <v>186.0</v>
      </c>
      <c r="B2790" s="63">
        <v>304.0</v>
      </c>
      <c r="C2790" s="64" t="s">
        <v>606</v>
      </c>
      <c r="D2790" s="64" t="s">
        <v>607</v>
      </c>
      <c r="E2790" s="64" t="s">
        <v>607</v>
      </c>
      <c r="F2790" s="63">
        <v>3000.0</v>
      </c>
      <c r="G2790" s="63">
        <v>34.25</v>
      </c>
      <c r="H2790" s="66">
        <f t="shared" si="1"/>
        <v>143.47</v>
      </c>
      <c r="I2790" s="81">
        <f>IFERROR(__xludf.DUMMYFUNCTION("IF(G2790="""", """", ROUND(G2790 / MAX(FILTER($G$2:$G5067, $D$2:$D5067=$D2790)) * 100, 2))"),69.9)</f>
        <v>69.9</v>
      </c>
      <c r="J2790" s="81">
        <f>IFERROR(__xludf.DUMMYFUNCTION("IF(H2790="""", """", ROUND(H2790 / MAX(FILTER($H$2:$H5067, $D$2:$D5067=$D2790)) * 100, 2))"),31.14)</f>
        <v>31.14</v>
      </c>
      <c r="K2790" s="2"/>
      <c r="L2790" s="49"/>
      <c r="M2790" s="49"/>
      <c r="N2790" s="49"/>
      <c r="O2790" s="49" t="str">
        <f t="shared" si="2"/>
        <v/>
      </c>
      <c r="P2790" s="49" t="str">
        <f t="shared" si="3"/>
        <v/>
      </c>
      <c r="Q2790" s="84"/>
      <c r="R2790" s="84"/>
      <c r="S2790" s="84"/>
      <c r="T2790" s="84"/>
      <c r="U2790" s="84"/>
      <c r="V2790" s="84"/>
      <c r="W2790" s="84"/>
      <c r="X2790" s="84"/>
      <c r="Y2790" s="84"/>
      <c r="Z2790" s="84"/>
      <c r="AA2790" s="84"/>
      <c r="AB2790" s="84"/>
    </row>
    <row r="2791">
      <c r="A2791" s="69">
        <v>186.0</v>
      </c>
      <c r="B2791" s="69">
        <v>304.0</v>
      </c>
      <c r="C2791" s="86" t="s">
        <v>606</v>
      </c>
      <c r="D2791" s="86" t="s">
        <v>607</v>
      </c>
      <c r="E2791" s="86" t="s">
        <v>607</v>
      </c>
      <c r="F2791" s="69">
        <v>3500.0</v>
      </c>
      <c r="G2791" s="69">
        <v>39.0</v>
      </c>
      <c r="H2791" s="68">
        <f t="shared" si="1"/>
        <v>190.59</v>
      </c>
      <c r="I2791" s="81">
        <f>IFERROR(__xludf.DUMMYFUNCTION("IF(G2791="""", """", ROUND(G2791 / MAX(FILTER($G$2:$G5067, $D$2:$D5067=$D2791)) * 100, 2))"),79.59)</f>
        <v>79.59</v>
      </c>
      <c r="J2791" s="81">
        <f>IFERROR(__xludf.DUMMYFUNCTION("IF(H2791="""", """", ROUND(H2791 / MAX(FILTER($H$2:$H5067, $D$2:$D5067=$D2791)) * 100, 2))"),41.36)</f>
        <v>41.36</v>
      </c>
      <c r="K2791" s="2"/>
      <c r="L2791" s="48"/>
      <c r="M2791" s="48"/>
      <c r="N2791" s="48"/>
      <c r="O2791" s="48" t="str">
        <f t="shared" si="2"/>
        <v/>
      </c>
      <c r="P2791" s="48" t="str">
        <f t="shared" si="3"/>
        <v/>
      </c>
      <c r="Q2791" s="84"/>
      <c r="R2791" s="84"/>
      <c r="S2791" s="84"/>
      <c r="T2791" s="84"/>
      <c r="U2791" s="84"/>
      <c r="V2791" s="84"/>
      <c r="W2791" s="84"/>
      <c r="X2791" s="84"/>
      <c r="Y2791" s="84"/>
      <c r="Z2791" s="84"/>
      <c r="AA2791" s="84"/>
      <c r="AB2791" s="84"/>
    </row>
    <row r="2792">
      <c r="A2792" s="63">
        <v>186.0</v>
      </c>
      <c r="B2792" s="63">
        <v>304.0</v>
      </c>
      <c r="C2792" s="64" t="s">
        <v>606</v>
      </c>
      <c r="D2792" s="64" t="s">
        <v>607</v>
      </c>
      <c r="E2792" s="64" t="s">
        <v>607</v>
      </c>
      <c r="F2792" s="63">
        <v>4000.0</v>
      </c>
      <c r="G2792" s="63">
        <v>43.42</v>
      </c>
      <c r="H2792" s="66">
        <f t="shared" si="1"/>
        <v>242.5</v>
      </c>
      <c r="I2792" s="81">
        <f>IFERROR(__xludf.DUMMYFUNCTION("IF(G2792="""", """", ROUND(G2792 / MAX(FILTER($G$2:$G5067, $D$2:$D5067=$D2792)) * 100, 2))"),88.61)</f>
        <v>88.61</v>
      </c>
      <c r="J2792" s="81">
        <f>IFERROR(__xludf.DUMMYFUNCTION("IF(H2792="""", """", ROUND(H2792 / MAX(FILTER($H$2:$H5067, $D$2:$D5067=$D2792)) * 100, 2))"),52.63)</f>
        <v>52.63</v>
      </c>
      <c r="K2792" s="2"/>
      <c r="L2792" s="49"/>
      <c r="M2792" s="49"/>
      <c r="N2792" s="49"/>
      <c r="O2792" s="49" t="str">
        <f t="shared" si="2"/>
        <v/>
      </c>
      <c r="P2792" s="49" t="str">
        <f t="shared" si="3"/>
        <v/>
      </c>
      <c r="Q2792" s="84"/>
      <c r="R2792" s="84"/>
      <c r="S2792" s="84"/>
      <c r="T2792" s="84"/>
      <c r="U2792" s="84"/>
      <c r="V2792" s="84"/>
      <c r="W2792" s="84"/>
      <c r="X2792" s="84"/>
      <c r="Y2792" s="84"/>
      <c r="Z2792" s="84"/>
      <c r="AA2792" s="84"/>
      <c r="AB2792" s="84"/>
    </row>
    <row r="2793">
      <c r="A2793" s="69">
        <v>186.0</v>
      </c>
      <c r="B2793" s="69">
        <v>304.0</v>
      </c>
      <c r="C2793" s="86" t="s">
        <v>606</v>
      </c>
      <c r="D2793" s="86" t="s">
        <v>607</v>
      </c>
      <c r="E2793" s="86" t="s">
        <v>607</v>
      </c>
      <c r="F2793" s="69">
        <v>4500.0</v>
      </c>
      <c r="G2793" s="69">
        <v>46.88</v>
      </c>
      <c r="H2793" s="68">
        <f t="shared" si="1"/>
        <v>294.55</v>
      </c>
      <c r="I2793" s="81">
        <f>IFERROR(__xludf.DUMMYFUNCTION("IF(G2793="""", """", ROUND(G2793 / MAX(FILTER($G$2:$G5067, $D$2:$D5067=$D2793)) * 100, 2))"),95.67)</f>
        <v>95.67</v>
      </c>
      <c r="J2793" s="81">
        <f>IFERROR(__xludf.DUMMYFUNCTION("IF(H2793="""", """", ROUND(H2793 / MAX(FILTER($H$2:$H5067, $D$2:$D5067=$D2793)) * 100, 2))"),63.93)</f>
        <v>63.93</v>
      </c>
      <c r="K2793" s="2"/>
      <c r="L2793" s="48"/>
      <c r="M2793" s="48"/>
      <c r="N2793" s="48"/>
      <c r="O2793" s="48" t="str">
        <f t="shared" si="2"/>
        <v/>
      </c>
      <c r="P2793" s="48" t="str">
        <f t="shared" si="3"/>
        <v/>
      </c>
      <c r="Q2793" s="84"/>
      <c r="R2793" s="84"/>
      <c r="S2793" s="84"/>
      <c r="T2793" s="84"/>
      <c r="U2793" s="84"/>
      <c r="V2793" s="84"/>
      <c r="W2793" s="84"/>
      <c r="X2793" s="84"/>
      <c r="Y2793" s="84"/>
      <c r="Z2793" s="84"/>
      <c r="AA2793" s="84"/>
      <c r="AB2793" s="84"/>
    </row>
    <row r="2794">
      <c r="A2794" s="63">
        <v>186.0</v>
      </c>
      <c r="B2794" s="63">
        <v>304.0</v>
      </c>
      <c r="C2794" s="64" t="s">
        <v>606</v>
      </c>
      <c r="D2794" s="64" t="s">
        <v>607</v>
      </c>
      <c r="E2794" s="64" t="s">
        <v>607</v>
      </c>
      <c r="F2794" s="63">
        <v>5000.0</v>
      </c>
      <c r="G2794" s="63">
        <v>48.53</v>
      </c>
      <c r="H2794" s="66">
        <f t="shared" si="1"/>
        <v>338.8</v>
      </c>
      <c r="I2794" s="81">
        <f>IFERROR(__xludf.DUMMYFUNCTION("IF(G2794="""", """", ROUND(G2794 / MAX(FILTER($G$2:$G5067, $D$2:$D5067=$D2794)) * 100, 2))"),99.04)</f>
        <v>99.04</v>
      </c>
      <c r="J2794" s="81">
        <f>IFERROR(__xludf.DUMMYFUNCTION("IF(H2794="""", """", ROUND(H2794 / MAX(FILTER($H$2:$H5067, $D$2:$D5067=$D2794)) * 100, 2))"),73.53)</f>
        <v>73.53</v>
      </c>
      <c r="K2794" s="2"/>
      <c r="L2794" s="49"/>
      <c r="M2794" s="49"/>
      <c r="N2794" s="49"/>
      <c r="O2794" s="49" t="str">
        <f t="shared" si="2"/>
        <v/>
      </c>
      <c r="P2794" s="49" t="str">
        <f t="shared" si="3"/>
        <v/>
      </c>
      <c r="Q2794" s="84"/>
      <c r="R2794" s="84"/>
      <c r="S2794" s="84"/>
      <c r="T2794" s="84"/>
      <c r="U2794" s="84"/>
      <c r="V2794" s="84"/>
      <c r="W2794" s="84"/>
      <c r="X2794" s="84"/>
      <c r="Y2794" s="84"/>
      <c r="Z2794" s="84"/>
      <c r="AA2794" s="84"/>
      <c r="AB2794" s="84"/>
    </row>
    <row r="2795">
      <c r="A2795" s="69">
        <v>186.0</v>
      </c>
      <c r="B2795" s="69">
        <v>304.0</v>
      </c>
      <c r="C2795" s="86" t="s">
        <v>606</v>
      </c>
      <c r="D2795" s="86" t="s">
        <v>607</v>
      </c>
      <c r="E2795" s="86" t="s">
        <v>607</v>
      </c>
      <c r="F2795" s="69">
        <v>5500.0</v>
      </c>
      <c r="G2795" s="69">
        <v>49.0</v>
      </c>
      <c r="H2795" s="68">
        <f t="shared" si="1"/>
        <v>376.29</v>
      </c>
      <c r="I2795" s="81">
        <f>IFERROR(__xludf.DUMMYFUNCTION("IF(G2795="""", """", ROUND(G2795 / MAX(FILTER($G$2:$G5067, $D$2:$D5067=$D2795)) * 100, 2))"),100.0)</f>
        <v>100</v>
      </c>
      <c r="J2795" s="81">
        <f>IFERROR(__xludf.DUMMYFUNCTION("IF(H2795="""", """", ROUND(H2795 / MAX(FILTER($H$2:$H5067, $D$2:$D5067=$D2795)) * 100, 2))"),81.67)</f>
        <v>81.67</v>
      </c>
      <c r="K2795" s="2"/>
      <c r="L2795" s="48"/>
      <c r="M2795" s="48"/>
      <c r="N2795" s="48"/>
      <c r="O2795" s="48" t="str">
        <f t="shared" si="2"/>
        <v/>
      </c>
      <c r="P2795" s="48" t="str">
        <f t="shared" si="3"/>
        <v/>
      </c>
      <c r="Q2795" s="84"/>
      <c r="R2795" s="84"/>
      <c r="S2795" s="84"/>
      <c r="T2795" s="84"/>
      <c r="U2795" s="84"/>
      <c r="V2795" s="84"/>
      <c r="W2795" s="84"/>
      <c r="X2795" s="84"/>
      <c r="Y2795" s="84"/>
      <c r="Z2795" s="84"/>
      <c r="AA2795" s="84"/>
      <c r="AB2795" s="84"/>
    </row>
    <row r="2796">
      <c r="A2796" s="63">
        <v>186.0</v>
      </c>
      <c r="B2796" s="63">
        <v>304.0</v>
      </c>
      <c r="C2796" s="64" t="s">
        <v>606</v>
      </c>
      <c r="D2796" s="64" t="s">
        <v>607</v>
      </c>
      <c r="E2796" s="64" t="s">
        <v>607</v>
      </c>
      <c r="F2796" s="63">
        <v>6000.0</v>
      </c>
      <c r="G2796" s="63">
        <v>48.45</v>
      </c>
      <c r="H2796" s="66">
        <f t="shared" si="1"/>
        <v>405.89</v>
      </c>
      <c r="I2796" s="81">
        <f>IFERROR(__xludf.DUMMYFUNCTION("IF(G2796="""", """", ROUND(G2796 / MAX(FILTER($G$2:$G5067, $D$2:$D5067=$D2796)) * 100, 2))"),98.88)</f>
        <v>98.88</v>
      </c>
      <c r="J2796" s="81">
        <f>IFERROR(__xludf.DUMMYFUNCTION("IF(H2796="""", """", ROUND(H2796 / MAX(FILTER($H$2:$H5067, $D$2:$D5067=$D2796)) * 100, 2))"),88.09)</f>
        <v>88.09</v>
      </c>
      <c r="K2796" s="2"/>
      <c r="L2796" s="49"/>
      <c r="M2796" s="49"/>
      <c r="N2796" s="49"/>
      <c r="O2796" s="49" t="str">
        <f t="shared" si="2"/>
        <v/>
      </c>
      <c r="P2796" s="49" t="str">
        <f t="shared" si="3"/>
        <v/>
      </c>
      <c r="Q2796" s="84"/>
      <c r="R2796" s="84"/>
      <c r="S2796" s="84"/>
      <c r="T2796" s="84"/>
      <c r="U2796" s="84"/>
      <c r="V2796" s="84"/>
      <c r="W2796" s="84"/>
      <c r="X2796" s="84"/>
      <c r="Y2796" s="84"/>
      <c r="Z2796" s="84"/>
      <c r="AA2796" s="84"/>
      <c r="AB2796" s="84"/>
    </row>
    <row r="2797">
      <c r="A2797" s="69">
        <v>186.0</v>
      </c>
      <c r="B2797" s="69">
        <v>304.0</v>
      </c>
      <c r="C2797" s="86" t="s">
        <v>606</v>
      </c>
      <c r="D2797" s="86" t="s">
        <v>607</v>
      </c>
      <c r="E2797" s="86" t="s">
        <v>607</v>
      </c>
      <c r="F2797" s="69">
        <v>6500.0</v>
      </c>
      <c r="G2797" s="69">
        <v>47.47</v>
      </c>
      <c r="H2797" s="68">
        <f t="shared" si="1"/>
        <v>430.82</v>
      </c>
      <c r="I2797" s="81">
        <f>IFERROR(__xludf.DUMMYFUNCTION("IF(G2797="""", """", ROUND(G2797 / MAX(FILTER($G$2:$G5067, $D$2:$D5067=$D2797)) * 100, 2))"),96.88)</f>
        <v>96.88</v>
      </c>
      <c r="J2797" s="81">
        <f>IFERROR(__xludf.DUMMYFUNCTION("IF(H2797="""", """", ROUND(H2797 / MAX(FILTER($H$2:$H5067, $D$2:$D5067=$D2797)) * 100, 2))"),93.5)</f>
        <v>93.5</v>
      </c>
      <c r="K2797" s="2"/>
      <c r="L2797" s="48"/>
      <c r="M2797" s="48"/>
      <c r="N2797" s="48"/>
      <c r="O2797" s="48" t="str">
        <f t="shared" si="2"/>
        <v/>
      </c>
      <c r="P2797" s="48" t="str">
        <f t="shared" si="3"/>
        <v/>
      </c>
      <c r="Q2797" s="84"/>
      <c r="R2797" s="84"/>
      <c r="S2797" s="84"/>
      <c r="T2797" s="84"/>
      <c r="U2797" s="84"/>
      <c r="V2797" s="84"/>
      <c r="W2797" s="84"/>
      <c r="X2797" s="84"/>
      <c r="Y2797" s="84"/>
      <c r="Z2797" s="84"/>
      <c r="AA2797" s="84"/>
      <c r="AB2797" s="84"/>
    </row>
    <row r="2798">
      <c r="A2798" s="63">
        <v>186.0</v>
      </c>
      <c r="B2798" s="63">
        <v>304.0</v>
      </c>
      <c r="C2798" s="64" t="s">
        <v>606</v>
      </c>
      <c r="D2798" s="64" t="s">
        <v>607</v>
      </c>
      <c r="E2798" s="64" t="s">
        <v>607</v>
      </c>
      <c r="F2798" s="63">
        <v>7000.0</v>
      </c>
      <c r="G2798" s="63">
        <v>45.97</v>
      </c>
      <c r="H2798" s="66">
        <f t="shared" si="1"/>
        <v>449.3</v>
      </c>
      <c r="I2798" s="81">
        <f>IFERROR(__xludf.DUMMYFUNCTION("IF(G2798="""", """", ROUND(G2798 / MAX(FILTER($G$2:$G5067, $D$2:$D5067=$D2798)) * 100, 2))"),93.82)</f>
        <v>93.82</v>
      </c>
      <c r="J2798" s="81">
        <f>IFERROR(__xludf.DUMMYFUNCTION("IF(H2798="""", """", ROUND(H2798 / MAX(FILTER($H$2:$H5067, $D$2:$D5067=$D2798)) * 100, 2))"),97.51)</f>
        <v>97.51</v>
      </c>
      <c r="K2798" s="2"/>
      <c r="L2798" s="49"/>
      <c r="M2798" s="49"/>
      <c r="N2798" s="49"/>
      <c r="O2798" s="49" t="str">
        <f t="shared" si="2"/>
        <v/>
      </c>
      <c r="P2798" s="49" t="str">
        <f t="shared" si="3"/>
        <v/>
      </c>
      <c r="Q2798" s="84"/>
      <c r="R2798" s="84"/>
      <c r="S2798" s="84"/>
      <c r="T2798" s="84"/>
      <c r="U2798" s="84"/>
      <c r="V2798" s="84"/>
      <c r="W2798" s="84"/>
      <c r="X2798" s="84"/>
      <c r="Y2798" s="84"/>
      <c r="Z2798" s="84"/>
      <c r="AA2798" s="84"/>
      <c r="AB2798" s="84"/>
    </row>
    <row r="2799">
      <c r="A2799" s="69">
        <v>186.0</v>
      </c>
      <c r="B2799" s="69">
        <v>304.0</v>
      </c>
      <c r="C2799" s="86" t="s">
        <v>606</v>
      </c>
      <c r="D2799" s="86" t="s">
        <v>607</v>
      </c>
      <c r="E2799" s="86" t="s">
        <v>607</v>
      </c>
      <c r="F2799" s="69">
        <v>7500.0</v>
      </c>
      <c r="G2799" s="69">
        <v>44.0</v>
      </c>
      <c r="H2799" s="68">
        <f t="shared" si="1"/>
        <v>460.77</v>
      </c>
      <c r="I2799" s="81">
        <f>IFERROR(__xludf.DUMMYFUNCTION("IF(G2799="""", """", ROUND(G2799 / MAX(FILTER($G$2:$G5067, $D$2:$D5067=$D2799)) * 100, 2))"),89.8)</f>
        <v>89.8</v>
      </c>
      <c r="J2799" s="81">
        <f>IFERROR(__xludf.DUMMYFUNCTION("IF(H2799="""", """", ROUND(H2799 / MAX(FILTER($H$2:$H5067, $D$2:$D5067=$D2799)) * 100, 2))"),100.0)</f>
        <v>100</v>
      </c>
      <c r="K2799" s="2"/>
      <c r="L2799" s="48"/>
      <c r="M2799" s="48"/>
      <c r="N2799" s="48"/>
      <c r="O2799" s="48" t="str">
        <f t="shared" si="2"/>
        <v/>
      </c>
      <c r="P2799" s="48" t="str">
        <f t="shared" si="3"/>
        <v/>
      </c>
      <c r="Q2799" s="84"/>
      <c r="R2799" s="84"/>
      <c r="S2799" s="84"/>
      <c r="T2799" s="84"/>
      <c r="U2799" s="84"/>
      <c r="V2799" s="84"/>
      <c r="W2799" s="84"/>
      <c r="X2799" s="84"/>
      <c r="Y2799" s="84"/>
      <c r="Z2799" s="84"/>
      <c r="AA2799" s="84"/>
      <c r="AB2799" s="84"/>
    </row>
    <row r="2800">
      <c r="A2800" s="63">
        <v>186.0</v>
      </c>
      <c r="B2800" s="63">
        <v>304.0</v>
      </c>
      <c r="C2800" s="64" t="s">
        <v>606</v>
      </c>
      <c r="D2800" s="64" t="s">
        <v>607</v>
      </c>
      <c r="E2800" s="64" t="s">
        <v>607</v>
      </c>
      <c r="F2800" s="63">
        <v>8000.0</v>
      </c>
      <c r="G2800" s="63">
        <v>40.5</v>
      </c>
      <c r="H2800" s="66">
        <f t="shared" si="1"/>
        <v>452.39</v>
      </c>
      <c r="I2800" s="81">
        <f>IFERROR(__xludf.DUMMYFUNCTION("IF(G2800="""", """", ROUND(G2800 / MAX(FILTER($G$2:$G5067, $D$2:$D5067=$D2800)) * 100, 2))"),82.65)</f>
        <v>82.65</v>
      </c>
      <c r="J2800" s="81">
        <f>IFERROR(__xludf.DUMMYFUNCTION("IF(H2800="""", """", ROUND(H2800 / MAX(FILTER($H$2:$H5067, $D$2:$D5067=$D2800)) * 100, 2))"),98.18)</f>
        <v>98.18</v>
      </c>
      <c r="K2800" s="2"/>
      <c r="L2800" s="49"/>
      <c r="M2800" s="49"/>
      <c r="N2800" s="49"/>
      <c r="O2800" s="49" t="str">
        <f t="shared" si="2"/>
        <v/>
      </c>
      <c r="P2800" s="49" t="str">
        <f t="shared" si="3"/>
        <v/>
      </c>
      <c r="Q2800" s="84"/>
      <c r="R2800" s="84"/>
      <c r="S2800" s="84"/>
      <c r="T2800" s="84"/>
      <c r="U2800" s="84"/>
      <c r="V2800" s="84"/>
      <c r="W2800" s="84"/>
      <c r="X2800" s="84"/>
      <c r="Y2800" s="84"/>
      <c r="Z2800" s="84"/>
      <c r="AA2800" s="84"/>
      <c r="AB2800" s="84"/>
    </row>
    <row r="2801">
      <c r="A2801" s="69">
        <v>186.0</v>
      </c>
      <c r="B2801" s="69">
        <v>304.0</v>
      </c>
      <c r="C2801" s="86" t="s">
        <v>606</v>
      </c>
      <c r="D2801" s="86" t="s">
        <v>607</v>
      </c>
      <c r="E2801" s="86" t="s">
        <v>607</v>
      </c>
      <c r="F2801" s="69">
        <v>8500.0</v>
      </c>
      <c r="G2801" s="69">
        <v>34.88</v>
      </c>
      <c r="H2801" s="68">
        <f t="shared" si="1"/>
        <v>413.96</v>
      </c>
      <c r="I2801" s="81">
        <f>IFERROR(__xludf.DUMMYFUNCTION("IF(G2801="""", """", ROUND(G2801 / MAX(FILTER($G$2:$G5067, $D$2:$D5067=$D2801)) * 100, 2))"),71.18)</f>
        <v>71.18</v>
      </c>
      <c r="J2801" s="81">
        <f>IFERROR(__xludf.DUMMYFUNCTION("IF(H2801="""", """", ROUND(H2801 / MAX(FILTER($H$2:$H5067, $D$2:$D5067=$D2801)) * 100, 2))"),89.84)</f>
        <v>89.84</v>
      </c>
      <c r="K2801" s="2"/>
      <c r="L2801" s="48"/>
      <c r="M2801" s="48"/>
      <c r="N2801" s="48"/>
      <c r="O2801" s="48" t="str">
        <f t="shared" si="2"/>
        <v/>
      </c>
      <c r="P2801" s="48" t="str">
        <f t="shared" si="3"/>
        <v/>
      </c>
      <c r="Q2801" s="84"/>
      <c r="R2801" s="84"/>
      <c r="S2801" s="84"/>
      <c r="T2801" s="84"/>
      <c r="U2801" s="84"/>
      <c r="V2801" s="84"/>
      <c r="W2801" s="84"/>
      <c r="X2801" s="84"/>
      <c r="Y2801" s="84"/>
      <c r="Z2801" s="84"/>
      <c r="AA2801" s="84"/>
      <c r="AB2801" s="84"/>
    </row>
    <row r="2802">
      <c r="A2802" s="63">
        <v>187.0</v>
      </c>
      <c r="B2802" s="63">
        <v>305.0</v>
      </c>
      <c r="C2802" s="64" t="s">
        <v>608</v>
      </c>
      <c r="D2802" s="64" t="s">
        <v>609</v>
      </c>
      <c r="E2802" s="64" t="s">
        <v>610</v>
      </c>
      <c r="F2802" s="63">
        <v>500.0</v>
      </c>
      <c r="G2802" s="63">
        <v>9.04</v>
      </c>
      <c r="H2802" s="66">
        <f t="shared" si="1"/>
        <v>6.31</v>
      </c>
      <c r="I2802" s="81">
        <f>IFERROR(__xludf.DUMMYFUNCTION("IF(G2802="""", """", ROUND(G2802 / MAX(FILTER($G$2:$G5067, $D$2:$D5067=$D2802)) * 100, 2))"),67.16)</f>
        <v>67.16</v>
      </c>
      <c r="J2802" s="81">
        <f>IFERROR(__xludf.DUMMYFUNCTION("IF(H2802="""", """", ROUND(H2802 / MAX(FILTER($H$2:$H5067, $D$2:$D5067=$D2802)) * 100, 2))"),6.42)</f>
        <v>6.42</v>
      </c>
      <c r="K2802" s="2"/>
      <c r="L2802" s="49"/>
      <c r="M2802" s="49"/>
      <c r="N2802" s="49"/>
      <c r="O2802" s="49" t="str">
        <f t="shared" si="2"/>
        <v/>
      </c>
      <c r="P2802" s="49" t="str">
        <f t="shared" si="3"/>
        <v/>
      </c>
      <c r="Q2802" s="84"/>
      <c r="R2802" s="84"/>
      <c r="S2802" s="84"/>
      <c r="T2802" s="84"/>
      <c r="U2802" s="84"/>
      <c r="V2802" s="84"/>
      <c r="W2802" s="84"/>
      <c r="X2802" s="84"/>
      <c r="Y2802" s="84"/>
      <c r="Z2802" s="84"/>
      <c r="AA2802" s="84"/>
      <c r="AB2802" s="84"/>
    </row>
    <row r="2803">
      <c r="A2803" s="69">
        <v>187.0</v>
      </c>
      <c r="B2803" s="69">
        <v>305.0</v>
      </c>
      <c r="C2803" s="86" t="s">
        <v>608</v>
      </c>
      <c r="D2803" s="86" t="s">
        <v>609</v>
      </c>
      <c r="E2803" s="86" t="s">
        <v>610</v>
      </c>
      <c r="F2803" s="69">
        <v>1000.0</v>
      </c>
      <c r="G2803" s="69">
        <v>9.43</v>
      </c>
      <c r="H2803" s="68">
        <f t="shared" si="1"/>
        <v>13.17</v>
      </c>
      <c r="I2803" s="81">
        <f>IFERROR(__xludf.DUMMYFUNCTION("IF(G2803="""", """", ROUND(G2803 / MAX(FILTER($G$2:$G5067, $D$2:$D5067=$D2803)) * 100, 2))"),70.06)</f>
        <v>70.06</v>
      </c>
      <c r="J2803" s="81">
        <f>IFERROR(__xludf.DUMMYFUNCTION("IF(H2803="""", """", ROUND(H2803 / MAX(FILTER($H$2:$H5067, $D$2:$D5067=$D2803)) * 100, 2))"),13.4)</f>
        <v>13.4</v>
      </c>
      <c r="K2803" s="2"/>
      <c r="L2803" s="48"/>
      <c r="M2803" s="48"/>
      <c r="N2803" s="48"/>
      <c r="O2803" s="48" t="str">
        <f t="shared" si="2"/>
        <v/>
      </c>
      <c r="P2803" s="48" t="str">
        <f t="shared" si="3"/>
        <v/>
      </c>
      <c r="Q2803" s="84"/>
      <c r="R2803" s="84"/>
      <c r="S2803" s="84"/>
      <c r="T2803" s="84"/>
      <c r="U2803" s="84"/>
      <c r="V2803" s="84"/>
      <c r="W2803" s="84"/>
      <c r="X2803" s="84"/>
      <c r="Y2803" s="84"/>
      <c r="Z2803" s="84"/>
      <c r="AA2803" s="84"/>
      <c r="AB2803" s="84"/>
    </row>
    <row r="2804">
      <c r="A2804" s="63">
        <v>187.0</v>
      </c>
      <c r="B2804" s="63">
        <v>305.0</v>
      </c>
      <c r="C2804" s="64" t="s">
        <v>608</v>
      </c>
      <c r="D2804" s="64" t="s">
        <v>609</v>
      </c>
      <c r="E2804" s="64" t="s">
        <v>610</v>
      </c>
      <c r="F2804" s="63">
        <v>1500.0</v>
      </c>
      <c r="G2804" s="63">
        <v>11.22</v>
      </c>
      <c r="H2804" s="66">
        <f t="shared" si="1"/>
        <v>23.5</v>
      </c>
      <c r="I2804" s="81">
        <f>IFERROR(__xludf.DUMMYFUNCTION("IF(G2804="""", """", ROUND(G2804 / MAX(FILTER($G$2:$G5067, $D$2:$D5067=$D2804)) * 100, 2))"),83.36)</f>
        <v>83.36</v>
      </c>
      <c r="J2804" s="81">
        <f>IFERROR(__xludf.DUMMYFUNCTION("IF(H2804="""", """", ROUND(H2804 / MAX(FILTER($H$2:$H5067, $D$2:$D5067=$D2804)) * 100, 2))"),23.91)</f>
        <v>23.91</v>
      </c>
      <c r="K2804" s="2"/>
      <c r="L2804" s="49"/>
      <c r="M2804" s="49"/>
      <c r="N2804" s="49"/>
      <c r="O2804" s="49" t="str">
        <f t="shared" si="2"/>
        <v/>
      </c>
      <c r="P2804" s="49" t="str">
        <f t="shared" si="3"/>
        <v/>
      </c>
      <c r="Q2804" s="84"/>
      <c r="R2804" s="84"/>
      <c r="S2804" s="84"/>
      <c r="T2804" s="84"/>
      <c r="U2804" s="84"/>
      <c r="V2804" s="84"/>
      <c r="W2804" s="84"/>
      <c r="X2804" s="84"/>
      <c r="Y2804" s="84"/>
      <c r="Z2804" s="84"/>
      <c r="AA2804" s="84"/>
      <c r="AB2804" s="84"/>
    </row>
    <row r="2805">
      <c r="A2805" s="69">
        <v>187.0</v>
      </c>
      <c r="B2805" s="69">
        <v>305.0</v>
      </c>
      <c r="C2805" s="86" t="s">
        <v>608</v>
      </c>
      <c r="D2805" s="86" t="s">
        <v>609</v>
      </c>
      <c r="E2805" s="86" t="s">
        <v>610</v>
      </c>
      <c r="F2805" s="69">
        <v>2000.0</v>
      </c>
      <c r="G2805" s="69">
        <v>11.87</v>
      </c>
      <c r="H2805" s="68">
        <f t="shared" si="1"/>
        <v>33.15</v>
      </c>
      <c r="I2805" s="81">
        <f>IFERROR(__xludf.DUMMYFUNCTION("IF(G2805="""", """", ROUND(G2805 / MAX(FILTER($G$2:$G5067, $D$2:$D5067=$D2805)) * 100, 2))"),88.19)</f>
        <v>88.19</v>
      </c>
      <c r="J2805" s="81">
        <f>IFERROR(__xludf.DUMMYFUNCTION("IF(H2805="""", """", ROUND(H2805 / MAX(FILTER($H$2:$H5067, $D$2:$D5067=$D2805)) * 100, 2))"),33.73)</f>
        <v>33.73</v>
      </c>
      <c r="K2805" s="2"/>
      <c r="L2805" s="48"/>
      <c r="M2805" s="48"/>
      <c r="N2805" s="48"/>
      <c r="O2805" s="48" t="str">
        <f t="shared" si="2"/>
        <v/>
      </c>
      <c r="P2805" s="48" t="str">
        <f t="shared" si="3"/>
        <v/>
      </c>
      <c r="Q2805" s="84"/>
      <c r="R2805" s="84"/>
      <c r="S2805" s="84"/>
      <c r="T2805" s="84"/>
      <c r="U2805" s="84"/>
      <c r="V2805" s="84"/>
      <c r="W2805" s="84"/>
      <c r="X2805" s="84"/>
      <c r="Y2805" s="84"/>
      <c r="Z2805" s="84"/>
      <c r="AA2805" s="84"/>
      <c r="AB2805" s="84"/>
    </row>
    <row r="2806">
      <c r="A2806" s="63">
        <v>187.0</v>
      </c>
      <c r="B2806" s="63">
        <v>305.0</v>
      </c>
      <c r="C2806" s="64" t="s">
        <v>608</v>
      </c>
      <c r="D2806" s="64" t="s">
        <v>609</v>
      </c>
      <c r="E2806" s="64" t="s">
        <v>610</v>
      </c>
      <c r="F2806" s="63">
        <v>2500.0</v>
      </c>
      <c r="G2806" s="63">
        <v>12.96</v>
      </c>
      <c r="H2806" s="66">
        <f t="shared" si="1"/>
        <v>45.24</v>
      </c>
      <c r="I2806" s="81">
        <f>IFERROR(__xludf.DUMMYFUNCTION("IF(G2806="""", """", ROUND(G2806 / MAX(FILTER($G$2:$G5067, $D$2:$D5067=$D2806)) * 100, 2))"),96.29)</f>
        <v>96.29</v>
      </c>
      <c r="J2806" s="81">
        <f>IFERROR(__xludf.DUMMYFUNCTION("IF(H2806="""", """", ROUND(H2806 / MAX(FILTER($H$2:$H5067, $D$2:$D5067=$D2806)) * 100, 2))"),46.04)</f>
        <v>46.04</v>
      </c>
      <c r="K2806" s="2"/>
      <c r="L2806" s="49"/>
      <c r="M2806" s="49"/>
      <c r="N2806" s="49"/>
      <c r="O2806" s="49" t="str">
        <f t="shared" si="2"/>
        <v/>
      </c>
      <c r="P2806" s="49" t="str">
        <f t="shared" si="3"/>
        <v/>
      </c>
      <c r="Q2806" s="84"/>
      <c r="R2806" s="84"/>
      <c r="S2806" s="84"/>
      <c r="T2806" s="84"/>
      <c r="U2806" s="84"/>
      <c r="V2806" s="84"/>
      <c r="W2806" s="84"/>
      <c r="X2806" s="84"/>
      <c r="Y2806" s="84"/>
      <c r="Z2806" s="84"/>
      <c r="AA2806" s="84"/>
      <c r="AB2806" s="84"/>
    </row>
    <row r="2807">
      <c r="A2807" s="69">
        <v>187.0</v>
      </c>
      <c r="B2807" s="69">
        <v>305.0</v>
      </c>
      <c r="C2807" s="86" t="s">
        <v>608</v>
      </c>
      <c r="D2807" s="86" t="s">
        <v>609</v>
      </c>
      <c r="E2807" s="86" t="s">
        <v>610</v>
      </c>
      <c r="F2807" s="69">
        <v>3000.0</v>
      </c>
      <c r="G2807" s="69">
        <v>12.96</v>
      </c>
      <c r="H2807" s="68">
        <f t="shared" si="1"/>
        <v>54.29</v>
      </c>
      <c r="I2807" s="81">
        <f>IFERROR(__xludf.DUMMYFUNCTION("IF(G2807="""", """", ROUND(G2807 / MAX(FILTER($G$2:$G5067, $D$2:$D5067=$D2807)) * 100, 2))"),96.29)</f>
        <v>96.29</v>
      </c>
      <c r="J2807" s="81">
        <f>IFERROR(__xludf.DUMMYFUNCTION("IF(H2807="""", """", ROUND(H2807 / MAX(FILTER($H$2:$H5067, $D$2:$D5067=$D2807)) * 100, 2))"),55.25)</f>
        <v>55.25</v>
      </c>
      <c r="K2807" s="2"/>
      <c r="L2807" s="48"/>
      <c r="M2807" s="48"/>
      <c r="N2807" s="48"/>
      <c r="O2807" s="48" t="str">
        <f t="shared" si="2"/>
        <v/>
      </c>
      <c r="P2807" s="48" t="str">
        <f t="shared" si="3"/>
        <v/>
      </c>
      <c r="Q2807" s="84"/>
      <c r="R2807" s="84"/>
      <c r="S2807" s="84"/>
      <c r="T2807" s="84"/>
      <c r="U2807" s="84"/>
      <c r="V2807" s="84"/>
      <c r="W2807" s="84"/>
      <c r="X2807" s="84"/>
      <c r="Y2807" s="84"/>
      <c r="Z2807" s="84"/>
      <c r="AA2807" s="84"/>
      <c r="AB2807" s="84"/>
    </row>
    <row r="2808">
      <c r="A2808" s="63">
        <v>187.0</v>
      </c>
      <c r="B2808" s="63">
        <v>305.0</v>
      </c>
      <c r="C2808" s="64" t="s">
        <v>608</v>
      </c>
      <c r="D2808" s="64" t="s">
        <v>609</v>
      </c>
      <c r="E2808" s="64" t="s">
        <v>610</v>
      </c>
      <c r="F2808" s="63">
        <v>3500.0</v>
      </c>
      <c r="G2808" s="63">
        <v>13.12</v>
      </c>
      <c r="H2808" s="66">
        <f t="shared" si="1"/>
        <v>64.12</v>
      </c>
      <c r="I2808" s="81">
        <f>IFERROR(__xludf.DUMMYFUNCTION("IF(G2808="""", """", ROUND(G2808 / MAX(FILTER($G$2:$G5067, $D$2:$D5067=$D2808)) * 100, 2))"),97.47)</f>
        <v>97.47</v>
      </c>
      <c r="J2808" s="81">
        <f>IFERROR(__xludf.DUMMYFUNCTION("IF(H2808="""", """", ROUND(H2808 / MAX(FILTER($H$2:$H5067, $D$2:$D5067=$D2808)) * 100, 2))"),65.25)</f>
        <v>65.25</v>
      </c>
      <c r="K2808" s="2"/>
      <c r="L2808" s="49"/>
      <c r="M2808" s="49"/>
      <c r="N2808" s="49"/>
      <c r="O2808" s="49" t="str">
        <f t="shared" si="2"/>
        <v/>
      </c>
      <c r="P2808" s="49" t="str">
        <f t="shared" si="3"/>
        <v/>
      </c>
      <c r="Q2808" s="84"/>
      <c r="R2808" s="84"/>
      <c r="S2808" s="84"/>
      <c r="T2808" s="84"/>
      <c r="U2808" s="84"/>
      <c r="V2808" s="84"/>
      <c r="W2808" s="84"/>
      <c r="X2808" s="84"/>
      <c r="Y2808" s="84"/>
      <c r="Z2808" s="84"/>
      <c r="AA2808" s="84"/>
      <c r="AB2808" s="84"/>
    </row>
    <row r="2809">
      <c r="A2809" s="69">
        <v>187.0</v>
      </c>
      <c r="B2809" s="69">
        <v>305.0</v>
      </c>
      <c r="C2809" s="86" t="s">
        <v>608</v>
      </c>
      <c r="D2809" s="86" t="s">
        <v>609</v>
      </c>
      <c r="E2809" s="86" t="s">
        <v>610</v>
      </c>
      <c r="F2809" s="69">
        <v>4000.0</v>
      </c>
      <c r="G2809" s="69">
        <v>13.32</v>
      </c>
      <c r="H2809" s="68">
        <f t="shared" si="1"/>
        <v>74.39</v>
      </c>
      <c r="I2809" s="81">
        <f>IFERROR(__xludf.DUMMYFUNCTION("IF(G2809="""", """", ROUND(G2809 / MAX(FILTER($G$2:$G5067, $D$2:$D5067=$D2809)) * 100, 2))"),98.96)</f>
        <v>98.96</v>
      </c>
      <c r="J2809" s="81">
        <f>IFERROR(__xludf.DUMMYFUNCTION("IF(H2809="""", """", ROUND(H2809 / MAX(FILTER($H$2:$H5067, $D$2:$D5067=$D2809)) * 100, 2))"),75.7)</f>
        <v>75.7</v>
      </c>
      <c r="K2809" s="2"/>
      <c r="L2809" s="48"/>
      <c r="M2809" s="48"/>
      <c r="N2809" s="48"/>
      <c r="O2809" s="48" t="str">
        <f t="shared" si="2"/>
        <v/>
      </c>
      <c r="P2809" s="48" t="str">
        <f t="shared" si="3"/>
        <v/>
      </c>
      <c r="Q2809" s="84"/>
      <c r="R2809" s="84"/>
      <c r="S2809" s="84"/>
      <c r="T2809" s="84"/>
      <c r="U2809" s="84"/>
      <c r="V2809" s="84"/>
      <c r="W2809" s="84"/>
      <c r="X2809" s="84"/>
      <c r="Y2809" s="84"/>
      <c r="Z2809" s="84"/>
      <c r="AA2809" s="84"/>
      <c r="AB2809" s="84"/>
    </row>
    <row r="2810">
      <c r="A2810" s="63">
        <v>187.0</v>
      </c>
      <c r="B2810" s="63">
        <v>305.0</v>
      </c>
      <c r="C2810" s="64" t="s">
        <v>608</v>
      </c>
      <c r="D2810" s="64" t="s">
        <v>609</v>
      </c>
      <c r="E2810" s="64" t="s">
        <v>610</v>
      </c>
      <c r="F2810" s="63">
        <v>4500.0</v>
      </c>
      <c r="G2810" s="63">
        <v>13.46</v>
      </c>
      <c r="H2810" s="66">
        <f t="shared" si="1"/>
        <v>84.57</v>
      </c>
      <c r="I2810" s="81">
        <f>IFERROR(__xludf.DUMMYFUNCTION("IF(G2810="""", """", ROUND(G2810 / MAX(FILTER($G$2:$G5067, $D$2:$D5067=$D2810)) * 100, 2))"),100.0)</f>
        <v>100</v>
      </c>
      <c r="J2810" s="81">
        <f>IFERROR(__xludf.DUMMYFUNCTION("IF(H2810="""", """", ROUND(H2810 / MAX(FILTER($H$2:$H5067, $D$2:$D5067=$D2810)) * 100, 2))"),86.06)</f>
        <v>86.06</v>
      </c>
      <c r="K2810" s="2"/>
      <c r="L2810" s="49"/>
      <c r="M2810" s="49"/>
      <c r="N2810" s="49"/>
      <c r="O2810" s="49" t="str">
        <f t="shared" si="2"/>
        <v/>
      </c>
      <c r="P2810" s="49" t="str">
        <f t="shared" si="3"/>
        <v/>
      </c>
      <c r="Q2810" s="84"/>
      <c r="R2810" s="84"/>
      <c r="S2810" s="84"/>
      <c r="T2810" s="84"/>
      <c r="U2810" s="84"/>
      <c r="V2810" s="84"/>
      <c r="W2810" s="84"/>
      <c r="X2810" s="84"/>
      <c r="Y2810" s="84"/>
      <c r="Z2810" s="84"/>
      <c r="AA2810" s="84"/>
      <c r="AB2810" s="84"/>
    </row>
    <row r="2811">
      <c r="A2811" s="69">
        <v>187.0</v>
      </c>
      <c r="B2811" s="69">
        <v>305.0</v>
      </c>
      <c r="C2811" s="86" t="s">
        <v>608</v>
      </c>
      <c r="D2811" s="86" t="s">
        <v>609</v>
      </c>
      <c r="E2811" s="86" t="s">
        <v>610</v>
      </c>
      <c r="F2811" s="69">
        <v>5000.0</v>
      </c>
      <c r="G2811" s="69">
        <v>13.26</v>
      </c>
      <c r="H2811" s="68">
        <f t="shared" si="1"/>
        <v>92.57</v>
      </c>
      <c r="I2811" s="81">
        <f>IFERROR(__xludf.DUMMYFUNCTION("IF(G2811="""", """", ROUND(G2811 / MAX(FILTER($G$2:$G5067, $D$2:$D5067=$D2811)) * 100, 2))"),98.51)</f>
        <v>98.51</v>
      </c>
      <c r="J2811" s="81">
        <f>IFERROR(__xludf.DUMMYFUNCTION("IF(H2811="""", """", ROUND(H2811 / MAX(FILTER($H$2:$H5067, $D$2:$D5067=$D2811)) * 100, 2))"),94.2)</f>
        <v>94.2</v>
      </c>
      <c r="K2811" s="2"/>
      <c r="L2811" s="48"/>
      <c r="M2811" s="48"/>
      <c r="N2811" s="48"/>
      <c r="O2811" s="48" t="str">
        <f t="shared" si="2"/>
        <v/>
      </c>
      <c r="P2811" s="48" t="str">
        <f t="shared" si="3"/>
        <v/>
      </c>
      <c r="Q2811" s="84"/>
      <c r="R2811" s="84"/>
      <c r="S2811" s="84"/>
      <c r="T2811" s="84"/>
      <c r="U2811" s="84"/>
      <c r="V2811" s="84"/>
      <c r="W2811" s="84"/>
      <c r="X2811" s="84"/>
      <c r="Y2811" s="84"/>
      <c r="Z2811" s="84"/>
      <c r="AA2811" s="84"/>
      <c r="AB2811" s="84"/>
    </row>
    <row r="2812">
      <c r="A2812" s="63">
        <v>187.0</v>
      </c>
      <c r="B2812" s="63">
        <v>305.0</v>
      </c>
      <c r="C2812" s="64" t="s">
        <v>608</v>
      </c>
      <c r="D2812" s="64" t="s">
        <v>609</v>
      </c>
      <c r="E2812" s="64" t="s">
        <v>610</v>
      </c>
      <c r="F2812" s="63">
        <v>5500.0</v>
      </c>
      <c r="G2812" s="63">
        <v>12.49</v>
      </c>
      <c r="H2812" s="66">
        <f t="shared" si="1"/>
        <v>95.92</v>
      </c>
      <c r="I2812" s="81">
        <f>IFERROR(__xludf.DUMMYFUNCTION("IF(G2812="""", """", ROUND(G2812 / MAX(FILTER($G$2:$G5067, $D$2:$D5067=$D2812)) * 100, 2))"),92.79)</f>
        <v>92.79</v>
      </c>
      <c r="J2812" s="81">
        <f>IFERROR(__xludf.DUMMYFUNCTION("IF(H2812="""", """", ROUND(H2812 / MAX(FILTER($H$2:$H5067, $D$2:$D5067=$D2812)) * 100, 2))"),97.61)</f>
        <v>97.61</v>
      </c>
      <c r="K2812" s="2"/>
      <c r="L2812" s="49"/>
      <c r="M2812" s="49"/>
      <c r="N2812" s="49"/>
      <c r="O2812" s="49" t="str">
        <f t="shared" si="2"/>
        <v/>
      </c>
      <c r="P2812" s="49" t="str">
        <f t="shared" si="3"/>
        <v/>
      </c>
      <c r="Q2812" s="84"/>
      <c r="R2812" s="84"/>
      <c r="S2812" s="84"/>
      <c r="T2812" s="84"/>
      <c r="U2812" s="84"/>
      <c r="V2812" s="84"/>
      <c r="W2812" s="84"/>
      <c r="X2812" s="84"/>
      <c r="Y2812" s="84"/>
      <c r="Z2812" s="84"/>
      <c r="AA2812" s="84"/>
      <c r="AB2812" s="84"/>
    </row>
    <row r="2813">
      <c r="A2813" s="69">
        <v>187.0</v>
      </c>
      <c r="B2813" s="69">
        <v>305.0</v>
      </c>
      <c r="C2813" s="86" t="s">
        <v>608</v>
      </c>
      <c r="D2813" s="86" t="s">
        <v>609</v>
      </c>
      <c r="E2813" s="86" t="s">
        <v>610</v>
      </c>
      <c r="F2813" s="69">
        <v>6000.0</v>
      </c>
      <c r="G2813" s="69">
        <v>11.73</v>
      </c>
      <c r="H2813" s="68">
        <f t="shared" si="1"/>
        <v>98.27</v>
      </c>
      <c r="I2813" s="81">
        <f>IFERROR(__xludf.DUMMYFUNCTION("IF(G2813="""", """", ROUND(G2813 / MAX(FILTER($G$2:$G5067, $D$2:$D5067=$D2813)) * 100, 2))"),87.15)</f>
        <v>87.15</v>
      </c>
      <c r="J2813" s="81">
        <f>IFERROR(__xludf.DUMMYFUNCTION("IF(H2813="""", """", ROUND(H2813 / MAX(FILTER($H$2:$H5067, $D$2:$D5067=$D2813)) * 100, 2))"),100.0)</f>
        <v>100</v>
      </c>
      <c r="K2813" s="2"/>
      <c r="L2813" s="48"/>
      <c r="M2813" s="48"/>
      <c r="N2813" s="48"/>
      <c r="O2813" s="48" t="str">
        <f t="shared" si="2"/>
        <v/>
      </c>
      <c r="P2813" s="48" t="str">
        <f t="shared" si="3"/>
        <v/>
      </c>
      <c r="Q2813" s="84"/>
      <c r="R2813" s="84"/>
      <c r="S2813" s="84"/>
      <c r="T2813" s="84"/>
      <c r="U2813" s="84"/>
      <c r="V2813" s="84"/>
      <c r="W2813" s="84"/>
      <c r="X2813" s="84"/>
      <c r="Y2813" s="84"/>
      <c r="Z2813" s="84"/>
      <c r="AA2813" s="84"/>
      <c r="AB2813" s="84"/>
    </row>
    <row r="2814">
      <c r="A2814" s="63">
        <v>187.0</v>
      </c>
      <c r="B2814" s="63">
        <v>305.0</v>
      </c>
      <c r="C2814" s="64" t="s">
        <v>608</v>
      </c>
      <c r="D2814" s="64" t="s">
        <v>609</v>
      </c>
      <c r="E2814" s="64" t="s">
        <v>610</v>
      </c>
      <c r="F2814" s="63">
        <v>6500.0</v>
      </c>
      <c r="G2814" s="63">
        <v>10.72</v>
      </c>
      <c r="H2814" s="66">
        <f t="shared" si="1"/>
        <v>97.29</v>
      </c>
      <c r="I2814" s="81">
        <f>IFERROR(__xludf.DUMMYFUNCTION("IF(G2814="""", """", ROUND(G2814 / MAX(FILTER($G$2:$G5067, $D$2:$D5067=$D2814)) * 100, 2))"),79.64)</f>
        <v>79.64</v>
      </c>
      <c r="J2814" s="81">
        <f>IFERROR(__xludf.DUMMYFUNCTION("IF(H2814="""", """", ROUND(H2814 / MAX(FILTER($H$2:$H5067, $D$2:$D5067=$D2814)) * 100, 2))"),99.0)</f>
        <v>99</v>
      </c>
      <c r="K2814" s="2"/>
      <c r="L2814" s="49"/>
      <c r="M2814" s="49"/>
      <c r="N2814" s="49"/>
      <c r="O2814" s="49" t="str">
        <f t="shared" si="2"/>
        <v/>
      </c>
      <c r="P2814" s="49" t="str">
        <f t="shared" si="3"/>
        <v/>
      </c>
      <c r="Q2814" s="84"/>
      <c r="R2814" s="84"/>
      <c r="S2814" s="84"/>
      <c r="T2814" s="84"/>
      <c r="U2814" s="84"/>
      <c r="V2814" s="84"/>
      <c r="W2814" s="84"/>
      <c r="X2814" s="84"/>
      <c r="Y2814" s="84"/>
      <c r="Z2814" s="84"/>
      <c r="AA2814" s="84"/>
      <c r="AB2814" s="84"/>
    </row>
    <row r="2815">
      <c r="A2815" s="69">
        <v>187.0</v>
      </c>
      <c r="B2815" s="69">
        <v>305.0</v>
      </c>
      <c r="C2815" s="86" t="s">
        <v>608</v>
      </c>
      <c r="D2815" s="86" t="s">
        <v>609</v>
      </c>
      <c r="E2815" s="86" t="s">
        <v>610</v>
      </c>
      <c r="F2815" s="69">
        <v>7000.0</v>
      </c>
      <c r="G2815" s="69">
        <v>9.63</v>
      </c>
      <c r="H2815" s="68">
        <f t="shared" si="1"/>
        <v>94.12</v>
      </c>
      <c r="I2815" s="81">
        <f>IFERROR(__xludf.DUMMYFUNCTION("IF(G2815="""", """", ROUND(G2815 / MAX(FILTER($G$2:$G5067, $D$2:$D5067=$D2815)) * 100, 2))"),71.55)</f>
        <v>71.55</v>
      </c>
      <c r="J2815" s="81">
        <f>IFERROR(__xludf.DUMMYFUNCTION("IF(H2815="""", """", ROUND(H2815 / MAX(FILTER($H$2:$H5067, $D$2:$D5067=$D2815)) * 100, 2))"),95.78)</f>
        <v>95.78</v>
      </c>
      <c r="K2815" s="2"/>
      <c r="L2815" s="48"/>
      <c r="M2815" s="48"/>
      <c r="N2815" s="48"/>
      <c r="O2815" s="48" t="str">
        <f t="shared" si="2"/>
        <v/>
      </c>
      <c r="P2815" s="48" t="str">
        <f t="shared" si="3"/>
        <v/>
      </c>
      <c r="Q2815" s="84"/>
      <c r="R2815" s="84"/>
      <c r="S2815" s="84"/>
      <c r="T2815" s="84"/>
      <c r="U2815" s="84"/>
      <c r="V2815" s="84"/>
      <c r="W2815" s="84"/>
      <c r="X2815" s="84"/>
      <c r="Y2815" s="84"/>
      <c r="Z2815" s="84"/>
      <c r="AA2815" s="84"/>
      <c r="AB2815" s="84"/>
    </row>
    <row r="2816">
      <c r="A2816" s="63">
        <v>188.0</v>
      </c>
      <c r="B2816" s="63">
        <v>306.0</v>
      </c>
      <c r="C2816" s="64" t="s">
        <v>611</v>
      </c>
      <c r="D2816" s="64" t="s">
        <v>612</v>
      </c>
      <c r="E2816" s="64" t="s">
        <v>613</v>
      </c>
      <c r="F2816" s="63">
        <v>500.0</v>
      </c>
      <c r="G2816" s="63">
        <v>18.6</v>
      </c>
      <c r="H2816" s="66">
        <f t="shared" si="1"/>
        <v>12.99</v>
      </c>
      <c r="I2816" s="81">
        <f>IFERROR(__xludf.DUMMYFUNCTION("IF(G2816="""", """", ROUND(G2816 / MAX(FILTER($G$2:$G5067, $D$2:$D5067=$D2816)) * 100, 2))"),48.56)</f>
        <v>48.56</v>
      </c>
      <c r="J2816" s="81">
        <f>IFERROR(__xludf.DUMMYFUNCTION("IF(H2816="""", """", ROUND(H2816 / MAX(FILTER($H$2:$H5067, $D$2:$D5067=$D2816)) * 100, 2))"),4.62)</f>
        <v>4.62</v>
      </c>
      <c r="K2816" s="2"/>
      <c r="L2816" s="49"/>
      <c r="M2816" s="49"/>
      <c r="N2816" s="49"/>
      <c r="O2816" s="49" t="str">
        <f t="shared" si="2"/>
        <v/>
      </c>
      <c r="P2816" s="49" t="str">
        <f t="shared" si="3"/>
        <v/>
      </c>
      <c r="Q2816" s="84"/>
      <c r="R2816" s="84"/>
      <c r="S2816" s="84"/>
      <c r="T2816" s="84"/>
      <c r="U2816" s="84"/>
      <c r="V2816" s="84"/>
      <c r="W2816" s="84"/>
      <c r="X2816" s="84"/>
      <c r="Y2816" s="84"/>
      <c r="Z2816" s="84"/>
      <c r="AA2816" s="84"/>
      <c r="AB2816" s="84"/>
    </row>
    <row r="2817">
      <c r="A2817" s="69">
        <v>188.0</v>
      </c>
      <c r="B2817" s="69">
        <v>306.0</v>
      </c>
      <c r="C2817" s="86" t="s">
        <v>611</v>
      </c>
      <c r="D2817" s="86" t="s">
        <v>612</v>
      </c>
      <c r="E2817" s="86" t="s">
        <v>613</v>
      </c>
      <c r="F2817" s="69">
        <v>1000.0</v>
      </c>
      <c r="G2817" s="69">
        <v>26.3</v>
      </c>
      <c r="H2817" s="68">
        <f t="shared" si="1"/>
        <v>36.72</v>
      </c>
      <c r="I2817" s="81">
        <f>IFERROR(__xludf.DUMMYFUNCTION("IF(G2817="""", """", ROUND(G2817 / MAX(FILTER($G$2:$G5067, $D$2:$D5067=$D2817)) * 100, 2))"),68.67)</f>
        <v>68.67</v>
      </c>
      <c r="J2817" s="81">
        <f>IFERROR(__xludf.DUMMYFUNCTION("IF(H2817="""", """", ROUND(H2817 / MAX(FILTER($H$2:$H5067, $D$2:$D5067=$D2817)) * 100, 2))"),13.05)</f>
        <v>13.05</v>
      </c>
      <c r="K2817" s="2"/>
      <c r="L2817" s="48"/>
      <c r="M2817" s="48"/>
      <c r="N2817" s="48"/>
      <c r="O2817" s="48" t="str">
        <f t="shared" si="2"/>
        <v/>
      </c>
      <c r="P2817" s="48" t="str">
        <f t="shared" si="3"/>
        <v/>
      </c>
      <c r="Q2817" s="84"/>
      <c r="R2817" s="84"/>
      <c r="S2817" s="84"/>
      <c r="T2817" s="84"/>
      <c r="U2817" s="84"/>
      <c r="V2817" s="84"/>
      <c r="W2817" s="84"/>
      <c r="X2817" s="84"/>
      <c r="Y2817" s="84"/>
      <c r="Z2817" s="84"/>
      <c r="AA2817" s="84"/>
      <c r="AB2817" s="84"/>
    </row>
    <row r="2818">
      <c r="A2818" s="63">
        <v>188.0</v>
      </c>
      <c r="B2818" s="63">
        <v>306.0</v>
      </c>
      <c r="C2818" s="64" t="s">
        <v>611</v>
      </c>
      <c r="D2818" s="64" t="s">
        <v>612</v>
      </c>
      <c r="E2818" s="64" t="s">
        <v>613</v>
      </c>
      <c r="F2818" s="63">
        <v>1500.0</v>
      </c>
      <c r="G2818" s="63">
        <v>32.8</v>
      </c>
      <c r="H2818" s="66">
        <f t="shared" si="1"/>
        <v>68.7</v>
      </c>
      <c r="I2818" s="81">
        <f>IFERROR(__xludf.DUMMYFUNCTION("IF(G2818="""", """", ROUND(G2818 / MAX(FILTER($G$2:$G5067, $D$2:$D5067=$D2818)) * 100, 2))"),85.64)</f>
        <v>85.64</v>
      </c>
      <c r="J2818" s="81">
        <f>IFERROR(__xludf.DUMMYFUNCTION("IF(H2818="""", """", ROUND(H2818 / MAX(FILTER($H$2:$H5067, $D$2:$D5067=$D2818)) * 100, 2))"),24.42)</f>
        <v>24.42</v>
      </c>
      <c r="K2818" s="2"/>
      <c r="L2818" s="49"/>
      <c r="M2818" s="49"/>
      <c r="N2818" s="49"/>
      <c r="O2818" s="49" t="str">
        <f t="shared" si="2"/>
        <v/>
      </c>
      <c r="P2818" s="49" t="str">
        <f t="shared" si="3"/>
        <v/>
      </c>
      <c r="Q2818" s="84"/>
      <c r="R2818" s="84"/>
      <c r="S2818" s="84"/>
      <c r="T2818" s="84"/>
      <c r="U2818" s="84"/>
      <c r="V2818" s="84"/>
      <c r="W2818" s="84"/>
      <c r="X2818" s="84"/>
      <c r="Y2818" s="84"/>
      <c r="Z2818" s="84"/>
      <c r="AA2818" s="84"/>
      <c r="AB2818" s="84"/>
    </row>
    <row r="2819">
      <c r="A2819" s="69">
        <v>188.0</v>
      </c>
      <c r="B2819" s="69">
        <v>306.0</v>
      </c>
      <c r="C2819" s="86" t="s">
        <v>611</v>
      </c>
      <c r="D2819" s="86" t="s">
        <v>612</v>
      </c>
      <c r="E2819" s="86" t="s">
        <v>613</v>
      </c>
      <c r="F2819" s="69">
        <v>2000.0</v>
      </c>
      <c r="G2819" s="69">
        <v>37.3</v>
      </c>
      <c r="H2819" s="68">
        <f t="shared" si="1"/>
        <v>104.16</v>
      </c>
      <c r="I2819" s="81">
        <f>IFERROR(__xludf.DUMMYFUNCTION("IF(G2819="""", """", ROUND(G2819 / MAX(FILTER($G$2:$G5067, $D$2:$D5067=$D2819)) * 100, 2))"),97.39)</f>
        <v>97.39</v>
      </c>
      <c r="J2819" s="81">
        <f>IFERROR(__xludf.DUMMYFUNCTION("IF(H2819="""", """", ROUND(H2819 / MAX(FILTER($H$2:$H5067, $D$2:$D5067=$D2819)) * 100, 2))"),37.02)</f>
        <v>37.02</v>
      </c>
      <c r="K2819" s="2"/>
      <c r="L2819" s="48"/>
      <c r="M2819" s="48"/>
      <c r="N2819" s="48"/>
      <c r="O2819" s="48" t="str">
        <f t="shared" si="2"/>
        <v/>
      </c>
      <c r="P2819" s="48" t="str">
        <f t="shared" si="3"/>
        <v/>
      </c>
      <c r="Q2819" s="84"/>
      <c r="R2819" s="84"/>
      <c r="S2819" s="84"/>
      <c r="T2819" s="84"/>
      <c r="U2819" s="84"/>
      <c r="V2819" s="84"/>
      <c r="W2819" s="84"/>
      <c r="X2819" s="84"/>
      <c r="Y2819" s="84"/>
      <c r="Z2819" s="84"/>
      <c r="AA2819" s="84"/>
      <c r="AB2819" s="84"/>
    </row>
    <row r="2820">
      <c r="A2820" s="63">
        <v>188.0</v>
      </c>
      <c r="B2820" s="63">
        <v>306.0</v>
      </c>
      <c r="C2820" s="64" t="s">
        <v>611</v>
      </c>
      <c r="D2820" s="64" t="s">
        <v>612</v>
      </c>
      <c r="E2820" s="64" t="s">
        <v>613</v>
      </c>
      <c r="F2820" s="63">
        <v>2500.0</v>
      </c>
      <c r="G2820" s="63">
        <v>38.0</v>
      </c>
      <c r="H2820" s="66">
        <f t="shared" si="1"/>
        <v>132.64</v>
      </c>
      <c r="I2820" s="81">
        <f>IFERROR(__xludf.DUMMYFUNCTION("IF(G2820="""", """", ROUND(G2820 / MAX(FILTER($G$2:$G5067, $D$2:$D5067=$D2820)) * 100, 2))"),99.22)</f>
        <v>99.22</v>
      </c>
      <c r="J2820" s="81">
        <f>IFERROR(__xludf.DUMMYFUNCTION("IF(H2820="""", """", ROUND(H2820 / MAX(FILTER($H$2:$H5067, $D$2:$D5067=$D2820)) * 100, 2))"),47.14)</f>
        <v>47.14</v>
      </c>
      <c r="K2820" s="2"/>
      <c r="L2820" s="49"/>
      <c r="M2820" s="49"/>
      <c r="N2820" s="49"/>
      <c r="O2820" s="49" t="str">
        <f t="shared" si="2"/>
        <v/>
      </c>
      <c r="P2820" s="49" t="str">
        <f t="shared" si="3"/>
        <v/>
      </c>
      <c r="Q2820" s="84"/>
      <c r="R2820" s="84"/>
      <c r="S2820" s="84"/>
      <c r="T2820" s="84"/>
      <c r="U2820" s="84"/>
      <c r="V2820" s="84"/>
      <c r="W2820" s="84"/>
      <c r="X2820" s="84"/>
      <c r="Y2820" s="84"/>
      <c r="Z2820" s="84"/>
      <c r="AA2820" s="84"/>
      <c r="AB2820" s="84"/>
    </row>
    <row r="2821">
      <c r="A2821" s="69">
        <v>188.0</v>
      </c>
      <c r="B2821" s="69">
        <v>306.0</v>
      </c>
      <c r="C2821" s="86" t="s">
        <v>611</v>
      </c>
      <c r="D2821" s="86" t="s">
        <v>612</v>
      </c>
      <c r="E2821" s="86" t="s">
        <v>613</v>
      </c>
      <c r="F2821" s="69">
        <v>3000.0</v>
      </c>
      <c r="G2821" s="69">
        <v>38.3</v>
      </c>
      <c r="H2821" s="68">
        <f t="shared" si="1"/>
        <v>160.43</v>
      </c>
      <c r="I2821" s="81">
        <f>IFERROR(__xludf.DUMMYFUNCTION("IF(G2821="""", """", ROUND(G2821 / MAX(FILTER($G$2:$G5067, $D$2:$D5067=$D2821)) * 100, 2))"),100.0)</f>
        <v>100</v>
      </c>
      <c r="J2821" s="81">
        <f>IFERROR(__xludf.DUMMYFUNCTION("IF(H2821="""", """", ROUND(H2821 / MAX(FILTER($H$2:$H5067, $D$2:$D5067=$D2821)) * 100, 2))"),57.02)</f>
        <v>57.02</v>
      </c>
      <c r="K2821" s="2"/>
      <c r="L2821" s="48"/>
      <c r="M2821" s="48"/>
      <c r="N2821" s="48"/>
      <c r="O2821" s="48" t="str">
        <f t="shared" si="2"/>
        <v/>
      </c>
      <c r="P2821" s="48" t="str">
        <f t="shared" si="3"/>
        <v/>
      </c>
      <c r="Q2821" s="84"/>
      <c r="R2821" s="84"/>
      <c r="S2821" s="84"/>
      <c r="T2821" s="84"/>
      <c r="U2821" s="84"/>
      <c r="V2821" s="84"/>
      <c r="W2821" s="84"/>
      <c r="X2821" s="84"/>
      <c r="Y2821" s="84"/>
      <c r="Z2821" s="84"/>
      <c r="AA2821" s="84"/>
      <c r="AB2821" s="84"/>
    </row>
    <row r="2822">
      <c r="A2822" s="63">
        <v>188.0</v>
      </c>
      <c r="B2822" s="63">
        <v>306.0</v>
      </c>
      <c r="C2822" s="64" t="s">
        <v>611</v>
      </c>
      <c r="D2822" s="64" t="s">
        <v>612</v>
      </c>
      <c r="E2822" s="64" t="s">
        <v>613</v>
      </c>
      <c r="F2822" s="63">
        <v>3500.0</v>
      </c>
      <c r="G2822" s="63">
        <v>38.2</v>
      </c>
      <c r="H2822" s="66">
        <f t="shared" si="1"/>
        <v>186.68</v>
      </c>
      <c r="I2822" s="81">
        <f>IFERROR(__xludf.DUMMYFUNCTION("IF(G2822="""", """", ROUND(G2822 / MAX(FILTER($G$2:$G5067, $D$2:$D5067=$D2822)) * 100, 2))"),99.74)</f>
        <v>99.74</v>
      </c>
      <c r="J2822" s="81">
        <f>IFERROR(__xludf.DUMMYFUNCTION("IF(H2822="""", """", ROUND(H2822 / MAX(FILTER($H$2:$H5067, $D$2:$D5067=$D2822)) * 100, 2))"),66.35)</f>
        <v>66.35</v>
      </c>
      <c r="K2822" s="2"/>
      <c r="L2822" s="49"/>
      <c r="M2822" s="49"/>
      <c r="N2822" s="49"/>
      <c r="O2822" s="49" t="str">
        <f t="shared" si="2"/>
        <v/>
      </c>
      <c r="P2822" s="49" t="str">
        <f t="shared" si="3"/>
        <v/>
      </c>
      <c r="Q2822" s="84"/>
      <c r="R2822" s="84"/>
      <c r="S2822" s="84"/>
      <c r="T2822" s="84"/>
      <c r="U2822" s="84"/>
      <c r="V2822" s="84"/>
      <c r="W2822" s="84"/>
      <c r="X2822" s="84"/>
      <c r="Y2822" s="84"/>
      <c r="Z2822" s="84"/>
      <c r="AA2822" s="84"/>
      <c r="AB2822" s="84"/>
    </row>
    <row r="2823">
      <c r="A2823" s="69">
        <v>188.0</v>
      </c>
      <c r="B2823" s="69">
        <v>306.0</v>
      </c>
      <c r="C2823" s="86" t="s">
        <v>611</v>
      </c>
      <c r="D2823" s="86" t="s">
        <v>612</v>
      </c>
      <c r="E2823" s="86" t="s">
        <v>613</v>
      </c>
      <c r="F2823" s="69">
        <v>4000.0</v>
      </c>
      <c r="G2823" s="69">
        <v>38.1</v>
      </c>
      <c r="H2823" s="68">
        <f t="shared" si="1"/>
        <v>212.79</v>
      </c>
      <c r="I2823" s="81">
        <f>IFERROR(__xludf.DUMMYFUNCTION("IF(G2823="""", """", ROUND(G2823 / MAX(FILTER($G$2:$G5067, $D$2:$D5067=$D2823)) * 100, 2))"),99.48)</f>
        <v>99.48</v>
      </c>
      <c r="J2823" s="81">
        <f>IFERROR(__xludf.DUMMYFUNCTION("IF(H2823="""", """", ROUND(H2823 / MAX(FILTER($H$2:$H5067, $D$2:$D5067=$D2823)) * 100, 2))"),75.63)</f>
        <v>75.63</v>
      </c>
      <c r="K2823" s="2"/>
      <c r="L2823" s="48"/>
      <c r="M2823" s="48"/>
      <c r="N2823" s="48"/>
      <c r="O2823" s="48" t="str">
        <f t="shared" si="2"/>
        <v/>
      </c>
      <c r="P2823" s="48" t="str">
        <f t="shared" si="3"/>
        <v/>
      </c>
      <c r="Q2823" s="84"/>
      <c r="R2823" s="84"/>
      <c r="S2823" s="84"/>
      <c r="T2823" s="84"/>
      <c r="U2823" s="84"/>
      <c r="V2823" s="84"/>
      <c r="W2823" s="84"/>
      <c r="X2823" s="84"/>
      <c r="Y2823" s="84"/>
      <c r="Z2823" s="84"/>
      <c r="AA2823" s="84"/>
      <c r="AB2823" s="84"/>
    </row>
    <row r="2824">
      <c r="A2824" s="63">
        <v>188.0</v>
      </c>
      <c r="B2824" s="63">
        <v>306.0</v>
      </c>
      <c r="C2824" s="64" t="s">
        <v>611</v>
      </c>
      <c r="D2824" s="64" t="s">
        <v>612</v>
      </c>
      <c r="E2824" s="64" t="s">
        <v>613</v>
      </c>
      <c r="F2824" s="63">
        <v>4500.0</v>
      </c>
      <c r="G2824" s="63">
        <v>37.9</v>
      </c>
      <c r="H2824" s="66">
        <f t="shared" si="1"/>
        <v>238.13</v>
      </c>
      <c r="I2824" s="81">
        <f>IFERROR(__xludf.DUMMYFUNCTION("IF(G2824="""", """", ROUND(G2824 / MAX(FILTER($G$2:$G5067, $D$2:$D5067=$D2824)) * 100, 2))"),98.96)</f>
        <v>98.96</v>
      </c>
      <c r="J2824" s="81">
        <f>IFERROR(__xludf.DUMMYFUNCTION("IF(H2824="""", """", ROUND(H2824 / MAX(FILTER($H$2:$H5067, $D$2:$D5067=$D2824)) * 100, 2))"),84.64)</f>
        <v>84.64</v>
      </c>
      <c r="K2824" s="2"/>
      <c r="L2824" s="49"/>
      <c r="M2824" s="49"/>
      <c r="N2824" s="49"/>
      <c r="O2824" s="49" t="str">
        <f t="shared" si="2"/>
        <v/>
      </c>
      <c r="P2824" s="49" t="str">
        <f t="shared" si="3"/>
        <v/>
      </c>
      <c r="Q2824" s="84"/>
      <c r="R2824" s="84"/>
      <c r="S2824" s="84"/>
      <c r="T2824" s="84"/>
      <c r="U2824" s="84"/>
      <c r="V2824" s="84"/>
      <c r="W2824" s="84"/>
      <c r="X2824" s="84"/>
      <c r="Y2824" s="84"/>
      <c r="Z2824" s="84"/>
      <c r="AA2824" s="84"/>
      <c r="AB2824" s="84"/>
    </row>
    <row r="2825">
      <c r="A2825" s="69">
        <v>188.0</v>
      </c>
      <c r="B2825" s="69">
        <v>306.0</v>
      </c>
      <c r="C2825" s="86" t="s">
        <v>611</v>
      </c>
      <c r="D2825" s="86" t="s">
        <v>612</v>
      </c>
      <c r="E2825" s="86" t="s">
        <v>613</v>
      </c>
      <c r="F2825" s="69">
        <v>5000.0</v>
      </c>
      <c r="G2825" s="69">
        <v>37.1</v>
      </c>
      <c r="H2825" s="68">
        <f t="shared" si="1"/>
        <v>259.01</v>
      </c>
      <c r="I2825" s="81">
        <f>IFERROR(__xludf.DUMMYFUNCTION("IF(G2825="""", """", ROUND(G2825 / MAX(FILTER($G$2:$G5067, $D$2:$D5067=$D2825)) * 100, 2))"),96.87)</f>
        <v>96.87</v>
      </c>
      <c r="J2825" s="81">
        <f>IFERROR(__xludf.DUMMYFUNCTION("IF(H2825="""", """", ROUND(H2825 / MAX(FILTER($H$2:$H5067, $D$2:$D5067=$D2825)) * 100, 2))"),92.06)</f>
        <v>92.06</v>
      </c>
      <c r="K2825" s="2"/>
      <c r="L2825" s="48"/>
      <c r="M2825" s="48"/>
      <c r="N2825" s="48"/>
      <c r="O2825" s="48" t="str">
        <f t="shared" si="2"/>
        <v/>
      </c>
      <c r="P2825" s="48" t="str">
        <f t="shared" si="3"/>
        <v/>
      </c>
      <c r="Q2825" s="84"/>
      <c r="R2825" s="84"/>
      <c r="S2825" s="84"/>
      <c r="T2825" s="84"/>
      <c r="U2825" s="84"/>
      <c r="V2825" s="84"/>
      <c r="W2825" s="84"/>
      <c r="X2825" s="84"/>
      <c r="Y2825" s="84"/>
      <c r="Z2825" s="84"/>
      <c r="AA2825" s="84"/>
      <c r="AB2825" s="84"/>
    </row>
    <row r="2826">
      <c r="A2826" s="63">
        <v>188.0</v>
      </c>
      <c r="B2826" s="63">
        <v>306.0</v>
      </c>
      <c r="C2826" s="64" t="s">
        <v>611</v>
      </c>
      <c r="D2826" s="64" t="s">
        <v>612</v>
      </c>
      <c r="E2826" s="64" t="s">
        <v>613</v>
      </c>
      <c r="F2826" s="63">
        <v>5500.0</v>
      </c>
      <c r="G2826" s="63">
        <v>35.8</v>
      </c>
      <c r="H2826" s="66">
        <f t="shared" si="1"/>
        <v>274.92</v>
      </c>
      <c r="I2826" s="81">
        <f>IFERROR(__xludf.DUMMYFUNCTION("IF(G2826="""", """", ROUND(G2826 / MAX(FILTER($G$2:$G5067, $D$2:$D5067=$D2826)) * 100, 2))"),93.47)</f>
        <v>93.47</v>
      </c>
      <c r="J2826" s="81">
        <f>IFERROR(__xludf.DUMMYFUNCTION("IF(H2826="""", """", ROUND(H2826 / MAX(FILTER($H$2:$H5067, $D$2:$D5067=$D2826)) * 100, 2))"),97.71)</f>
        <v>97.71</v>
      </c>
      <c r="K2826" s="2"/>
      <c r="L2826" s="49"/>
      <c r="M2826" s="49"/>
      <c r="N2826" s="49"/>
      <c r="O2826" s="49" t="str">
        <f t="shared" si="2"/>
        <v/>
      </c>
      <c r="P2826" s="49" t="str">
        <f t="shared" si="3"/>
        <v/>
      </c>
      <c r="Q2826" s="84"/>
      <c r="R2826" s="84"/>
      <c r="S2826" s="84"/>
      <c r="T2826" s="84"/>
      <c r="U2826" s="84"/>
      <c r="V2826" s="84"/>
      <c r="W2826" s="84"/>
      <c r="X2826" s="84"/>
      <c r="Y2826" s="84"/>
      <c r="Z2826" s="84"/>
      <c r="AA2826" s="84"/>
      <c r="AB2826" s="84"/>
    </row>
    <row r="2827">
      <c r="A2827" s="69">
        <v>188.0</v>
      </c>
      <c r="B2827" s="69">
        <v>306.0</v>
      </c>
      <c r="C2827" s="86" t="s">
        <v>611</v>
      </c>
      <c r="D2827" s="86" t="s">
        <v>612</v>
      </c>
      <c r="E2827" s="86" t="s">
        <v>613</v>
      </c>
      <c r="F2827" s="69">
        <v>6000.0</v>
      </c>
      <c r="G2827" s="69">
        <v>33.4</v>
      </c>
      <c r="H2827" s="68">
        <f t="shared" si="1"/>
        <v>279.81</v>
      </c>
      <c r="I2827" s="81">
        <f>IFERROR(__xludf.DUMMYFUNCTION("IF(G2827="""", """", ROUND(G2827 / MAX(FILTER($G$2:$G5067, $D$2:$D5067=$D2827)) * 100, 2))"),87.21)</f>
        <v>87.21</v>
      </c>
      <c r="J2827" s="81">
        <f>IFERROR(__xludf.DUMMYFUNCTION("IF(H2827="""", """", ROUND(H2827 / MAX(FILTER($H$2:$H5067, $D$2:$D5067=$D2827)) * 100, 2))"),99.45)</f>
        <v>99.45</v>
      </c>
      <c r="K2827" s="2"/>
      <c r="L2827" s="48"/>
      <c r="M2827" s="48"/>
      <c r="N2827" s="48"/>
      <c r="O2827" s="48" t="str">
        <f t="shared" si="2"/>
        <v/>
      </c>
      <c r="P2827" s="48" t="str">
        <f t="shared" si="3"/>
        <v/>
      </c>
      <c r="Q2827" s="84"/>
      <c r="R2827" s="84"/>
      <c r="S2827" s="84"/>
      <c r="T2827" s="84"/>
      <c r="U2827" s="84"/>
      <c r="V2827" s="84"/>
      <c r="W2827" s="84"/>
      <c r="X2827" s="84"/>
      <c r="Y2827" s="84"/>
      <c r="Z2827" s="84"/>
      <c r="AA2827" s="84"/>
      <c r="AB2827" s="84"/>
    </row>
    <row r="2828">
      <c r="A2828" s="63">
        <v>188.0</v>
      </c>
      <c r="B2828" s="63">
        <v>306.0</v>
      </c>
      <c r="C2828" s="64" t="s">
        <v>611</v>
      </c>
      <c r="D2828" s="64" t="s">
        <v>612</v>
      </c>
      <c r="E2828" s="64" t="s">
        <v>613</v>
      </c>
      <c r="F2828" s="63">
        <v>6500.0</v>
      </c>
      <c r="G2828" s="63">
        <v>31.0</v>
      </c>
      <c r="H2828" s="66">
        <f t="shared" si="1"/>
        <v>281.35</v>
      </c>
      <c r="I2828" s="81">
        <f>IFERROR(__xludf.DUMMYFUNCTION("IF(G2828="""", """", ROUND(G2828 / MAX(FILTER($G$2:$G5067, $D$2:$D5067=$D2828)) * 100, 2))"),80.94)</f>
        <v>80.94</v>
      </c>
      <c r="J2828" s="81">
        <f>IFERROR(__xludf.DUMMYFUNCTION("IF(H2828="""", """", ROUND(H2828 / MAX(FILTER($H$2:$H5067, $D$2:$D5067=$D2828)) * 100, 2))"),100.0)</f>
        <v>100</v>
      </c>
      <c r="K2828" s="2"/>
      <c r="L2828" s="49"/>
      <c r="M2828" s="49"/>
      <c r="N2828" s="49"/>
      <c r="O2828" s="49" t="str">
        <f t="shared" si="2"/>
        <v/>
      </c>
      <c r="P2828" s="49" t="str">
        <f t="shared" si="3"/>
        <v/>
      </c>
      <c r="Q2828" s="84"/>
      <c r="R2828" s="84"/>
      <c r="S2828" s="84"/>
      <c r="T2828" s="84"/>
      <c r="U2828" s="84"/>
      <c r="V2828" s="84"/>
      <c r="W2828" s="84"/>
      <c r="X2828" s="84"/>
      <c r="Y2828" s="84"/>
      <c r="Z2828" s="84"/>
      <c r="AA2828" s="84"/>
      <c r="AB2828" s="84"/>
    </row>
    <row r="2829">
      <c r="A2829" s="69">
        <v>188.0</v>
      </c>
      <c r="B2829" s="69">
        <v>306.0</v>
      </c>
      <c r="C2829" s="86" t="s">
        <v>611</v>
      </c>
      <c r="D2829" s="86" t="s">
        <v>612</v>
      </c>
      <c r="E2829" s="86" t="s">
        <v>613</v>
      </c>
      <c r="F2829" s="69">
        <v>7000.0</v>
      </c>
      <c r="G2829" s="69">
        <v>27.6</v>
      </c>
      <c r="H2829" s="68">
        <f t="shared" si="1"/>
        <v>269.76</v>
      </c>
      <c r="I2829" s="81">
        <f>IFERROR(__xludf.DUMMYFUNCTION("IF(G2829="""", """", ROUND(G2829 / MAX(FILTER($G$2:$G5067, $D$2:$D5067=$D2829)) * 100, 2))"),72.06)</f>
        <v>72.06</v>
      </c>
      <c r="J2829" s="81">
        <f>IFERROR(__xludf.DUMMYFUNCTION("IF(H2829="""", """", ROUND(H2829 / MAX(FILTER($H$2:$H5067, $D$2:$D5067=$D2829)) * 100, 2))"),95.88)</f>
        <v>95.88</v>
      </c>
      <c r="K2829" s="2"/>
      <c r="L2829" s="48"/>
      <c r="M2829" s="48"/>
      <c r="N2829" s="48"/>
      <c r="O2829" s="48" t="str">
        <f t="shared" si="2"/>
        <v/>
      </c>
      <c r="P2829" s="48" t="str">
        <f t="shared" si="3"/>
        <v/>
      </c>
      <c r="Q2829" s="84"/>
      <c r="R2829" s="84"/>
      <c r="S2829" s="84"/>
      <c r="T2829" s="84"/>
      <c r="U2829" s="84"/>
      <c r="V2829" s="84"/>
      <c r="W2829" s="84"/>
      <c r="X2829" s="84"/>
      <c r="Y2829" s="84"/>
      <c r="Z2829" s="84"/>
      <c r="AA2829" s="84"/>
      <c r="AB2829" s="84"/>
    </row>
    <row r="2830">
      <c r="A2830" s="63">
        <v>188.0</v>
      </c>
      <c r="B2830" s="63">
        <v>306.0</v>
      </c>
      <c r="C2830" s="64" t="s">
        <v>611</v>
      </c>
      <c r="D2830" s="64" t="s">
        <v>612</v>
      </c>
      <c r="E2830" s="64" t="s">
        <v>613</v>
      </c>
      <c r="F2830" s="63">
        <v>7500.0</v>
      </c>
      <c r="G2830" s="63">
        <v>22.2</v>
      </c>
      <c r="H2830" s="66">
        <f t="shared" si="1"/>
        <v>232.48</v>
      </c>
      <c r="I2830" s="81">
        <f>IFERROR(__xludf.DUMMYFUNCTION("IF(G2830="""", """", ROUND(G2830 / MAX(FILTER($G$2:$G5067, $D$2:$D5067=$D2830)) * 100, 2))"),57.96)</f>
        <v>57.96</v>
      </c>
      <c r="J2830" s="81">
        <f>IFERROR(__xludf.DUMMYFUNCTION("IF(H2830="""", """", ROUND(H2830 / MAX(FILTER($H$2:$H5067, $D$2:$D5067=$D2830)) * 100, 2))"),82.63)</f>
        <v>82.63</v>
      </c>
      <c r="K2830" s="2"/>
      <c r="L2830" s="49"/>
      <c r="M2830" s="49"/>
      <c r="N2830" s="49"/>
      <c r="O2830" s="49" t="str">
        <f t="shared" si="2"/>
        <v/>
      </c>
      <c r="P2830" s="49" t="str">
        <f t="shared" si="3"/>
        <v/>
      </c>
      <c r="Q2830" s="84"/>
      <c r="R2830" s="84"/>
      <c r="S2830" s="84"/>
      <c r="T2830" s="84"/>
      <c r="U2830" s="84"/>
      <c r="V2830" s="84"/>
      <c r="W2830" s="84"/>
      <c r="X2830" s="84"/>
      <c r="Y2830" s="84"/>
      <c r="Z2830" s="84"/>
      <c r="AA2830" s="84"/>
      <c r="AB2830" s="84"/>
    </row>
    <row r="2831">
      <c r="A2831" s="69">
        <v>189.0</v>
      </c>
      <c r="B2831" s="69">
        <v>307.0</v>
      </c>
      <c r="C2831" s="86" t="s">
        <v>614</v>
      </c>
      <c r="D2831" s="86" t="s">
        <v>615</v>
      </c>
      <c r="E2831" s="86" t="s">
        <v>616</v>
      </c>
      <c r="F2831" s="69">
        <v>500.0</v>
      </c>
      <c r="G2831" s="69">
        <v>19.25</v>
      </c>
      <c r="H2831" s="68">
        <f t="shared" si="1"/>
        <v>13.44</v>
      </c>
      <c r="I2831" s="81">
        <f>IFERROR(__xludf.DUMMYFUNCTION("IF(G2831="""", """", ROUND(G2831 / MAX(FILTER($G$2:$G5067, $D$2:$D5067=$D2831)) * 100, 2))"),34.13)</f>
        <v>34.13</v>
      </c>
      <c r="J2831" s="81">
        <f>IFERROR(__xludf.DUMMYFUNCTION("IF(H2831="""", """", ROUND(H2831 / MAX(FILTER($H$2:$H5067, $D$2:$D5067=$D2831)) * 100, 2))"),2.89)</f>
        <v>2.89</v>
      </c>
      <c r="K2831" s="2"/>
      <c r="L2831" s="48"/>
      <c r="M2831" s="48"/>
      <c r="N2831" s="48"/>
      <c r="O2831" s="48" t="str">
        <f t="shared" si="2"/>
        <v/>
      </c>
      <c r="P2831" s="48" t="str">
        <f t="shared" si="3"/>
        <v/>
      </c>
      <c r="Q2831" s="84"/>
      <c r="R2831" s="84"/>
      <c r="S2831" s="84"/>
      <c r="T2831" s="84"/>
      <c r="U2831" s="84"/>
      <c r="V2831" s="84"/>
      <c r="W2831" s="84"/>
      <c r="X2831" s="84"/>
      <c r="Y2831" s="84"/>
      <c r="Z2831" s="84"/>
      <c r="AA2831" s="84"/>
      <c r="AB2831" s="84"/>
    </row>
    <row r="2832">
      <c r="A2832" s="63">
        <v>189.0</v>
      </c>
      <c r="B2832" s="63">
        <v>307.0</v>
      </c>
      <c r="C2832" s="64" t="s">
        <v>614</v>
      </c>
      <c r="D2832" s="64" t="s">
        <v>615</v>
      </c>
      <c r="E2832" s="64" t="s">
        <v>616</v>
      </c>
      <c r="F2832" s="63">
        <v>1000.0</v>
      </c>
      <c r="G2832" s="63">
        <v>23.55</v>
      </c>
      <c r="H2832" s="66">
        <f t="shared" si="1"/>
        <v>32.88</v>
      </c>
      <c r="I2832" s="81">
        <f>IFERROR(__xludf.DUMMYFUNCTION("IF(G2832="""", """", ROUND(G2832 / MAX(FILTER($G$2:$G5067, $D$2:$D5067=$D2832)) * 100, 2))"),41.76)</f>
        <v>41.76</v>
      </c>
      <c r="J2832" s="81">
        <f>IFERROR(__xludf.DUMMYFUNCTION("IF(H2832="""", """", ROUND(H2832 / MAX(FILTER($H$2:$H5067, $D$2:$D5067=$D2832)) * 100, 2))"),7.07)</f>
        <v>7.07</v>
      </c>
      <c r="K2832" s="2"/>
      <c r="L2832" s="49"/>
      <c r="M2832" s="49"/>
      <c r="N2832" s="49"/>
      <c r="O2832" s="49" t="str">
        <f t="shared" si="2"/>
        <v/>
      </c>
      <c r="P2832" s="49" t="str">
        <f t="shared" si="3"/>
        <v/>
      </c>
      <c r="Q2832" s="84"/>
      <c r="R2832" s="84"/>
      <c r="S2832" s="84"/>
      <c r="T2832" s="84"/>
      <c r="U2832" s="84"/>
      <c r="V2832" s="84"/>
      <c r="W2832" s="84"/>
      <c r="X2832" s="84"/>
      <c r="Y2832" s="84"/>
      <c r="Z2832" s="84"/>
      <c r="AA2832" s="84"/>
      <c r="AB2832" s="84"/>
    </row>
    <row r="2833">
      <c r="A2833" s="69">
        <v>189.0</v>
      </c>
      <c r="B2833" s="69">
        <v>307.0</v>
      </c>
      <c r="C2833" s="86" t="s">
        <v>614</v>
      </c>
      <c r="D2833" s="86" t="s">
        <v>615</v>
      </c>
      <c r="E2833" s="86" t="s">
        <v>616</v>
      </c>
      <c r="F2833" s="69">
        <v>1500.0</v>
      </c>
      <c r="G2833" s="69">
        <v>27.95</v>
      </c>
      <c r="H2833" s="68">
        <f t="shared" si="1"/>
        <v>58.54</v>
      </c>
      <c r="I2833" s="81">
        <f>IFERROR(__xludf.DUMMYFUNCTION("IF(G2833="""", """", ROUND(G2833 / MAX(FILTER($G$2:$G5067, $D$2:$D5067=$D2833)) * 100, 2))"),49.56)</f>
        <v>49.56</v>
      </c>
      <c r="J2833" s="81">
        <f>IFERROR(__xludf.DUMMYFUNCTION("IF(H2833="""", """", ROUND(H2833 / MAX(FILTER($H$2:$H5067, $D$2:$D5067=$D2833)) * 100, 2))"),12.58)</f>
        <v>12.58</v>
      </c>
      <c r="K2833" s="2"/>
      <c r="L2833" s="48"/>
      <c r="M2833" s="48"/>
      <c r="N2833" s="48"/>
      <c r="O2833" s="48" t="str">
        <f t="shared" si="2"/>
        <v/>
      </c>
      <c r="P2833" s="48" t="str">
        <f t="shared" si="3"/>
        <v/>
      </c>
      <c r="Q2833" s="84"/>
      <c r="R2833" s="84"/>
      <c r="S2833" s="84"/>
      <c r="T2833" s="84"/>
      <c r="U2833" s="84"/>
      <c r="V2833" s="84"/>
      <c r="W2833" s="84"/>
      <c r="X2833" s="84"/>
      <c r="Y2833" s="84"/>
      <c r="Z2833" s="84"/>
      <c r="AA2833" s="84"/>
      <c r="AB2833" s="84"/>
    </row>
    <row r="2834">
      <c r="A2834" s="63">
        <v>189.0</v>
      </c>
      <c r="B2834" s="63">
        <v>307.0</v>
      </c>
      <c r="C2834" s="64" t="s">
        <v>614</v>
      </c>
      <c r="D2834" s="64" t="s">
        <v>615</v>
      </c>
      <c r="E2834" s="64" t="s">
        <v>616</v>
      </c>
      <c r="F2834" s="63">
        <v>2000.0</v>
      </c>
      <c r="G2834" s="63">
        <v>34.5</v>
      </c>
      <c r="H2834" s="66">
        <f t="shared" si="1"/>
        <v>96.34</v>
      </c>
      <c r="I2834" s="81">
        <f>IFERROR(__xludf.DUMMYFUNCTION("IF(G2834="""", """", ROUND(G2834 / MAX(FILTER($G$2:$G5067, $D$2:$D5067=$D2834)) * 100, 2))"),61.17)</f>
        <v>61.17</v>
      </c>
      <c r="J2834" s="81">
        <f>IFERROR(__xludf.DUMMYFUNCTION("IF(H2834="""", """", ROUND(H2834 / MAX(FILTER($H$2:$H5067, $D$2:$D5067=$D2834)) * 100, 2))"),20.71)</f>
        <v>20.71</v>
      </c>
      <c r="K2834" s="2"/>
      <c r="L2834" s="49"/>
      <c r="M2834" s="49"/>
      <c r="N2834" s="49"/>
      <c r="O2834" s="49" t="str">
        <f t="shared" si="2"/>
        <v/>
      </c>
      <c r="P2834" s="49" t="str">
        <f t="shared" si="3"/>
        <v/>
      </c>
      <c r="Q2834" s="84"/>
      <c r="R2834" s="84"/>
      <c r="S2834" s="84"/>
      <c r="T2834" s="84"/>
      <c r="U2834" s="84"/>
      <c r="V2834" s="84"/>
      <c r="W2834" s="84"/>
      <c r="X2834" s="84"/>
      <c r="Y2834" s="84"/>
      <c r="Z2834" s="84"/>
      <c r="AA2834" s="84"/>
      <c r="AB2834" s="84"/>
    </row>
    <row r="2835">
      <c r="A2835" s="69">
        <v>189.0</v>
      </c>
      <c r="B2835" s="69">
        <v>307.0</v>
      </c>
      <c r="C2835" s="86" t="s">
        <v>614</v>
      </c>
      <c r="D2835" s="86" t="s">
        <v>615</v>
      </c>
      <c r="E2835" s="86" t="s">
        <v>616</v>
      </c>
      <c r="F2835" s="69">
        <v>2500.0</v>
      </c>
      <c r="G2835" s="69">
        <v>44.3</v>
      </c>
      <c r="H2835" s="68">
        <f t="shared" si="1"/>
        <v>154.64</v>
      </c>
      <c r="I2835" s="81">
        <f>IFERROR(__xludf.DUMMYFUNCTION("IF(G2835="""", """", ROUND(G2835 / MAX(FILTER($G$2:$G5067, $D$2:$D5067=$D2835)) * 100, 2))"),78.55)</f>
        <v>78.55</v>
      </c>
      <c r="J2835" s="81">
        <f>IFERROR(__xludf.DUMMYFUNCTION("IF(H2835="""", """", ROUND(H2835 / MAX(FILTER($H$2:$H5067, $D$2:$D5067=$D2835)) * 100, 2))"),33.24)</f>
        <v>33.24</v>
      </c>
      <c r="K2835" s="2"/>
      <c r="L2835" s="48"/>
      <c r="M2835" s="48"/>
      <c r="N2835" s="48"/>
      <c r="O2835" s="48" t="str">
        <f t="shared" si="2"/>
        <v/>
      </c>
      <c r="P2835" s="48" t="str">
        <f t="shared" si="3"/>
        <v/>
      </c>
      <c r="Q2835" s="84"/>
      <c r="R2835" s="84"/>
      <c r="S2835" s="84"/>
      <c r="T2835" s="84"/>
      <c r="U2835" s="84"/>
      <c r="V2835" s="84"/>
      <c r="W2835" s="84"/>
      <c r="X2835" s="84"/>
      <c r="Y2835" s="84"/>
      <c r="Z2835" s="84"/>
      <c r="AA2835" s="84"/>
      <c r="AB2835" s="84"/>
    </row>
    <row r="2836">
      <c r="A2836" s="63">
        <v>189.0</v>
      </c>
      <c r="B2836" s="63">
        <v>307.0</v>
      </c>
      <c r="C2836" s="64" t="s">
        <v>614</v>
      </c>
      <c r="D2836" s="64" t="s">
        <v>615</v>
      </c>
      <c r="E2836" s="64" t="s">
        <v>616</v>
      </c>
      <c r="F2836" s="63">
        <v>3000.0</v>
      </c>
      <c r="G2836" s="63">
        <v>51.35</v>
      </c>
      <c r="H2836" s="66">
        <f t="shared" si="1"/>
        <v>215.09</v>
      </c>
      <c r="I2836" s="81">
        <f>IFERROR(__xludf.DUMMYFUNCTION("IF(G2836="""", """", ROUND(G2836 / MAX(FILTER($G$2:$G5067, $D$2:$D5067=$D2836)) * 100, 2))"),91.05)</f>
        <v>91.05</v>
      </c>
      <c r="J2836" s="81">
        <f>IFERROR(__xludf.DUMMYFUNCTION("IF(H2836="""", """", ROUND(H2836 / MAX(FILTER($H$2:$H5067, $D$2:$D5067=$D2836)) * 100, 2))"),46.23)</f>
        <v>46.23</v>
      </c>
      <c r="K2836" s="2"/>
      <c r="L2836" s="49"/>
      <c r="M2836" s="49"/>
      <c r="N2836" s="49"/>
      <c r="O2836" s="49" t="str">
        <f t="shared" si="2"/>
        <v/>
      </c>
      <c r="P2836" s="49" t="str">
        <f t="shared" si="3"/>
        <v/>
      </c>
      <c r="Q2836" s="84"/>
      <c r="R2836" s="84"/>
      <c r="S2836" s="84"/>
      <c r="T2836" s="84"/>
      <c r="U2836" s="84"/>
      <c r="V2836" s="84"/>
      <c r="W2836" s="84"/>
      <c r="X2836" s="84"/>
      <c r="Y2836" s="84"/>
      <c r="Z2836" s="84"/>
      <c r="AA2836" s="84"/>
      <c r="AB2836" s="84"/>
    </row>
    <row r="2837">
      <c r="A2837" s="69">
        <v>189.0</v>
      </c>
      <c r="B2837" s="69">
        <v>307.0</v>
      </c>
      <c r="C2837" s="86" t="s">
        <v>614</v>
      </c>
      <c r="D2837" s="86" t="s">
        <v>615</v>
      </c>
      <c r="E2837" s="86" t="s">
        <v>616</v>
      </c>
      <c r="F2837" s="69">
        <v>3500.0</v>
      </c>
      <c r="G2837" s="69">
        <v>54.0</v>
      </c>
      <c r="H2837" s="68">
        <f t="shared" si="1"/>
        <v>263.89</v>
      </c>
      <c r="I2837" s="81">
        <f>IFERROR(__xludf.DUMMYFUNCTION("IF(G2837="""", """", ROUND(G2837 / MAX(FILTER($G$2:$G5067, $D$2:$D5067=$D2837)) * 100, 2))"),95.74)</f>
        <v>95.74</v>
      </c>
      <c r="J2837" s="81">
        <f>IFERROR(__xludf.DUMMYFUNCTION("IF(H2837="""", """", ROUND(H2837 / MAX(FILTER($H$2:$H5067, $D$2:$D5067=$D2837)) * 100, 2))"),56.72)</f>
        <v>56.72</v>
      </c>
      <c r="K2837" s="2"/>
      <c r="L2837" s="48"/>
      <c r="M2837" s="48"/>
      <c r="N2837" s="48"/>
      <c r="O2837" s="48" t="str">
        <f t="shared" si="2"/>
        <v/>
      </c>
      <c r="P2837" s="48" t="str">
        <f t="shared" si="3"/>
        <v/>
      </c>
      <c r="Q2837" s="84"/>
      <c r="R2837" s="84"/>
      <c r="S2837" s="84"/>
      <c r="T2837" s="84"/>
      <c r="U2837" s="84"/>
      <c r="V2837" s="84"/>
      <c r="W2837" s="84"/>
      <c r="X2837" s="84"/>
      <c r="Y2837" s="84"/>
      <c r="Z2837" s="84"/>
      <c r="AA2837" s="84"/>
      <c r="AB2837" s="84"/>
    </row>
    <row r="2838">
      <c r="A2838" s="63">
        <v>189.0</v>
      </c>
      <c r="B2838" s="63">
        <v>307.0</v>
      </c>
      <c r="C2838" s="64" t="s">
        <v>614</v>
      </c>
      <c r="D2838" s="64" t="s">
        <v>615</v>
      </c>
      <c r="E2838" s="64" t="s">
        <v>616</v>
      </c>
      <c r="F2838" s="63">
        <v>4000.0</v>
      </c>
      <c r="G2838" s="63">
        <v>55.4</v>
      </c>
      <c r="H2838" s="66">
        <f t="shared" si="1"/>
        <v>309.41</v>
      </c>
      <c r="I2838" s="81">
        <f>IFERROR(__xludf.DUMMYFUNCTION("IF(G2838="""", """", ROUND(G2838 / MAX(FILTER($G$2:$G5067, $D$2:$D5067=$D2838)) * 100, 2))"),98.23)</f>
        <v>98.23</v>
      </c>
      <c r="J2838" s="81">
        <f>IFERROR(__xludf.DUMMYFUNCTION("IF(H2838="""", """", ROUND(H2838 / MAX(FILTER($H$2:$H5067, $D$2:$D5067=$D2838)) * 100, 2))"),66.51)</f>
        <v>66.51</v>
      </c>
      <c r="K2838" s="2"/>
      <c r="L2838" s="49"/>
      <c r="M2838" s="49"/>
      <c r="N2838" s="49"/>
      <c r="O2838" s="49" t="str">
        <f t="shared" si="2"/>
        <v/>
      </c>
      <c r="P2838" s="49" t="str">
        <f t="shared" si="3"/>
        <v/>
      </c>
      <c r="Q2838" s="84"/>
      <c r="R2838" s="84"/>
      <c r="S2838" s="84"/>
      <c r="T2838" s="84"/>
      <c r="U2838" s="84"/>
      <c r="V2838" s="84"/>
      <c r="W2838" s="84"/>
      <c r="X2838" s="84"/>
      <c r="Y2838" s="84"/>
      <c r="Z2838" s="84"/>
      <c r="AA2838" s="84"/>
      <c r="AB2838" s="84"/>
    </row>
    <row r="2839">
      <c r="A2839" s="69">
        <v>189.0</v>
      </c>
      <c r="B2839" s="69">
        <v>307.0</v>
      </c>
      <c r="C2839" s="86" t="s">
        <v>614</v>
      </c>
      <c r="D2839" s="86" t="s">
        <v>615</v>
      </c>
      <c r="E2839" s="86" t="s">
        <v>616</v>
      </c>
      <c r="F2839" s="69">
        <v>4500.0</v>
      </c>
      <c r="G2839" s="69">
        <v>55.9</v>
      </c>
      <c r="H2839" s="68">
        <f t="shared" si="1"/>
        <v>351.23</v>
      </c>
      <c r="I2839" s="81">
        <f>IFERROR(__xludf.DUMMYFUNCTION("IF(G2839="""", """", ROUND(G2839 / MAX(FILTER($G$2:$G5067, $D$2:$D5067=$D2839)) * 100, 2))"),99.11)</f>
        <v>99.11</v>
      </c>
      <c r="J2839" s="81">
        <f>IFERROR(__xludf.DUMMYFUNCTION("IF(H2839="""", """", ROUND(H2839 / MAX(FILTER($H$2:$H5067, $D$2:$D5067=$D2839)) * 100, 2))"),75.5)</f>
        <v>75.5</v>
      </c>
      <c r="K2839" s="2"/>
      <c r="L2839" s="48"/>
      <c r="M2839" s="48"/>
      <c r="N2839" s="48"/>
      <c r="O2839" s="48" t="str">
        <f t="shared" si="2"/>
        <v/>
      </c>
      <c r="P2839" s="48" t="str">
        <f t="shared" si="3"/>
        <v/>
      </c>
      <c r="Q2839" s="84"/>
      <c r="R2839" s="84"/>
      <c r="S2839" s="84"/>
      <c r="T2839" s="84"/>
      <c r="U2839" s="84"/>
      <c r="V2839" s="84"/>
      <c r="W2839" s="84"/>
      <c r="X2839" s="84"/>
      <c r="Y2839" s="84"/>
      <c r="Z2839" s="84"/>
      <c r="AA2839" s="84"/>
      <c r="AB2839" s="84"/>
    </row>
    <row r="2840">
      <c r="A2840" s="63">
        <v>189.0</v>
      </c>
      <c r="B2840" s="63">
        <v>307.0</v>
      </c>
      <c r="C2840" s="64" t="s">
        <v>614</v>
      </c>
      <c r="D2840" s="64" t="s">
        <v>615</v>
      </c>
      <c r="E2840" s="64" t="s">
        <v>616</v>
      </c>
      <c r="F2840" s="63">
        <v>5100.0</v>
      </c>
      <c r="G2840" s="63">
        <v>56.4</v>
      </c>
      <c r="H2840" s="66">
        <f t="shared" si="1"/>
        <v>401.62</v>
      </c>
      <c r="I2840" s="81">
        <f>IFERROR(__xludf.DUMMYFUNCTION("IF(G2840="""", """", ROUND(G2840 / MAX(FILTER($G$2:$G5067, $D$2:$D5067=$D2840)) * 100, 2))"),100.0)</f>
        <v>100</v>
      </c>
      <c r="J2840" s="81">
        <f>IFERROR(__xludf.DUMMYFUNCTION("IF(H2840="""", """", ROUND(H2840 / MAX(FILTER($H$2:$H5067, $D$2:$D5067=$D2840)) * 100, 2))"),86.33)</f>
        <v>86.33</v>
      </c>
      <c r="K2840" s="2"/>
      <c r="L2840" s="49"/>
      <c r="M2840" s="49"/>
      <c r="N2840" s="49"/>
      <c r="O2840" s="49" t="str">
        <f t="shared" si="2"/>
        <v/>
      </c>
      <c r="P2840" s="49" t="str">
        <f t="shared" si="3"/>
        <v/>
      </c>
      <c r="Q2840" s="84"/>
      <c r="R2840" s="84"/>
      <c r="S2840" s="84"/>
      <c r="T2840" s="84"/>
      <c r="U2840" s="84"/>
      <c r="V2840" s="84"/>
      <c r="W2840" s="84"/>
      <c r="X2840" s="84"/>
      <c r="Y2840" s="84"/>
      <c r="Z2840" s="84"/>
      <c r="AA2840" s="84"/>
      <c r="AB2840" s="84"/>
    </row>
    <row r="2841">
      <c r="A2841" s="69">
        <v>189.0</v>
      </c>
      <c r="B2841" s="69">
        <v>307.0</v>
      </c>
      <c r="C2841" s="86" t="s">
        <v>614</v>
      </c>
      <c r="D2841" s="86" t="s">
        <v>615</v>
      </c>
      <c r="E2841" s="86" t="s">
        <v>616</v>
      </c>
      <c r="F2841" s="69">
        <v>5500.0</v>
      </c>
      <c r="G2841" s="69">
        <v>56.25</v>
      </c>
      <c r="H2841" s="68">
        <f t="shared" si="1"/>
        <v>431.97</v>
      </c>
      <c r="I2841" s="81">
        <f>IFERROR(__xludf.DUMMYFUNCTION("IF(G2841="""", """", ROUND(G2841 / MAX(FILTER($G$2:$G5067, $D$2:$D5067=$D2841)) * 100, 2))"),99.73)</f>
        <v>99.73</v>
      </c>
      <c r="J2841" s="81">
        <f>IFERROR(__xludf.DUMMYFUNCTION("IF(H2841="""", """", ROUND(H2841 / MAX(FILTER($H$2:$H5067, $D$2:$D5067=$D2841)) * 100, 2))"),92.85)</f>
        <v>92.85</v>
      </c>
      <c r="K2841" s="2"/>
      <c r="L2841" s="48"/>
      <c r="M2841" s="48"/>
      <c r="N2841" s="48"/>
      <c r="O2841" s="48" t="str">
        <f t="shared" si="2"/>
        <v/>
      </c>
      <c r="P2841" s="48" t="str">
        <f t="shared" si="3"/>
        <v/>
      </c>
      <c r="Q2841" s="84"/>
      <c r="R2841" s="84"/>
      <c r="S2841" s="84"/>
      <c r="T2841" s="84"/>
      <c r="U2841" s="84"/>
      <c r="V2841" s="84"/>
      <c r="W2841" s="84"/>
      <c r="X2841" s="84"/>
      <c r="Y2841" s="84"/>
      <c r="Z2841" s="84"/>
      <c r="AA2841" s="84"/>
      <c r="AB2841" s="84"/>
    </row>
    <row r="2842">
      <c r="A2842" s="63">
        <v>189.0</v>
      </c>
      <c r="B2842" s="63">
        <v>307.0</v>
      </c>
      <c r="C2842" s="64" t="s">
        <v>614</v>
      </c>
      <c r="D2842" s="64" t="s">
        <v>615</v>
      </c>
      <c r="E2842" s="64" t="s">
        <v>616</v>
      </c>
      <c r="F2842" s="63">
        <v>5950.0</v>
      </c>
      <c r="G2842" s="63">
        <v>56.0</v>
      </c>
      <c r="H2842" s="66">
        <f t="shared" si="1"/>
        <v>465.23</v>
      </c>
      <c r="I2842" s="81">
        <f>IFERROR(__xludf.DUMMYFUNCTION("IF(G2842="""", """", ROUND(G2842 / MAX(FILTER($G$2:$G5067, $D$2:$D5067=$D2842)) * 100, 2))"),99.29)</f>
        <v>99.29</v>
      </c>
      <c r="J2842" s="81">
        <f>IFERROR(__xludf.DUMMYFUNCTION("IF(H2842="""", """", ROUND(H2842 / MAX(FILTER($H$2:$H5067, $D$2:$D5067=$D2842)) * 100, 2))"),100.0)</f>
        <v>100</v>
      </c>
      <c r="K2842" s="2"/>
      <c r="L2842" s="49"/>
      <c r="M2842" s="49"/>
      <c r="N2842" s="49"/>
      <c r="O2842" s="49" t="str">
        <f t="shared" si="2"/>
        <v/>
      </c>
      <c r="P2842" s="49" t="str">
        <f t="shared" si="3"/>
        <v/>
      </c>
      <c r="Q2842" s="84"/>
      <c r="R2842" s="84"/>
      <c r="S2842" s="84"/>
      <c r="T2842" s="84"/>
      <c r="U2842" s="84"/>
      <c r="V2842" s="84"/>
      <c r="W2842" s="84"/>
      <c r="X2842" s="84"/>
      <c r="Y2842" s="84"/>
      <c r="Z2842" s="84"/>
      <c r="AA2842" s="84"/>
      <c r="AB2842" s="84"/>
    </row>
    <row r="2843">
      <c r="A2843" s="69">
        <v>189.0</v>
      </c>
      <c r="B2843" s="69">
        <v>307.0</v>
      </c>
      <c r="C2843" s="86" t="s">
        <v>614</v>
      </c>
      <c r="D2843" s="86" t="s">
        <v>615</v>
      </c>
      <c r="E2843" s="86" t="s">
        <v>616</v>
      </c>
      <c r="F2843" s="69">
        <v>6500.0</v>
      </c>
      <c r="G2843" s="69">
        <v>51.05</v>
      </c>
      <c r="H2843" s="68">
        <f t="shared" si="1"/>
        <v>463.31</v>
      </c>
      <c r="I2843" s="81">
        <f>IFERROR(__xludf.DUMMYFUNCTION("IF(G2843="""", """", ROUND(G2843 / MAX(FILTER($G$2:$G5067, $D$2:$D5067=$D2843)) * 100, 2))"),90.51)</f>
        <v>90.51</v>
      </c>
      <c r="J2843" s="81">
        <f>IFERROR(__xludf.DUMMYFUNCTION("IF(H2843="""", """", ROUND(H2843 / MAX(FILTER($H$2:$H5067, $D$2:$D5067=$D2843)) * 100, 2))"),99.59)</f>
        <v>99.59</v>
      </c>
      <c r="K2843" s="2"/>
      <c r="L2843" s="48"/>
      <c r="M2843" s="48"/>
      <c r="N2843" s="48"/>
      <c r="O2843" s="48" t="str">
        <f t="shared" si="2"/>
        <v/>
      </c>
      <c r="P2843" s="48" t="str">
        <f t="shared" si="3"/>
        <v/>
      </c>
      <c r="Q2843" s="84"/>
      <c r="R2843" s="84"/>
      <c r="S2843" s="84"/>
      <c r="T2843" s="84"/>
      <c r="U2843" s="84"/>
      <c r="V2843" s="84"/>
      <c r="W2843" s="84"/>
      <c r="X2843" s="84"/>
      <c r="Y2843" s="84"/>
      <c r="Z2843" s="84"/>
      <c r="AA2843" s="84"/>
      <c r="AB2843" s="84"/>
    </row>
    <row r="2844">
      <c r="A2844" s="63">
        <v>189.0</v>
      </c>
      <c r="B2844" s="63">
        <v>307.0</v>
      </c>
      <c r="C2844" s="64" t="s">
        <v>614</v>
      </c>
      <c r="D2844" s="64" t="s">
        <v>615</v>
      </c>
      <c r="E2844" s="64" t="s">
        <v>616</v>
      </c>
      <c r="F2844" s="63">
        <v>7000.0</v>
      </c>
      <c r="G2844" s="63">
        <v>46.05</v>
      </c>
      <c r="H2844" s="66">
        <f t="shared" si="1"/>
        <v>450.08</v>
      </c>
      <c r="I2844" s="81">
        <f>IFERROR(__xludf.DUMMYFUNCTION("IF(G2844="""", """", ROUND(G2844 / MAX(FILTER($G$2:$G5067, $D$2:$D5067=$D2844)) * 100, 2))"),81.65)</f>
        <v>81.65</v>
      </c>
      <c r="J2844" s="81">
        <f>IFERROR(__xludf.DUMMYFUNCTION("IF(H2844="""", """", ROUND(H2844 / MAX(FILTER($H$2:$H5067, $D$2:$D5067=$D2844)) * 100, 2))"),96.74)</f>
        <v>96.74</v>
      </c>
      <c r="K2844" s="2"/>
      <c r="L2844" s="49"/>
      <c r="M2844" s="49"/>
      <c r="N2844" s="49"/>
      <c r="O2844" s="49" t="str">
        <f t="shared" si="2"/>
        <v/>
      </c>
      <c r="P2844" s="49" t="str">
        <f t="shared" si="3"/>
        <v/>
      </c>
      <c r="Q2844" s="84"/>
      <c r="R2844" s="84"/>
      <c r="S2844" s="84"/>
      <c r="T2844" s="84"/>
      <c r="U2844" s="84"/>
      <c r="V2844" s="84"/>
      <c r="W2844" s="84"/>
      <c r="X2844" s="84"/>
      <c r="Y2844" s="84"/>
      <c r="Z2844" s="84"/>
      <c r="AA2844" s="84"/>
      <c r="AB2844" s="84"/>
    </row>
    <row r="2845">
      <c r="A2845" s="69">
        <v>189.0</v>
      </c>
      <c r="B2845" s="69">
        <v>307.0</v>
      </c>
      <c r="C2845" s="86" t="s">
        <v>614</v>
      </c>
      <c r="D2845" s="86" t="s">
        <v>615</v>
      </c>
      <c r="E2845" s="86" t="s">
        <v>616</v>
      </c>
      <c r="F2845" s="69">
        <v>7500.0</v>
      </c>
      <c r="G2845" s="69">
        <v>40.5</v>
      </c>
      <c r="H2845" s="68">
        <f t="shared" si="1"/>
        <v>424.11</v>
      </c>
      <c r="I2845" s="81">
        <f>IFERROR(__xludf.DUMMYFUNCTION("IF(G2845="""", """", ROUND(G2845 / MAX(FILTER($G$2:$G5067, $D$2:$D5067=$D2845)) * 100, 2))"),71.81)</f>
        <v>71.81</v>
      </c>
      <c r="J2845" s="81">
        <f>IFERROR(__xludf.DUMMYFUNCTION("IF(H2845="""", """", ROUND(H2845 / MAX(FILTER($H$2:$H5067, $D$2:$D5067=$D2845)) * 100, 2))"),91.16)</f>
        <v>91.16</v>
      </c>
      <c r="K2845" s="2"/>
      <c r="L2845" s="48"/>
      <c r="M2845" s="48"/>
      <c r="N2845" s="48"/>
      <c r="O2845" s="48" t="str">
        <f t="shared" si="2"/>
        <v/>
      </c>
      <c r="P2845" s="48" t="str">
        <f t="shared" si="3"/>
        <v/>
      </c>
      <c r="Q2845" s="84"/>
      <c r="R2845" s="84"/>
      <c r="S2845" s="84"/>
      <c r="T2845" s="84"/>
      <c r="U2845" s="84"/>
      <c r="V2845" s="84"/>
      <c r="W2845" s="84"/>
      <c r="X2845" s="84"/>
      <c r="Y2845" s="84"/>
      <c r="Z2845" s="84"/>
      <c r="AA2845" s="84"/>
      <c r="AB2845" s="84"/>
    </row>
    <row r="2846">
      <c r="A2846" s="63">
        <v>190.0</v>
      </c>
      <c r="B2846" s="63">
        <v>308.0</v>
      </c>
      <c r="C2846" s="64" t="s">
        <v>617</v>
      </c>
      <c r="D2846" s="64" t="s">
        <v>618</v>
      </c>
      <c r="E2846" s="64" t="s">
        <v>619</v>
      </c>
      <c r="F2846" s="63">
        <v>500.0</v>
      </c>
      <c r="G2846" s="63">
        <v>20.2</v>
      </c>
      <c r="H2846" s="66">
        <f t="shared" si="1"/>
        <v>14.1</v>
      </c>
      <c r="I2846" s="81">
        <f>IFERROR(__xludf.DUMMYFUNCTION("IF(G2846="""", """", ROUND(G2846 / MAX(FILTER($G$2:$G5067, $D$2:$D5067=$D2846)) * 100, 2))"),52.74)</f>
        <v>52.74</v>
      </c>
      <c r="J2846" s="81">
        <f>IFERROR(__xludf.DUMMYFUNCTION("IF(H2846="""", """", ROUND(H2846 / MAX(FILTER($H$2:$H5067, $D$2:$D5067=$D2846)) * 100, 2))"),3.67)</f>
        <v>3.67</v>
      </c>
      <c r="K2846" s="2"/>
      <c r="L2846" s="49"/>
      <c r="M2846" s="49"/>
      <c r="N2846" s="49"/>
      <c r="O2846" s="49" t="str">
        <f t="shared" si="2"/>
        <v/>
      </c>
      <c r="P2846" s="49" t="str">
        <f t="shared" si="3"/>
        <v/>
      </c>
      <c r="Q2846" s="84"/>
      <c r="R2846" s="84"/>
      <c r="S2846" s="84"/>
      <c r="T2846" s="84"/>
      <c r="U2846" s="84"/>
      <c r="V2846" s="84"/>
      <c r="W2846" s="84"/>
      <c r="X2846" s="84"/>
      <c r="Y2846" s="84"/>
      <c r="Z2846" s="84"/>
      <c r="AA2846" s="84"/>
      <c r="AB2846" s="84"/>
    </row>
    <row r="2847">
      <c r="A2847" s="69">
        <v>190.0</v>
      </c>
      <c r="B2847" s="69">
        <v>308.0</v>
      </c>
      <c r="C2847" s="86" t="s">
        <v>617</v>
      </c>
      <c r="D2847" s="86" t="s">
        <v>618</v>
      </c>
      <c r="E2847" s="86" t="s">
        <v>619</v>
      </c>
      <c r="F2847" s="69">
        <v>1000.0</v>
      </c>
      <c r="G2847" s="69">
        <v>24.4</v>
      </c>
      <c r="H2847" s="68">
        <f t="shared" si="1"/>
        <v>34.07</v>
      </c>
      <c r="I2847" s="81">
        <f>IFERROR(__xludf.DUMMYFUNCTION("IF(G2847="""", """", ROUND(G2847 / MAX(FILTER($G$2:$G5067, $D$2:$D5067=$D2847)) * 100, 2))"),63.71)</f>
        <v>63.71</v>
      </c>
      <c r="J2847" s="81">
        <f>IFERROR(__xludf.DUMMYFUNCTION("IF(H2847="""", """", ROUND(H2847 / MAX(FILTER($H$2:$H5067, $D$2:$D5067=$D2847)) * 100, 2))"),8.88)</f>
        <v>8.88</v>
      </c>
      <c r="K2847" s="2"/>
      <c r="L2847" s="48"/>
      <c r="M2847" s="48"/>
      <c r="N2847" s="48"/>
      <c r="O2847" s="48" t="str">
        <f t="shared" si="2"/>
        <v/>
      </c>
      <c r="P2847" s="48" t="str">
        <f t="shared" si="3"/>
        <v/>
      </c>
      <c r="Q2847" s="84"/>
      <c r="R2847" s="84"/>
      <c r="S2847" s="84"/>
      <c r="T2847" s="84"/>
      <c r="U2847" s="84"/>
      <c r="V2847" s="84"/>
      <c r="W2847" s="84"/>
      <c r="X2847" s="84"/>
      <c r="Y2847" s="84"/>
      <c r="Z2847" s="84"/>
      <c r="AA2847" s="84"/>
      <c r="AB2847" s="84"/>
    </row>
    <row r="2848">
      <c r="A2848" s="63">
        <v>190.0</v>
      </c>
      <c r="B2848" s="63">
        <v>308.0</v>
      </c>
      <c r="C2848" s="64" t="s">
        <v>617</v>
      </c>
      <c r="D2848" s="64" t="s">
        <v>618</v>
      </c>
      <c r="E2848" s="64" t="s">
        <v>619</v>
      </c>
      <c r="F2848" s="63">
        <v>1500.0</v>
      </c>
      <c r="G2848" s="63">
        <v>26.7</v>
      </c>
      <c r="H2848" s="66">
        <f t="shared" si="1"/>
        <v>55.92</v>
      </c>
      <c r="I2848" s="81">
        <f>IFERROR(__xludf.DUMMYFUNCTION("IF(G2848="""", """", ROUND(G2848 / MAX(FILTER($G$2:$G5067, $D$2:$D5067=$D2848)) * 100, 2))"),69.71)</f>
        <v>69.71</v>
      </c>
      <c r="J2848" s="81">
        <f>IFERROR(__xludf.DUMMYFUNCTION("IF(H2848="""", """", ROUND(H2848 / MAX(FILTER($H$2:$H5067, $D$2:$D5067=$D2848)) * 100, 2))"),14.57)</f>
        <v>14.57</v>
      </c>
      <c r="K2848" s="2"/>
      <c r="L2848" s="49"/>
      <c r="M2848" s="49"/>
      <c r="N2848" s="49"/>
      <c r="O2848" s="49" t="str">
        <f t="shared" si="2"/>
        <v/>
      </c>
      <c r="P2848" s="49" t="str">
        <f t="shared" si="3"/>
        <v/>
      </c>
      <c r="Q2848" s="84"/>
      <c r="R2848" s="84"/>
      <c r="S2848" s="84"/>
      <c r="T2848" s="84"/>
      <c r="U2848" s="84"/>
      <c r="V2848" s="84"/>
      <c r="W2848" s="84"/>
      <c r="X2848" s="84"/>
      <c r="Y2848" s="84"/>
      <c r="Z2848" s="84"/>
      <c r="AA2848" s="84"/>
      <c r="AB2848" s="84"/>
    </row>
    <row r="2849">
      <c r="A2849" s="69">
        <v>190.0</v>
      </c>
      <c r="B2849" s="69">
        <v>308.0</v>
      </c>
      <c r="C2849" s="86" t="s">
        <v>617</v>
      </c>
      <c r="D2849" s="86" t="s">
        <v>618</v>
      </c>
      <c r="E2849" s="86" t="s">
        <v>619</v>
      </c>
      <c r="F2849" s="69">
        <v>2000.0</v>
      </c>
      <c r="G2849" s="69">
        <v>27.7</v>
      </c>
      <c r="H2849" s="68">
        <f t="shared" si="1"/>
        <v>77.35</v>
      </c>
      <c r="I2849" s="81">
        <f>IFERROR(__xludf.DUMMYFUNCTION("IF(G2849="""", """", ROUND(G2849 / MAX(FILTER($G$2:$G5067, $D$2:$D5067=$D2849)) * 100, 2))"),72.32)</f>
        <v>72.32</v>
      </c>
      <c r="J2849" s="81">
        <f>IFERROR(__xludf.DUMMYFUNCTION("IF(H2849="""", """", ROUND(H2849 / MAX(FILTER($H$2:$H5067, $D$2:$D5067=$D2849)) * 100, 2))"),20.15)</f>
        <v>20.15</v>
      </c>
      <c r="K2849" s="2"/>
      <c r="L2849" s="48"/>
      <c r="M2849" s="48"/>
      <c r="N2849" s="48"/>
      <c r="O2849" s="48" t="str">
        <f t="shared" si="2"/>
        <v/>
      </c>
      <c r="P2849" s="48" t="str">
        <f t="shared" si="3"/>
        <v/>
      </c>
      <c r="Q2849" s="84"/>
      <c r="R2849" s="84"/>
      <c r="S2849" s="84"/>
      <c r="T2849" s="84"/>
      <c r="U2849" s="84"/>
      <c r="V2849" s="84"/>
      <c r="W2849" s="84"/>
      <c r="X2849" s="84"/>
      <c r="Y2849" s="84"/>
      <c r="Z2849" s="84"/>
      <c r="AA2849" s="84"/>
      <c r="AB2849" s="84"/>
    </row>
    <row r="2850">
      <c r="A2850" s="63">
        <v>190.0</v>
      </c>
      <c r="B2850" s="63">
        <v>308.0</v>
      </c>
      <c r="C2850" s="64" t="s">
        <v>617</v>
      </c>
      <c r="D2850" s="64" t="s">
        <v>618</v>
      </c>
      <c r="E2850" s="64" t="s">
        <v>619</v>
      </c>
      <c r="F2850" s="63">
        <v>2500.0</v>
      </c>
      <c r="G2850" s="63">
        <v>29.0</v>
      </c>
      <c r="H2850" s="66">
        <f t="shared" si="1"/>
        <v>101.23</v>
      </c>
      <c r="I2850" s="81">
        <f>IFERROR(__xludf.DUMMYFUNCTION("IF(G2850="""", """", ROUND(G2850 / MAX(FILTER($G$2:$G5067, $D$2:$D5067=$D2850)) * 100, 2))"),75.72)</f>
        <v>75.72</v>
      </c>
      <c r="J2850" s="81">
        <f>IFERROR(__xludf.DUMMYFUNCTION("IF(H2850="""", """", ROUND(H2850 / MAX(FILTER($H$2:$H5067, $D$2:$D5067=$D2850)) * 100, 2))"),26.37)</f>
        <v>26.37</v>
      </c>
      <c r="K2850" s="2"/>
      <c r="L2850" s="49"/>
      <c r="M2850" s="49"/>
      <c r="N2850" s="49"/>
      <c r="O2850" s="49" t="str">
        <f t="shared" si="2"/>
        <v/>
      </c>
      <c r="P2850" s="49" t="str">
        <f t="shared" si="3"/>
        <v/>
      </c>
      <c r="Q2850" s="84"/>
      <c r="R2850" s="84"/>
      <c r="S2850" s="84"/>
      <c r="T2850" s="84"/>
      <c r="U2850" s="84"/>
      <c r="V2850" s="84"/>
      <c r="W2850" s="84"/>
      <c r="X2850" s="84"/>
      <c r="Y2850" s="84"/>
      <c r="Z2850" s="84"/>
      <c r="AA2850" s="84"/>
      <c r="AB2850" s="84"/>
    </row>
    <row r="2851">
      <c r="A2851" s="69">
        <v>190.0</v>
      </c>
      <c r="B2851" s="69">
        <v>308.0</v>
      </c>
      <c r="C2851" s="86" t="s">
        <v>617</v>
      </c>
      <c r="D2851" s="86" t="s">
        <v>618</v>
      </c>
      <c r="E2851" s="86" t="s">
        <v>619</v>
      </c>
      <c r="F2851" s="69">
        <v>3000.0</v>
      </c>
      <c r="G2851" s="69">
        <v>30.6</v>
      </c>
      <c r="H2851" s="68">
        <f t="shared" si="1"/>
        <v>128.18</v>
      </c>
      <c r="I2851" s="81">
        <f>IFERROR(__xludf.DUMMYFUNCTION("IF(G2851="""", """", ROUND(G2851 / MAX(FILTER($G$2:$G5067, $D$2:$D5067=$D2851)) * 100, 2))"),79.9)</f>
        <v>79.9</v>
      </c>
      <c r="J2851" s="81">
        <f>IFERROR(__xludf.DUMMYFUNCTION("IF(H2851="""", """", ROUND(H2851 / MAX(FILTER($H$2:$H5067, $D$2:$D5067=$D2851)) * 100, 2))"),33.4)</f>
        <v>33.4</v>
      </c>
      <c r="K2851" s="2"/>
      <c r="L2851" s="48"/>
      <c r="M2851" s="48"/>
      <c r="N2851" s="48"/>
      <c r="O2851" s="48" t="str">
        <f t="shared" si="2"/>
        <v/>
      </c>
      <c r="P2851" s="48" t="str">
        <f t="shared" si="3"/>
        <v/>
      </c>
      <c r="Q2851" s="84"/>
      <c r="R2851" s="84"/>
      <c r="S2851" s="84"/>
      <c r="T2851" s="84"/>
      <c r="U2851" s="84"/>
      <c r="V2851" s="84"/>
      <c r="W2851" s="84"/>
      <c r="X2851" s="84"/>
      <c r="Y2851" s="84"/>
      <c r="Z2851" s="84"/>
      <c r="AA2851" s="84"/>
      <c r="AB2851" s="84"/>
    </row>
    <row r="2852">
      <c r="A2852" s="63">
        <v>190.0</v>
      </c>
      <c r="B2852" s="63">
        <v>308.0</v>
      </c>
      <c r="C2852" s="64" t="s">
        <v>617</v>
      </c>
      <c r="D2852" s="64" t="s">
        <v>618</v>
      </c>
      <c r="E2852" s="64" t="s">
        <v>619</v>
      </c>
      <c r="F2852" s="63">
        <v>3500.0</v>
      </c>
      <c r="G2852" s="63">
        <v>33.1</v>
      </c>
      <c r="H2852" s="66">
        <f t="shared" si="1"/>
        <v>161.76</v>
      </c>
      <c r="I2852" s="81">
        <f>IFERROR(__xludf.DUMMYFUNCTION("IF(G2852="""", """", ROUND(G2852 / MAX(FILTER($G$2:$G5067, $D$2:$D5067=$D2852)) * 100, 2))"),86.42)</f>
        <v>86.42</v>
      </c>
      <c r="J2852" s="81">
        <f>IFERROR(__xludf.DUMMYFUNCTION("IF(H2852="""", """", ROUND(H2852 / MAX(FILTER($H$2:$H5067, $D$2:$D5067=$D2852)) * 100, 2))"),42.14)</f>
        <v>42.14</v>
      </c>
      <c r="K2852" s="2"/>
      <c r="L2852" s="49"/>
      <c r="M2852" s="49"/>
      <c r="N2852" s="49"/>
      <c r="O2852" s="49" t="str">
        <f t="shared" si="2"/>
        <v/>
      </c>
      <c r="P2852" s="49" t="str">
        <f t="shared" si="3"/>
        <v/>
      </c>
      <c r="Q2852" s="84"/>
      <c r="R2852" s="84"/>
      <c r="S2852" s="84"/>
      <c r="T2852" s="84"/>
      <c r="U2852" s="84"/>
      <c r="V2852" s="84"/>
      <c r="W2852" s="84"/>
      <c r="X2852" s="84"/>
      <c r="Y2852" s="84"/>
      <c r="Z2852" s="84"/>
      <c r="AA2852" s="84"/>
      <c r="AB2852" s="84"/>
    </row>
    <row r="2853">
      <c r="A2853" s="69">
        <v>190.0</v>
      </c>
      <c r="B2853" s="69">
        <v>308.0</v>
      </c>
      <c r="C2853" s="86" t="s">
        <v>617</v>
      </c>
      <c r="D2853" s="86" t="s">
        <v>618</v>
      </c>
      <c r="E2853" s="86" t="s">
        <v>619</v>
      </c>
      <c r="F2853" s="69">
        <v>4000.0</v>
      </c>
      <c r="G2853" s="69">
        <v>35.5</v>
      </c>
      <c r="H2853" s="68">
        <f t="shared" si="1"/>
        <v>198.27</v>
      </c>
      <c r="I2853" s="81">
        <f>IFERROR(__xludf.DUMMYFUNCTION("IF(G2853="""", """", ROUND(G2853 / MAX(FILTER($G$2:$G5067, $D$2:$D5067=$D2853)) * 100, 2))"),92.69)</f>
        <v>92.69</v>
      </c>
      <c r="J2853" s="81">
        <f>IFERROR(__xludf.DUMMYFUNCTION("IF(H2853="""", """", ROUND(H2853 / MAX(FILTER($H$2:$H5067, $D$2:$D5067=$D2853)) * 100, 2))"),51.66)</f>
        <v>51.66</v>
      </c>
      <c r="K2853" s="2"/>
      <c r="L2853" s="48"/>
      <c r="M2853" s="48"/>
      <c r="N2853" s="48"/>
      <c r="O2853" s="48" t="str">
        <f t="shared" si="2"/>
        <v/>
      </c>
      <c r="P2853" s="48" t="str">
        <f t="shared" si="3"/>
        <v/>
      </c>
      <c r="Q2853" s="84"/>
      <c r="R2853" s="84"/>
      <c r="S2853" s="84"/>
      <c r="T2853" s="84"/>
      <c r="U2853" s="84"/>
      <c r="V2853" s="84"/>
      <c r="W2853" s="84"/>
      <c r="X2853" s="84"/>
      <c r="Y2853" s="84"/>
      <c r="Z2853" s="84"/>
      <c r="AA2853" s="84"/>
      <c r="AB2853" s="84"/>
    </row>
    <row r="2854">
      <c r="A2854" s="63">
        <v>190.0</v>
      </c>
      <c r="B2854" s="63">
        <v>308.0</v>
      </c>
      <c r="C2854" s="64" t="s">
        <v>617</v>
      </c>
      <c r="D2854" s="64" t="s">
        <v>618</v>
      </c>
      <c r="E2854" s="64" t="s">
        <v>619</v>
      </c>
      <c r="F2854" s="63">
        <v>4500.0</v>
      </c>
      <c r="G2854" s="63">
        <v>37.3</v>
      </c>
      <c r="H2854" s="66">
        <f t="shared" si="1"/>
        <v>234.36</v>
      </c>
      <c r="I2854" s="81">
        <f>IFERROR(__xludf.DUMMYFUNCTION("IF(G2854="""", """", ROUND(G2854 / MAX(FILTER($G$2:$G5067, $D$2:$D5067=$D2854)) * 100, 2))"),97.39)</f>
        <v>97.39</v>
      </c>
      <c r="J2854" s="81">
        <f>IFERROR(__xludf.DUMMYFUNCTION("IF(H2854="""", """", ROUND(H2854 / MAX(FILTER($H$2:$H5067, $D$2:$D5067=$D2854)) * 100, 2))"),61.06)</f>
        <v>61.06</v>
      </c>
      <c r="K2854" s="2"/>
      <c r="L2854" s="49"/>
      <c r="M2854" s="49"/>
      <c r="N2854" s="49"/>
      <c r="O2854" s="49" t="str">
        <f t="shared" si="2"/>
        <v/>
      </c>
      <c r="P2854" s="49" t="str">
        <f t="shared" si="3"/>
        <v/>
      </c>
      <c r="Q2854" s="84"/>
      <c r="R2854" s="84"/>
      <c r="S2854" s="84"/>
      <c r="T2854" s="84"/>
      <c r="U2854" s="84"/>
      <c r="V2854" s="84"/>
      <c r="W2854" s="84"/>
      <c r="X2854" s="84"/>
      <c r="Y2854" s="84"/>
      <c r="Z2854" s="84"/>
      <c r="AA2854" s="84"/>
      <c r="AB2854" s="84"/>
    </row>
    <row r="2855">
      <c r="A2855" s="69">
        <v>190.0</v>
      </c>
      <c r="B2855" s="69">
        <v>308.0</v>
      </c>
      <c r="C2855" s="86" t="s">
        <v>617</v>
      </c>
      <c r="D2855" s="86" t="s">
        <v>618</v>
      </c>
      <c r="E2855" s="86" t="s">
        <v>619</v>
      </c>
      <c r="F2855" s="69">
        <v>5200.0</v>
      </c>
      <c r="G2855" s="69">
        <v>38.2</v>
      </c>
      <c r="H2855" s="68">
        <f t="shared" si="1"/>
        <v>277.35</v>
      </c>
      <c r="I2855" s="81">
        <f>IFERROR(__xludf.DUMMYFUNCTION("IF(G2855="""", """", ROUND(G2855 / MAX(FILTER($G$2:$G5067, $D$2:$D5067=$D2855)) * 100, 2))"),99.74)</f>
        <v>99.74</v>
      </c>
      <c r="J2855" s="81">
        <f>IFERROR(__xludf.DUMMYFUNCTION("IF(H2855="""", """", ROUND(H2855 / MAX(FILTER($H$2:$H5067, $D$2:$D5067=$D2855)) * 100, 2))"),72.26)</f>
        <v>72.26</v>
      </c>
      <c r="K2855" s="2"/>
      <c r="L2855" s="48"/>
      <c r="M2855" s="48"/>
      <c r="N2855" s="48"/>
      <c r="O2855" s="48" t="str">
        <f t="shared" si="2"/>
        <v/>
      </c>
      <c r="P2855" s="48" t="str">
        <f t="shared" si="3"/>
        <v/>
      </c>
      <c r="Q2855" s="84"/>
      <c r="R2855" s="84"/>
      <c r="S2855" s="84"/>
      <c r="T2855" s="84"/>
      <c r="U2855" s="84"/>
      <c r="V2855" s="84"/>
      <c r="W2855" s="84"/>
      <c r="X2855" s="84"/>
      <c r="Y2855" s="84"/>
      <c r="Z2855" s="84"/>
      <c r="AA2855" s="84"/>
      <c r="AB2855" s="84"/>
    </row>
    <row r="2856">
      <c r="A2856" s="63">
        <v>190.0</v>
      </c>
      <c r="B2856" s="63">
        <v>308.0</v>
      </c>
      <c r="C2856" s="64" t="s">
        <v>617</v>
      </c>
      <c r="D2856" s="64" t="s">
        <v>618</v>
      </c>
      <c r="E2856" s="64" t="s">
        <v>619</v>
      </c>
      <c r="F2856" s="63">
        <v>5700.0</v>
      </c>
      <c r="G2856" s="63">
        <v>38.3</v>
      </c>
      <c r="H2856" s="66">
        <f t="shared" si="1"/>
        <v>304.82</v>
      </c>
      <c r="I2856" s="81">
        <f>IFERROR(__xludf.DUMMYFUNCTION("IF(G2856="""", """", ROUND(G2856 / MAX(FILTER($G$2:$G5067, $D$2:$D5067=$D2856)) * 100, 2))"),100.0)</f>
        <v>100</v>
      </c>
      <c r="J2856" s="81">
        <f>IFERROR(__xludf.DUMMYFUNCTION("IF(H2856="""", """", ROUND(H2856 / MAX(FILTER($H$2:$H5067, $D$2:$D5067=$D2856)) * 100, 2))"),79.42)</f>
        <v>79.42</v>
      </c>
      <c r="K2856" s="2"/>
      <c r="L2856" s="49"/>
      <c r="M2856" s="49"/>
      <c r="N2856" s="49"/>
      <c r="O2856" s="49" t="str">
        <f t="shared" si="2"/>
        <v/>
      </c>
      <c r="P2856" s="49" t="str">
        <f t="shared" si="3"/>
        <v/>
      </c>
      <c r="Q2856" s="84"/>
      <c r="R2856" s="84"/>
      <c r="S2856" s="84"/>
      <c r="T2856" s="84"/>
      <c r="U2856" s="84"/>
      <c r="V2856" s="84"/>
      <c r="W2856" s="84"/>
      <c r="X2856" s="84"/>
      <c r="Y2856" s="84"/>
      <c r="Z2856" s="84"/>
      <c r="AA2856" s="84"/>
      <c r="AB2856" s="84"/>
    </row>
    <row r="2857">
      <c r="A2857" s="69">
        <v>190.0</v>
      </c>
      <c r="B2857" s="69">
        <v>308.0</v>
      </c>
      <c r="C2857" s="86" t="s">
        <v>617</v>
      </c>
      <c r="D2857" s="86" t="s">
        <v>618</v>
      </c>
      <c r="E2857" s="86" t="s">
        <v>619</v>
      </c>
      <c r="F2857" s="69">
        <v>6100.0</v>
      </c>
      <c r="G2857" s="69">
        <v>38.3</v>
      </c>
      <c r="H2857" s="68">
        <f t="shared" si="1"/>
        <v>326.21</v>
      </c>
      <c r="I2857" s="81">
        <f>IFERROR(__xludf.DUMMYFUNCTION("IF(G2857="""", """", ROUND(G2857 / MAX(FILTER($G$2:$G5067, $D$2:$D5067=$D2857)) * 100, 2))"),100.0)</f>
        <v>100</v>
      </c>
      <c r="J2857" s="81">
        <f>IFERROR(__xludf.DUMMYFUNCTION("IF(H2857="""", """", ROUND(H2857 / MAX(FILTER($H$2:$H5067, $D$2:$D5067=$D2857)) * 100, 2))"),84.99)</f>
        <v>84.99</v>
      </c>
      <c r="K2857" s="2"/>
      <c r="L2857" s="48"/>
      <c r="M2857" s="48"/>
      <c r="N2857" s="48"/>
      <c r="O2857" s="48" t="str">
        <f t="shared" si="2"/>
        <v/>
      </c>
      <c r="P2857" s="48" t="str">
        <f t="shared" si="3"/>
        <v/>
      </c>
      <c r="Q2857" s="84"/>
      <c r="R2857" s="84"/>
      <c r="S2857" s="84"/>
      <c r="T2857" s="84"/>
      <c r="U2857" s="84"/>
      <c r="V2857" s="84"/>
      <c r="W2857" s="84"/>
      <c r="X2857" s="84"/>
      <c r="Y2857" s="84"/>
      <c r="Z2857" s="84"/>
      <c r="AA2857" s="84"/>
      <c r="AB2857" s="84"/>
    </row>
    <row r="2858">
      <c r="A2858" s="63">
        <v>190.0</v>
      </c>
      <c r="B2858" s="63">
        <v>308.0</v>
      </c>
      <c r="C2858" s="64" t="s">
        <v>617</v>
      </c>
      <c r="D2858" s="64" t="s">
        <v>618</v>
      </c>
      <c r="E2858" s="64" t="s">
        <v>619</v>
      </c>
      <c r="F2858" s="63">
        <v>6500.0</v>
      </c>
      <c r="G2858" s="63">
        <v>38.1</v>
      </c>
      <c r="H2858" s="66">
        <f t="shared" si="1"/>
        <v>345.78</v>
      </c>
      <c r="I2858" s="81">
        <f>IFERROR(__xludf.DUMMYFUNCTION("IF(G2858="""", """", ROUND(G2858 / MAX(FILTER($G$2:$G5067, $D$2:$D5067=$D2858)) * 100, 2))"),99.48)</f>
        <v>99.48</v>
      </c>
      <c r="J2858" s="81">
        <f>IFERROR(__xludf.DUMMYFUNCTION("IF(H2858="""", """", ROUND(H2858 / MAX(FILTER($H$2:$H5067, $D$2:$D5067=$D2858)) * 100, 2))"),90.09)</f>
        <v>90.09</v>
      </c>
      <c r="K2858" s="2"/>
      <c r="L2858" s="49"/>
      <c r="M2858" s="49"/>
      <c r="N2858" s="49"/>
      <c r="O2858" s="49" t="str">
        <f t="shared" si="2"/>
        <v/>
      </c>
      <c r="P2858" s="49" t="str">
        <f t="shared" si="3"/>
        <v/>
      </c>
      <c r="Q2858" s="84"/>
      <c r="R2858" s="84"/>
      <c r="S2858" s="84"/>
      <c r="T2858" s="84"/>
      <c r="U2858" s="84"/>
      <c r="V2858" s="84"/>
      <c r="W2858" s="84"/>
      <c r="X2858" s="84"/>
      <c r="Y2858" s="84"/>
      <c r="Z2858" s="84"/>
      <c r="AA2858" s="84"/>
      <c r="AB2858" s="84"/>
    </row>
    <row r="2859">
      <c r="A2859" s="69">
        <v>190.0</v>
      </c>
      <c r="B2859" s="69">
        <v>308.0</v>
      </c>
      <c r="C2859" s="86" t="s">
        <v>617</v>
      </c>
      <c r="D2859" s="86" t="s">
        <v>618</v>
      </c>
      <c r="E2859" s="86" t="s">
        <v>619</v>
      </c>
      <c r="F2859" s="69">
        <v>7000.0</v>
      </c>
      <c r="G2859" s="69">
        <v>37.6</v>
      </c>
      <c r="H2859" s="68">
        <f t="shared" si="1"/>
        <v>367.5</v>
      </c>
      <c r="I2859" s="81">
        <f>IFERROR(__xludf.DUMMYFUNCTION("IF(G2859="""", """", ROUND(G2859 / MAX(FILTER($G$2:$G5067, $D$2:$D5067=$D2859)) * 100, 2))"),98.17)</f>
        <v>98.17</v>
      </c>
      <c r="J2859" s="81">
        <f>IFERROR(__xludf.DUMMYFUNCTION("IF(H2859="""", """", ROUND(H2859 / MAX(FILTER($H$2:$H5067, $D$2:$D5067=$D2859)) * 100, 2))"),95.75)</f>
        <v>95.75</v>
      </c>
      <c r="K2859" s="2"/>
      <c r="L2859" s="48"/>
      <c r="M2859" s="48"/>
      <c r="N2859" s="48"/>
      <c r="O2859" s="48" t="str">
        <f t="shared" si="2"/>
        <v/>
      </c>
      <c r="P2859" s="48" t="str">
        <f t="shared" si="3"/>
        <v/>
      </c>
      <c r="Q2859" s="84"/>
      <c r="R2859" s="84"/>
      <c r="S2859" s="84"/>
      <c r="T2859" s="84"/>
      <c r="U2859" s="84"/>
      <c r="V2859" s="84"/>
      <c r="W2859" s="84"/>
      <c r="X2859" s="84"/>
      <c r="Y2859" s="84"/>
      <c r="Z2859" s="84"/>
      <c r="AA2859" s="84"/>
      <c r="AB2859" s="84"/>
    </row>
    <row r="2860">
      <c r="A2860" s="63">
        <v>190.0</v>
      </c>
      <c r="B2860" s="63">
        <v>308.0</v>
      </c>
      <c r="C2860" s="64" t="s">
        <v>617</v>
      </c>
      <c r="D2860" s="64" t="s">
        <v>618</v>
      </c>
      <c r="E2860" s="64" t="s">
        <v>619</v>
      </c>
      <c r="F2860" s="63">
        <v>7700.0</v>
      </c>
      <c r="G2860" s="63">
        <v>35.7</v>
      </c>
      <c r="H2860" s="66">
        <f t="shared" si="1"/>
        <v>383.82</v>
      </c>
      <c r="I2860" s="81">
        <f>IFERROR(__xludf.DUMMYFUNCTION("IF(G2860="""", """", ROUND(G2860 / MAX(FILTER($G$2:$G5067, $D$2:$D5067=$D2860)) * 100, 2))"),93.21)</f>
        <v>93.21</v>
      </c>
      <c r="J2860" s="81">
        <f>IFERROR(__xludf.DUMMYFUNCTION("IF(H2860="""", """", ROUND(H2860 / MAX(FILTER($H$2:$H5067, $D$2:$D5067=$D2860)) * 100, 2))"),100.0)</f>
        <v>100</v>
      </c>
      <c r="K2860" s="2"/>
      <c r="L2860" s="49"/>
      <c r="M2860" s="49"/>
      <c r="N2860" s="49"/>
      <c r="O2860" s="49" t="str">
        <f t="shared" si="2"/>
        <v/>
      </c>
      <c r="P2860" s="49" t="str">
        <f t="shared" si="3"/>
        <v/>
      </c>
      <c r="Q2860" s="84"/>
      <c r="R2860" s="84"/>
      <c r="S2860" s="84"/>
      <c r="T2860" s="84"/>
      <c r="U2860" s="84"/>
      <c r="V2860" s="84"/>
      <c r="W2860" s="84"/>
      <c r="X2860" s="84"/>
      <c r="Y2860" s="84"/>
      <c r="Z2860" s="84"/>
      <c r="AA2860" s="84"/>
      <c r="AB2860" s="84"/>
    </row>
    <row r="2861">
      <c r="A2861" s="69">
        <v>190.0</v>
      </c>
      <c r="B2861" s="69">
        <v>308.0</v>
      </c>
      <c r="C2861" s="86" t="s">
        <v>617</v>
      </c>
      <c r="D2861" s="86" t="s">
        <v>618</v>
      </c>
      <c r="E2861" s="86" t="s">
        <v>619</v>
      </c>
      <c r="F2861" s="69">
        <v>8000.0</v>
      </c>
      <c r="G2861" s="69">
        <v>34.2</v>
      </c>
      <c r="H2861" s="68">
        <f t="shared" si="1"/>
        <v>382.02</v>
      </c>
      <c r="I2861" s="81">
        <f>IFERROR(__xludf.DUMMYFUNCTION("IF(G2861="""", """", ROUND(G2861 / MAX(FILTER($G$2:$G5067, $D$2:$D5067=$D2861)) * 100, 2))"),89.3)</f>
        <v>89.3</v>
      </c>
      <c r="J2861" s="81">
        <f>IFERROR(__xludf.DUMMYFUNCTION("IF(H2861="""", """", ROUND(H2861 / MAX(FILTER($H$2:$H5067, $D$2:$D5067=$D2861)) * 100, 2))"),99.53)</f>
        <v>99.53</v>
      </c>
      <c r="K2861" s="2"/>
      <c r="L2861" s="48"/>
      <c r="M2861" s="48"/>
      <c r="N2861" s="48"/>
      <c r="O2861" s="48" t="str">
        <f t="shared" si="2"/>
        <v/>
      </c>
      <c r="P2861" s="48" t="str">
        <f t="shared" si="3"/>
        <v/>
      </c>
      <c r="Q2861" s="84"/>
      <c r="R2861" s="84"/>
      <c r="S2861" s="84"/>
      <c r="T2861" s="84"/>
      <c r="U2861" s="84"/>
      <c r="V2861" s="84"/>
      <c r="W2861" s="84"/>
      <c r="X2861" s="84"/>
      <c r="Y2861" s="84"/>
      <c r="Z2861" s="84"/>
      <c r="AA2861" s="84"/>
      <c r="AB2861" s="84"/>
    </row>
    <row r="2862">
      <c r="A2862" s="63">
        <v>190.0</v>
      </c>
      <c r="B2862" s="63">
        <v>308.0</v>
      </c>
      <c r="C2862" s="64" t="s">
        <v>617</v>
      </c>
      <c r="D2862" s="64" t="s">
        <v>618</v>
      </c>
      <c r="E2862" s="64" t="s">
        <v>619</v>
      </c>
      <c r="F2862" s="63">
        <v>8500.0</v>
      </c>
      <c r="G2862" s="63">
        <v>31.0</v>
      </c>
      <c r="H2862" s="66">
        <f t="shared" si="1"/>
        <v>367.91</v>
      </c>
      <c r="I2862" s="81">
        <f>IFERROR(__xludf.DUMMYFUNCTION("IF(G2862="""", """", ROUND(G2862 / MAX(FILTER($G$2:$G5067, $D$2:$D5067=$D2862)) * 100, 2))"),80.94)</f>
        <v>80.94</v>
      </c>
      <c r="J2862" s="81">
        <f>IFERROR(__xludf.DUMMYFUNCTION("IF(H2862="""", """", ROUND(H2862 / MAX(FILTER($H$2:$H5067, $D$2:$D5067=$D2862)) * 100, 2))"),95.85)</f>
        <v>95.85</v>
      </c>
      <c r="K2862" s="2"/>
      <c r="L2862" s="49"/>
      <c r="M2862" s="49"/>
      <c r="N2862" s="49"/>
      <c r="O2862" s="49" t="str">
        <f t="shared" si="2"/>
        <v/>
      </c>
      <c r="P2862" s="49" t="str">
        <f t="shared" si="3"/>
        <v/>
      </c>
      <c r="Q2862" s="84"/>
      <c r="R2862" s="84"/>
      <c r="S2862" s="84"/>
      <c r="T2862" s="84"/>
      <c r="U2862" s="84"/>
      <c r="V2862" s="84"/>
      <c r="W2862" s="84"/>
      <c r="X2862" s="84"/>
      <c r="Y2862" s="84"/>
      <c r="Z2862" s="84"/>
      <c r="AA2862" s="84"/>
      <c r="AB2862" s="84"/>
    </row>
    <row r="2863">
      <c r="A2863" s="69">
        <v>190.0</v>
      </c>
      <c r="B2863" s="69">
        <v>308.0</v>
      </c>
      <c r="C2863" s="86" t="s">
        <v>617</v>
      </c>
      <c r="D2863" s="86" t="s">
        <v>618</v>
      </c>
      <c r="E2863" s="86" t="s">
        <v>619</v>
      </c>
      <c r="F2863" s="69">
        <v>9000.0</v>
      </c>
      <c r="G2863" s="69">
        <v>27.5</v>
      </c>
      <c r="H2863" s="68">
        <f t="shared" si="1"/>
        <v>345.57</v>
      </c>
      <c r="I2863" s="81">
        <f>IFERROR(__xludf.DUMMYFUNCTION("IF(G2863="""", """", ROUND(G2863 / MAX(FILTER($G$2:$G5067, $D$2:$D5067=$D2863)) * 100, 2))"),71.8)</f>
        <v>71.8</v>
      </c>
      <c r="J2863" s="81">
        <f>IFERROR(__xludf.DUMMYFUNCTION("IF(H2863="""", """", ROUND(H2863 / MAX(FILTER($H$2:$H5067, $D$2:$D5067=$D2863)) * 100, 2))"),90.03)</f>
        <v>90.03</v>
      </c>
      <c r="K2863" s="2"/>
      <c r="L2863" s="48"/>
      <c r="M2863" s="48"/>
      <c r="N2863" s="48"/>
      <c r="O2863" s="48" t="str">
        <f t="shared" si="2"/>
        <v/>
      </c>
      <c r="P2863" s="48" t="str">
        <f t="shared" si="3"/>
        <v/>
      </c>
      <c r="Q2863" s="84"/>
      <c r="R2863" s="84"/>
      <c r="S2863" s="84"/>
      <c r="T2863" s="84"/>
      <c r="U2863" s="84"/>
      <c r="V2863" s="84"/>
      <c r="W2863" s="84"/>
      <c r="X2863" s="84"/>
      <c r="Y2863" s="84"/>
      <c r="Z2863" s="84"/>
      <c r="AA2863" s="84"/>
      <c r="AB2863" s="84"/>
    </row>
    <row r="2864">
      <c r="A2864" s="63">
        <v>191.0</v>
      </c>
      <c r="B2864" s="63">
        <v>309.0</v>
      </c>
      <c r="C2864" s="64" t="s">
        <v>620</v>
      </c>
      <c r="D2864" s="64" t="s">
        <v>621</v>
      </c>
      <c r="E2864" s="64" t="s">
        <v>622</v>
      </c>
      <c r="F2864" s="63">
        <v>500.0</v>
      </c>
      <c r="G2864" s="63">
        <v>26.06</v>
      </c>
      <c r="H2864" s="66">
        <f t="shared" si="1"/>
        <v>18.19</v>
      </c>
      <c r="I2864" s="81">
        <f>IFERROR(__xludf.DUMMYFUNCTION("IF(G2864="""", """", ROUND(G2864 / MAX(FILTER($G$2:$G5067, $D$2:$D5067=$D2864)) * 100, 2))"),39.31)</f>
        <v>39.31</v>
      </c>
      <c r="J2864" s="81">
        <f>IFERROR(__xludf.DUMMYFUNCTION("IF(H2864="""", """", ROUND(H2864 / MAX(FILTER($H$2:$H5067, $D$2:$D5067=$D2864)) * 100, 2))"),3.71)</f>
        <v>3.71</v>
      </c>
      <c r="K2864" s="2"/>
      <c r="L2864" s="49"/>
      <c r="M2864" s="49"/>
      <c r="N2864" s="49"/>
      <c r="O2864" s="49" t="str">
        <f t="shared" si="2"/>
        <v/>
      </c>
      <c r="P2864" s="49" t="str">
        <f t="shared" si="3"/>
        <v/>
      </c>
      <c r="Q2864" s="84"/>
      <c r="R2864" s="84"/>
      <c r="S2864" s="84"/>
      <c r="T2864" s="84"/>
      <c r="U2864" s="84"/>
      <c r="V2864" s="84"/>
      <c r="W2864" s="84"/>
      <c r="X2864" s="84"/>
      <c r="Y2864" s="84"/>
      <c r="Z2864" s="84"/>
      <c r="AA2864" s="84"/>
      <c r="AB2864" s="84"/>
    </row>
    <row r="2865">
      <c r="A2865" s="69">
        <v>191.0</v>
      </c>
      <c r="B2865" s="69">
        <v>309.0</v>
      </c>
      <c r="C2865" s="86" t="s">
        <v>620</v>
      </c>
      <c r="D2865" s="86" t="s">
        <v>621</v>
      </c>
      <c r="E2865" s="86" t="s">
        <v>622</v>
      </c>
      <c r="F2865" s="69">
        <v>1000.0</v>
      </c>
      <c r="G2865" s="69">
        <v>27.27</v>
      </c>
      <c r="H2865" s="68">
        <f t="shared" si="1"/>
        <v>38.08</v>
      </c>
      <c r="I2865" s="81">
        <f>IFERROR(__xludf.DUMMYFUNCTION("IF(G2865="""", """", ROUND(G2865 / MAX(FILTER($G$2:$G5067, $D$2:$D5067=$D2865)) * 100, 2))"),41.13)</f>
        <v>41.13</v>
      </c>
      <c r="J2865" s="81">
        <f>IFERROR(__xludf.DUMMYFUNCTION("IF(H2865="""", """", ROUND(H2865 / MAX(FILTER($H$2:$H5067, $D$2:$D5067=$D2865)) * 100, 2))"),7.76)</f>
        <v>7.76</v>
      </c>
      <c r="K2865" s="2"/>
      <c r="L2865" s="48"/>
      <c r="M2865" s="48"/>
      <c r="N2865" s="48"/>
      <c r="O2865" s="48" t="str">
        <f t="shared" si="2"/>
        <v/>
      </c>
      <c r="P2865" s="48" t="str">
        <f t="shared" si="3"/>
        <v/>
      </c>
      <c r="Q2865" s="84"/>
      <c r="R2865" s="84"/>
      <c r="S2865" s="84"/>
      <c r="T2865" s="84"/>
      <c r="U2865" s="84"/>
      <c r="V2865" s="84"/>
      <c r="W2865" s="84"/>
      <c r="X2865" s="84"/>
      <c r="Y2865" s="84"/>
      <c r="Z2865" s="84"/>
      <c r="AA2865" s="84"/>
      <c r="AB2865" s="84"/>
    </row>
    <row r="2866">
      <c r="A2866" s="63">
        <v>191.0</v>
      </c>
      <c r="B2866" s="63">
        <v>309.0</v>
      </c>
      <c r="C2866" s="64" t="s">
        <v>620</v>
      </c>
      <c r="D2866" s="64" t="s">
        <v>621</v>
      </c>
      <c r="E2866" s="64" t="s">
        <v>622</v>
      </c>
      <c r="F2866" s="63">
        <v>1500.0</v>
      </c>
      <c r="G2866" s="63">
        <v>29.22</v>
      </c>
      <c r="H2866" s="66">
        <f t="shared" si="1"/>
        <v>61.2</v>
      </c>
      <c r="I2866" s="81">
        <f>IFERROR(__xludf.DUMMYFUNCTION("IF(G2866="""", """", ROUND(G2866 / MAX(FILTER($G$2:$G5067, $D$2:$D5067=$D2866)) * 100, 2))"),44.07)</f>
        <v>44.07</v>
      </c>
      <c r="J2866" s="81">
        <f>IFERROR(__xludf.DUMMYFUNCTION("IF(H2866="""", """", ROUND(H2866 / MAX(FILTER($H$2:$H5067, $D$2:$D5067=$D2866)) * 100, 2))"),12.48)</f>
        <v>12.48</v>
      </c>
      <c r="K2866" s="2"/>
      <c r="L2866" s="49"/>
      <c r="M2866" s="49"/>
      <c r="N2866" s="49"/>
      <c r="O2866" s="49" t="str">
        <f t="shared" si="2"/>
        <v/>
      </c>
      <c r="P2866" s="49" t="str">
        <f t="shared" si="3"/>
        <v/>
      </c>
      <c r="Q2866" s="84"/>
      <c r="R2866" s="84"/>
      <c r="S2866" s="84"/>
      <c r="T2866" s="84"/>
      <c r="U2866" s="84"/>
      <c r="V2866" s="84"/>
      <c r="W2866" s="84"/>
      <c r="X2866" s="84"/>
      <c r="Y2866" s="84"/>
      <c r="Z2866" s="84"/>
      <c r="AA2866" s="84"/>
      <c r="AB2866" s="84"/>
    </row>
    <row r="2867">
      <c r="A2867" s="69">
        <v>191.0</v>
      </c>
      <c r="B2867" s="69">
        <v>309.0</v>
      </c>
      <c r="C2867" s="86" t="s">
        <v>620</v>
      </c>
      <c r="D2867" s="86" t="s">
        <v>621</v>
      </c>
      <c r="E2867" s="86" t="s">
        <v>622</v>
      </c>
      <c r="F2867" s="69">
        <v>2000.0</v>
      </c>
      <c r="G2867" s="69">
        <v>34.22</v>
      </c>
      <c r="H2867" s="68">
        <f t="shared" si="1"/>
        <v>95.56</v>
      </c>
      <c r="I2867" s="81">
        <f>IFERROR(__xludf.DUMMYFUNCTION("IF(G2867="""", """", ROUND(G2867 / MAX(FILTER($G$2:$G5067, $D$2:$D5067=$D2867)) * 100, 2))"),51.61)</f>
        <v>51.61</v>
      </c>
      <c r="J2867" s="81">
        <f>IFERROR(__xludf.DUMMYFUNCTION("IF(H2867="""", """", ROUND(H2867 / MAX(FILTER($H$2:$H5067, $D$2:$D5067=$D2867)) * 100, 2))"),19.48)</f>
        <v>19.48</v>
      </c>
      <c r="K2867" s="2"/>
      <c r="L2867" s="48"/>
      <c r="M2867" s="48"/>
      <c r="N2867" s="48"/>
      <c r="O2867" s="48" t="str">
        <f t="shared" si="2"/>
        <v/>
      </c>
      <c r="P2867" s="48" t="str">
        <f t="shared" si="3"/>
        <v/>
      </c>
      <c r="Q2867" s="84"/>
      <c r="R2867" s="84"/>
      <c r="S2867" s="84"/>
      <c r="T2867" s="84"/>
      <c r="U2867" s="84"/>
      <c r="V2867" s="84"/>
      <c r="W2867" s="84"/>
      <c r="X2867" s="84"/>
      <c r="Y2867" s="84"/>
      <c r="Z2867" s="84"/>
      <c r="AA2867" s="84"/>
      <c r="AB2867" s="84"/>
    </row>
    <row r="2868">
      <c r="A2868" s="63">
        <v>191.0</v>
      </c>
      <c r="B2868" s="63">
        <v>309.0</v>
      </c>
      <c r="C2868" s="64" t="s">
        <v>620</v>
      </c>
      <c r="D2868" s="64" t="s">
        <v>621</v>
      </c>
      <c r="E2868" s="64" t="s">
        <v>622</v>
      </c>
      <c r="F2868" s="63">
        <v>2500.0</v>
      </c>
      <c r="G2868" s="63">
        <v>40.74</v>
      </c>
      <c r="H2868" s="66">
        <f t="shared" si="1"/>
        <v>142.21</v>
      </c>
      <c r="I2868" s="81">
        <f>IFERROR(__xludf.DUMMYFUNCTION("IF(G2868="""", """", ROUND(G2868 / MAX(FILTER($G$2:$G5067, $D$2:$D5067=$D2868)) * 100, 2))"),61.45)</f>
        <v>61.45</v>
      </c>
      <c r="J2868" s="81">
        <f>IFERROR(__xludf.DUMMYFUNCTION("IF(H2868="""", """", ROUND(H2868 / MAX(FILTER($H$2:$H5067, $D$2:$D5067=$D2868)) * 100, 2))"),28.99)</f>
        <v>28.99</v>
      </c>
      <c r="K2868" s="2"/>
      <c r="L2868" s="49"/>
      <c r="M2868" s="49"/>
      <c r="N2868" s="49"/>
      <c r="O2868" s="49" t="str">
        <f t="shared" si="2"/>
        <v/>
      </c>
      <c r="P2868" s="49" t="str">
        <f t="shared" si="3"/>
        <v/>
      </c>
      <c r="Q2868" s="84"/>
      <c r="R2868" s="84"/>
      <c r="S2868" s="84"/>
      <c r="T2868" s="84"/>
      <c r="U2868" s="84"/>
      <c r="V2868" s="84"/>
      <c r="W2868" s="84"/>
      <c r="X2868" s="84"/>
      <c r="Y2868" s="84"/>
      <c r="Z2868" s="84"/>
      <c r="AA2868" s="84"/>
      <c r="AB2868" s="84"/>
    </row>
    <row r="2869">
      <c r="A2869" s="69">
        <v>191.0</v>
      </c>
      <c r="B2869" s="69">
        <v>309.0</v>
      </c>
      <c r="C2869" s="86" t="s">
        <v>620</v>
      </c>
      <c r="D2869" s="86" t="s">
        <v>621</v>
      </c>
      <c r="E2869" s="86" t="s">
        <v>622</v>
      </c>
      <c r="F2869" s="69">
        <v>3000.0</v>
      </c>
      <c r="G2869" s="69">
        <v>47.36</v>
      </c>
      <c r="H2869" s="68">
        <f t="shared" si="1"/>
        <v>198.38</v>
      </c>
      <c r="I2869" s="81">
        <f>IFERROR(__xludf.DUMMYFUNCTION("IF(G2869="""", """", ROUND(G2869 / MAX(FILTER($G$2:$G5067, $D$2:$D5067=$D2869)) * 100, 2))"),71.43)</f>
        <v>71.43</v>
      </c>
      <c r="J2869" s="81">
        <f>IFERROR(__xludf.DUMMYFUNCTION("IF(H2869="""", """", ROUND(H2869 / MAX(FILTER($H$2:$H5067, $D$2:$D5067=$D2869)) * 100, 2))"),40.44)</f>
        <v>40.44</v>
      </c>
      <c r="K2869" s="2"/>
      <c r="L2869" s="48"/>
      <c r="M2869" s="48"/>
      <c r="N2869" s="48"/>
      <c r="O2869" s="48" t="str">
        <f t="shared" si="2"/>
        <v/>
      </c>
      <c r="P2869" s="48" t="str">
        <f t="shared" si="3"/>
        <v/>
      </c>
      <c r="Q2869" s="84"/>
      <c r="R2869" s="84"/>
      <c r="S2869" s="84"/>
      <c r="T2869" s="84"/>
      <c r="U2869" s="84"/>
      <c r="V2869" s="84"/>
      <c r="W2869" s="84"/>
      <c r="X2869" s="84"/>
      <c r="Y2869" s="84"/>
      <c r="Z2869" s="84"/>
      <c r="AA2869" s="84"/>
      <c r="AB2869" s="84"/>
    </row>
    <row r="2870">
      <c r="A2870" s="63">
        <v>191.0</v>
      </c>
      <c r="B2870" s="63">
        <v>309.0</v>
      </c>
      <c r="C2870" s="64" t="s">
        <v>620</v>
      </c>
      <c r="D2870" s="64" t="s">
        <v>621</v>
      </c>
      <c r="E2870" s="64" t="s">
        <v>622</v>
      </c>
      <c r="F2870" s="63">
        <v>3500.0</v>
      </c>
      <c r="G2870" s="63">
        <v>56.14</v>
      </c>
      <c r="H2870" s="66">
        <f t="shared" si="1"/>
        <v>274.35</v>
      </c>
      <c r="I2870" s="81">
        <f>IFERROR(__xludf.DUMMYFUNCTION("IF(G2870="""", """", ROUND(G2870 / MAX(FILTER($G$2:$G5067, $D$2:$D5067=$D2870)) * 100, 2))"),84.68)</f>
        <v>84.68</v>
      </c>
      <c r="J2870" s="81">
        <f>IFERROR(__xludf.DUMMYFUNCTION("IF(H2870="""", """", ROUND(H2870 / MAX(FILTER($H$2:$H5067, $D$2:$D5067=$D2870)) * 100, 2))"),55.93)</f>
        <v>55.93</v>
      </c>
      <c r="K2870" s="2"/>
      <c r="L2870" s="49"/>
      <c r="M2870" s="49"/>
      <c r="N2870" s="49"/>
      <c r="O2870" s="49" t="str">
        <f t="shared" si="2"/>
        <v/>
      </c>
      <c r="P2870" s="49" t="str">
        <f t="shared" si="3"/>
        <v/>
      </c>
      <c r="Q2870" s="84"/>
      <c r="R2870" s="84"/>
      <c r="S2870" s="84"/>
      <c r="T2870" s="84"/>
      <c r="U2870" s="84"/>
      <c r="V2870" s="84"/>
      <c r="W2870" s="84"/>
      <c r="X2870" s="84"/>
      <c r="Y2870" s="84"/>
      <c r="Z2870" s="84"/>
      <c r="AA2870" s="84"/>
      <c r="AB2870" s="84"/>
    </row>
    <row r="2871">
      <c r="A2871" s="69">
        <v>191.0</v>
      </c>
      <c r="B2871" s="69">
        <v>309.0</v>
      </c>
      <c r="C2871" s="86" t="s">
        <v>620</v>
      </c>
      <c r="D2871" s="86" t="s">
        <v>621</v>
      </c>
      <c r="E2871" s="86" t="s">
        <v>622</v>
      </c>
      <c r="F2871" s="69">
        <v>4000.0</v>
      </c>
      <c r="G2871" s="69">
        <v>62.22</v>
      </c>
      <c r="H2871" s="68">
        <f t="shared" si="1"/>
        <v>347.5</v>
      </c>
      <c r="I2871" s="81">
        <f>IFERROR(__xludf.DUMMYFUNCTION("IF(G2871="""", """", ROUND(G2871 / MAX(FILTER($G$2:$G5067, $D$2:$D5067=$D2871)) * 100, 2))"),93.85)</f>
        <v>93.85</v>
      </c>
      <c r="J2871" s="81">
        <f>IFERROR(__xludf.DUMMYFUNCTION("IF(H2871="""", """", ROUND(H2871 / MAX(FILTER($H$2:$H5067, $D$2:$D5067=$D2871)) * 100, 2))"),70.84)</f>
        <v>70.84</v>
      </c>
      <c r="K2871" s="2"/>
      <c r="L2871" s="48"/>
      <c r="M2871" s="48"/>
      <c r="N2871" s="48"/>
      <c r="O2871" s="48" t="str">
        <f t="shared" si="2"/>
        <v/>
      </c>
      <c r="P2871" s="48" t="str">
        <f t="shared" si="3"/>
        <v/>
      </c>
      <c r="Q2871" s="84"/>
      <c r="R2871" s="84"/>
      <c r="S2871" s="84"/>
      <c r="T2871" s="84"/>
      <c r="U2871" s="84"/>
      <c r="V2871" s="84"/>
      <c r="W2871" s="84"/>
      <c r="X2871" s="84"/>
      <c r="Y2871" s="84"/>
      <c r="Z2871" s="84"/>
      <c r="AA2871" s="84"/>
      <c r="AB2871" s="84"/>
    </row>
    <row r="2872">
      <c r="A2872" s="63">
        <v>191.0</v>
      </c>
      <c r="B2872" s="63">
        <v>309.0</v>
      </c>
      <c r="C2872" s="64" t="s">
        <v>620</v>
      </c>
      <c r="D2872" s="64" t="s">
        <v>621</v>
      </c>
      <c r="E2872" s="64" t="s">
        <v>622</v>
      </c>
      <c r="F2872" s="63">
        <v>4800.0</v>
      </c>
      <c r="G2872" s="63">
        <v>66.3</v>
      </c>
      <c r="H2872" s="66">
        <f t="shared" si="1"/>
        <v>444.35</v>
      </c>
      <c r="I2872" s="81">
        <f>IFERROR(__xludf.DUMMYFUNCTION("IF(G2872="""", """", ROUND(G2872 / MAX(FILTER($G$2:$G5067, $D$2:$D5067=$D2872)) * 100, 2))"),100.0)</f>
        <v>100</v>
      </c>
      <c r="J2872" s="81">
        <f>IFERROR(__xludf.DUMMYFUNCTION("IF(H2872="""", """", ROUND(H2872 / MAX(FILTER($H$2:$H5067, $D$2:$D5067=$D2872)) * 100, 2))"),90.58)</f>
        <v>90.58</v>
      </c>
      <c r="K2872" s="2"/>
      <c r="L2872" s="49"/>
      <c r="M2872" s="49"/>
      <c r="N2872" s="49"/>
      <c r="O2872" s="49" t="str">
        <f t="shared" si="2"/>
        <v/>
      </c>
      <c r="P2872" s="49" t="str">
        <f t="shared" si="3"/>
        <v/>
      </c>
      <c r="Q2872" s="84"/>
      <c r="R2872" s="84"/>
      <c r="S2872" s="84"/>
      <c r="T2872" s="84"/>
      <c r="U2872" s="84"/>
      <c r="V2872" s="84"/>
      <c r="W2872" s="84"/>
      <c r="X2872" s="84"/>
      <c r="Y2872" s="84"/>
      <c r="Z2872" s="84"/>
      <c r="AA2872" s="84"/>
      <c r="AB2872" s="84"/>
    </row>
    <row r="2873">
      <c r="A2873" s="69">
        <v>191.0</v>
      </c>
      <c r="B2873" s="69">
        <v>309.0</v>
      </c>
      <c r="C2873" s="86" t="s">
        <v>620</v>
      </c>
      <c r="D2873" s="86" t="s">
        <v>621</v>
      </c>
      <c r="E2873" s="86" t="s">
        <v>622</v>
      </c>
      <c r="F2873" s="69">
        <v>5000.0</v>
      </c>
      <c r="G2873" s="69">
        <v>66.18</v>
      </c>
      <c r="H2873" s="68">
        <f t="shared" si="1"/>
        <v>462.02</v>
      </c>
      <c r="I2873" s="81">
        <f>IFERROR(__xludf.DUMMYFUNCTION("IF(G2873="""", """", ROUND(G2873 / MAX(FILTER($G$2:$G5067, $D$2:$D5067=$D2873)) * 100, 2))"),99.82)</f>
        <v>99.82</v>
      </c>
      <c r="J2873" s="81">
        <f>IFERROR(__xludf.DUMMYFUNCTION("IF(H2873="""", """", ROUND(H2873 / MAX(FILTER($H$2:$H5067, $D$2:$D5067=$D2873)) * 100, 2))"),94.18)</f>
        <v>94.18</v>
      </c>
      <c r="K2873" s="2"/>
      <c r="L2873" s="48"/>
      <c r="M2873" s="48"/>
      <c r="N2873" s="48"/>
      <c r="O2873" s="48" t="str">
        <f t="shared" si="2"/>
        <v/>
      </c>
      <c r="P2873" s="48" t="str">
        <f t="shared" si="3"/>
        <v/>
      </c>
      <c r="Q2873" s="84"/>
      <c r="R2873" s="84"/>
      <c r="S2873" s="84"/>
      <c r="T2873" s="84"/>
      <c r="U2873" s="84"/>
      <c r="V2873" s="84"/>
      <c r="W2873" s="84"/>
      <c r="X2873" s="84"/>
      <c r="Y2873" s="84"/>
      <c r="Z2873" s="84"/>
      <c r="AA2873" s="84"/>
      <c r="AB2873" s="84"/>
    </row>
    <row r="2874">
      <c r="A2874" s="63">
        <v>191.0</v>
      </c>
      <c r="B2874" s="63">
        <v>309.0</v>
      </c>
      <c r="C2874" s="64" t="s">
        <v>620</v>
      </c>
      <c r="D2874" s="64" t="s">
        <v>621</v>
      </c>
      <c r="E2874" s="64" t="s">
        <v>622</v>
      </c>
      <c r="F2874" s="63">
        <v>5500.0</v>
      </c>
      <c r="G2874" s="63">
        <v>63.88</v>
      </c>
      <c r="H2874" s="66">
        <f t="shared" si="1"/>
        <v>490.56</v>
      </c>
      <c r="I2874" s="81">
        <f>IFERROR(__xludf.DUMMYFUNCTION("IF(G2874="""", """", ROUND(G2874 / MAX(FILTER($G$2:$G5067, $D$2:$D5067=$D2874)) * 100, 2))"),96.35)</f>
        <v>96.35</v>
      </c>
      <c r="J2874" s="81">
        <f>IFERROR(__xludf.DUMMYFUNCTION("IF(H2874="""", """", ROUND(H2874 / MAX(FILTER($H$2:$H5067, $D$2:$D5067=$D2874)) * 100, 2))"),100.0)</f>
        <v>100</v>
      </c>
      <c r="K2874" s="2"/>
      <c r="L2874" s="49"/>
      <c r="M2874" s="49"/>
      <c r="N2874" s="49"/>
      <c r="O2874" s="49" t="str">
        <f t="shared" si="2"/>
        <v/>
      </c>
      <c r="P2874" s="49" t="str">
        <f t="shared" si="3"/>
        <v/>
      </c>
      <c r="Q2874" s="84"/>
      <c r="R2874" s="84"/>
      <c r="S2874" s="84"/>
      <c r="T2874" s="84"/>
      <c r="U2874" s="84"/>
      <c r="V2874" s="84"/>
      <c r="W2874" s="84"/>
      <c r="X2874" s="84"/>
      <c r="Y2874" s="84"/>
      <c r="Z2874" s="84"/>
      <c r="AA2874" s="84"/>
      <c r="AB2874" s="84"/>
    </row>
    <row r="2875">
      <c r="A2875" s="69">
        <v>191.0</v>
      </c>
      <c r="B2875" s="69">
        <v>309.0</v>
      </c>
      <c r="C2875" s="86" t="s">
        <v>620</v>
      </c>
      <c r="D2875" s="86" t="s">
        <v>621</v>
      </c>
      <c r="E2875" s="86" t="s">
        <v>622</v>
      </c>
      <c r="F2875" s="69">
        <v>6000.0</v>
      </c>
      <c r="G2875" s="69">
        <v>57.81</v>
      </c>
      <c r="H2875" s="68">
        <f t="shared" si="1"/>
        <v>484.31</v>
      </c>
      <c r="I2875" s="81">
        <f>IFERROR(__xludf.DUMMYFUNCTION("IF(G2875="""", """", ROUND(G2875 / MAX(FILTER($G$2:$G5067, $D$2:$D5067=$D2875)) * 100, 2))"),87.19)</f>
        <v>87.19</v>
      </c>
      <c r="J2875" s="81">
        <f>IFERROR(__xludf.DUMMYFUNCTION("IF(H2875="""", """", ROUND(H2875 / MAX(FILTER($H$2:$H5067, $D$2:$D5067=$D2875)) * 100, 2))"),98.73)</f>
        <v>98.73</v>
      </c>
      <c r="K2875" s="2"/>
      <c r="L2875" s="48"/>
      <c r="M2875" s="48"/>
      <c r="N2875" s="48"/>
      <c r="O2875" s="48" t="str">
        <f t="shared" si="2"/>
        <v/>
      </c>
      <c r="P2875" s="48" t="str">
        <f t="shared" si="3"/>
        <v/>
      </c>
      <c r="Q2875" s="84"/>
      <c r="R2875" s="84"/>
      <c r="S2875" s="84"/>
      <c r="T2875" s="84"/>
      <c r="U2875" s="84"/>
      <c r="V2875" s="84"/>
      <c r="W2875" s="84"/>
      <c r="X2875" s="84"/>
      <c r="Y2875" s="84"/>
      <c r="Z2875" s="84"/>
      <c r="AA2875" s="84"/>
      <c r="AB2875" s="84"/>
    </row>
    <row r="2876">
      <c r="A2876" s="63">
        <v>191.0</v>
      </c>
      <c r="B2876" s="63">
        <v>309.0</v>
      </c>
      <c r="C2876" s="64" t="s">
        <v>620</v>
      </c>
      <c r="D2876" s="64" t="s">
        <v>621</v>
      </c>
      <c r="E2876" s="64" t="s">
        <v>622</v>
      </c>
      <c r="F2876" s="63">
        <v>6500.0</v>
      </c>
      <c r="G2876" s="63">
        <v>51.77</v>
      </c>
      <c r="H2876" s="66">
        <f t="shared" si="1"/>
        <v>469.85</v>
      </c>
      <c r="I2876" s="81">
        <f>IFERROR(__xludf.DUMMYFUNCTION("IF(G2876="""", """", ROUND(G2876 / MAX(FILTER($G$2:$G5067, $D$2:$D5067=$D2876)) * 100, 2))"),78.08)</f>
        <v>78.08</v>
      </c>
      <c r="J2876" s="81">
        <f>IFERROR(__xludf.DUMMYFUNCTION("IF(H2876="""", """", ROUND(H2876 / MAX(FILTER($H$2:$H5067, $D$2:$D5067=$D2876)) * 100, 2))"),95.78)</f>
        <v>95.78</v>
      </c>
      <c r="K2876" s="2"/>
      <c r="L2876" s="49"/>
      <c r="M2876" s="49"/>
      <c r="N2876" s="49"/>
      <c r="O2876" s="49" t="str">
        <f t="shared" si="2"/>
        <v/>
      </c>
      <c r="P2876" s="49" t="str">
        <f t="shared" si="3"/>
        <v/>
      </c>
      <c r="Q2876" s="84"/>
      <c r="R2876" s="84"/>
      <c r="S2876" s="84"/>
      <c r="T2876" s="84"/>
      <c r="U2876" s="84"/>
      <c r="V2876" s="84"/>
      <c r="W2876" s="84"/>
      <c r="X2876" s="84"/>
      <c r="Y2876" s="84"/>
      <c r="Z2876" s="84"/>
      <c r="AA2876" s="84"/>
      <c r="AB2876" s="84"/>
    </row>
    <row r="2877">
      <c r="A2877" s="69">
        <v>191.0</v>
      </c>
      <c r="B2877" s="69">
        <v>309.0</v>
      </c>
      <c r="C2877" s="86" t="s">
        <v>620</v>
      </c>
      <c r="D2877" s="86" t="s">
        <v>621</v>
      </c>
      <c r="E2877" s="86" t="s">
        <v>622</v>
      </c>
      <c r="F2877" s="69">
        <v>7000.0</v>
      </c>
      <c r="G2877" s="69">
        <v>43.7</v>
      </c>
      <c r="H2877" s="68">
        <f t="shared" si="1"/>
        <v>427.12</v>
      </c>
      <c r="I2877" s="81">
        <f>IFERROR(__xludf.DUMMYFUNCTION("IF(G2877="""", """", ROUND(G2877 / MAX(FILTER($G$2:$G5067, $D$2:$D5067=$D2877)) * 100, 2))"),65.91)</f>
        <v>65.91</v>
      </c>
      <c r="J2877" s="81">
        <f>IFERROR(__xludf.DUMMYFUNCTION("IF(H2877="""", """", ROUND(H2877 / MAX(FILTER($H$2:$H5067, $D$2:$D5067=$D2877)) * 100, 2))"),87.07)</f>
        <v>87.07</v>
      </c>
      <c r="K2877" s="2"/>
      <c r="L2877" s="48"/>
      <c r="M2877" s="48"/>
      <c r="N2877" s="48"/>
      <c r="O2877" s="48" t="str">
        <f t="shared" si="2"/>
        <v/>
      </c>
      <c r="P2877" s="48" t="str">
        <f t="shared" si="3"/>
        <v/>
      </c>
      <c r="Q2877" s="84"/>
      <c r="R2877" s="84"/>
      <c r="S2877" s="84"/>
      <c r="T2877" s="84"/>
      <c r="U2877" s="84"/>
      <c r="V2877" s="84"/>
      <c r="W2877" s="84"/>
      <c r="X2877" s="84"/>
      <c r="Y2877" s="84"/>
      <c r="Z2877" s="84"/>
      <c r="AA2877" s="84"/>
      <c r="AB2877" s="84"/>
    </row>
    <row r="2878">
      <c r="A2878" s="63">
        <v>191.0</v>
      </c>
      <c r="B2878" s="63">
        <v>309.0</v>
      </c>
      <c r="C2878" s="64" t="s">
        <v>620</v>
      </c>
      <c r="D2878" s="64" t="s">
        <v>621</v>
      </c>
      <c r="E2878" s="64" t="s">
        <v>622</v>
      </c>
      <c r="F2878" s="63">
        <v>7500.0</v>
      </c>
      <c r="G2878" s="63">
        <v>35.88</v>
      </c>
      <c r="H2878" s="66">
        <f t="shared" si="1"/>
        <v>375.73</v>
      </c>
      <c r="I2878" s="81">
        <f>IFERROR(__xludf.DUMMYFUNCTION("IF(G2878="""", """", ROUND(G2878 / MAX(FILTER($G$2:$G5067, $D$2:$D5067=$D2878)) * 100, 2))"),54.12)</f>
        <v>54.12</v>
      </c>
      <c r="J2878" s="81">
        <f>IFERROR(__xludf.DUMMYFUNCTION("IF(H2878="""", """", ROUND(H2878 / MAX(FILTER($H$2:$H5067, $D$2:$D5067=$D2878)) * 100, 2))"),76.59)</f>
        <v>76.59</v>
      </c>
      <c r="K2878" s="2"/>
      <c r="L2878" s="49"/>
      <c r="M2878" s="49"/>
      <c r="N2878" s="49"/>
      <c r="O2878" s="49" t="str">
        <f t="shared" si="2"/>
        <v/>
      </c>
      <c r="P2878" s="49" t="str">
        <f t="shared" si="3"/>
        <v/>
      </c>
      <c r="Q2878" s="84"/>
      <c r="R2878" s="84"/>
      <c r="S2878" s="84"/>
      <c r="T2878" s="84"/>
      <c r="U2878" s="84"/>
      <c r="V2878" s="84"/>
      <c r="W2878" s="84"/>
      <c r="X2878" s="84"/>
      <c r="Y2878" s="84"/>
      <c r="Z2878" s="84"/>
      <c r="AA2878" s="84"/>
      <c r="AB2878" s="84"/>
    </row>
    <row r="2879">
      <c r="A2879" s="69">
        <v>192.0</v>
      </c>
      <c r="B2879" s="69">
        <v>310.0</v>
      </c>
      <c r="C2879" s="86" t="s">
        <v>623</v>
      </c>
      <c r="D2879" s="86" t="s">
        <v>624</v>
      </c>
      <c r="E2879" s="86" t="s">
        <v>625</v>
      </c>
      <c r="F2879" s="69">
        <v>500.0</v>
      </c>
      <c r="G2879" s="69">
        <v>23.25</v>
      </c>
      <c r="H2879" s="68">
        <f t="shared" si="1"/>
        <v>16.23</v>
      </c>
      <c r="I2879" s="81">
        <f>IFERROR(__xludf.DUMMYFUNCTION("IF(G2879="""", """", ROUND(G2879 / MAX(FILTER($G$2:$G5067, $D$2:$D5067=$D2879)) * 100, 2))"),81.44)</f>
        <v>81.44</v>
      </c>
      <c r="J2879" s="81">
        <f>IFERROR(__xludf.DUMMYFUNCTION("IF(H2879="""", """", ROUND(H2879 / MAX(FILTER($H$2:$H5067, $D$2:$D5067=$D2879)) * 100, 2))"),7.85)</f>
        <v>7.85</v>
      </c>
      <c r="K2879" s="2"/>
      <c r="L2879" s="48"/>
      <c r="M2879" s="48"/>
      <c r="N2879" s="48"/>
      <c r="O2879" s="48" t="str">
        <f t="shared" si="2"/>
        <v/>
      </c>
      <c r="P2879" s="48" t="str">
        <f t="shared" si="3"/>
        <v/>
      </c>
      <c r="Q2879" s="84"/>
      <c r="R2879" s="84"/>
      <c r="S2879" s="84"/>
      <c r="T2879" s="84"/>
      <c r="U2879" s="84"/>
      <c r="V2879" s="84"/>
      <c r="W2879" s="84"/>
      <c r="X2879" s="84"/>
      <c r="Y2879" s="84"/>
      <c r="Z2879" s="84"/>
      <c r="AA2879" s="84"/>
      <c r="AB2879" s="84"/>
    </row>
    <row r="2880">
      <c r="A2880" s="63">
        <v>192.0</v>
      </c>
      <c r="B2880" s="63">
        <v>310.0</v>
      </c>
      <c r="C2880" s="64" t="s">
        <v>623</v>
      </c>
      <c r="D2880" s="64" t="s">
        <v>624</v>
      </c>
      <c r="E2880" s="64" t="s">
        <v>625</v>
      </c>
      <c r="F2880" s="63">
        <v>1000.0</v>
      </c>
      <c r="G2880" s="63">
        <v>23.76</v>
      </c>
      <c r="H2880" s="66">
        <f t="shared" si="1"/>
        <v>33.18</v>
      </c>
      <c r="I2880" s="81">
        <f>IFERROR(__xludf.DUMMYFUNCTION("IF(G2880="""", """", ROUND(G2880 / MAX(FILTER($G$2:$G5067, $D$2:$D5067=$D2880)) * 100, 2))"),83.22)</f>
        <v>83.22</v>
      </c>
      <c r="J2880" s="81">
        <f>IFERROR(__xludf.DUMMYFUNCTION("IF(H2880="""", """", ROUND(H2880 / MAX(FILTER($H$2:$H5067, $D$2:$D5067=$D2880)) * 100, 2))"),16.05)</f>
        <v>16.05</v>
      </c>
      <c r="K2880" s="2"/>
      <c r="L2880" s="49"/>
      <c r="M2880" s="49"/>
      <c r="N2880" s="49"/>
      <c r="O2880" s="49" t="str">
        <f t="shared" si="2"/>
        <v/>
      </c>
      <c r="P2880" s="49" t="str">
        <f t="shared" si="3"/>
        <v/>
      </c>
      <c r="Q2880" s="84"/>
      <c r="R2880" s="84"/>
      <c r="S2880" s="84"/>
      <c r="T2880" s="84"/>
      <c r="U2880" s="84"/>
      <c r="V2880" s="84"/>
      <c r="W2880" s="84"/>
      <c r="X2880" s="84"/>
      <c r="Y2880" s="84"/>
      <c r="Z2880" s="84"/>
      <c r="AA2880" s="84"/>
      <c r="AB2880" s="84"/>
    </row>
    <row r="2881">
      <c r="A2881" s="69">
        <v>192.0</v>
      </c>
      <c r="B2881" s="69">
        <v>310.0</v>
      </c>
      <c r="C2881" s="86" t="s">
        <v>623</v>
      </c>
      <c r="D2881" s="86" t="s">
        <v>624</v>
      </c>
      <c r="E2881" s="86" t="s">
        <v>625</v>
      </c>
      <c r="F2881" s="69">
        <v>1500.0</v>
      </c>
      <c r="G2881" s="69">
        <v>24.37</v>
      </c>
      <c r="H2881" s="68">
        <f t="shared" si="1"/>
        <v>51.04</v>
      </c>
      <c r="I2881" s="81">
        <f>IFERROR(__xludf.DUMMYFUNCTION("IF(G2881="""", """", ROUND(G2881 / MAX(FILTER($G$2:$G5067, $D$2:$D5067=$D2881)) * 100, 2))"),85.36)</f>
        <v>85.36</v>
      </c>
      <c r="J2881" s="81">
        <f>IFERROR(__xludf.DUMMYFUNCTION("IF(H2881="""", """", ROUND(H2881 / MAX(FILTER($H$2:$H5067, $D$2:$D5067=$D2881)) * 100, 2))"),24.69)</f>
        <v>24.69</v>
      </c>
      <c r="K2881" s="2"/>
      <c r="L2881" s="48"/>
      <c r="M2881" s="48"/>
      <c r="N2881" s="48"/>
      <c r="O2881" s="48" t="str">
        <f t="shared" si="2"/>
        <v/>
      </c>
      <c r="P2881" s="48" t="str">
        <f t="shared" si="3"/>
        <v/>
      </c>
      <c r="Q2881" s="84"/>
      <c r="R2881" s="84"/>
      <c r="S2881" s="84"/>
      <c r="T2881" s="84"/>
      <c r="U2881" s="84"/>
      <c r="V2881" s="84"/>
      <c r="W2881" s="84"/>
      <c r="X2881" s="84"/>
      <c r="Y2881" s="84"/>
      <c r="Z2881" s="84"/>
      <c r="AA2881" s="84"/>
      <c r="AB2881" s="84"/>
    </row>
    <row r="2882">
      <c r="A2882" s="63">
        <v>192.0</v>
      </c>
      <c r="B2882" s="63">
        <v>310.0</v>
      </c>
      <c r="C2882" s="64" t="s">
        <v>623</v>
      </c>
      <c r="D2882" s="64" t="s">
        <v>624</v>
      </c>
      <c r="E2882" s="64" t="s">
        <v>625</v>
      </c>
      <c r="F2882" s="63">
        <v>2000.0</v>
      </c>
      <c r="G2882" s="63">
        <v>25.29</v>
      </c>
      <c r="H2882" s="66">
        <f t="shared" si="1"/>
        <v>70.62</v>
      </c>
      <c r="I2882" s="81">
        <f>IFERROR(__xludf.DUMMYFUNCTION("IF(G2882="""", """", ROUND(G2882 / MAX(FILTER($G$2:$G5067, $D$2:$D5067=$D2882)) * 100, 2))"),88.58)</f>
        <v>88.58</v>
      </c>
      <c r="J2882" s="81">
        <f>IFERROR(__xludf.DUMMYFUNCTION("IF(H2882="""", """", ROUND(H2882 / MAX(FILTER($H$2:$H5067, $D$2:$D5067=$D2882)) * 100, 2))"),34.16)</f>
        <v>34.16</v>
      </c>
      <c r="K2882" s="2"/>
      <c r="L2882" s="49"/>
      <c r="M2882" s="49"/>
      <c r="N2882" s="49"/>
      <c r="O2882" s="49" t="str">
        <f t="shared" si="2"/>
        <v/>
      </c>
      <c r="P2882" s="49" t="str">
        <f t="shared" si="3"/>
        <v/>
      </c>
      <c r="Q2882" s="84"/>
      <c r="R2882" s="84"/>
      <c r="S2882" s="84"/>
      <c r="T2882" s="84"/>
      <c r="U2882" s="84"/>
      <c r="V2882" s="84"/>
      <c r="W2882" s="84"/>
      <c r="X2882" s="84"/>
      <c r="Y2882" s="84"/>
      <c r="Z2882" s="84"/>
      <c r="AA2882" s="84"/>
      <c r="AB2882" s="84"/>
    </row>
    <row r="2883">
      <c r="A2883" s="69">
        <v>192.0</v>
      </c>
      <c r="B2883" s="69">
        <v>310.0</v>
      </c>
      <c r="C2883" s="86" t="s">
        <v>623</v>
      </c>
      <c r="D2883" s="86" t="s">
        <v>624</v>
      </c>
      <c r="E2883" s="86" t="s">
        <v>625</v>
      </c>
      <c r="F2883" s="69">
        <v>2500.0</v>
      </c>
      <c r="G2883" s="69">
        <v>26.61</v>
      </c>
      <c r="H2883" s="68">
        <f t="shared" si="1"/>
        <v>92.89</v>
      </c>
      <c r="I2883" s="81">
        <f>IFERROR(__xludf.DUMMYFUNCTION("IF(G2883="""", """", ROUND(G2883 / MAX(FILTER($G$2:$G5067, $D$2:$D5067=$D2883)) * 100, 2))"),93.2)</f>
        <v>93.2</v>
      </c>
      <c r="J2883" s="81">
        <f>IFERROR(__xludf.DUMMYFUNCTION("IF(H2883="""", """", ROUND(H2883 / MAX(FILTER($H$2:$H5067, $D$2:$D5067=$D2883)) * 100, 2))"),44.93)</f>
        <v>44.93</v>
      </c>
      <c r="K2883" s="2"/>
      <c r="L2883" s="48"/>
      <c r="M2883" s="48"/>
      <c r="N2883" s="48"/>
      <c r="O2883" s="48" t="str">
        <f t="shared" si="2"/>
        <v/>
      </c>
      <c r="P2883" s="48" t="str">
        <f t="shared" si="3"/>
        <v/>
      </c>
      <c r="Q2883" s="84"/>
      <c r="R2883" s="84"/>
      <c r="S2883" s="84"/>
      <c r="T2883" s="84"/>
      <c r="U2883" s="84"/>
      <c r="V2883" s="84"/>
      <c r="W2883" s="84"/>
      <c r="X2883" s="84"/>
      <c r="Y2883" s="84"/>
      <c r="Z2883" s="84"/>
      <c r="AA2883" s="84"/>
      <c r="AB2883" s="84"/>
    </row>
    <row r="2884">
      <c r="A2884" s="63">
        <v>192.0</v>
      </c>
      <c r="B2884" s="63">
        <v>310.0</v>
      </c>
      <c r="C2884" s="64" t="s">
        <v>623</v>
      </c>
      <c r="D2884" s="64" t="s">
        <v>624</v>
      </c>
      <c r="E2884" s="64" t="s">
        <v>625</v>
      </c>
      <c r="F2884" s="63">
        <v>3000.0</v>
      </c>
      <c r="G2884" s="63">
        <v>26.92</v>
      </c>
      <c r="H2884" s="66">
        <f t="shared" si="1"/>
        <v>112.76</v>
      </c>
      <c r="I2884" s="81">
        <f>IFERROR(__xludf.DUMMYFUNCTION("IF(G2884="""", """", ROUND(G2884 / MAX(FILTER($G$2:$G5067, $D$2:$D5067=$D2884)) * 100, 2))"),94.29)</f>
        <v>94.29</v>
      </c>
      <c r="J2884" s="81">
        <f>IFERROR(__xludf.DUMMYFUNCTION("IF(H2884="""", """", ROUND(H2884 / MAX(FILTER($H$2:$H5067, $D$2:$D5067=$D2884)) * 100, 2))"),54.54)</f>
        <v>54.54</v>
      </c>
      <c r="K2884" s="2"/>
      <c r="L2884" s="49"/>
      <c r="M2884" s="49"/>
      <c r="N2884" s="49"/>
      <c r="O2884" s="49" t="str">
        <f t="shared" si="2"/>
        <v/>
      </c>
      <c r="P2884" s="49" t="str">
        <f t="shared" si="3"/>
        <v/>
      </c>
      <c r="Q2884" s="84"/>
      <c r="R2884" s="84"/>
      <c r="S2884" s="84"/>
      <c r="T2884" s="84"/>
      <c r="U2884" s="84"/>
      <c r="V2884" s="84"/>
      <c r="W2884" s="84"/>
      <c r="X2884" s="84"/>
      <c r="Y2884" s="84"/>
      <c r="Z2884" s="84"/>
      <c r="AA2884" s="84"/>
      <c r="AB2884" s="84"/>
    </row>
    <row r="2885">
      <c r="A2885" s="69">
        <v>192.0</v>
      </c>
      <c r="B2885" s="69">
        <v>310.0</v>
      </c>
      <c r="C2885" s="86" t="s">
        <v>623</v>
      </c>
      <c r="D2885" s="86" t="s">
        <v>624</v>
      </c>
      <c r="E2885" s="86" t="s">
        <v>625</v>
      </c>
      <c r="F2885" s="69">
        <v>3500.0</v>
      </c>
      <c r="G2885" s="69">
        <v>28.25</v>
      </c>
      <c r="H2885" s="68">
        <f t="shared" si="1"/>
        <v>138.06</v>
      </c>
      <c r="I2885" s="81">
        <f>IFERROR(__xludf.DUMMYFUNCTION("IF(G2885="""", """", ROUND(G2885 / MAX(FILTER($G$2:$G5067, $D$2:$D5067=$D2885)) * 100, 2))"),98.95)</f>
        <v>98.95</v>
      </c>
      <c r="J2885" s="81">
        <f>IFERROR(__xludf.DUMMYFUNCTION("IF(H2885="""", """", ROUND(H2885 / MAX(FILTER($H$2:$H5067, $D$2:$D5067=$D2885)) * 100, 2))"),66.77)</f>
        <v>66.77</v>
      </c>
      <c r="K2885" s="2"/>
      <c r="L2885" s="48"/>
      <c r="M2885" s="48"/>
      <c r="N2885" s="48"/>
      <c r="O2885" s="48" t="str">
        <f t="shared" si="2"/>
        <v/>
      </c>
      <c r="P2885" s="48" t="str">
        <f t="shared" si="3"/>
        <v/>
      </c>
      <c r="Q2885" s="84"/>
      <c r="R2885" s="84"/>
      <c r="S2885" s="84"/>
      <c r="T2885" s="84"/>
      <c r="U2885" s="84"/>
      <c r="V2885" s="84"/>
      <c r="W2885" s="84"/>
      <c r="X2885" s="84"/>
      <c r="Y2885" s="84"/>
      <c r="Z2885" s="84"/>
      <c r="AA2885" s="84"/>
      <c r="AB2885" s="84"/>
    </row>
    <row r="2886">
      <c r="A2886" s="63">
        <v>192.0</v>
      </c>
      <c r="B2886" s="63">
        <v>310.0</v>
      </c>
      <c r="C2886" s="64" t="s">
        <v>623</v>
      </c>
      <c r="D2886" s="64" t="s">
        <v>624</v>
      </c>
      <c r="E2886" s="64" t="s">
        <v>625</v>
      </c>
      <c r="F2886" s="63">
        <v>4000.0</v>
      </c>
      <c r="G2886" s="63">
        <v>28.55</v>
      </c>
      <c r="H2886" s="66">
        <f t="shared" si="1"/>
        <v>159.45</v>
      </c>
      <c r="I2886" s="81">
        <f>IFERROR(__xludf.DUMMYFUNCTION("IF(G2886="""", """", ROUND(G2886 / MAX(FILTER($G$2:$G5067, $D$2:$D5067=$D2886)) * 100, 2))"),100.0)</f>
        <v>100</v>
      </c>
      <c r="J2886" s="81">
        <f>IFERROR(__xludf.DUMMYFUNCTION("IF(H2886="""", """", ROUND(H2886 / MAX(FILTER($H$2:$H5067, $D$2:$D5067=$D2886)) * 100, 2))"),77.12)</f>
        <v>77.12</v>
      </c>
      <c r="K2886" s="2"/>
      <c r="L2886" s="49"/>
      <c r="M2886" s="49"/>
      <c r="N2886" s="49"/>
      <c r="O2886" s="49" t="str">
        <f t="shared" si="2"/>
        <v/>
      </c>
      <c r="P2886" s="49" t="str">
        <f t="shared" si="3"/>
        <v/>
      </c>
      <c r="Q2886" s="84"/>
      <c r="R2886" s="84"/>
      <c r="S2886" s="84"/>
      <c r="T2886" s="84"/>
      <c r="U2886" s="84"/>
      <c r="V2886" s="84"/>
      <c r="W2886" s="84"/>
      <c r="X2886" s="84"/>
      <c r="Y2886" s="84"/>
      <c r="Z2886" s="84"/>
      <c r="AA2886" s="84"/>
      <c r="AB2886" s="84"/>
    </row>
    <row r="2887">
      <c r="A2887" s="69">
        <v>192.0</v>
      </c>
      <c r="B2887" s="69">
        <v>310.0</v>
      </c>
      <c r="C2887" s="86" t="s">
        <v>623</v>
      </c>
      <c r="D2887" s="86" t="s">
        <v>624</v>
      </c>
      <c r="E2887" s="86" t="s">
        <v>625</v>
      </c>
      <c r="F2887" s="69">
        <v>4500.0</v>
      </c>
      <c r="G2887" s="69">
        <v>27.84</v>
      </c>
      <c r="H2887" s="68">
        <f t="shared" si="1"/>
        <v>174.92</v>
      </c>
      <c r="I2887" s="81">
        <f>IFERROR(__xludf.DUMMYFUNCTION("IF(G2887="""", """", ROUND(G2887 / MAX(FILTER($G$2:$G5067, $D$2:$D5067=$D2887)) * 100, 2))"),97.51)</f>
        <v>97.51</v>
      </c>
      <c r="J2887" s="81">
        <f>IFERROR(__xludf.DUMMYFUNCTION("IF(H2887="""", """", ROUND(H2887 / MAX(FILTER($H$2:$H5067, $D$2:$D5067=$D2887)) * 100, 2))"),84.6)</f>
        <v>84.6</v>
      </c>
      <c r="K2887" s="2"/>
      <c r="L2887" s="48"/>
      <c r="M2887" s="48"/>
      <c r="N2887" s="48"/>
      <c r="O2887" s="48" t="str">
        <f t="shared" si="2"/>
        <v/>
      </c>
      <c r="P2887" s="48" t="str">
        <f t="shared" si="3"/>
        <v/>
      </c>
      <c r="Q2887" s="84"/>
      <c r="R2887" s="84"/>
      <c r="S2887" s="84"/>
      <c r="T2887" s="84"/>
      <c r="U2887" s="84"/>
      <c r="V2887" s="84"/>
      <c r="W2887" s="84"/>
      <c r="X2887" s="84"/>
      <c r="Y2887" s="84"/>
      <c r="Z2887" s="84"/>
      <c r="AA2887" s="84"/>
      <c r="AB2887" s="84"/>
    </row>
    <row r="2888">
      <c r="A2888" s="63">
        <v>192.0</v>
      </c>
      <c r="B2888" s="63">
        <v>310.0</v>
      </c>
      <c r="C2888" s="64" t="s">
        <v>623</v>
      </c>
      <c r="D2888" s="64" t="s">
        <v>624</v>
      </c>
      <c r="E2888" s="64" t="s">
        <v>625</v>
      </c>
      <c r="F2888" s="63">
        <v>5000.0</v>
      </c>
      <c r="G2888" s="63">
        <v>26.92</v>
      </c>
      <c r="H2888" s="66">
        <f t="shared" si="1"/>
        <v>187.94</v>
      </c>
      <c r="I2888" s="81">
        <f>IFERROR(__xludf.DUMMYFUNCTION("IF(G2888="""", """", ROUND(G2888 / MAX(FILTER($G$2:$G5067, $D$2:$D5067=$D2888)) * 100, 2))"),94.29)</f>
        <v>94.29</v>
      </c>
      <c r="J2888" s="81">
        <f>IFERROR(__xludf.DUMMYFUNCTION("IF(H2888="""", """", ROUND(H2888 / MAX(FILTER($H$2:$H5067, $D$2:$D5067=$D2888)) * 100, 2))"),90.9)</f>
        <v>90.9</v>
      </c>
      <c r="K2888" s="2"/>
      <c r="L2888" s="49"/>
      <c r="M2888" s="49"/>
      <c r="N2888" s="49"/>
      <c r="O2888" s="49" t="str">
        <f t="shared" si="2"/>
        <v/>
      </c>
      <c r="P2888" s="49" t="str">
        <f t="shared" si="3"/>
        <v/>
      </c>
      <c r="Q2888" s="84"/>
      <c r="R2888" s="84"/>
      <c r="S2888" s="84"/>
      <c r="T2888" s="84"/>
      <c r="U2888" s="84"/>
      <c r="V2888" s="84"/>
      <c r="W2888" s="84"/>
      <c r="X2888" s="84"/>
      <c r="Y2888" s="84"/>
      <c r="Z2888" s="84"/>
      <c r="AA2888" s="84"/>
      <c r="AB2888" s="84"/>
    </row>
    <row r="2889">
      <c r="A2889" s="69">
        <v>192.0</v>
      </c>
      <c r="B2889" s="69">
        <v>310.0</v>
      </c>
      <c r="C2889" s="86" t="s">
        <v>623</v>
      </c>
      <c r="D2889" s="86" t="s">
        <v>624</v>
      </c>
      <c r="E2889" s="86" t="s">
        <v>625</v>
      </c>
      <c r="F2889" s="69">
        <v>5500.0</v>
      </c>
      <c r="G2889" s="69">
        <v>25.8</v>
      </c>
      <c r="H2889" s="68">
        <f t="shared" si="1"/>
        <v>198.13</v>
      </c>
      <c r="I2889" s="81">
        <f>IFERROR(__xludf.DUMMYFUNCTION("IF(G2889="""", """", ROUND(G2889 / MAX(FILTER($G$2:$G5067, $D$2:$D5067=$D2889)) * 100, 2))"),90.37)</f>
        <v>90.37</v>
      </c>
      <c r="J2889" s="81">
        <f>IFERROR(__xludf.DUMMYFUNCTION("IF(H2889="""", """", ROUND(H2889 / MAX(FILTER($H$2:$H5067, $D$2:$D5067=$D2889)) * 100, 2))"),95.83)</f>
        <v>95.83</v>
      </c>
      <c r="K2889" s="2"/>
      <c r="L2889" s="48"/>
      <c r="M2889" s="48"/>
      <c r="N2889" s="48"/>
      <c r="O2889" s="48" t="str">
        <f t="shared" si="2"/>
        <v/>
      </c>
      <c r="P2889" s="48" t="str">
        <f t="shared" si="3"/>
        <v/>
      </c>
      <c r="Q2889" s="84"/>
      <c r="R2889" s="84"/>
      <c r="S2889" s="84"/>
      <c r="T2889" s="84"/>
      <c r="U2889" s="84"/>
      <c r="V2889" s="84"/>
      <c r="W2889" s="84"/>
      <c r="X2889" s="84"/>
      <c r="Y2889" s="84"/>
      <c r="Z2889" s="84"/>
      <c r="AA2889" s="84"/>
      <c r="AB2889" s="84"/>
    </row>
    <row r="2890">
      <c r="A2890" s="63">
        <v>192.0</v>
      </c>
      <c r="B2890" s="63">
        <v>310.0</v>
      </c>
      <c r="C2890" s="64" t="s">
        <v>623</v>
      </c>
      <c r="D2890" s="64" t="s">
        <v>624</v>
      </c>
      <c r="E2890" s="64" t="s">
        <v>625</v>
      </c>
      <c r="F2890" s="63">
        <v>6000.0</v>
      </c>
      <c r="G2890" s="63">
        <v>24.68</v>
      </c>
      <c r="H2890" s="66">
        <f t="shared" si="1"/>
        <v>206.76</v>
      </c>
      <c r="I2890" s="81">
        <f>IFERROR(__xludf.DUMMYFUNCTION("IF(G2890="""", """", ROUND(G2890 / MAX(FILTER($G$2:$G5067, $D$2:$D5067=$D2890)) * 100, 2))"),86.44)</f>
        <v>86.44</v>
      </c>
      <c r="J2890" s="81">
        <f>IFERROR(__xludf.DUMMYFUNCTION("IF(H2890="""", """", ROUND(H2890 / MAX(FILTER($H$2:$H5067, $D$2:$D5067=$D2890)) * 100, 2))"),100.0)</f>
        <v>100</v>
      </c>
      <c r="K2890" s="2"/>
      <c r="L2890" s="49"/>
      <c r="M2890" s="49"/>
      <c r="N2890" s="49"/>
      <c r="O2890" s="49" t="str">
        <f t="shared" si="2"/>
        <v/>
      </c>
      <c r="P2890" s="49" t="str">
        <f t="shared" si="3"/>
        <v/>
      </c>
      <c r="Q2890" s="84"/>
      <c r="R2890" s="84"/>
      <c r="S2890" s="84"/>
      <c r="T2890" s="84"/>
      <c r="U2890" s="84"/>
      <c r="V2890" s="84"/>
      <c r="W2890" s="84"/>
      <c r="X2890" s="84"/>
      <c r="Y2890" s="84"/>
      <c r="Z2890" s="84"/>
      <c r="AA2890" s="84"/>
      <c r="AB2890" s="84"/>
    </row>
    <row r="2891">
      <c r="A2891" s="69">
        <v>192.0</v>
      </c>
      <c r="B2891" s="69">
        <v>310.0</v>
      </c>
      <c r="C2891" s="86" t="s">
        <v>623</v>
      </c>
      <c r="D2891" s="86" t="s">
        <v>624</v>
      </c>
      <c r="E2891" s="86" t="s">
        <v>625</v>
      </c>
      <c r="F2891" s="69">
        <v>6500.0</v>
      </c>
      <c r="G2891" s="69">
        <v>22.74</v>
      </c>
      <c r="H2891" s="68">
        <f t="shared" si="1"/>
        <v>206.38</v>
      </c>
      <c r="I2891" s="81">
        <f>IFERROR(__xludf.DUMMYFUNCTION("IF(G2891="""", """", ROUND(G2891 / MAX(FILTER($G$2:$G5067, $D$2:$D5067=$D2891)) * 100, 2))"),79.65)</f>
        <v>79.65</v>
      </c>
      <c r="J2891" s="81">
        <f>IFERROR(__xludf.DUMMYFUNCTION("IF(H2891="""", """", ROUND(H2891 / MAX(FILTER($H$2:$H5067, $D$2:$D5067=$D2891)) * 100, 2))"),99.82)</f>
        <v>99.82</v>
      </c>
      <c r="K2891" s="2"/>
      <c r="L2891" s="48"/>
      <c r="M2891" s="48"/>
      <c r="N2891" s="48"/>
      <c r="O2891" s="48" t="str">
        <f t="shared" si="2"/>
        <v/>
      </c>
      <c r="P2891" s="48" t="str">
        <f t="shared" si="3"/>
        <v/>
      </c>
      <c r="Q2891" s="84"/>
      <c r="R2891" s="84"/>
      <c r="S2891" s="84"/>
      <c r="T2891" s="84"/>
      <c r="U2891" s="84"/>
      <c r="V2891" s="84"/>
      <c r="W2891" s="84"/>
      <c r="X2891" s="84"/>
      <c r="Y2891" s="84"/>
      <c r="Z2891" s="84"/>
      <c r="AA2891" s="84"/>
      <c r="AB2891" s="84"/>
    </row>
    <row r="2892">
      <c r="A2892" s="63">
        <v>192.0</v>
      </c>
      <c r="B2892" s="63">
        <v>310.0</v>
      </c>
      <c r="C2892" s="64" t="s">
        <v>623</v>
      </c>
      <c r="D2892" s="64" t="s">
        <v>624</v>
      </c>
      <c r="E2892" s="64" t="s">
        <v>625</v>
      </c>
      <c r="F2892" s="63">
        <v>7000.0</v>
      </c>
      <c r="G2892" s="63">
        <v>20.4</v>
      </c>
      <c r="H2892" s="66">
        <f t="shared" si="1"/>
        <v>199.39</v>
      </c>
      <c r="I2892" s="81">
        <f>IFERROR(__xludf.DUMMYFUNCTION("IF(G2892="""", """", ROUND(G2892 / MAX(FILTER($G$2:$G5067, $D$2:$D5067=$D2892)) * 100, 2))"),71.45)</f>
        <v>71.45</v>
      </c>
      <c r="J2892" s="81">
        <f>IFERROR(__xludf.DUMMYFUNCTION("IF(H2892="""", """", ROUND(H2892 / MAX(FILTER($H$2:$H5067, $D$2:$D5067=$D2892)) * 100, 2))"),96.44)</f>
        <v>96.44</v>
      </c>
      <c r="K2892" s="2"/>
      <c r="L2892" s="49"/>
      <c r="M2892" s="49"/>
      <c r="N2892" s="49"/>
      <c r="O2892" s="49" t="str">
        <f t="shared" si="2"/>
        <v/>
      </c>
      <c r="P2892" s="49" t="str">
        <f t="shared" si="3"/>
        <v/>
      </c>
      <c r="Q2892" s="84"/>
      <c r="R2892" s="84"/>
      <c r="S2892" s="84"/>
      <c r="T2892" s="84"/>
      <c r="U2892" s="84"/>
      <c r="V2892" s="84"/>
      <c r="W2892" s="84"/>
      <c r="X2892" s="84"/>
      <c r="Y2892" s="84"/>
      <c r="Z2892" s="84"/>
      <c r="AA2892" s="84"/>
      <c r="AB2892" s="84"/>
    </row>
    <row r="2893">
      <c r="A2893" s="69">
        <v>193.0</v>
      </c>
      <c r="B2893" s="69">
        <v>311.0</v>
      </c>
      <c r="C2893" s="86" t="s">
        <v>626</v>
      </c>
      <c r="D2893" s="86" t="s">
        <v>627</v>
      </c>
      <c r="E2893" s="86" t="s">
        <v>628</v>
      </c>
      <c r="F2893" s="69">
        <v>500.0</v>
      </c>
      <c r="G2893" s="69">
        <v>16.27</v>
      </c>
      <c r="H2893" s="68">
        <f t="shared" si="1"/>
        <v>11.36</v>
      </c>
      <c r="I2893" s="81">
        <f>IFERROR(__xludf.DUMMYFUNCTION("IF(G2893="""", """", ROUND(G2893 / MAX(FILTER($G$2:$G5067, $D$2:$D5067=$D2893)) * 100, 2))"),58.11)</f>
        <v>58.11</v>
      </c>
      <c r="J2893" s="81">
        <f>IFERROR(__xludf.DUMMYFUNCTION("IF(H2893="""", """", ROUND(H2893 / MAX(FILTER($H$2:$H5067, $D$2:$D5067=$D2893)) * 100, 2))"),5.18)</f>
        <v>5.18</v>
      </c>
      <c r="K2893" s="2"/>
      <c r="L2893" s="48"/>
      <c r="M2893" s="48"/>
      <c r="N2893" s="48"/>
      <c r="O2893" s="48" t="str">
        <f t="shared" si="2"/>
        <v/>
      </c>
      <c r="P2893" s="48" t="str">
        <f t="shared" si="3"/>
        <v/>
      </c>
      <c r="Q2893" s="84"/>
      <c r="R2893" s="84"/>
      <c r="S2893" s="84"/>
      <c r="T2893" s="84"/>
      <c r="U2893" s="84"/>
      <c r="V2893" s="84"/>
      <c r="W2893" s="84"/>
      <c r="X2893" s="84"/>
      <c r="Y2893" s="84"/>
      <c r="Z2893" s="84"/>
      <c r="AA2893" s="84"/>
      <c r="AB2893" s="84"/>
    </row>
    <row r="2894">
      <c r="A2894" s="63">
        <v>193.0</v>
      </c>
      <c r="B2894" s="63">
        <v>311.0</v>
      </c>
      <c r="C2894" s="64" t="s">
        <v>626</v>
      </c>
      <c r="D2894" s="64" t="s">
        <v>627</v>
      </c>
      <c r="E2894" s="64" t="s">
        <v>628</v>
      </c>
      <c r="F2894" s="63">
        <v>1000.0</v>
      </c>
      <c r="G2894" s="63">
        <v>18.9</v>
      </c>
      <c r="H2894" s="66">
        <f t="shared" si="1"/>
        <v>26.39</v>
      </c>
      <c r="I2894" s="81">
        <f>IFERROR(__xludf.DUMMYFUNCTION("IF(G2894="""", """", ROUND(G2894 / MAX(FILTER($G$2:$G5067, $D$2:$D5067=$D2894)) * 100, 2))"),67.5)</f>
        <v>67.5</v>
      </c>
      <c r="J2894" s="81">
        <f>IFERROR(__xludf.DUMMYFUNCTION("IF(H2894="""", """", ROUND(H2894 / MAX(FILTER($H$2:$H5067, $D$2:$D5067=$D2894)) * 100, 2))"),12.02)</f>
        <v>12.02</v>
      </c>
      <c r="K2894" s="2"/>
      <c r="L2894" s="49"/>
      <c r="M2894" s="49"/>
      <c r="N2894" s="49"/>
      <c r="O2894" s="49" t="str">
        <f t="shared" si="2"/>
        <v/>
      </c>
      <c r="P2894" s="49" t="str">
        <f t="shared" si="3"/>
        <v/>
      </c>
      <c r="Q2894" s="84"/>
      <c r="R2894" s="84"/>
      <c r="S2894" s="84"/>
      <c r="T2894" s="84"/>
      <c r="U2894" s="84"/>
      <c r="V2894" s="84"/>
      <c r="W2894" s="84"/>
      <c r="X2894" s="84"/>
      <c r="Y2894" s="84"/>
      <c r="Z2894" s="84"/>
      <c r="AA2894" s="84"/>
      <c r="AB2894" s="84"/>
    </row>
    <row r="2895">
      <c r="A2895" s="69">
        <v>193.0</v>
      </c>
      <c r="B2895" s="69">
        <v>311.0</v>
      </c>
      <c r="C2895" s="86" t="s">
        <v>626</v>
      </c>
      <c r="D2895" s="86" t="s">
        <v>627</v>
      </c>
      <c r="E2895" s="86" t="s">
        <v>628</v>
      </c>
      <c r="F2895" s="69">
        <v>1500.0</v>
      </c>
      <c r="G2895" s="69">
        <v>21.38</v>
      </c>
      <c r="H2895" s="68">
        <f t="shared" si="1"/>
        <v>44.78</v>
      </c>
      <c r="I2895" s="81">
        <f>IFERROR(__xludf.DUMMYFUNCTION("IF(G2895="""", """", ROUND(G2895 / MAX(FILTER($G$2:$G5067, $D$2:$D5067=$D2895)) * 100, 2))"),76.36)</f>
        <v>76.36</v>
      </c>
      <c r="J2895" s="81">
        <f>IFERROR(__xludf.DUMMYFUNCTION("IF(H2895="""", """", ROUND(H2895 / MAX(FILTER($H$2:$H5067, $D$2:$D5067=$D2895)) * 100, 2))"),20.4)</f>
        <v>20.4</v>
      </c>
      <c r="K2895" s="2"/>
      <c r="L2895" s="48"/>
      <c r="M2895" s="48"/>
      <c r="N2895" s="48"/>
      <c r="O2895" s="48" t="str">
        <f t="shared" si="2"/>
        <v/>
      </c>
      <c r="P2895" s="48" t="str">
        <f t="shared" si="3"/>
        <v/>
      </c>
      <c r="Q2895" s="84"/>
      <c r="R2895" s="84"/>
      <c r="S2895" s="84"/>
      <c r="T2895" s="84"/>
      <c r="U2895" s="84"/>
      <c r="V2895" s="84"/>
      <c r="W2895" s="84"/>
      <c r="X2895" s="84"/>
      <c r="Y2895" s="84"/>
      <c r="Z2895" s="84"/>
      <c r="AA2895" s="84"/>
      <c r="AB2895" s="84"/>
    </row>
    <row r="2896">
      <c r="A2896" s="63">
        <v>193.0</v>
      </c>
      <c r="B2896" s="63">
        <v>311.0</v>
      </c>
      <c r="C2896" s="64" t="s">
        <v>626</v>
      </c>
      <c r="D2896" s="64" t="s">
        <v>627</v>
      </c>
      <c r="E2896" s="64" t="s">
        <v>628</v>
      </c>
      <c r="F2896" s="63">
        <v>2000.0</v>
      </c>
      <c r="G2896" s="63">
        <v>23.4</v>
      </c>
      <c r="H2896" s="66">
        <f t="shared" si="1"/>
        <v>65.34</v>
      </c>
      <c r="I2896" s="81">
        <f>IFERROR(__xludf.DUMMYFUNCTION("IF(G2896="""", """", ROUND(G2896 / MAX(FILTER($G$2:$G5067, $D$2:$D5067=$D2896)) * 100, 2))"),83.57)</f>
        <v>83.57</v>
      </c>
      <c r="J2896" s="81">
        <f>IFERROR(__xludf.DUMMYFUNCTION("IF(H2896="""", """", ROUND(H2896 / MAX(FILTER($H$2:$H5067, $D$2:$D5067=$D2896)) * 100, 2))"),29.77)</f>
        <v>29.77</v>
      </c>
      <c r="K2896" s="2"/>
      <c r="L2896" s="49"/>
      <c r="M2896" s="49"/>
      <c r="N2896" s="49"/>
      <c r="O2896" s="49" t="str">
        <f t="shared" si="2"/>
        <v/>
      </c>
      <c r="P2896" s="49" t="str">
        <f t="shared" si="3"/>
        <v/>
      </c>
      <c r="Q2896" s="84"/>
      <c r="R2896" s="84"/>
      <c r="S2896" s="84"/>
      <c r="T2896" s="84"/>
      <c r="U2896" s="84"/>
      <c r="V2896" s="84"/>
      <c r="W2896" s="84"/>
      <c r="X2896" s="84"/>
      <c r="Y2896" s="84"/>
      <c r="Z2896" s="84"/>
      <c r="AA2896" s="84"/>
      <c r="AB2896" s="84"/>
    </row>
    <row r="2897">
      <c r="A2897" s="69">
        <v>193.0</v>
      </c>
      <c r="B2897" s="69">
        <v>311.0</v>
      </c>
      <c r="C2897" s="86" t="s">
        <v>626</v>
      </c>
      <c r="D2897" s="86" t="s">
        <v>627</v>
      </c>
      <c r="E2897" s="86" t="s">
        <v>628</v>
      </c>
      <c r="F2897" s="69">
        <v>2500.0</v>
      </c>
      <c r="G2897" s="69">
        <v>25.45</v>
      </c>
      <c r="H2897" s="68">
        <f t="shared" si="1"/>
        <v>88.84</v>
      </c>
      <c r="I2897" s="81">
        <f>IFERROR(__xludf.DUMMYFUNCTION("IF(G2897="""", """", ROUND(G2897 / MAX(FILTER($G$2:$G5067, $D$2:$D5067=$D2897)) * 100, 2))"),90.89)</f>
        <v>90.89</v>
      </c>
      <c r="J2897" s="81">
        <f>IFERROR(__xludf.DUMMYFUNCTION("IF(H2897="""", """", ROUND(H2897 / MAX(FILTER($H$2:$H5067, $D$2:$D5067=$D2897)) * 100, 2))"),40.48)</f>
        <v>40.48</v>
      </c>
      <c r="K2897" s="2"/>
      <c r="L2897" s="48"/>
      <c r="M2897" s="48"/>
      <c r="N2897" s="48"/>
      <c r="O2897" s="48" t="str">
        <f t="shared" si="2"/>
        <v/>
      </c>
      <c r="P2897" s="48" t="str">
        <f t="shared" si="3"/>
        <v/>
      </c>
      <c r="Q2897" s="84"/>
      <c r="R2897" s="84"/>
      <c r="S2897" s="84"/>
      <c r="T2897" s="84"/>
      <c r="U2897" s="84"/>
      <c r="V2897" s="84"/>
      <c r="W2897" s="84"/>
      <c r="X2897" s="84"/>
      <c r="Y2897" s="84"/>
      <c r="Z2897" s="84"/>
      <c r="AA2897" s="84"/>
      <c r="AB2897" s="84"/>
    </row>
    <row r="2898">
      <c r="A2898" s="63">
        <v>193.0</v>
      </c>
      <c r="B2898" s="63">
        <v>311.0</v>
      </c>
      <c r="C2898" s="64" t="s">
        <v>626</v>
      </c>
      <c r="D2898" s="64" t="s">
        <v>627</v>
      </c>
      <c r="E2898" s="64" t="s">
        <v>628</v>
      </c>
      <c r="F2898" s="63">
        <v>3000.0</v>
      </c>
      <c r="G2898" s="63">
        <v>27.0</v>
      </c>
      <c r="H2898" s="66">
        <f t="shared" si="1"/>
        <v>113.1</v>
      </c>
      <c r="I2898" s="81">
        <f>IFERROR(__xludf.DUMMYFUNCTION("IF(G2898="""", """", ROUND(G2898 / MAX(FILTER($G$2:$G5067, $D$2:$D5067=$D2898)) * 100, 2))"),96.43)</f>
        <v>96.43</v>
      </c>
      <c r="J2898" s="81">
        <f>IFERROR(__xludf.DUMMYFUNCTION("IF(H2898="""", """", ROUND(H2898 / MAX(FILTER($H$2:$H5067, $D$2:$D5067=$D2898)) * 100, 2))"),51.53)</f>
        <v>51.53</v>
      </c>
      <c r="K2898" s="2"/>
      <c r="L2898" s="49"/>
      <c r="M2898" s="49"/>
      <c r="N2898" s="49"/>
      <c r="O2898" s="49" t="str">
        <f t="shared" si="2"/>
        <v/>
      </c>
      <c r="P2898" s="49" t="str">
        <f t="shared" si="3"/>
        <v/>
      </c>
      <c r="Q2898" s="84"/>
      <c r="R2898" s="84"/>
      <c r="S2898" s="84"/>
      <c r="T2898" s="84"/>
      <c r="U2898" s="84"/>
      <c r="V2898" s="84"/>
      <c r="W2898" s="84"/>
      <c r="X2898" s="84"/>
      <c r="Y2898" s="84"/>
      <c r="Z2898" s="84"/>
      <c r="AA2898" s="84"/>
      <c r="AB2898" s="84"/>
    </row>
    <row r="2899">
      <c r="A2899" s="69">
        <v>193.0</v>
      </c>
      <c r="B2899" s="69">
        <v>311.0</v>
      </c>
      <c r="C2899" s="86" t="s">
        <v>626</v>
      </c>
      <c r="D2899" s="86" t="s">
        <v>627</v>
      </c>
      <c r="E2899" s="86" t="s">
        <v>628</v>
      </c>
      <c r="F2899" s="69">
        <v>3500.0</v>
      </c>
      <c r="G2899" s="69">
        <v>27.5</v>
      </c>
      <c r="H2899" s="68">
        <f t="shared" si="1"/>
        <v>134.39</v>
      </c>
      <c r="I2899" s="81">
        <f>IFERROR(__xludf.DUMMYFUNCTION("IF(G2899="""", """", ROUND(G2899 / MAX(FILTER($G$2:$G5067, $D$2:$D5067=$D2899)) * 100, 2))"),98.21)</f>
        <v>98.21</v>
      </c>
      <c r="J2899" s="81">
        <f>IFERROR(__xludf.DUMMYFUNCTION("IF(H2899="""", """", ROUND(H2899 / MAX(FILTER($H$2:$H5067, $D$2:$D5067=$D2899)) * 100, 2))"),61.23)</f>
        <v>61.23</v>
      </c>
      <c r="K2899" s="2"/>
      <c r="L2899" s="48"/>
      <c r="M2899" s="48"/>
      <c r="N2899" s="48"/>
      <c r="O2899" s="48" t="str">
        <f t="shared" si="2"/>
        <v/>
      </c>
      <c r="P2899" s="48" t="str">
        <f t="shared" si="3"/>
        <v/>
      </c>
      <c r="Q2899" s="84"/>
      <c r="R2899" s="84"/>
      <c r="S2899" s="84"/>
      <c r="T2899" s="84"/>
      <c r="U2899" s="84"/>
      <c r="V2899" s="84"/>
      <c r="W2899" s="84"/>
      <c r="X2899" s="84"/>
      <c r="Y2899" s="84"/>
      <c r="Z2899" s="84"/>
      <c r="AA2899" s="84"/>
      <c r="AB2899" s="84"/>
    </row>
    <row r="2900">
      <c r="A2900" s="63">
        <v>193.0</v>
      </c>
      <c r="B2900" s="63">
        <v>311.0</v>
      </c>
      <c r="C2900" s="64" t="s">
        <v>626</v>
      </c>
      <c r="D2900" s="64" t="s">
        <v>627</v>
      </c>
      <c r="E2900" s="64" t="s">
        <v>628</v>
      </c>
      <c r="F2900" s="63">
        <v>4000.0</v>
      </c>
      <c r="G2900" s="63">
        <v>27.8</v>
      </c>
      <c r="H2900" s="66">
        <f t="shared" si="1"/>
        <v>155.26</v>
      </c>
      <c r="I2900" s="81">
        <f>IFERROR(__xludf.DUMMYFUNCTION("IF(G2900="""", """", ROUND(G2900 / MAX(FILTER($G$2:$G5067, $D$2:$D5067=$D2900)) * 100, 2))"),99.29)</f>
        <v>99.29</v>
      </c>
      <c r="J2900" s="81">
        <f>IFERROR(__xludf.DUMMYFUNCTION("IF(H2900="""", """", ROUND(H2900 / MAX(FILTER($H$2:$H5067, $D$2:$D5067=$D2900)) * 100, 2))"),70.74)</f>
        <v>70.74</v>
      </c>
      <c r="K2900" s="2"/>
      <c r="L2900" s="49"/>
      <c r="M2900" s="49"/>
      <c r="N2900" s="49"/>
      <c r="O2900" s="49" t="str">
        <f t="shared" si="2"/>
        <v/>
      </c>
      <c r="P2900" s="49" t="str">
        <f t="shared" si="3"/>
        <v/>
      </c>
      <c r="Q2900" s="84"/>
      <c r="R2900" s="84"/>
      <c r="S2900" s="84"/>
      <c r="T2900" s="84"/>
      <c r="U2900" s="84"/>
      <c r="V2900" s="84"/>
      <c r="W2900" s="84"/>
      <c r="X2900" s="84"/>
      <c r="Y2900" s="84"/>
      <c r="Z2900" s="84"/>
      <c r="AA2900" s="84"/>
      <c r="AB2900" s="84"/>
    </row>
    <row r="2901">
      <c r="A2901" s="69">
        <v>193.0</v>
      </c>
      <c r="B2901" s="69">
        <v>311.0</v>
      </c>
      <c r="C2901" s="86" t="s">
        <v>626</v>
      </c>
      <c r="D2901" s="86" t="s">
        <v>627</v>
      </c>
      <c r="E2901" s="86" t="s">
        <v>628</v>
      </c>
      <c r="F2901" s="69">
        <v>4800.0</v>
      </c>
      <c r="G2901" s="69">
        <v>28.0</v>
      </c>
      <c r="H2901" s="68">
        <f t="shared" si="1"/>
        <v>187.66</v>
      </c>
      <c r="I2901" s="81">
        <f>IFERROR(__xludf.DUMMYFUNCTION("IF(G2901="""", """", ROUND(G2901 / MAX(FILTER($G$2:$G5067, $D$2:$D5067=$D2901)) * 100, 2))"),100.0)</f>
        <v>100</v>
      </c>
      <c r="J2901" s="81">
        <f>IFERROR(__xludf.DUMMYFUNCTION("IF(H2901="""", """", ROUND(H2901 / MAX(FILTER($H$2:$H5067, $D$2:$D5067=$D2901)) * 100, 2))"),85.5)</f>
        <v>85.5</v>
      </c>
      <c r="K2901" s="2"/>
      <c r="L2901" s="48"/>
      <c r="M2901" s="48"/>
      <c r="N2901" s="48"/>
      <c r="O2901" s="48" t="str">
        <f t="shared" si="2"/>
        <v/>
      </c>
      <c r="P2901" s="48" t="str">
        <f t="shared" si="3"/>
        <v/>
      </c>
      <c r="Q2901" s="84"/>
      <c r="R2901" s="84"/>
      <c r="S2901" s="84"/>
      <c r="T2901" s="84"/>
      <c r="U2901" s="84"/>
      <c r="V2901" s="84"/>
      <c r="W2901" s="84"/>
      <c r="X2901" s="84"/>
      <c r="Y2901" s="84"/>
      <c r="Z2901" s="84"/>
      <c r="AA2901" s="84"/>
      <c r="AB2901" s="84"/>
    </row>
    <row r="2902">
      <c r="A2902" s="63">
        <v>193.0</v>
      </c>
      <c r="B2902" s="63">
        <v>311.0</v>
      </c>
      <c r="C2902" s="64" t="s">
        <v>626</v>
      </c>
      <c r="D2902" s="64" t="s">
        <v>627</v>
      </c>
      <c r="E2902" s="64" t="s">
        <v>628</v>
      </c>
      <c r="F2902" s="63">
        <v>5000.0</v>
      </c>
      <c r="G2902" s="63">
        <v>28.0</v>
      </c>
      <c r="H2902" s="66">
        <f t="shared" si="1"/>
        <v>195.48</v>
      </c>
      <c r="I2902" s="81">
        <f>IFERROR(__xludf.DUMMYFUNCTION("IF(G2902="""", """", ROUND(G2902 / MAX(FILTER($G$2:$G5067, $D$2:$D5067=$D2902)) * 100, 2))"),100.0)</f>
        <v>100</v>
      </c>
      <c r="J2902" s="81">
        <f>IFERROR(__xludf.DUMMYFUNCTION("IF(H2902="""", """", ROUND(H2902 / MAX(FILTER($H$2:$H5067, $D$2:$D5067=$D2902)) * 100, 2))"),89.06)</f>
        <v>89.06</v>
      </c>
      <c r="K2902" s="2"/>
      <c r="L2902" s="49"/>
      <c r="M2902" s="49"/>
      <c r="N2902" s="49"/>
      <c r="O2902" s="49" t="str">
        <f t="shared" si="2"/>
        <v/>
      </c>
      <c r="P2902" s="49" t="str">
        <f t="shared" si="3"/>
        <v/>
      </c>
      <c r="Q2902" s="84"/>
      <c r="R2902" s="84"/>
      <c r="S2902" s="84"/>
      <c r="T2902" s="84"/>
      <c r="U2902" s="84"/>
      <c r="V2902" s="84"/>
      <c r="W2902" s="84"/>
      <c r="X2902" s="84"/>
      <c r="Y2902" s="84"/>
      <c r="Z2902" s="84"/>
      <c r="AA2902" s="84"/>
      <c r="AB2902" s="84"/>
    </row>
    <row r="2903">
      <c r="A2903" s="69">
        <v>193.0</v>
      </c>
      <c r="B2903" s="69">
        <v>311.0</v>
      </c>
      <c r="C2903" s="86" t="s">
        <v>626</v>
      </c>
      <c r="D2903" s="86" t="s">
        <v>627</v>
      </c>
      <c r="E2903" s="86" t="s">
        <v>628</v>
      </c>
      <c r="F2903" s="69">
        <v>5500.0</v>
      </c>
      <c r="G2903" s="69">
        <v>27.6</v>
      </c>
      <c r="H2903" s="68">
        <f t="shared" si="1"/>
        <v>211.95</v>
      </c>
      <c r="I2903" s="81">
        <f>IFERROR(__xludf.DUMMYFUNCTION("IF(G2903="""", """", ROUND(G2903 / MAX(FILTER($G$2:$G5067, $D$2:$D5067=$D2903)) * 100, 2))"),98.57)</f>
        <v>98.57</v>
      </c>
      <c r="J2903" s="81">
        <f>IFERROR(__xludf.DUMMYFUNCTION("IF(H2903="""", """", ROUND(H2903 / MAX(FILTER($H$2:$H5067, $D$2:$D5067=$D2903)) * 100, 2))"),96.56)</f>
        <v>96.56</v>
      </c>
      <c r="K2903" s="2"/>
      <c r="L2903" s="48"/>
      <c r="M2903" s="48"/>
      <c r="N2903" s="48"/>
      <c r="O2903" s="48" t="str">
        <f t="shared" si="2"/>
        <v/>
      </c>
      <c r="P2903" s="48" t="str">
        <f t="shared" si="3"/>
        <v/>
      </c>
      <c r="Q2903" s="84"/>
      <c r="R2903" s="84"/>
      <c r="S2903" s="84"/>
      <c r="T2903" s="84"/>
      <c r="U2903" s="84"/>
      <c r="V2903" s="84"/>
      <c r="W2903" s="84"/>
      <c r="X2903" s="84"/>
      <c r="Y2903" s="84"/>
      <c r="Z2903" s="84"/>
      <c r="AA2903" s="84"/>
      <c r="AB2903" s="84"/>
    </row>
    <row r="2904">
      <c r="A2904" s="63">
        <v>193.0</v>
      </c>
      <c r="B2904" s="63">
        <v>311.0</v>
      </c>
      <c r="C2904" s="64" t="s">
        <v>626</v>
      </c>
      <c r="D2904" s="64" t="s">
        <v>627</v>
      </c>
      <c r="E2904" s="64" t="s">
        <v>628</v>
      </c>
      <c r="F2904" s="63">
        <v>6000.0</v>
      </c>
      <c r="G2904" s="63">
        <v>26.2</v>
      </c>
      <c r="H2904" s="66">
        <f t="shared" si="1"/>
        <v>219.49</v>
      </c>
      <c r="I2904" s="81">
        <f>IFERROR(__xludf.DUMMYFUNCTION("IF(G2904="""", """", ROUND(G2904 / MAX(FILTER($G$2:$G5067, $D$2:$D5067=$D2904)) * 100, 2))"),93.57)</f>
        <v>93.57</v>
      </c>
      <c r="J2904" s="81">
        <f>IFERROR(__xludf.DUMMYFUNCTION("IF(H2904="""", """", ROUND(H2904 / MAX(FILTER($H$2:$H5067, $D$2:$D5067=$D2904)) * 100, 2))"),100.0)</f>
        <v>100</v>
      </c>
      <c r="K2904" s="2"/>
      <c r="L2904" s="49"/>
      <c r="M2904" s="49"/>
      <c r="N2904" s="49"/>
      <c r="O2904" s="49" t="str">
        <f t="shared" si="2"/>
        <v/>
      </c>
      <c r="P2904" s="49" t="str">
        <f t="shared" si="3"/>
        <v/>
      </c>
      <c r="Q2904" s="84"/>
      <c r="R2904" s="84"/>
      <c r="S2904" s="84"/>
      <c r="T2904" s="84"/>
      <c r="U2904" s="84"/>
      <c r="V2904" s="84"/>
      <c r="W2904" s="84"/>
      <c r="X2904" s="84"/>
      <c r="Y2904" s="84"/>
      <c r="Z2904" s="84"/>
      <c r="AA2904" s="84"/>
      <c r="AB2904" s="84"/>
    </row>
    <row r="2905">
      <c r="A2905" s="69">
        <v>193.0</v>
      </c>
      <c r="B2905" s="69">
        <v>311.0</v>
      </c>
      <c r="C2905" s="86" t="s">
        <v>626</v>
      </c>
      <c r="D2905" s="86" t="s">
        <v>627</v>
      </c>
      <c r="E2905" s="86" t="s">
        <v>628</v>
      </c>
      <c r="F2905" s="69">
        <v>6500.0</v>
      </c>
      <c r="G2905" s="69">
        <v>24.0</v>
      </c>
      <c r="H2905" s="68">
        <f t="shared" si="1"/>
        <v>217.82</v>
      </c>
      <c r="I2905" s="81">
        <f>IFERROR(__xludf.DUMMYFUNCTION("IF(G2905="""", """", ROUND(G2905 / MAX(FILTER($G$2:$G5067, $D$2:$D5067=$D2905)) * 100, 2))"),85.71)</f>
        <v>85.71</v>
      </c>
      <c r="J2905" s="81">
        <f>IFERROR(__xludf.DUMMYFUNCTION("IF(H2905="""", """", ROUND(H2905 / MAX(FILTER($H$2:$H5067, $D$2:$D5067=$D2905)) * 100, 2))"),99.24)</f>
        <v>99.24</v>
      </c>
      <c r="K2905" s="2"/>
      <c r="L2905" s="48"/>
      <c r="M2905" s="48"/>
      <c r="N2905" s="48"/>
      <c r="O2905" s="48" t="str">
        <f t="shared" si="2"/>
        <v/>
      </c>
      <c r="P2905" s="48" t="str">
        <f t="shared" si="3"/>
        <v/>
      </c>
      <c r="Q2905" s="84"/>
      <c r="R2905" s="84"/>
      <c r="S2905" s="84"/>
      <c r="T2905" s="84"/>
      <c r="U2905" s="84"/>
      <c r="V2905" s="84"/>
      <c r="W2905" s="84"/>
      <c r="X2905" s="84"/>
      <c r="Y2905" s="84"/>
      <c r="Z2905" s="84"/>
      <c r="AA2905" s="84"/>
      <c r="AB2905" s="84"/>
    </row>
    <row r="2906">
      <c r="A2906" s="63">
        <v>193.0</v>
      </c>
      <c r="B2906" s="63">
        <v>311.0</v>
      </c>
      <c r="C2906" s="64" t="s">
        <v>626</v>
      </c>
      <c r="D2906" s="64" t="s">
        <v>627</v>
      </c>
      <c r="E2906" s="64" t="s">
        <v>628</v>
      </c>
      <c r="F2906" s="63">
        <v>7000.0</v>
      </c>
      <c r="G2906" s="63">
        <v>21.8</v>
      </c>
      <c r="H2906" s="66">
        <f t="shared" si="1"/>
        <v>213.07</v>
      </c>
      <c r="I2906" s="81">
        <f>IFERROR(__xludf.DUMMYFUNCTION("IF(G2906="""", """", ROUND(G2906 / MAX(FILTER($G$2:$G5067, $D$2:$D5067=$D2906)) * 100, 2))"),77.86)</f>
        <v>77.86</v>
      </c>
      <c r="J2906" s="81">
        <f>IFERROR(__xludf.DUMMYFUNCTION("IF(H2906="""", """", ROUND(H2906 / MAX(FILTER($H$2:$H5067, $D$2:$D5067=$D2906)) * 100, 2))"),97.08)</f>
        <v>97.08</v>
      </c>
      <c r="K2906" s="2"/>
      <c r="L2906" s="49"/>
      <c r="M2906" s="49"/>
      <c r="N2906" s="49"/>
      <c r="O2906" s="49" t="str">
        <f t="shared" si="2"/>
        <v/>
      </c>
      <c r="P2906" s="49" t="str">
        <f t="shared" si="3"/>
        <v/>
      </c>
      <c r="Q2906" s="84"/>
      <c r="R2906" s="84"/>
      <c r="S2906" s="84"/>
      <c r="T2906" s="84"/>
      <c r="U2906" s="84"/>
      <c r="V2906" s="84"/>
      <c r="W2906" s="84"/>
      <c r="X2906" s="84"/>
      <c r="Y2906" s="84"/>
      <c r="Z2906" s="84"/>
      <c r="AA2906" s="84"/>
      <c r="AB2906" s="84"/>
    </row>
    <row r="2907">
      <c r="A2907" s="69">
        <v>193.0</v>
      </c>
      <c r="B2907" s="69">
        <v>311.0</v>
      </c>
      <c r="C2907" s="86" t="s">
        <v>626</v>
      </c>
      <c r="D2907" s="86" t="s">
        <v>627</v>
      </c>
      <c r="E2907" s="86" t="s">
        <v>628</v>
      </c>
      <c r="F2907" s="69">
        <v>7500.0</v>
      </c>
      <c r="G2907" s="69">
        <v>18.6</v>
      </c>
      <c r="H2907" s="68">
        <f t="shared" si="1"/>
        <v>194.78</v>
      </c>
      <c r="I2907" s="81">
        <f>IFERROR(__xludf.DUMMYFUNCTION("IF(G2907="""", """", ROUND(G2907 / MAX(FILTER($G$2:$G5067, $D$2:$D5067=$D2907)) * 100, 2))"),66.43)</f>
        <v>66.43</v>
      </c>
      <c r="J2907" s="81">
        <f>IFERROR(__xludf.DUMMYFUNCTION("IF(H2907="""", """", ROUND(H2907 / MAX(FILTER($H$2:$H5067, $D$2:$D5067=$D2907)) * 100, 2))"),88.74)</f>
        <v>88.74</v>
      </c>
      <c r="K2907" s="2"/>
      <c r="L2907" s="48"/>
      <c r="M2907" s="48"/>
      <c r="N2907" s="48"/>
      <c r="O2907" s="48" t="str">
        <f t="shared" si="2"/>
        <v/>
      </c>
      <c r="P2907" s="48" t="str">
        <f t="shared" si="3"/>
        <v/>
      </c>
      <c r="Q2907" s="84"/>
      <c r="R2907" s="84"/>
      <c r="S2907" s="84"/>
      <c r="T2907" s="84"/>
      <c r="U2907" s="84"/>
      <c r="V2907" s="84"/>
      <c r="W2907" s="84"/>
      <c r="X2907" s="84"/>
      <c r="Y2907" s="84"/>
      <c r="Z2907" s="84"/>
      <c r="AA2907" s="84"/>
      <c r="AB2907" s="84"/>
    </row>
    <row r="2908">
      <c r="A2908" s="63">
        <v>193.0</v>
      </c>
      <c r="B2908" s="63">
        <v>311.0</v>
      </c>
      <c r="C2908" s="64" t="s">
        <v>626</v>
      </c>
      <c r="D2908" s="64" t="s">
        <v>627</v>
      </c>
      <c r="E2908" s="64" t="s">
        <v>628</v>
      </c>
      <c r="F2908" s="63">
        <v>8000.0</v>
      </c>
      <c r="G2908" s="63">
        <v>15.0</v>
      </c>
      <c r="H2908" s="66">
        <f t="shared" si="1"/>
        <v>167.55</v>
      </c>
      <c r="I2908" s="81">
        <f>IFERROR(__xludf.DUMMYFUNCTION("IF(G2908="""", """", ROUND(G2908 / MAX(FILTER($G$2:$G5067, $D$2:$D5067=$D2908)) * 100, 2))"),53.57)</f>
        <v>53.57</v>
      </c>
      <c r="J2908" s="81">
        <f>IFERROR(__xludf.DUMMYFUNCTION("IF(H2908="""", """", ROUND(H2908 / MAX(FILTER($H$2:$H5067, $D$2:$D5067=$D2908)) * 100, 2))"),76.34)</f>
        <v>76.34</v>
      </c>
      <c r="K2908" s="2"/>
      <c r="L2908" s="49"/>
      <c r="M2908" s="49"/>
      <c r="N2908" s="49"/>
      <c r="O2908" s="49" t="str">
        <f t="shared" si="2"/>
        <v/>
      </c>
      <c r="P2908" s="49" t="str">
        <f t="shared" si="3"/>
        <v/>
      </c>
      <c r="Q2908" s="84"/>
      <c r="R2908" s="84"/>
      <c r="S2908" s="84"/>
      <c r="T2908" s="84"/>
      <c r="U2908" s="84"/>
      <c r="V2908" s="84"/>
      <c r="W2908" s="84"/>
      <c r="X2908" s="84"/>
      <c r="Y2908" s="84"/>
      <c r="Z2908" s="84"/>
      <c r="AA2908" s="84"/>
      <c r="AB2908" s="84"/>
    </row>
    <row r="2909">
      <c r="A2909" s="69">
        <v>194.0</v>
      </c>
      <c r="B2909" s="69">
        <v>315.0</v>
      </c>
      <c r="C2909" s="86" t="s">
        <v>629</v>
      </c>
      <c r="D2909" s="86" t="s">
        <v>630</v>
      </c>
      <c r="E2909" s="86" t="s">
        <v>631</v>
      </c>
      <c r="F2909" s="69">
        <v>500.0</v>
      </c>
      <c r="G2909" s="69">
        <v>14.92</v>
      </c>
      <c r="H2909" s="68">
        <f t="shared" si="1"/>
        <v>10.42</v>
      </c>
      <c r="I2909" s="81">
        <f>IFERROR(__xludf.DUMMYFUNCTION("IF(G2909="""", """", ROUND(G2909 / MAX(FILTER($G$2:$G5067, $D$2:$D5067=$D2909)) * 100, 2))"),41.44)</f>
        <v>41.44</v>
      </c>
      <c r="J2909" s="81">
        <f>IFERROR(__xludf.DUMMYFUNCTION("IF(H2909="""", """", ROUND(H2909 / MAX(FILTER($H$2:$H5067, $D$2:$D5067=$D2909)) * 100, 2))"),3.72)</f>
        <v>3.72</v>
      </c>
      <c r="K2909" s="2"/>
      <c r="L2909" s="48"/>
      <c r="M2909" s="48"/>
      <c r="N2909" s="48"/>
      <c r="O2909" s="48" t="str">
        <f t="shared" si="2"/>
        <v/>
      </c>
      <c r="P2909" s="48" t="str">
        <f t="shared" si="3"/>
        <v/>
      </c>
      <c r="Q2909" s="84"/>
      <c r="R2909" s="84"/>
      <c r="S2909" s="84"/>
      <c r="T2909" s="84"/>
      <c r="U2909" s="84"/>
      <c r="V2909" s="84"/>
      <c r="W2909" s="84"/>
      <c r="X2909" s="84"/>
      <c r="Y2909" s="84"/>
      <c r="Z2909" s="84"/>
      <c r="AA2909" s="84"/>
      <c r="AB2909" s="84"/>
    </row>
    <row r="2910">
      <c r="A2910" s="63">
        <v>194.0</v>
      </c>
      <c r="B2910" s="63">
        <v>315.0</v>
      </c>
      <c r="C2910" s="64" t="s">
        <v>629</v>
      </c>
      <c r="D2910" s="64" t="s">
        <v>630</v>
      </c>
      <c r="E2910" s="64" t="s">
        <v>631</v>
      </c>
      <c r="F2910" s="63">
        <v>1000.0</v>
      </c>
      <c r="G2910" s="63">
        <v>16.5</v>
      </c>
      <c r="H2910" s="66">
        <f t="shared" si="1"/>
        <v>23.04</v>
      </c>
      <c r="I2910" s="81">
        <f>IFERROR(__xludf.DUMMYFUNCTION("IF(G2910="""", """", ROUND(G2910 / MAX(FILTER($G$2:$G5067, $D$2:$D5067=$D2910)) * 100, 2))"),45.83)</f>
        <v>45.83</v>
      </c>
      <c r="J2910" s="81">
        <f>IFERROR(__xludf.DUMMYFUNCTION("IF(H2910="""", """", ROUND(H2910 / MAX(FILTER($H$2:$H5067, $D$2:$D5067=$D2910)) * 100, 2))"),8.23)</f>
        <v>8.23</v>
      </c>
      <c r="K2910" s="2"/>
      <c r="L2910" s="49"/>
      <c r="M2910" s="49"/>
      <c r="N2910" s="49"/>
      <c r="O2910" s="49" t="str">
        <f t="shared" si="2"/>
        <v/>
      </c>
      <c r="P2910" s="49" t="str">
        <f t="shared" si="3"/>
        <v/>
      </c>
      <c r="Q2910" s="84"/>
      <c r="R2910" s="84"/>
      <c r="S2910" s="84"/>
      <c r="T2910" s="84"/>
      <c r="U2910" s="84"/>
      <c r="V2910" s="84"/>
      <c r="W2910" s="84"/>
      <c r="X2910" s="84"/>
      <c r="Y2910" s="84"/>
      <c r="Z2910" s="84"/>
      <c r="AA2910" s="84"/>
      <c r="AB2910" s="84"/>
    </row>
    <row r="2911">
      <c r="A2911" s="69">
        <v>194.0</v>
      </c>
      <c r="B2911" s="69">
        <v>315.0</v>
      </c>
      <c r="C2911" s="86" t="s">
        <v>629</v>
      </c>
      <c r="D2911" s="86" t="s">
        <v>630</v>
      </c>
      <c r="E2911" s="86" t="s">
        <v>631</v>
      </c>
      <c r="F2911" s="69">
        <v>1500.0</v>
      </c>
      <c r="G2911" s="69">
        <v>18.05</v>
      </c>
      <c r="H2911" s="68">
        <f t="shared" si="1"/>
        <v>37.8</v>
      </c>
      <c r="I2911" s="81">
        <f>IFERROR(__xludf.DUMMYFUNCTION("IF(G2911="""", """", ROUND(G2911 / MAX(FILTER($G$2:$G5067, $D$2:$D5067=$D2911)) * 100, 2))"),50.14)</f>
        <v>50.14</v>
      </c>
      <c r="J2911" s="81">
        <f>IFERROR(__xludf.DUMMYFUNCTION("IF(H2911="""", """", ROUND(H2911 / MAX(FILTER($H$2:$H5067, $D$2:$D5067=$D2911)) * 100, 2))"),13.5)</f>
        <v>13.5</v>
      </c>
      <c r="K2911" s="2"/>
      <c r="L2911" s="48"/>
      <c r="M2911" s="48"/>
      <c r="N2911" s="48"/>
      <c r="O2911" s="48" t="str">
        <f t="shared" si="2"/>
        <v/>
      </c>
      <c r="P2911" s="48" t="str">
        <f t="shared" si="3"/>
        <v/>
      </c>
      <c r="Q2911" s="84"/>
      <c r="R2911" s="84"/>
      <c r="S2911" s="84"/>
      <c r="T2911" s="84"/>
      <c r="U2911" s="84"/>
      <c r="V2911" s="84"/>
      <c r="W2911" s="84"/>
      <c r="X2911" s="84"/>
      <c r="Y2911" s="84"/>
      <c r="Z2911" s="84"/>
      <c r="AA2911" s="84"/>
      <c r="AB2911" s="84"/>
    </row>
    <row r="2912">
      <c r="A2912" s="63">
        <v>194.0</v>
      </c>
      <c r="B2912" s="63">
        <v>315.0</v>
      </c>
      <c r="C2912" s="64" t="s">
        <v>629</v>
      </c>
      <c r="D2912" s="64" t="s">
        <v>630</v>
      </c>
      <c r="E2912" s="64" t="s">
        <v>631</v>
      </c>
      <c r="F2912" s="63">
        <v>2000.0</v>
      </c>
      <c r="G2912" s="63">
        <v>20.46</v>
      </c>
      <c r="H2912" s="66">
        <f t="shared" si="1"/>
        <v>57.13</v>
      </c>
      <c r="I2912" s="81">
        <f>IFERROR(__xludf.DUMMYFUNCTION("IF(G2912="""", """", ROUND(G2912 / MAX(FILTER($G$2:$G5067, $D$2:$D5067=$D2912)) * 100, 2))"),56.83)</f>
        <v>56.83</v>
      </c>
      <c r="J2912" s="81">
        <f>IFERROR(__xludf.DUMMYFUNCTION("IF(H2912="""", """", ROUND(H2912 / MAX(FILTER($H$2:$H5067, $D$2:$D5067=$D2912)) * 100, 2))"),20.41)</f>
        <v>20.41</v>
      </c>
      <c r="K2912" s="2"/>
      <c r="L2912" s="49"/>
      <c r="M2912" s="49"/>
      <c r="N2912" s="49"/>
      <c r="O2912" s="49" t="str">
        <f t="shared" si="2"/>
        <v/>
      </c>
      <c r="P2912" s="49" t="str">
        <f t="shared" si="3"/>
        <v/>
      </c>
      <c r="Q2912" s="84"/>
      <c r="R2912" s="84"/>
      <c r="S2912" s="84"/>
      <c r="T2912" s="84"/>
      <c r="U2912" s="84"/>
      <c r="V2912" s="84"/>
      <c r="W2912" s="84"/>
      <c r="X2912" s="84"/>
      <c r="Y2912" s="84"/>
      <c r="Z2912" s="84"/>
      <c r="AA2912" s="84"/>
      <c r="AB2912" s="84"/>
    </row>
    <row r="2913">
      <c r="A2913" s="69">
        <v>194.0</v>
      </c>
      <c r="B2913" s="69">
        <v>315.0</v>
      </c>
      <c r="C2913" s="86" t="s">
        <v>629</v>
      </c>
      <c r="D2913" s="86" t="s">
        <v>630</v>
      </c>
      <c r="E2913" s="86" t="s">
        <v>631</v>
      </c>
      <c r="F2913" s="69">
        <v>2500.0</v>
      </c>
      <c r="G2913" s="69">
        <v>25.89</v>
      </c>
      <c r="H2913" s="68">
        <f t="shared" si="1"/>
        <v>90.37</v>
      </c>
      <c r="I2913" s="81">
        <f>IFERROR(__xludf.DUMMYFUNCTION("IF(G2913="""", """", ROUND(G2913 / MAX(FILTER($G$2:$G5067, $D$2:$D5067=$D2913)) * 100, 2))"),71.92)</f>
        <v>71.92</v>
      </c>
      <c r="J2913" s="81">
        <f>IFERROR(__xludf.DUMMYFUNCTION("IF(H2913="""", """", ROUND(H2913 / MAX(FILTER($H$2:$H5067, $D$2:$D5067=$D2913)) * 100, 2))"),32.28)</f>
        <v>32.28</v>
      </c>
      <c r="K2913" s="2"/>
      <c r="L2913" s="48"/>
      <c r="M2913" s="48"/>
      <c r="N2913" s="48"/>
      <c r="O2913" s="48" t="str">
        <f t="shared" si="2"/>
        <v/>
      </c>
      <c r="P2913" s="48" t="str">
        <f t="shared" si="3"/>
        <v/>
      </c>
      <c r="Q2913" s="84"/>
      <c r="R2913" s="84"/>
      <c r="S2913" s="84"/>
      <c r="T2913" s="84"/>
      <c r="U2913" s="84"/>
      <c r="V2913" s="84"/>
      <c r="W2913" s="84"/>
      <c r="X2913" s="84"/>
      <c r="Y2913" s="84"/>
      <c r="Z2913" s="84"/>
      <c r="AA2913" s="84"/>
      <c r="AB2913" s="84"/>
    </row>
    <row r="2914">
      <c r="A2914" s="63">
        <v>194.0</v>
      </c>
      <c r="B2914" s="63">
        <v>315.0</v>
      </c>
      <c r="C2914" s="64" t="s">
        <v>629</v>
      </c>
      <c r="D2914" s="64" t="s">
        <v>630</v>
      </c>
      <c r="E2914" s="64" t="s">
        <v>631</v>
      </c>
      <c r="F2914" s="63">
        <v>3000.0</v>
      </c>
      <c r="G2914" s="63">
        <v>31.71</v>
      </c>
      <c r="H2914" s="66">
        <f t="shared" si="1"/>
        <v>132.83</v>
      </c>
      <c r="I2914" s="81">
        <f>IFERROR(__xludf.DUMMYFUNCTION("IF(G2914="""", """", ROUND(G2914 / MAX(FILTER($G$2:$G5067, $D$2:$D5067=$D2914)) * 100, 2))"),88.08)</f>
        <v>88.08</v>
      </c>
      <c r="J2914" s="81">
        <f>IFERROR(__xludf.DUMMYFUNCTION("IF(H2914="""", """", ROUND(H2914 / MAX(FILTER($H$2:$H5067, $D$2:$D5067=$D2914)) * 100, 2))"),47.44)</f>
        <v>47.44</v>
      </c>
      <c r="K2914" s="2"/>
      <c r="L2914" s="49"/>
      <c r="M2914" s="49"/>
      <c r="N2914" s="49"/>
      <c r="O2914" s="49" t="str">
        <f t="shared" si="2"/>
        <v/>
      </c>
      <c r="P2914" s="49" t="str">
        <f t="shared" si="3"/>
        <v/>
      </c>
      <c r="Q2914" s="84"/>
      <c r="R2914" s="84"/>
      <c r="S2914" s="84"/>
      <c r="T2914" s="84"/>
      <c r="U2914" s="84"/>
      <c r="V2914" s="84"/>
      <c r="W2914" s="84"/>
      <c r="X2914" s="84"/>
      <c r="Y2914" s="84"/>
      <c r="Z2914" s="84"/>
      <c r="AA2914" s="84"/>
      <c r="AB2914" s="84"/>
    </row>
    <row r="2915">
      <c r="A2915" s="69">
        <v>194.0</v>
      </c>
      <c r="B2915" s="69">
        <v>315.0</v>
      </c>
      <c r="C2915" s="86" t="s">
        <v>629</v>
      </c>
      <c r="D2915" s="86" t="s">
        <v>630</v>
      </c>
      <c r="E2915" s="86" t="s">
        <v>631</v>
      </c>
      <c r="F2915" s="69">
        <v>3500.0</v>
      </c>
      <c r="G2915" s="69">
        <v>35.47</v>
      </c>
      <c r="H2915" s="68">
        <f t="shared" si="1"/>
        <v>173.34</v>
      </c>
      <c r="I2915" s="81">
        <f>IFERROR(__xludf.DUMMYFUNCTION("IF(G2915="""", """", ROUND(G2915 / MAX(FILTER($G$2:$G5067, $D$2:$D5067=$D2915)) * 100, 2))"),98.53)</f>
        <v>98.53</v>
      </c>
      <c r="J2915" s="81">
        <f>IFERROR(__xludf.DUMMYFUNCTION("IF(H2915="""", """", ROUND(H2915 / MAX(FILTER($H$2:$H5067, $D$2:$D5067=$D2915)) * 100, 2))"),61.91)</f>
        <v>61.91</v>
      </c>
      <c r="K2915" s="2"/>
      <c r="L2915" s="48"/>
      <c r="M2915" s="48"/>
      <c r="N2915" s="48"/>
      <c r="O2915" s="48" t="str">
        <f t="shared" si="2"/>
        <v/>
      </c>
      <c r="P2915" s="48" t="str">
        <f t="shared" si="3"/>
        <v/>
      </c>
      <c r="Q2915" s="84"/>
      <c r="R2915" s="84"/>
      <c r="S2915" s="84"/>
      <c r="T2915" s="84"/>
      <c r="U2915" s="84"/>
      <c r="V2915" s="84"/>
      <c r="W2915" s="84"/>
      <c r="X2915" s="84"/>
      <c r="Y2915" s="84"/>
      <c r="Z2915" s="84"/>
      <c r="AA2915" s="84"/>
      <c r="AB2915" s="84"/>
    </row>
    <row r="2916">
      <c r="A2916" s="63">
        <v>194.0</v>
      </c>
      <c r="B2916" s="63">
        <v>315.0</v>
      </c>
      <c r="C2916" s="64" t="s">
        <v>629</v>
      </c>
      <c r="D2916" s="64" t="s">
        <v>630</v>
      </c>
      <c r="E2916" s="64" t="s">
        <v>631</v>
      </c>
      <c r="F2916" s="63">
        <v>4000.0</v>
      </c>
      <c r="G2916" s="63">
        <v>36.0</v>
      </c>
      <c r="H2916" s="66">
        <f t="shared" si="1"/>
        <v>201.06</v>
      </c>
      <c r="I2916" s="81">
        <f>IFERROR(__xludf.DUMMYFUNCTION("IF(G2916="""", """", ROUND(G2916 / MAX(FILTER($G$2:$G5067, $D$2:$D5067=$D2916)) * 100, 2))"),100.0)</f>
        <v>100</v>
      </c>
      <c r="J2916" s="81">
        <f>IFERROR(__xludf.DUMMYFUNCTION("IF(H2916="""", """", ROUND(H2916 / MAX(FILTER($H$2:$H5067, $D$2:$D5067=$D2916)) * 100, 2))"),71.81)</f>
        <v>71.81</v>
      </c>
      <c r="K2916" s="2"/>
      <c r="L2916" s="49"/>
      <c r="M2916" s="49"/>
      <c r="N2916" s="49"/>
      <c r="O2916" s="49" t="str">
        <f t="shared" si="2"/>
        <v/>
      </c>
      <c r="P2916" s="49" t="str">
        <f t="shared" si="3"/>
        <v/>
      </c>
      <c r="Q2916" s="84"/>
      <c r="R2916" s="84"/>
      <c r="S2916" s="84"/>
      <c r="T2916" s="84"/>
      <c r="U2916" s="84"/>
      <c r="V2916" s="84"/>
      <c r="W2916" s="84"/>
      <c r="X2916" s="84"/>
      <c r="Y2916" s="84"/>
      <c r="Z2916" s="84"/>
      <c r="AA2916" s="84"/>
      <c r="AB2916" s="84"/>
    </row>
    <row r="2917">
      <c r="A2917" s="69">
        <v>194.0</v>
      </c>
      <c r="B2917" s="69">
        <v>315.0</v>
      </c>
      <c r="C2917" s="86" t="s">
        <v>629</v>
      </c>
      <c r="D2917" s="86" t="s">
        <v>630</v>
      </c>
      <c r="E2917" s="86" t="s">
        <v>631</v>
      </c>
      <c r="F2917" s="69">
        <v>4500.0</v>
      </c>
      <c r="G2917" s="69">
        <v>35.9</v>
      </c>
      <c r="H2917" s="68">
        <f t="shared" si="1"/>
        <v>225.57</v>
      </c>
      <c r="I2917" s="81">
        <f>IFERROR(__xludf.DUMMYFUNCTION("IF(G2917="""", """", ROUND(G2917 / MAX(FILTER($G$2:$G5067, $D$2:$D5067=$D2917)) * 100, 2))"),99.72)</f>
        <v>99.72</v>
      </c>
      <c r="J2917" s="81">
        <f>IFERROR(__xludf.DUMMYFUNCTION("IF(H2917="""", """", ROUND(H2917 / MAX(FILTER($H$2:$H5067, $D$2:$D5067=$D2917)) * 100, 2))"),80.57)</f>
        <v>80.57</v>
      </c>
      <c r="K2917" s="2"/>
      <c r="L2917" s="48"/>
      <c r="M2917" s="48"/>
      <c r="N2917" s="48"/>
      <c r="O2917" s="48" t="str">
        <f t="shared" si="2"/>
        <v/>
      </c>
      <c r="P2917" s="48" t="str">
        <f t="shared" si="3"/>
        <v/>
      </c>
      <c r="Q2917" s="84"/>
      <c r="R2917" s="84"/>
      <c r="S2917" s="84"/>
      <c r="T2917" s="84"/>
      <c r="U2917" s="84"/>
      <c r="V2917" s="84"/>
      <c r="W2917" s="84"/>
      <c r="X2917" s="84"/>
      <c r="Y2917" s="84"/>
      <c r="Z2917" s="84"/>
      <c r="AA2917" s="84"/>
      <c r="AB2917" s="84"/>
    </row>
    <row r="2918">
      <c r="A2918" s="63">
        <v>194.0</v>
      </c>
      <c r="B2918" s="63">
        <v>315.0</v>
      </c>
      <c r="C2918" s="64" t="s">
        <v>629</v>
      </c>
      <c r="D2918" s="64" t="s">
        <v>630</v>
      </c>
      <c r="E2918" s="64" t="s">
        <v>631</v>
      </c>
      <c r="F2918" s="63">
        <v>5000.0</v>
      </c>
      <c r="G2918" s="63">
        <v>35.63</v>
      </c>
      <c r="H2918" s="66">
        <f t="shared" si="1"/>
        <v>248.74</v>
      </c>
      <c r="I2918" s="81">
        <f>IFERROR(__xludf.DUMMYFUNCTION("IF(G2918="""", """", ROUND(G2918 / MAX(FILTER($G$2:$G5067, $D$2:$D5067=$D2918)) * 100, 2))"),98.97)</f>
        <v>98.97</v>
      </c>
      <c r="J2918" s="81">
        <f>IFERROR(__xludf.DUMMYFUNCTION("IF(H2918="""", """", ROUND(H2918 / MAX(FILTER($H$2:$H5067, $D$2:$D5067=$D2918)) * 100, 2))"),88.84)</f>
        <v>88.84</v>
      </c>
      <c r="K2918" s="2"/>
      <c r="L2918" s="49"/>
      <c r="M2918" s="49"/>
      <c r="N2918" s="49"/>
      <c r="O2918" s="49" t="str">
        <f t="shared" si="2"/>
        <v/>
      </c>
      <c r="P2918" s="49" t="str">
        <f t="shared" si="3"/>
        <v/>
      </c>
      <c r="Q2918" s="84"/>
      <c r="R2918" s="84"/>
      <c r="S2918" s="84"/>
      <c r="T2918" s="84"/>
      <c r="U2918" s="84"/>
      <c r="V2918" s="84"/>
      <c r="W2918" s="84"/>
      <c r="X2918" s="84"/>
      <c r="Y2918" s="84"/>
      <c r="Z2918" s="84"/>
      <c r="AA2918" s="84"/>
      <c r="AB2918" s="84"/>
    </row>
    <row r="2919">
      <c r="A2919" s="69">
        <v>194.0</v>
      </c>
      <c r="B2919" s="69">
        <v>315.0</v>
      </c>
      <c r="C2919" s="86" t="s">
        <v>629</v>
      </c>
      <c r="D2919" s="86" t="s">
        <v>630</v>
      </c>
      <c r="E2919" s="86" t="s">
        <v>631</v>
      </c>
      <c r="F2919" s="69">
        <v>5500.0</v>
      </c>
      <c r="G2919" s="69">
        <v>34.88</v>
      </c>
      <c r="H2919" s="68">
        <f t="shared" si="1"/>
        <v>267.86</v>
      </c>
      <c r="I2919" s="81">
        <f>IFERROR(__xludf.DUMMYFUNCTION("IF(G2919="""", """", ROUND(G2919 / MAX(FILTER($G$2:$G5067, $D$2:$D5067=$D2919)) * 100, 2))"),96.89)</f>
        <v>96.89</v>
      </c>
      <c r="J2919" s="81">
        <f>IFERROR(__xludf.DUMMYFUNCTION("IF(H2919="""", """", ROUND(H2919 / MAX(FILTER($H$2:$H5067, $D$2:$D5067=$D2919)) * 100, 2))"),95.67)</f>
        <v>95.67</v>
      </c>
      <c r="K2919" s="2"/>
      <c r="L2919" s="48"/>
      <c r="M2919" s="48"/>
      <c r="N2919" s="48"/>
      <c r="O2919" s="48" t="str">
        <f t="shared" si="2"/>
        <v/>
      </c>
      <c r="P2919" s="48" t="str">
        <f t="shared" si="3"/>
        <v/>
      </c>
      <c r="Q2919" s="84"/>
      <c r="R2919" s="84"/>
      <c r="S2919" s="84"/>
      <c r="T2919" s="84"/>
      <c r="U2919" s="84"/>
      <c r="V2919" s="84"/>
      <c r="W2919" s="84"/>
      <c r="X2919" s="84"/>
      <c r="Y2919" s="84"/>
      <c r="Z2919" s="84"/>
      <c r="AA2919" s="84"/>
      <c r="AB2919" s="84"/>
    </row>
    <row r="2920">
      <c r="A2920" s="63">
        <v>194.0</v>
      </c>
      <c r="B2920" s="63">
        <v>315.0</v>
      </c>
      <c r="C2920" s="64" t="s">
        <v>629</v>
      </c>
      <c r="D2920" s="64" t="s">
        <v>630</v>
      </c>
      <c r="E2920" s="64" t="s">
        <v>631</v>
      </c>
      <c r="F2920" s="63">
        <v>6000.0</v>
      </c>
      <c r="G2920" s="63">
        <v>33.23</v>
      </c>
      <c r="H2920" s="66">
        <f t="shared" si="1"/>
        <v>278.39</v>
      </c>
      <c r="I2920" s="81">
        <f>IFERROR(__xludf.DUMMYFUNCTION("IF(G2920="""", """", ROUND(G2920 / MAX(FILTER($G$2:$G5067, $D$2:$D5067=$D2920)) * 100, 2))"),92.31)</f>
        <v>92.31</v>
      </c>
      <c r="J2920" s="81">
        <f>IFERROR(__xludf.DUMMYFUNCTION("IF(H2920="""", """", ROUND(H2920 / MAX(FILTER($H$2:$H5067, $D$2:$D5067=$D2920)) * 100, 2))"),99.43)</f>
        <v>99.43</v>
      </c>
      <c r="K2920" s="2"/>
      <c r="L2920" s="49"/>
      <c r="M2920" s="49"/>
      <c r="N2920" s="49"/>
      <c r="O2920" s="49" t="str">
        <f t="shared" si="2"/>
        <v/>
      </c>
      <c r="P2920" s="49" t="str">
        <f t="shared" si="3"/>
        <v/>
      </c>
      <c r="Q2920" s="84"/>
      <c r="R2920" s="84"/>
      <c r="S2920" s="84"/>
      <c r="T2920" s="84"/>
      <c r="U2920" s="84"/>
      <c r="V2920" s="84"/>
      <c r="W2920" s="84"/>
      <c r="X2920" s="84"/>
      <c r="Y2920" s="84"/>
      <c r="Z2920" s="84"/>
      <c r="AA2920" s="84"/>
      <c r="AB2920" s="84"/>
    </row>
    <row r="2921">
      <c r="A2921" s="69">
        <v>194.0</v>
      </c>
      <c r="B2921" s="69">
        <v>315.0</v>
      </c>
      <c r="C2921" s="86" t="s">
        <v>629</v>
      </c>
      <c r="D2921" s="86" t="s">
        <v>630</v>
      </c>
      <c r="E2921" s="86" t="s">
        <v>631</v>
      </c>
      <c r="F2921" s="69">
        <v>6500.0</v>
      </c>
      <c r="G2921" s="69">
        <v>30.85</v>
      </c>
      <c r="H2921" s="68">
        <f t="shared" si="1"/>
        <v>279.98</v>
      </c>
      <c r="I2921" s="81">
        <f>IFERROR(__xludf.DUMMYFUNCTION("IF(G2921="""", """", ROUND(G2921 / MAX(FILTER($G$2:$G5067, $D$2:$D5067=$D2921)) * 100, 2))"),85.69)</f>
        <v>85.69</v>
      </c>
      <c r="J2921" s="81">
        <f>IFERROR(__xludf.DUMMYFUNCTION("IF(H2921="""", """", ROUND(H2921 / MAX(FILTER($H$2:$H5067, $D$2:$D5067=$D2921)) * 100, 2))"),100.0)</f>
        <v>100</v>
      </c>
      <c r="K2921" s="2"/>
      <c r="L2921" s="48"/>
      <c r="M2921" s="48"/>
      <c r="N2921" s="48"/>
      <c r="O2921" s="48" t="str">
        <f t="shared" si="2"/>
        <v/>
      </c>
      <c r="P2921" s="48" t="str">
        <f t="shared" si="3"/>
        <v/>
      </c>
      <c r="Q2921" s="84"/>
      <c r="R2921" s="84"/>
      <c r="S2921" s="84"/>
      <c r="T2921" s="84"/>
      <c r="U2921" s="84"/>
      <c r="V2921" s="84"/>
      <c r="W2921" s="84"/>
      <c r="X2921" s="84"/>
      <c r="Y2921" s="84"/>
      <c r="Z2921" s="84"/>
      <c r="AA2921" s="84"/>
      <c r="AB2921" s="84"/>
    </row>
    <row r="2922">
      <c r="A2922" s="63">
        <v>194.0</v>
      </c>
      <c r="B2922" s="63">
        <v>315.0</v>
      </c>
      <c r="C2922" s="64" t="s">
        <v>629</v>
      </c>
      <c r="D2922" s="64" t="s">
        <v>630</v>
      </c>
      <c r="E2922" s="64" t="s">
        <v>631</v>
      </c>
      <c r="F2922" s="63">
        <v>7000.0</v>
      </c>
      <c r="G2922" s="63">
        <v>28.19</v>
      </c>
      <c r="H2922" s="66">
        <f t="shared" si="1"/>
        <v>275.52</v>
      </c>
      <c r="I2922" s="81">
        <f>IFERROR(__xludf.DUMMYFUNCTION("IF(G2922="""", """", ROUND(G2922 / MAX(FILTER($G$2:$G5067, $D$2:$D5067=$D2922)) * 100, 2))"),78.31)</f>
        <v>78.31</v>
      </c>
      <c r="J2922" s="81">
        <f>IFERROR(__xludf.DUMMYFUNCTION("IF(H2922="""", """", ROUND(H2922 / MAX(FILTER($H$2:$H5067, $D$2:$D5067=$D2922)) * 100, 2))"),98.41)</f>
        <v>98.41</v>
      </c>
      <c r="K2922" s="2"/>
      <c r="L2922" s="49"/>
      <c r="M2922" s="49"/>
      <c r="N2922" s="49"/>
      <c r="O2922" s="49" t="str">
        <f t="shared" si="2"/>
        <v/>
      </c>
      <c r="P2922" s="49" t="str">
        <f t="shared" si="3"/>
        <v/>
      </c>
      <c r="Q2922" s="84"/>
      <c r="R2922" s="84"/>
      <c r="S2922" s="84"/>
      <c r="T2922" s="84"/>
      <c r="U2922" s="84"/>
      <c r="V2922" s="84"/>
      <c r="W2922" s="84"/>
      <c r="X2922" s="84"/>
      <c r="Y2922" s="84"/>
      <c r="Z2922" s="84"/>
      <c r="AA2922" s="84"/>
      <c r="AB2922" s="84"/>
    </row>
    <row r="2923">
      <c r="A2923" s="69">
        <v>194.0</v>
      </c>
      <c r="B2923" s="69">
        <v>315.0</v>
      </c>
      <c r="C2923" s="86" t="s">
        <v>629</v>
      </c>
      <c r="D2923" s="86" t="s">
        <v>630</v>
      </c>
      <c r="E2923" s="86" t="s">
        <v>631</v>
      </c>
      <c r="F2923" s="69">
        <v>7500.0</v>
      </c>
      <c r="G2923" s="69">
        <v>24.68</v>
      </c>
      <c r="H2923" s="68">
        <f t="shared" si="1"/>
        <v>258.45</v>
      </c>
      <c r="I2923" s="81">
        <f>IFERROR(__xludf.DUMMYFUNCTION("IF(G2923="""", """", ROUND(G2923 / MAX(FILTER($G$2:$G5067, $D$2:$D5067=$D2923)) * 100, 2))"),68.56)</f>
        <v>68.56</v>
      </c>
      <c r="J2923" s="81">
        <f>IFERROR(__xludf.DUMMYFUNCTION("IF(H2923="""", """", ROUND(H2923 / MAX(FILTER($H$2:$H5067, $D$2:$D5067=$D2923)) * 100, 2))"),92.31)</f>
        <v>92.31</v>
      </c>
      <c r="K2923" s="2"/>
      <c r="L2923" s="48"/>
      <c r="M2923" s="48"/>
      <c r="N2923" s="48"/>
      <c r="O2923" s="48" t="str">
        <f t="shared" si="2"/>
        <v/>
      </c>
      <c r="P2923" s="48" t="str">
        <f t="shared" si="3"/>
        <v/>
      </c>
      <c r="Q2923" s="84"/>
      <c r="R2923" s="84"/>
      <c r="S2923" s="84"/>
      <c r="T2923" s="84"/>
      <c r="U2923" s="84"/>
      <c r="V2923" s="84"/>
      <c r="W2923" s="84"/>
      <c r="X2923" s="84"/>
      <c r="Y2923" s="84"/>
      <c r="Z2923" s="84"/>
      <c r="AA2923" s="84"/>
      <c r="AB2923" s="84"/>
    </row>
    <row r="2924">
      <c r="A2924" s="63">
        <v>194.0</v>
      </c>
      <c r="B2924" s="63">
        <v>315.0</v>
      </c>
      <c r="C2924" s="64" t="s">
        <v>629</v>
      </c>
      <c r="D2924" s="64" t="s">
        <v>630</v>
      </c>
      <c r="E2924" s="64" t="s">
        <v>631</v>
      </c>
      <c r="F2924" s="63">
        <v>8000.0</v>
      </c>
      <c r="G2924" s="63">
        <v>20.66</v>
      </c>
      <c r="H2924" s="66">
        <f t="shared" si="1"/>
        <v>230.77</v>
      </c>
      <c r="I2924" s="81">
        <f>IFERROR(__xludf.DUMMYFUNCTION("IF(G2924="""", """", ROUND(G2924 / MAX(FILTER($G$2:$G5067, $D$2:$D5067=$D2924)) * 100, 2))"),57.39)</f>
        <v>57.39</v>
      </c>
      <c r="J2924" s="81">
        <f>IFERROR(__xludf.DUMMYFUNCTION("IF(H2924="""", """", ROUND(H2924 / MAX(FILTER($H$2:$H5067, $D$2:$D5067=$D2924)) * 100, 2))"),82.42)</f>
        <v>82.42</v>
      </c>
      <c r="K2924" s="2"/>
      <c r="L2924" s="49"/>
      <c r="M2924" s="49"/>
      <c r="N2924" s="49"/>
      <c r="O2924" s="49" t="str">
        <f t="shared" si="2"/>
        <v/>
      </c>
      <c r="P2924" s="49" t="str">
        <f t="shared" si="3"/>
        <v/>
      </c>
      <c r="Q2924" s="84"/>
      <c r="R2924" s="84"/>
      <c r="S2924" s="84"/>
      <c r="T2924" s="84"/>
      <c r="U2924" s="84"/>
      <c r="V2924" s="84"/>
      <c r="W2924" s="84"/>
      <c r="X2924" s="84"/>
      <c r="Y2924" s="84"/>
      <c r="Z2924" s="84"/>
      <c r="AA2924" s="84"/>
      <c r="AB2924" s="84"/>
    </row>
    <row r="2925">
      <c r="A2925" s="69">
        <v>195.0</v>
      </c>
      <c r="B2925" s="69">
        <v>316.0</v>
      </c>
      <c r="C2925" s="86" t="s">
        <v>632</v>
      </c>
      <c r="D2925" s="86" t="s">
        <v>633</v>
      </c>
      <c r="E2925" s="86" t="s">
        <v>634</v>
      </c>
      <c r="F2925" s="69">
        <v>500.0</v>
      </c>
      <c r="G2925" s="69">
        <v>11.31</v>
      </c>
      <c r="H2925" s="68">
        <f t="shared" si="1"/>
        <v>7.9</v>
      </c>
      <c r="I2925" s="81">
        <f>IFERROR(__xludf.DUMMYFUNCTION("IF(G2925="""", """", ROUND(G2925 / MAX(FILTER($G$2:$G5067, $D$2:$D5067=$D2925)) * 100, 2))"),59.5)</f>
        <v>59.5</v>
      </c>
      <c r="J2925" s="81">
        <f>IFERROR(__xludf.DUMMYFUNCTION("IF(H2925="""", """", ROUND(H2925 / MAX(FILTER($H$2:$H5067, $D$2:$D5067=$D2925)) * 100, 2))"),5.41)</f>
        <v>5.41</v>
      </c>
      <c r="K2925" s="2"/>
      <c r="L2925" s="48"/>
      <c r="M2925" s="48"/>
      <c r="N2925" s="48"/>
      <c r="O2925" s="48" t="str">
        <f t="shared" si="2"/>
        <v/>
      </c>
      <c r="P2925" s="48" t="str">
        <f t="shared" si="3"/>
        <v/>
      </c>
      <c r="Q2925" s="84"/>
      <c r="R2925" s="84"/>
      <c r="S2925" s="84"/>
      <c r="T2925" s="84"/>
      <c r="U2925" s="84"/>
      <c r="V2925" s="84"/>
      <c r="W2925" s="84"/>
      <c r="X2925" s="84"/>
      <c r="Y2925" s="84"/>
      <c r="Z2925" s="84"/>
      <c r="AA2925" s="84"/>
      <c r="AB2925" s="84"/>
    </row>
    <row r="2926">
      <c r="A2926" s="63">
        <v>195.0</v>
      </c>
      <c r="B2926" s="63">
        <v>316.0</v>
      </c>
      <c r="C2926" s="64" t="s">
        <v>632</v>
      </c>
      <c r="D2926" s="64" t="s">
        <v>633</v>
      </c>
      <c r="E2926" s="64" t="s">
        <v>634</v>
      </c>
      <c r="F2926" s="63">
        <v>1000.0</v>
      </c>
      <c r="G2926" s="63">
        <v>12.49</v>
      </c>
      <c r="H2926" s="66">
        <f t="shared" si="1"/>
        <v>17.44</v>
      </c>
      <c r="I2926" s="81">
        <f>IFERROR(__xludf.DUMMYFUNCTION("IF(G2926="""", """", ROUND(G2926 / MAX(FILTER($G$2:$G5067, $D$2:$D5067=$D2926)) * 100, 2))"),65.7)</f>
        <v>65.7</v>
      </c>
      <c r="J2926" s="81">
        <f>IFERROR(__xludf.DUMMYFUNCTION("IF(H2926="""", """", ROUND(H2926 / MAX(FILTER($H$2:$H5067, $D$2:$D5067=$D2926)) * 100, 2))"),11.94)</f>
        <v>11.94</v>
      </c>
      <c r="K2926" s="2"/>
      <c r="L2926" s="49"/>
      <c r="M2926" s="49"/>
      <c r="N2926" s="49"/>
      <c r="O2926" s="49" t="str">
        <f t="shared" si="2"/>
        <v/>
      </c>
      <c r="P2926" s="49" t="str">
        <f t="shared" si="3"/>
        <v/>
      </c>
      <c r="Q2926" s="84"/>
      <c r="R2926" s="84"/>
      <c r="S2926" s="84"/>
      <c r="T2926" s="84"/>
      <c r="U2926" s="84"/>
      <c r="V2926" s="84"/>
      <c r="W2926" s="84"/>
      <c r="X2926" s="84"/>
      <c r="Y2926" s="84"/>
      <c r="Z2926" s="84"/>
      <c r="AA2926" s="84"/>
      <c r="AB2926" s="84"/>
    </row>
    <row r="2927">
      <c r="A2927" s="69">
        <v>195.0</v>
      </c>
      <c r="B2927" s="69">
        <v>316.0</v>
      </c>
      <c r="C2927" s="86" t="s">
        <v>632</v>
      </c>
      <c r="D2927" s="86" t="s">
        <v>633</v>
      </c>
      <c r="E2927" s="86" t="s">
        <v>634</v>
      </c>
      <c r="F2927" s="69">
        <v>1500.0</v>
      </c>
      <c r="G2927" s="69">
        <v>13.65</v>
      </c>
      <c r="H2927" s="68">
        <f t="shared" si="1"/>
        <v>28.59</v>
      </c>
      <c r="I2927" s="81">
        <f>IFERROR(__xludf.DUMMYFUNCTION("IF(G2927="""", """", ROUND(G2927 / MAX(FILTER($G$2:$G5067, $D$2:$D5067=$D2927)) * 100, 2))"),71.8)</f>
        <v>71.8</v>
      </c>
      <c r="J2927" s="81">
        <f>IFERROR(__xludf.DUMMYFUNCTION("IF(H2927="""", """", ROUND(H2927 / MAX(FILTER($H$2:$H5067, $D$2:$D5067=$D2927)) * 100, 2))"),19.58)</f>
        <v>19.58</v>
      </c>
      <c r="K2927" s="2"/>
      <c r="L2927" s="48"/>
      <c r="M2927" s="48"/>
      <c r="N2927" s="48"/>
      <c r="O2927" s="48" t="str">
        <f t="shared" si="2"/>
        <v/>
      </c>
      <c r="P2927" s="48" t="str">
        <f t="shared" si="3"/>
        <v/>
      </c>
      <c r="Q2927" s="84"/>
      <c r="R2927" s="84"/>
      <c r="S2927" s="84"/>
      <c r="T2927" s="84"/>
      <c r="U2927" s="84"/>
      <c r="V2927" s="84"/>
      <c r="W2927" s="84"/>
      <c r="X2927" s="84"/>
      <c r="Y2927" s="84"/>
      <c r="Z2927" s="84"/>
      <c r="AA2927" s="84"/>
      <c r="AB2927" s="84"/>
    </row>
    <row r="2928">
      <c r="A2928" s="63">
        <v>195.0</v>
      </c>
      <c r="B2928" s="63">
        <v>316.0</v>
      </c>
      <c r="C2928" s="64" t="s">
        <v>632</v>
      </c>
      <c r="D2928" s="64" t="s">
        <v>633</v>
      </c>
      <c r="E2928" s="64" t="s">
        <v>634</v>
      </c>
      <c r="F2928" s="63">
        <v>2000.0</v>
      </c>
      <c r="G2928" s="63">
        <v>14.86</v>
      </c>
      <c r="H2928" s="66">
        <f t="shared" si="1"/>
        <v>41.5</v>
      </c>
      <c r="I2928" s="81">
        <f>IFERROR(__xludf.DUMMYFUNCTION("IF(G2928="""", """", ROUND(G2928 / MAX(FILTER($G$2:$G5067, $D$2:$D5067=$D2928)) * 100, 2))"),78.17)</f>
        <v>78.17</v>
      </c>
      <c r="J2928" s="81">
        <f>IFERROR(__xludf.DUMMYFUNCTION("IF(H2928="""", """", ROUND(H2928 / MAX(FILTER($H$2:$H5067, $D$2:$D5067=$D2928)) * 100, 2))"),28.42)</f>
        <v>28.42</v>
      </c>
      <c r="K2928" s="2"/>
      <c r="L2928" s="49"/>
      <c r="M2928" s="49"/>
      <c r="N2928" s="49"/>
      <c r="O2928" s="49" t="str">
        <f t="shared" si="2"/>
        <v/>
      </c>
      <c r="P2928" s="49" t="str">
        <f t="shared" si="3"/>
        <v/>
      </c>
      <c r="Q2928" s="84"/>
      <c r="R2928" s="84"/>
      <c r="S2928" s="84"/>
      <c r="T2928" s="84"/>
      <c r="U2928" s="84"/>
      <c r="V2928" s="84"/>
      <c r="W2928" s="84"/>
      <c r="X2928" s="84"/>
      <c r="Y2928" s="84"/>
      <c r="Z2928" s="84"/>
      <c r="AA2928" s="84"/>
      <c r="AB2928" s="84"/>
    </row>
    <row r="2929">
      <c r="A2929" s="69">
        <v>195.0</v>
      </c>
      <c r="B2929" s="69">
        <v>316.0</v>
      </c>
      <c r="C2929" s="86" t="s">
        <v>632</v>
      </c>
      <c r="D2929" s="86" t="s">
        <v>633</v>
      </c>
      <c r="E2929" s="86" t="s">
        <v>634</v>
      </c>
      <c r="F2929" s="69">
        <v>2500.0</v>
      </c>
      <c r="G2929" s="69">
        <v>15.95</v>
      </c>
      <c r="H2929" s="68">
        <f t="shared" si="1"/>
        <v>55.68</v>
      </c>
      <c r="I2929" s="81">
        <f>IFERROR(__xludf.DUMMYFUNCTION("IF(G2929="""", """", ROUND(G2929 / MAX(FILTER($G$2:$G5067, $D$2:$D5067=$D2929)) * 100, 2))"),83.9)</f>
        <v>83.9</v>
      </c>
      <c r="J2929" s="81">
        <f>IFERROR(__xludf.DUMMYFUNCTION("IF(H2929="""", """", ROUND(H2929 / MAX(FILTER($H$2:$H5067, $D$2:$D5067=$D2929)) * 100, 2))"),38.13)</f>
        <v>38.13</v>
      </c>
      <c r="K2929" s="2"/>
      <c r="L2929" s="48"/>
      <c r="M2929" s="48"/>
      <c r="N2929" s="48"/>
      <c r="O2929" s="48" t="str">
        <f t="shared" si="2"/>
        <v/>
      </c>
      <c r="P2929" s="48" t="str">
        <f t="shared" si="3"/>
        <v/>
      </c>
      <c r="Q2929" s="84"/>
      <c r="R2929" s="84"/>
      <c r="S2929" s="84"/>
      <c r="T2929" s="84"/>
      <c r="U2929" s="84"/>
      <c r="V2929" s="84"/>
      <c r="W2929" s="84"/>
      <c r="X2929" s="84"/>
      <c r="Y2929" s="84"/>
      <c r="Z2929" s="84"/>
      <c r="AA2929" s="84"/>
      <c r="AB2929" s="84"/>
    </row>
    <row r="2930">
      <c r="A2930" s="63">
        <v>195.0</v>
      </c>
      <c r="B2930" s="63">
        <v>316.0</v>
      </c>
      <c r="C2930" s="64" t="s">
        <v>632</v>
      </c>
      <c r="D2930" s="64" t="s">
        <v>633</v>
      </c>
      <c r="E2930" s="64" t="s">
        <v>634</v>
      </c>
      <c r="F2930" s="63">
        <v>3000.0</v>
      </c>
      <c r="G2930" s="63">
        <v>16.87</v>
      </c>
      <c r="H2930" s="66">
        <f t="shared" si="1"/>
        <v>70.66</v>
      </c>
      <c r="I2930" s="81">
        <f>IFERROR(__xludf.DUMMYFUNCTION("IF(G2930="""", """", ROUND(G2930 / MAX(FILTER($G$2:$G5067, $D$2:$D5067=$D2930)) * 100, 2))"),88.74)</f>
        <v>88.74</v>
      </c>
      <c r="J2930" s="81">
        <f>IFERROR(__xludf.DUMMYFUNCTION("IF(H2930="""", """", ROUND(H2930 / MAX(FILTER($H$2:$H5067, $D$2:$D5067=$D2930)) * 100, 2))"),48.39)</f>
        <v>48.39</v>
      </c>
      <c r="K2930" s="2"/>
      <c r="L2930" s="49"/>
      <c r="M2930" s="49"/>
      <c r="N2930" s="49"/>
      <c r="O2930" s="49" t="str">
        <f t="shared" si="2"/>
        <v/>
      </c>
      <c r="P2930" s="49" t="str">
        <f t="shared" si="3"/>
        <v/>
      </c>
      <c r="Q2930" s="84"/>
      <c r="R2930" s="84"/>
      <c r="S2930" s="84"/>
      <c r="T2930" s="84"/>
      <c r="U2930" s="84"/>
      <c r="V2930" s="84"/>
      <c r="W2930" s="84"/>
      <c r="X2930" s="84"/>
      <c r="Y2930" s="84"/>
      <c r="Z2930" s="84"/>
      <c r="AA2930" s="84"/>
      <c r="AB2930" s="84"/>
    </row>
    <row r="2931">
      <c r="A2931" s="69">
        <v>195.0</v>
      </c>
      <c r="B2931" s="69">
        <v>316.0</v>
      </c>
      <c r="C2931" s="86" t="s">
        <v>632</v>
      </c>
      <c r="D2931" s="86" t="s">
        <v>633</v>
      </c>
      <c r="E2931" s="86" t="s">
        <v>634</v>
      </c>
      <c r="F2931" s="69">
        <v>3500.0</v>
      </c>
      <c r="G2931" s="69">
        <v>17.76</v>
      </c>
      <c r="H2931" s="68">
        <f t="shared" si="1"/>
        <v>86.79</v>
      </c>
      <c r="I2931" s="81">
        <f>IFERROR(__xludf.DUMMYFUNCTION("IF(G2931="""", """", ROUND(G2931 / MAX(FILTER($G$2:$G5067, $D$2:$D5067=$D2931)) * 100, 2))"),93.42)</f>
        <v>93.42</v>
      </c>
      <c r="J2931" s="81">
        <f>IFERROR(__xludf.DUMMYFUNCTION("IF(H2931="""", """", ROUND(H2931 / MAX(FILTER($H$2:$H5067, $D$2:$D5067=$D2931)) * 100, 2))"),59.44)</f>
        <v>59.44</v>
      </c>
      <c r="K2931" s="2"/>
      <c r="L2931" s="48"/>
      <c r="M2931" s="48"/>
      <c r="N2931" s="48"/>
      <c r="O2931" s="48" t="str">
        <f t="shared" si="2"/>
        <v/>
      </c>
      <c r="P2931" s="48" t="str">
        <f t="shared" si="3"/>
        <v/>
      </c>
      <c r="Q2931" s="84"/>
      <c r="R2931" s="84"/>
      <c r="S2931" s="84"/>
      <c r="T2931" s="84"/>
      <c r="U2931" s="84"/>
      <c r="V2931" s="84"/>
      <c r="W2931" s="84"/>
      <c r="X2931" s="84"/>
      <c r="Y2931" s="84"/>
      <c r="Z2931" s="84"/>
      <c r="AA2931" s="84"/>
      <c r="AB2931" s="84"/>
    </row>
    <row r="2932">
      <c r="A2932" s="63">
        <v>195.0</v>
      </c>
      <c r="B2932" s="63">
        <v>316.0</v>
      </c>
      <c r="C2932" s="64" t="s">
        <v>632</v>
      </c>
      <c r="D2932" s="64" t="s">
        <v>633</v>
      </c>
      <c r="E2932" s="64" t="s">
        <v>634</v>
      </c>
      <c r="F2932" s="63">
        <v>4000.0</v>
      </c>
      <c r="G2932" s="63">
        <v>18.51</v>
      </c>
      <c r="H2932" s="66">
        <f t="shared" si="1"/>
        <v>103.38</v>
      </c>
      <c r="I2932" s="81">
        <f>IFERROR(__xludf.DUMMYFUNCTION("IF(G2932="""", """", ROUND(G2932 / MAX(FILTER($G$2:$G5067, $D$2:$D5067=$D2932)) * 100, 2))"),97.37)</f>
        <v>97.37</v>
      </c>
      <c r="J2932" s="81">
        <f>IFERROR(__xludf.DUMMYFUNCTION("IF(H2932="""", """", ROUND(H2932 / MAX(FILTER($H$2:$H5067, $D$2:$D5067=$D2932)) * 100, 2))"),70.8)</f>
        <v>70.8</v>
      </c>
      <c r="K2932" s="2"/>
      <c r="L2932" s="49"/>
      <c r="M2932" s="49"/>
      <c r="N2932" s="49"/>
      <c r="O2932" s="49" t="str">
        <f t="shared" si="2"/>
        <v/>
      </c>
      <c r="P2932" s="49" t="str">
        <f t="shared" si="3"/>
        <v/>
      </c>
      <c r="Q2932" s="84"/>
      <c r="R2932" s="84"/>
      <c r="S2932" s="84"/>
      <c r="T2932" s="84"/>
      <c r="U2932" s="84"/>
      <c r="V2932" s="84"/>
      <c r="W2932" s="84"/>
      <c r="X2932" s="84"/>
      <c r="Y2932" s="84"/>
      <c r="Z2932" s="84"/>
      <c r="AA2932" s="84"/>
      <c r="AB2932" s="84"/>
    </row>
    <row r="2933">
      <c r="A2933" s="69">
        <v>195.0</v>
      </c>
      <c r="B2933" s="69">
        <v>316.0</v>
      </c>
      <c r="C2933" s="86" t="s">
        <v>632</v>
      </c>
      <c r="D2933" s="86" t="s">
        <v>633</v>
      </c>
      <c r="E2933" s="86" t="s">
        <v>634</v>
      </c>
      <c r="F2933" s="69">
        <v>4500.0</v>
      </c>
      <c r="G2933" s="69">
        <v>19.01</v>
      </c>
      <c r="H2933" s="68">
        <f t="shared" si="1"/>
        <v>119.44</v>
      </c>
      <c r="I2933" s="81">
        <f>IFERROR(__xludf.DUMMYFUNCTION("IF(G2933="""", """", ROUND(G2933 / MAX(FILTER($G$2:$G5067, $D$2:$D5067=$D2933)) * 100, 2))"),100.0)</f>
        <v>100</v>
      </c>
      <c r="J2933" s="81">
        <f>IFERROR(__xludf.DUMMYFUNCTION("IF(H2933="""", """", ROUND(H2933 / MAX(FILTER($H$2:$H5067, $D$2:$D5067=$D2933)) * 100, 2))"),81.8)</f>
        <v>81.8</v>
      </c>
      <c r="K2933" s="2"/>
      <c r="L2933" s="48"/>
      <c r="M2933" s="48"/>
      <c r="N2933" s="48"/>
      <c r="O2933" s="48" t="str">
        <f t="shared" si="2"/>
        <v/>
      </c>
      <c r="P2933" s="48" t="str">
        <f t="shared" si="3"/>
        <v/>
      </c>
      <c r="Q2933" s="84"/>
      <c r="R2933" s="84"/>
      <c r="S2933" s="84"/>
      <c r="T2933" s="84"/>
      <c r="U2933" s="84"/>
      <c r="V2933" s="84"/>
      <c r="W2933" s="84"/>
      <c r="X2933" s="84"/>
      <c r="Y2933" s="84"/>
      <c r="Z2933" s="84"/>
      <c r="AA2933" s="84"/>
      <c r="AB2933" s="84"/>
    </row>
    <row r="2934">
      <c r="A2934" s="63">
        <v>195.0</v>
      </c>
      <c r="B2934" s="63">
        <v>316.0</v>
      </c>
      <c r="C2934" s="64" t="s">
        <v>632</v>
      </c>
      <c r="D2934" s="64" t="s">
        <v>633</v>
      </c>
      <c r="E2934" s="64" t="s">
        <v>634</v>
      </c>
      <c r="F2934" s="63">
        <v>5000.0</v>
      </c>
      <c r="G2934" s="63">
        <v>18.94</v>
      </c>
      <c r="H2934" s="66">
        <f t="shared" si="1"/>
        <v>132.23</v>
      </c>
      <c r="I2934" s="81">
        <f>IFERROR(__xludf.DUMMYFUNCTION("IF(G2934="""", """", ROUND(G2934 / MAX(FILTER($G$2:$G5067, $D$2:$D5067=$D2934)) * 100, 2))"),99.63)</f>
        <v>99.63</v>
      </c>
      <c r="J2934" s="81">
        <f>IFERROR(__xludf.DUMMYFUNCTION("IF(H2934="""", """", ROUND(H2934 / MAX(FILTER($H$2:$H5067, $D$2:$D5067=$D2934)) * 100, 2))"),90.56)</f>
        <v>90.56</v>
      </c>
      <c r="K2934" s="2"/>
      <c r="L2934" s="49"/>
      <c r="M2934" s="49"/>
      <c r="N2934" s="49"/>
      <c r="O2934" s="49" t="str">
        <f t="shared" si="2"/>
        <v/>
      </c>
      <c r="P2934" s="49" t="str">
        <f t="shared" si="3"/>
        <v/>
      </c>
      <c r="Q2934" s="84"/>
      <c r="R2934" s="84"/>
      <c r="S2934" s="84"/>
      <c r="T2934" s="84"/>
      <c r="U2934" s="84"/>
      <c r="V2934" s="84"/>
      <c r="W2934" s="84"/>
      <c r="X2934" s="84"/>
      <c r="Y2934" s="84"/>
      <c r="Z2934" s="84"/>
      <c r="AA2934" s="84"/>
      <c r="AB2934" s="84"/>
    </row>
    <row r="2935">
      <c r="A2935" s="69">
        <v>195.0</v>
      </c>
      <c r="B2935" s="69">
        <v>316.0</v>
      </c>
      <c r="C2935" s="86" t="s">
        <v>632</v>
      </c>
      <c r="D2935" s="86" t="s">
        <v>633</v>
      </c>
      <c r="E2935" s="86" t="s">
        <v>634</v>
      </c>
      <c r="F2935" s="69">
        <v>5500.0</v>
      </c>
      <c r="G2935" s="69">
        <v>18.45</v>
      </c>
      <c r="H2935" s="68">
        <f t="shared" si="1"/>
        <v>141.69</v>
      </c>
      <c r="I2935" s="81">
        <f>IFERROR(__xludf.DUMMYFUNCTION("IF(G2935="""", """", ROUND(G2935 / MAX(FILTER($G$2:$G5067, $D$2:$D5067=$D2935)) * 100, 2))"),97.05)</f>
        <v>97.05</v>
      </c>
      <c r="J2935" s="81">
        <f>IFERROR(__xludf.DUMMYFUNCTION("IF(H2935="""", """", ROUND(H2935 / MAX(FILTER($H$2:$H5067, $D$2:$D5067=$D2935)) * 100, 2))"),97.03)</f>
        <v>97.03</v>
      </c>
      <c r="K2935" s="2"/>
      <c r="L2935" s="48"/>
      <c r="M2935" s="48"/>
      <c r="N2935" s="48"/>
      <c r="O2935" s="48" t="str">
        <f t="shared" si="2"/>
        <v/>
      </c>
      <c r="P2935" s="48" t="str">
        <f t="shared" si="3"/>
        <v/>
      </c>
      <c r="Q2935" s="84"/>
      <c r="R2935" s="84"/>
      <c r="S2935" s="84"/>
      <c r="T2935" s="84"/>
      <c r="U2935" s="84"/>
      <c r="V2935" s="84"/>
      <c r="W2935" s="84"/>
      <c r="X2935" s="84"/>
      <c r="Y2935" s="84"/>
      <c r="Z2935" s="84"/>
      <c r="AA2935" s="84"/>
      <c r="AB2935" s="84"/>
    </row>
    <row r="2936">
      <c r="A2936" s="63">
        <v>195.0</v>
      </c>
      <c r="B2936" s="63">
        <v>316.0</v>
      </c>
      <c r="C2936" s="64" t="s">
        <v>632</v>
      </c>
      <c r="D2936" s="64" t="s">
        <v>633</v>
      </c>
      <c r="E2936" s="64" t="s">
        <v>634</v>
      </c>
      <c r="F2936" s="63">
        <v>6000.0</v>
      </c>
      <c r="G2936" s="63">
        <v>17.43</v>
      </c>
      <c r="H2936" s="66">
        <f t="shared" si="1"/>
        <v>146.02</v>
      </c>
      <c r="I2936" s="81">
        <f>IFERROR(__xludf.DUMMYFUNCTION("IF(G2936="""", """", ROUND(G2936 / MAX(FILTER($G$2:$G5067, $D$2:$D5067=$D2936)) * 100, 2))"),91.69)</f>
        <v>91.69</v>
      </c>
      <c r="J2936" s="81">
        <f>IFERROR(__xludf.DUMMYFUNCTION("IF(H2936="""", """", ROUND(H2936 / MAX(FILTER($H$2:$H5067, $D$2:$D5067=$D2936)) * 100, 2))"),100.0)</f>
        <v>100</v>
      </c>
      <c r="K2936" s="2"/>
      <c r="L2936" s="49"/>
      <c r="M2936" s="49"/>
      <c r="N2936" s="49"/>
      <c r="O2936" s="49" t="str">
        <f t="shared" si="2"/>
        <v/>
      </c>
      <c r="P2936" s="49" t="str">
        <f t="shared" si="3"/>
        <v/>
      </c>
      <c r="Q2936" s="84"/>
      <c r="R2936" s="84"/>
      <c r="S2936" s="84"/>
      <c r="T2936" s="84"/>
      <c r="U2936" s="84"/>
      <c r="V2936" s="84"/>
      <c r="W2936" s="84"/>
      <c r="X2936" s="84"/>
      <c r="Y2936" s="84"/>
      <c r="Z2936" s="84"/>
      <c r="AA2936" s="84"/>
      <c r="AB2936" s="84"/>
    </row>
    <row r="2937">
      <c r="A2937" s="69">
        <v>195.0</v>
      </c>
      <c r="B2937" s="69">
        <v>316.0</v>
      </c>
      <c r="C2937" s="86" t="s">
        <v>632</v>
      </c>
      <c r="D2937" s="86" t="s">
        <v>633</v>
      </c>
      <c r="E2937" s="86" t="s">
        <v>634</v>
      </c>
      <c r="F2937" s="69">
        <v>6500.0</v>
      </c>
      <c r="G2937" s="69">
        <v>16.01</v>
      </c>
      <c r="H2937" s="68">
        <f t="shared" si="1"/>
        <v>145.3</v>
      </c>
      <c r="I2937" s="81">
        <f>IFERROR(__xludf.DUMMYFUNCTION("IF(G2937="""", """", ROUND(G2937 / MAX(FILTER($G$2:$G5067, $D$2:$D5067=$D2937)) * 100, 2))"),84.22)</f>
        <v>84.22</v>
      </c>
      <c r="J2937" s="81">
        <f>IFERROR(__xludf.DUMMYFUNCTION("IF(H2937="""", """", ROUND(H2937 / MAX(FILTER($H$2:$H5067, $D$2:$D5067=$D2937)) * 100, 2))"),99.51)</f>
        <v>99.51</v>
      </c>
      <c r="K2937" s="2"/>
      <c r="L2937" s="48"/>
      <c r="M2937" s="48"/>
      <c r="N2937" s="48"/>
      <c r="O2937" s="48" t="str">
        <f t="shared" si="2"/>
        <v/>
      </c>
      <c r="P2937" s="48" t="str">
        <f t="shared" si="3"/>
        <v/>
      </c>
      <c r="Q2937" s="84"/>
      <c r="R2937" s="84"/>
      <c r="S2937" s="84"/>
      <c r="T2937" s="84"/>
      <c r="U2937" s="84"/>
      <c r="V2937" s="84"/>
      <c r="W2937" s="84"/>
      <c r="X2937" s="84"/>
      <c r="Y2937" s="84"/>
      <c r="Z2937" s="84"/>
      <c r="AA2937" s="84"/>
      <c r="AB2937" s="84"/>
    </row>
    <row r="2938">
      <c r="A2938" s="63">
        <v>195.0</v>
      </c>
      <c r="B2938" s="63">
        <v>316.0</v>
      </c>
      <c r="C2938" s="64" t="s">
        <v>632</v>
      </c>
      <c r="D2938" s="64" t="s">
        <v>633</v>
      </c>
      <c r="E2938" s="64" t="s">
        <v>634</v>
      </c>
      <c r="F2938" s="63">
        <v>7000.0</v>
      </c>
      <c r="G2938" s="63">
        <v>14.27</v>
      </c>
      <c r="H2938" s="66">
        <f t="shared" si="1"/>
        <v>139.47</v>
      </c>
      <c r="I2938" s="81">
        <f>IFERROR(__xludf.DUMMYFUNCTION("IF(G2938="""", """", ROUND(G2938 / MAX(FILTER($G$2:$G5067, $D$2:$D5067=$D2938)) * 100, 2))"),75.07)</f>
        <v>75.07</v>
      </c>
      <c r="J2938" s="81">
        <f>IFERROR(__xludf.DUMMYFUNCTION("IF(H2938="""", """", ROUND(H2938 / MAX(FILTER($H$2:$H5067, $D$2:$D5067=$D2938)) * 100, 2))"),95.51)</f>
        <v>95.51</v>
      </c>
      <c r="K2938" s="2"/>
      <c r="L2938" s="49"/>
      <c r="M2938" s="49"/>
      <c r="N2938" s="49"/>
      <c r="O2938" s="49" t="str">
        <f t="shared" si="2"/>
        <v/>
      </c>
      <c r="P2938" s="49" t="str">
        <f t="shared" si="3"/>
        <v/>
      </c>
      <c r="Q2938" s="84"/>
      <c r="R2938" s="84"/>
      <c r="S2938" s="84"/>
      <c r="T2938" s="84"/>
      <c r="U2938" s="84"/>
      <c r="V2938" s="84"/>
      <c r="W2938" s="84"/>
      <c r="X2938" s="84"/>
      <c r="Y2938" s="84"/>
      <c r="Z2938" s="84"/>
      <c r="AA2938" s="84"/>
      <c r="AB2938" s="84"/>
    </row>
    <row r="2939">
      <c r="A2939" s="69">
        <v>195.0</v>
      </c>
      <c r="B2939" s="69">
        <v>316.0</v>
      </c>
      <c r="C2939" s="86" t="s">
        <v>632</v>
      </c>
      <c r="D2939" s="86" t="s">
        <v>633</v>
      </c>
      <c r="E2939" s="86" t="s">
        <v>634</v>
      </c>
      <c r="F2939" s="69">
        <v>7500.0</v>
      </c>
      <c r="G2939" s="69">
        <v>12.34</v>
      </c>
      <c r="H2939" s="68">
        <f t="shared" si="1"/>
        <v>129.22</v>
      </c>
      <c r="I2939" s="81">
        <f>IFERROR(__xludf.DUMMYFUNCTION("IF(G2939="""", """", ROUND(G2939 / MAX(FILTER($G$2:$G5067, $D$2:$D5067=$D2939)) * 100, 2))"),64.91)</f>
        <v>64.91</v>
      </c>
      <c r="J2939" s="81">
        <f>IFERROR(__xludf.DUMMYFUNCTION("IF(H2939="""", """", ROUND(H2939 / MAX(FILTER($H$2:$H5067, $D$2:$D5067=$D2939)) * 100, 2))"),88.49)</f>
        <v>88.49</v>
      </c>
      <c r="K2939" s="2"/>
      <c r="L2939" s="48"/>
      <c r="M2939" s="48"/>
      <c r="N2939" s="48"/>
      <c r="O2939" s="48" t="str">
        <f t="shared" si="2"/>
        <v/>
      </c>
      <c r="P2939" s="48" t="str">
        <f t="shared" si="3"/>
        <v/>
      </c>
      <c r="Q2939" s="84"/>
      <c r="R2939" s="84"/>
      <c r="S2939" s="84"/>
      <c r="T2939" s="84"/>
      <c r="U2939" s="84"/>
      <c r="V2939" s="84"/>
      <c r="W2939" s="84"/>
      <c r="X2939" s="84"/>
      <c r="Y2939" s="84"/>
      <c r="Z2939" s="84"/>
      <c r="AA2939" s="84"/>
      <c r="AB2939" s="84"/>
    </row>
    <row r="2940">
      <c r="A2940" s="63">
        <v>195.0</v>
      </c>
      <c r="B2940" s="63">
        <v>316.0</v>
      </c>
      <c r="C2940" s="64" t="s">
        <v>632</v>
      </c>
      <c r="D2940" s="64" t="s">
        <v>633</v>
      </c>
      <c r="E2940" s="64" t="s">
        <v>634</v>
      </c>
      <c r="F2940" s="63">
        <v>8000.0</v>
      </c>
      <c r="G2940" s="63">
        <v>10.34</v>
      </c>
      <c r="H2940" s="66">
        <f t="shared" si="1"/>
        <v>115.5</v>
      </c>
      <c r="I2940" s="81">
        <f>IFERROR(__xludf.DUMMYFUNCTION("IF(G2940="""", """", ROUND(G2940 / MAX(FILTER($G$2:$G5067, $D$2:$D5067=$D2940)) * 100, 2))"),54.39)</f>
        <v>54.39</v>
      </c>
      <c r="J2940" s="81">
        <f>IFERROR(__xludf.DUMMYFUNCTION("IF(H2940="""", """", ROUND(H2940 / MAX(FILTER($H$2:$H5067, $D$2:$D5067=$D2940)) * 100, 2))"),79.1)</f>
        <v>79.1</v>
      </c>
      <c r="K2940" s="2"/>
      <c r="L2940" s="49"/>
      <c r="M2940" s="49"/>
      <c r="N2940" s="49"/>
      <c r="O2940" s="49" t="str">
        <f t="shared" si="2"/>
        <v/>
      </c>
      <c r="P2940" s="49" t="str">
        <f t="shared" si="3"/>
        <v/>
      </c>
      <c r="Q2940" s="84"/>
      <c r="R2940" s="84"/>
      <c r="S2940" s="84"/>
      <c r="T2940" s="84"/>
      <c r="U2940" s="84"/>
      <c r="V2940" s="84"/>
      <c r="W2940" s="84"/>
      <c r="X2940" s="84"/>
      <c r="Y2940" s="84"/>
      <c r="Z2940" s="84"/>
      <c r="AA2940" s="84"/>
      <c r="AB2940" s="84"/>
    </row>
    <row r="2941">
      <c r="A2941" s="69">
        <v>195.0</v>
      </c>
      <c r="B2941" s="69">
        <v>316.0</v>
      </c>
      <c r="C2941" s="86" t="s">
        <v>632</v>
      </c>
      <c r="D2941" s="86" t="s">
        <v>633</v>
      </c>
      <c r="E2941" s="86" t="s">
        <v>634</v>
      </c>
      <c r="F2941" s="69">
        <v>8500.0</v>
      </c>
      <c r="G2941" s="69">
        <v>7.84</v>
      </c>
      <c r="H2941" s="68">
        <f t="shared" si="1"/>
        <v>93.05</v>
      </c>
      <c r="I2941" s="81">
        <f>IFERROR(__xludf.DUMMYFUNCTION("IF(G2941="""", """", ROUND(G2941 / MAX(FILTER($G$2:$G5067, $D$2:$D5067=$D2941)) * 100, 2))"),41.24)</f>
        <v>41.24</v>
      </c>
      <c r="J2941" s="81">
        <f>IFERROR(__xludf.DUMMYFUNCTION("IF(H2941="""", """", ROUND(H2941 / MAX(FILTER($H$2:$H5067, $D$2:$D5067=$D2941)) * 100, 2))"),63.72)</f>
        <v>63.72</v>
      </c>
      <c r="K2941" s="2"/>
      <c r="L2941" s="48"/>
      <c r="M2941" s="48"/>
      <c r="N2941" s="48"/>
      <c r="O2941" s="48" t="str">
        <f t="shared" si="2"/>
        <v/>
      </c>
      <c r="P2941" s="48" t="str">
        <f t="shared" si="3"/>
        <v/>
      </c>
      <c r="Q2941" s="84"/>
      <c r="R2941" s="84"/>
      <c r="S2941" s="84"/>
      <c r="T2941" s="84"/>
      <c r="U2941" s="84"/>
      <c r="V2941" s="84"/>
      <c r="W2941" s="84"/>
      <c r="X2941" s="84"/>
      <c r="Y2941" s="84"/>
      <c r="Z2941" s="84"/>
      <c r="AA2941" s="84"/>
      <c r="AB2941" s="84"/>
    </row>
    <row r="2942">
      <c r="A2942" s="63">
        <v>195.0</v>
      </c>
      <c r="B2942" s="63">
        <v>316.0</v>
      </c>
      <c r="C2942" s="64" t="s">
        <v>632</v>
      </c>
      <c r="D2942" s="64" t="s">
        <v>633</v>
      </c>
      <c r="E2942" s="64" t="s">
        <v>634</v>
      </c>
      <c r="F2942" s="63">
        <v>9000.0</v>
      </c>
      <c r="G2942" s="63">
        <v>5.48</v>
      </c>
      <c r="H2942" s="66">
        <f t="shared" si="1"/>
        <v>68.86</v>
      </c>
      <c r="I2942" s="81">
        <f>IFERROR(__xludf.DUMMYFUNCTION("IF(G2942="""", """", ROUND(G2942 / MAX(FILTER($G$2:$G5067, $D$2:$D5067=$D2942)) * 100, 2))"),28.83)</f>
        <v>28.83</v>
      </c>
      <c r="J2942" s="81">
        <f>IFERROR(__xludf.DUMMYFUNCTION("IF(H2942="""", """", ROUND(H2942 / MAX(FILTER($H$2:$H5067, $D$2:$D5067=$D2942)) * 100, 2))"),47.16)</f>
        <v>47.16</v>
      </c>
      <c r="K2942" s="2"/>
      <c r="L2942" s="49"/>
      <c r="M2942" s="49"/>
      <c r="N2942" s="49"/>
      <c r="O2942" s="49" t="str">
        <f t="shared" si="2"/>
        <v/>
      </c>
      <c r="P2942" s="49" t="str">
        <f t="shared" si="3"/>
        <v/>
      </c>
      <c r="Q2942" s="84"/>
      <c r="R2942" s="84"/>
      <c r="S2942" s="84"/>
      <c r="T2942" s="84"/>
      <c r="U2942" s="84"/>
      <c r="V2942" s="84"/>
      <c r="W2942" s="84"/>
      <c r="X2942" s="84"/>
      <c r="Y2942" s="84"/>
      <c r="Z2942" s="84"/>
      <c r="AA2942" s="84"/>
      <c r="AB2942" s="84"/>
    </row>
    <row r="2943">
      <c r="A2943" s="69">
        <v>196.0</v>
      </c>
      <c r="B2943" s="69">
        <v>319.0</v>
      </c>
      <c r="C2943" s="86" t="s">
        <v>635</v>
      </c>
      <c r="D2943" s="86" t="s">
        <v>636</v>
      </c>
      <c r="E2943" s="86" t="s">
        <v>637</v>
      </c>
      <c r="F2943" s="69">
        <v>500.0</v>
      </c>
      <c r="G2943" s="69">
        <v>11.35</v>
      </c>
      <c r="H2943" s="68">
        <f t="shared" si="1"/>
        <v>7.92</v>
      </c>
      <c r="I2943" s="81">
        <f>IFERROR(__xludf.DUMMYFUNCTION("IF(G2943="""", """", ROUND(G2943 / MAX(FILTER($G$2:$G5067, $D$2:$D5067=$D2943)) * 100, 2))"),71.84)</f>
        <v>71.84</v>
      </c>
      <c r="J2943" s="81">
        <f>IFERROR(__xludf.DUMMYFUNCTION("IF(H2943="""", """", ROUND(H2943 / MAX(FILTER($H$2:$H5067, $D$2:$D5067=$D2943)) * 100, 2))"),6.88)</f>
        <v>6.88</v>
      </c>
      <c r="K2943" s="2"/>
      <c r="L2943" s="48"/>
      <c r="M2943" s="48"/>
      <c r="N2943" s="48"/>
      <c r="O2943" s="48" t="str">
        <f t="shared" si="2"/>
        <v/>
      </c>
      <c r="P2943" s="48" t="str">
        <f t="shared" si="3"/>
        <v/>
      </c>
      <c r="Q2943" s="84"/>
      <c r="R2943" s="84"/>
      <c r="S2943" s="84"/>
      <c r="T2943" s="84"/>
      <c r="U2943" s="84"/>
      <c r="V2943" s="84"/>
      <c r="W2943" s="84"/>
      <c r="X2943" s="84"/>
      <c r="Y2943" s="84"/>
      <c r="Z2943" s="84"/>
      <c r="AA2943" s="84"/>
      <c r="AB2943" s="84"/>
    </row>
    <row r="2944">
      <c r="A2944" s="63">
        <v>196.0</v>
      </c>
      <c r="B2944" s="63">
        <v>319.0</v>
      </c>
      <c r="C2944" s="64" t="s">
        <v>635</v>
      </c>
      <c r="D2944" s="64" t="s">
        <v>636</v>
      </c>
      <c r="E2944" s="64" t="s">
        <v>637</v>
      </c>
      <c r="F2944" s="63">
        <v>1000.0</v>
      </c>
      <c r="G2944" s="63">
        <v>13.4</v>
      </c>
      <c r="H2944" s="66">
        <f t="shared" si="1"/>
        <v>18.71</v>
      </c>
      <c r="I2944" s="81">
        <f>IFERROR(__xludf.DUMMYFUNCTION("IF(G2944="""", """", ROUND(G2944 / MAX(FILTER($G$2:$G5067, $D$2:$D5067=$D2944)) * 100, 2))"),84.81)</f>
        <v>84.81</v>
      </c>
      <c r="J2944" s="81">
        <f>IFERROR(__xludf.DUMMYFUNCTION("IF(H2944="""", """", ROUND(H2944 / MAX(FILTER($H$2:$H5067, $D$2:$D5067=$D2944)) * 100, 2))"),16.24)</f>
        <v>16.24</v>
      </c>
      <c r="K2944" s="2"/>
      <c r="L2944" s="49"/>
      <c r="M2944" s="49"/>
      <c r="N2944" s="49"/>
      <c r="O2944" s="49" t="str">
        <f t="shared" si="2"/>
        <v/>
      </c>
      <c r="P2944" s="49" t="str">
        <f t="shared" si="3"/>
        <v/>
      </c>
      <c r="Q2944" s="84"/>
      <c r="R2944" s="84"/>
      <c r="S2944" s="84"/>
      <c r="T2944" s="84"/>
      <c r="U2944" s="84"/>
      <c r="V2944" s="84"/>
      <c r="W2944" s="84"/>
      <c r="X2944" s="84"/>
      <c r="Y2944" s="84"/>
      <c r="Z2944" s="84"/>
      <c r="AA2944" s="84"/>
      <c r="AB2944" s="84"/>
    </row>
    <row r="2945">
      <c r="A2945" s="69">
        <v>196.0</v>
      </c>
      <c r="B2945" s="69">
        <v>319.0</v>
      </c>
      <c r="C2945" s="86" t="s">
        <v>635</v>
      </c>
      <c r="D2945" s="86" t="s">
        <v>636</v>
      </c>
      <c r="E2945" s="86" t="s">
        <v>637</v>
      </c>
      <c r="F2945" s="69">
        <v>1500.0</v>
      </c>
      <c r="G2945" s="69">
        <v>14.35</v>
      </c>
      <c r="H2945" s="68">
        <f t="shared" si="1"/>
        <v>30.05</v>
      </c>
      <c r="I2945" s="81">
        <f>IFERROR(__xludf.DUMMYFUNCTION("IF(G2945="""", """", ROUND(G2945 / MAX(FILTER($G$2:$G5067, $D$2:$D5067=$D2945)) * 100, 2))"),90.82)</f>
        <v>90.82</v>
      </c>
      <c r="J2945" s="81">
        <f>IFERROR(__xludf.DUMMYFUNCTION("IF(H2945="""", """", ROUND(H2945 / MAX(FILTER($H$2:$H5067, $D$2:$D5067=$D2945)) * 100, 2))"),26.09)</f>
        <v>26.09</v>
      </c>
      <c r="K2945" s="2"/>
      <c r="L2945" s="48"/>
      <c r="M2945" s="48"/>
      <c r="N2945" s="48"/>
      <c r="O2945" s="48" t="str">
        <f t="shared" si="2"/>
        <v/>
      </c>
      <c r="P2945" s="48" t="str">
        <f t="shared" si="3"/>
        <v/>
      </c>
      <c r="Q2945" s="84"/>
      <c r="R2945" s="84"/>
      <c r="S2945" s="84"/>
      <c r="T2945" s="84"/>
      <c r="U2945" s="84"/>
      <c r="V2945" s="84"/>
      <c r="W2945" s="84"/>
      <c r="X2945" s="84"/>
      <c r="Y2945" s="84"/>
      <c r="Z2945" s="84"/>
      <c r="AA2945" s="84"/>
      <c r="AB2945" s="84"/>
    </row>
    <row r="2946">
      <c r="A2946" s="63">
        <v>196.0</v>
      </c>
      <c r="B2946" s="63">
        <v>319.0</v>
      </c>
      <c r="C2946" s="64" t="s">
        <v>635</v>
      </c>
      <c r="D2946" s="64" t="s">
        <v>636</v>
      </c>
      <c r="E2946" s="64" t="s">
        <v>637</v>
      </c>
      <c r="F2946" s="63">
        <v>2000.0</v>
      </c>
      <c r="G2946" s="63">
        <v>15.0</v>
      </c>
      <c r="H2946" s="66">
        <f t="shared" si="1"/>
        <v>41.89</v>
      </c>
      <c r="I2946" s="81">
        <f>IFERROR(__xludf.DUMMYFUNCTION("IF(G2946="""", """", ROUND(G2946 / MAX(FILTER($G$2:$G5067, $D$2:$D5067=$D2946)) * 100, 2))"),94.94)</f>
        <v>94.94</v>
      </c>
      <c r="J2946" s="81">
        <f>IFERROR(__xludf.DUMMYFUNCTION("IF(H2946="""", """", ROUND(H2946 / MAX(FILTER($H$2:$H5067, $D$2:$D5067=$D2946)) * 100, 2))"),36.37)</f>
        <v>36.37</v>
      </c>
      <c r="K2946" s="2"/>
      <c r="L2946" s="49"/>
      <c r="M2946" s="49"/>
      <c r="N2946" s="49"/>
      <c r="O2946" s="49" t="str">
        <f t="shared" si="2"/>
        <v/>
      </c>
      <c r="P2946" s="49" t="str">
        <f t="shared" si="3"/>
        <v/>
      </c>
      <c r="Q2946" s="84"/>
      <c r="R2946" s="84"/>
      <c r="S2946" s="84"/>
      <c r="T2946" s="84"/>
      <c r="U2946" s="84"/>
      <c r="V2946" s="84"/>
      <c r="W2946" s="84"/>
      <c r="X2946" s="84"/>
      <c r="Y2946" s="84"/>
      <c r="Z2946" s="84"/>
      <c r="AA2946" s="84"/>
      <c r="AB2946" s="84"/>
    </row>
    <row r="2947">
      <c r="A2947" s="69">
        <v>196.0</v>
      </c>
      <c r="B2947" s="69">
        <v>319.0</v>
      </c>
      <c r="C2947" s="86" t="s">
        <v>635</v>
      </c>
      <c r="D2947" s="86" t="s">
        <v>636</v>
      </c>
      <c r="E2947" s="86" t="s">
        <v>637</v>
      </c>
      <c r="F2947" s="69">
        <v>2500.0</v>
      </c>
      <c r="G2947" s="69">
        <v>15.45</v>
      </c>
      <c r="H2947" s="68">
        <f t="shared" si="1"/>
        <v>53.93</v>
      </c>
      <c r="I2947" s="81">
        <f>IFERROR(__xludf.DUMMYFUNCTION("IF(G2947="""", """", ROUND(G2947 / MAX(FILTER($G$2:$G5067, $D$2:$D5067=$D2947)) * 100, 2))"),97.78)</f>
        <v>97.78</v>
      </c>
      <c r="J2947" s="81">
        <f>IFERROR(__xludf.DUMMYFUNCTION("IF(H2947="""", """", ROUND(H2947 / MAX(FILTER($H$2:$H5067, $D$2:$D5067=$D2947)) * 100, 2))"),46.82)</f>
        <v>46.82</v>
      </c>
      <c r="K2947" s="2"/>
      <c r="L2947" s="48"/>
      <c r="M2947" s="48"/>
      <c r="N2947" s="48"/>
      <c r="O2947" s="48" t="str">
        <f t="shared" si="2"/>
        <v/>
      </c>
      <c r="P2947" s="48" t="str">
        <f t="shared" si="3"/>
        <v/>
      </c>
      <c r="Q2947" s="84"/>
      <c r="R2947" s="84"/>
      <c r="S2947" s="84"/>
      <c r="T2947" s="84"/>
      <c r="U2947" s="84"/>
      <c r="V2947" s="84"/>
      <c r="W2947" s="84"/>
      <c r="X2947" s="84"/>
      <c r="Y2947" s="84"/>
      <c r="Z2947" s="84"/>
      <c r="AA2947" s="84"/>
      <c r="AB2947" s="84"/>
    </row>
    <row r="2948">
      <c r="A2948" s="63">
        <v>196.0</v>
      </c>
      <c r="B2948" s="63">
        <v>319.0</v>
      </c>
      <c r="C2948" s="64" t="s">
        <v>635</v>
      </c>
      <c r="D2948" s="64" t="s">
        <v>636</v>
      </c>
      <c r="E2948" s="64" t="s">
        <v>637</v>
      </c>
      <c r="F2948" s="63">
        <v>3000.0</v>
      </c>
      <c r="G2948" s="63">
        <v>15.8</v>
      </c>
      <c r="H2948" s="66">
        <f t="shared" si="1"/>
        <v>66.18</v>
      </c>
      <c r="I2948" s="81">
        <f>IFERROR(__xludf.DUMMYFUNCTION("IF(G2948="""", """", ROUND(G2948 / MAX(FILTER($G$2:$G5067, $D$2:$D5067=$D2948)) * 100, 2))"),100.0)</f>
        <v>100</v>
      </c>
      <c r="J2948" s="81">
        <f>IFERROR(__xludf.DUMMYFUNCTION("IF(H2948="""", """", ROUND(H2948 / MAX(FILTER($H$2:$H5067, $D$2:$D5067=$D2948)) * 100, 2))"),57.45)</f>
        <v>57.45</v>
      </c>
      <c r="K2948" s="2"/>
      <c r="L2948" s="49"/>
      <c r="M2948" s="49"/>
      <c r="N2948" s="49"/>
      <c r="O2948" s="49" t="str">
        <f t="shared" si="2"/>
        <v/>
      </c>
      <c r="P2948" s="49" t="str">
        <f t="shared" si="3"/>
        <v/>
      </c>
      <c r="Q2948" s="84"/>
      <c r="R2948" s="84"/>
      <c r="S2948" s="84"/>
      <c r="T2948" s="84"/>
      <c r="U2948" s="84"/>
      <c r="V2948" s="84"/>
      <c r="W2948" s="84"/>
      <c r="X2948" s="84"/>
      <c r="Y2948" s="84"/>
      <c r="Z2948" s="84"/>
      <c r="AA2948" s="84"/>
      <c r="AB2948" s="84"/>
    </row>
    <row r="2949">
      <c r="A2949" s="69">
        <v>196.0</v>
      </c>
      <c r="B2949" s="69">
        <v>319.0</v>
      </c>
      <c r="C2949" s="86" t="s">
        <v>635</v>
      </c>
      <c r="D2949" s="86" t="s">
        <v>636</v>
      </c>
      <c r="E2949" s="86" t="s">
        <v>637</v>
      </c>
      <c r="F2949" s="69">
        <v>3500.0</v>
      </c>
      <c r="G2949" s="69">
        <v>15.65</v>
      </c>
      <c r="H2949" s="68">
        <f t="shared" si="1"/>
        <v>76.48</v>
      </c>
      <c r="I2949" s="81">
        <f>IFERROR(__xludf.DUMMYFUNCTION("IF(G2949="""", """", ROUND(G2949 / MAX(FILTER($G$2:$G5067, $D$2:$D5067=$D2949)) * 100, 2))"),99.05)</f>
        <v>99.05</v>
      </c>
      <c r="J2949" s="81">
        <f>IFERROR(__xludf.DUMMYFUNCTION("IF(H2949="""", """", ROUND(H2949 / MAX(FILTER($H$2:$H5067, $D$2:$D5067=$D2949)) * 100, 2))"),66.39)</f>
        <v>66.39</v>
      </c>
      <c r="K2949" s="2"/>
      <c r="L2949" s="48"/>
      <c r="M2949" s="48"/>
      <c r="N2949" s="48"/>
      <c r="O2949" s="48" t="str">
        <f t="shared" si="2"/>
        <v/>
      </c>
      <c r="P2949" s="48" t="str">
        <f t="shared" si="3"/>
        <v/>
      </c>
      <c r="Q2949" s="84"/>
      <c r="R2949" s="84"/>
      <c r="S2949" s="84"/>
      <c r="T2949" s="84"/>
      <c r="U2949" s="84"/>
      <c r="V2949" s="84"/>
      <c r="W2949" s="84"/>
      <c r="X2949" s="84"/>
      <c r="Y2949" s="84"/>
      <c r="Z2949" s="84"/>
      <c r="AA2949" s="84"/>
      <c r="AB2949" s="84"/>
    </row>
    <row r="2950">
      <c r="A2950" s="63">
        <v>196.0</v>
      </c>
      <c r="B2950" s="63">
        <v>319.0</v>
      </c>
      <c r="C2950" s="64" t="s">
        <v>635</v>
      </c>
      <c r="D2950" s="64" t="s">
        <v>636</v>
      </c>
      <c r="E2950" s="64" t="s">
        <v>637</v>
      </c>
      <c r="F2950" s="63">
        <v>4000.0</v>
      </c>
      <c r="G2950" s="63">
        <v>15.15</v>
      </c>
      <c r="H2950" s="66">
        <f t="shared" si="1"/>
        <v>84.61</v>
      </c>
      <c r="I2950" s="81">
        <f>IFERROR(__xludf.DUMMYFUNCTION("IF(G2950="""", """", ROUND(G2950 / MAX(FILTER($G$2:$G5067, $D$2:$D5067=$D2950)) * 100, 2))"),95.89)</f>
        <v>95.89</v>
      </c>
      <c r="J2950" s="81">
        <f>IFERROR(__xludf.DUMMYFUNCTION("IF(H2950="""", """", ROUND(H2950 / MAX(FILTER($H$2:$H5067, $D$2:$D5067=$D2950)) * 100, 2))"),73.45)</f>
        <v>73.45</v>
      </c>
      <c r="K2950" s="2"/>
      <c r="L2950" s="49"/>
      <c r="M2950" s="49"/>
      <c r="N2950" s="49"/>
      <c r="O2950" s="49" t="str">
        <f t="shared" si="2"/>
        <v/>
      </c>
      <c r="P2950" s="49" t="str">
        <f t="shared" si="3"/>
        <v/>
      </c>
      <c r="Q2950" s="84"/>
      <c r="R2950" s="84"/>
      <c r="S2950" s="84"/>
      <c r="T2950" s="84"/>
      <c r="U2950" s="84"/>
      <c r="V2950" s="84"/>
      <c r="W2950" s="84"/>
      <c r="X2950" s="84"/>
      <c r="Y2950" s="84"/>
      <c r="Z2950" s="84"/>
      <c r="AA2950" s="84"/>
      <c r="AB2950" s="84"/>
    </row>
    <row r="2951">
      <c r="A2951" s="69">
        <v>196.0</v>
      </c>
      <c r="B2951" s="69">
        <v>319.0</v>
      </c>
      <c r="C2951" s="86" t="s">
        <v>635</v>
      </c>
      <c r="D2951" s="86" t="s">
        <v>636</v>
      </c>
      <c r="E2951" s="86" t="s">
        <v>637</v>
      </c>
      <c r="F2951" s="69">
        <v>4500.0</v>
      </c>
      <c r="G2951" s="69">
        <v>15.0</v>
      </c>
      <c r="H2951" s="68">
        <f t="shared" si="1"/>
        <v>94.25</v>
      </c>
      <c r="I2951" s="81">
        <f>IFERROR(__xludf.DUMMYFUNCTION("IF(G2951="""", """", ROUND(G2951 / MAX(FILTER($G$2:$G5067, $D$2:$D5067=$D2951)) * 100, 2))"),94.94)</f>
        <v>94.94</v>
      </c>
      <c r="J2951" s="81">
        <f>IFERROR(__xludf.DUMMYFUNCTION("IF(H2951="""", """", ROUND(H2951 / MAX(FILTER($H$2:$H5067, $D$2:$D5067=$D2951)) * 100, 2))"),81.82)</f>
        <v>81.82</v>
      </c>
      <c r="K2951" s="2"/>
      <c r="L2951" s="48"/>
      <c r="M2951" s="48"/>
      <c r="N2951" s="48"/>
      <c r="O2951" s="48" t="str">
        <f t="shared" si="2"/>
        <v/>
      </c>
      <c r="P2951" s="48" t="str">
        <f t="shared" si="3"/>
        <v/>
      </c>
      <c r="Q2951" s="84"/>
      <c r="R2951" s="84"/>
      <c r="S2951" s="84"/>
      <c r="T2951" s="84"/>
      <c r="U2951" s="84"/>
      <c r="V2951" s="84"/>
      <c r="W2951" s="84"/>
      <c r="X2951" s="84"/>
      <c r="Y2951" s="84"/>
      <c r="Z2951" s="84"/>
      <c r="AA2951" s="84"/>
      <c r="AB2951" s="84"/>
    </row>
    <row r="2952">
      <c r="A2952" s="63">
        <v>196.0</v>
      </c>
      <c r="B2952" s="63">
        <v>319.0</v>
      </c>
      <c r="C2952" s="64" t="s">
        <v>635</v>
      </c>
      <c r="D2952" s="64" t="s">
        <v>636</v>
      </c>
      <c r="E2952" s="64" t="s">
        <v>637</v>
      </c>
      <c r="F2952" s="63">
        <v>5000.0</v>
      </c>
      <c r="G2952" s="63">
        <v>14.75</v>
      </c>
      <c r="H2952" s="66">
        <f t="shared" si="1"/>
        <v>102.97</v>
      </c>
      <c r="I2952" s="81">
        <f>IFERROR(__xludf.DUMMYFUNCTION("IF(G2952="""", """", ROUND(G2952 / MAX(FILTER($G$2:$G5067, $D$2:$D5067=$D2952)) * 100, 2))"),93.35)</f>
        <v>93.35</v>
      </c>
      <c r="J2952" s="81">
        <f>IFERROR(__xludf.DUMMYFUNCTION("IF(H2952="""", """", ROUND(H2952 / MAX(FILTER($H$2:$H5067, $D$2:$D5067=$D2952)) * 100, 2))"),89.39)</f>
        <v>89.39</v>
      </c>
      <c r="K2952" s="2"/>
      <c r="L2952" s="49"/>
      <c r="M2952" s="49"/>
      <c r="N2952" s="49"/>
      <c r="O2952" s="49" t="str">
        <f t="shared" si="2"/>
        <v/>
      </c>
      <c r="P2952" s="49" t="str">
        <f t="shared" si="3"/>
        <v/>
      </c>
      <c r="Q2952" s="84"/>
      <c r="R2952" s="84"/>
      <c r="S2952" s="84"/>
      <c r="T2952" s="84"/>
      <c r="U2952" s="84"/>
      <c r="V2952" s="84"/>
      <c r="W2952" s="84"/>
      <c r="X2952" s="84"/>
      <c r="Y2952" s="84"/>
      <c r="Z2952" s="84"/>
      <c r="AA2952" s="84"/>
      <c r="AB2952" s="84"/>
    </row>
    <row r="2953">
      <c r="A2953" s="69">
        <v>196.0</v>
      </c>
      <c r="B2953" s="69">
        <v>319.0</v>
      </c>
      <c r="C2953" s="86" t="s">
        <v>635</v>
      </c>
      <c r="D2953" s="86" t="s">
        <v>636</v>
      </c>
      <c r="E2953" s="86" t="s">
        <v>637</v>
      </c>
      <c r="F2953" s="69">
        <v>5500.0</v>
      </c>
      <c r="G2953" s="69">
        <v>14.45</v>
      </c>
      <c r="H2953" s="68">
        <f t="shared" si="1"/>
        <v>110.97</v>
      </c>
      <c r="I2953" s="81">
        <f>IFERROR(__xludf.DUMMYFUNCTION("IF(G2953="""", """", ROUND(G2953 / MAX(FILTER($G$2:$G5067, $D$2:$D5067=$D2953)) * 100, 2))"),91.46)</f>
        <v>91.46</v>
      </c>
      <c r="J2953" s="81">
        <f>IFERROR(__xludf.DUMMYFUNCTION("IF(H2953="""", """", ROUND(H2953 / MAX(FILTER($H$2:$H5067, $D$2:$D5067=$D2953)) * 100, 2))"),96.34)</f>
        <v>96.34</v>
      </c>
      <c r="K2953" s="2"/>
      <c r="L2953" s="48"/>
      <c r="M2953" s="48"/>
      <c r="N2953" s="48"/>
      <c r="O2953" s="48" t="str">
        <f t="shared" si="2"/>
        <v/>
      </c>
      <c r="P2953" s="48" t="str">
        <f t="shared" si="3"/>
        <v/>
      </c>
      <c r="Q2953" s="84"/>
      <c r="R2953" s="84"/>
      <c r="S2953" s="84"/>
      <c r="T2953" s="84"/>
      <c r="U2953" s="84"/>
      <c r="V2953" s="84"/>
      <c r="W2953" s="84"/>
      <c r="X2953" s="84"/>
      <c r="Y2953" s="84"/>
      <c r="Z2953" s="84"/>
      <c r="AA2953" s="84"/>
      <c r="AB2953" s="84"/>
    </row>
    <row r="2954">
      <c r="A2954" s="63">
        <v>196.0</v>
      </c>
      <c r="B2954" s="63">
        <v>319.0</v>
      </c>
      <c r="C2954" s="64" t="s">
        <v>635</v>
      </c>
      <c r="D2954" s="64" t="s">
        <v>636</v>
      </c>
      <c r="E2954" s="64" t="s">
        <v>637</v>
      </c>
      <c r="F2954" s="63">
        <v>6000.0</v>
      </c>
      <c r="G2954" s="63">
        <v>13.75</v>
      </c>
      <c r="H2954" s="66">
        <f t="shared" si="1"/>
        <v>115.19</v>
      </c>
      <c r="I2954" s="81">
        <f>IFERROR(__xludf.DUMMYFUNCTION("IF(G2954="""", """", ROUND(G2954 / MAX(FILTER($G$2:$G5067, $D$2:$D5067=$D2954)) * 100, 2))"),87.03)</f>
        <v>87.03</v>
      </c>
      <c r="J2954" s="81">
        <f>IFERROR(__xludf.DUMMYFUNCTION("IF(H2954="""", """", ROUND(H2954 / MAX(FILTER($H$2:$H5067, $D$2:$D5067=$D2954)) * 100, 2))"),100.0)</f>
        <v>100</v>
      </c>
      <c r="K2954" s="2"/>
      <c r="L2954" s="49"/>
      <c r="M2954" s="49"/>
      <c r="N2954" s="49"/>
      <c r="O2954" s="49" t="str">
        <f t="shared" si="2"/>
        <v/>
      </c>
      <c r="P2954" s="49" t="str">
        <f t="shared" si="3"/>
        <v/>
      </c>
      <c r="Q2954" s="84"/>
      <c r="R2954" s="84"/>
      <c r="S2954" s="84"/>
      <c r="T2954" s="84"/>
      <c r="U2954" s="84"/>
      <c r="V2954" s="84"/>
      <c r="W2954" s="84"/>
      <c r="X2954" s="84"/>
      <c r="Y2954" s="84"/>
      <c r="Z2954" s="84"/>
      <c r="AA2954" s="84"/>
      <c r="AB2954" s="84"/>
    </row>
    <row r="2955">
      <c r="A2955" s="69">
        <v>196.0</v>
      </c>
      <c r="B2955" s="69">
        <v>319.0</v>
      </c>
      <c r="C2955" s="86" t="s">
        <v>635</v>
      </c>
      <c r="D2955" s="86" t="s">
        <v>636</v>
      </c>
      <c r="E2955" s="86" t="s">
        <v>637</v>
      </c>
      <c r="F2955" s="69">
        <v>6500.0</v>
      </c>
      <c r="G2955" s="69">
        <v>12.55</v>
      </c>
      <c r="H2955" s="68">
        <f t="shared" si="1"/>
        <v>113.9</v>
      </c>
      <c r="I2955" s="81">
        <f>IFERROR(__xludf.DUMMYFUNCTION("IF(G2955="""", """", ROUND(G2955 / MAX(FILTER($G$2:$G5067, $D$2:$D5067=$D2955)) * 100, 2))"),79.43)</f>
        <v>79.43</v>
      </c>
      <c r="J2955" s="81">
        <f>IFERROR(__xludf.DUMMYFUNCTION("IF(H2955="""", """", ROUND(H2955 / MAX(FILTER($H$2:$H5067, $D$2:$D5067=$D2955)) * 100, 2))"),98.88)</f>
        <v>98.88</v>
      </c>
      <c r="K2955" s="2"/>
      <c r="L2955" s="48"/>
      <c r="M2955" s="48"/>
      <c r="N2955" s="48"/>
      <c r="O2955" s="48" t="str">
        <f t="shared" si="2"/>
        <v/>
      </c>
      <c r="P2955" s="48" t="str">
        <f t="shared" si="3"/>
        <v/>
      </c>
      <c r="Q2955" s="84"/>
      <c r="R2955" s="84"/>
      <c r="S2955" s="84"/>
      <c r="T2955" s="84"/>
      <c r="U2955" s="84"/>
      <c r="V2955" s="84"/>
      <c r="W2955" s="84"/>
      <c r="X2955" s="84"/>
      <c r="Y2955" s="84"/>
      <c r="Z2955" s="84"/>
      <c r="AA2955" s="84"/>
      <c r="AB2955" s="84"/>
    </row>
    <row r="2956">
      <c r="A2956" s="63">
        <v>196.0</v>
      </c>
      <c r="B2956" s="63">
        <v>319.0</v>
      </c>
      <c r="C2956" s="64" t="s">
        <v>635</v>
      </c>
      <c r="D2956" s="64" t="s">
        <v>636</v>
      </c>
      <c r="E2956" s="64" t="s">
        <v>637</v>
      </c>
      <c r="F2956" s="63">
        <v>7000.0</v>
      </c>
      <c r="G2956" s="63">
        <v>10.45</v>
      </c>
      <c r="H2956" s="66">
        <f t="shared" si="1"/>
        <v>102.14</v>
      </c>
      <c r="I2956" s="81">
        <f>IFERROR(__xludf.DUMMYFUNCTION("IF(G2956="""", """", ROUND(G2956 / MAX(FILTER($G$2:$G5067, $D$2:$D5067=$D2956)) * 100, 2))"),66.14)</f>
        <v>66.14</v>
      </c>
      <c r="J2956" s="81">
        <f>IFERROR(__xludf.DUMMYFUNCTION("IF(H2956="""", """", ROUND(H2956 / MAX(FILTER($H$2:$H5067, $D$2:$D5067=$D2956)) * 100, 2))"),88.67)</f>
        <v>88.67</v>
      </c>
      <c r="K2956" s="2"/>
      <c r="L2956" s="49"/>
      <c r="M2956" s="49"/>
      <c r="N2956" s="49"/>
      <c r="O2956" s="49" t="str">
        <f t="shared" si="2"/>
        <v/>
      </c>
      <c r="P2956" s="49" t="str">
        <f t="shared" si="3"/>
        <v/>
      </c>
      <c r="Q2956" s="84"/>
      <c r="R2956" s="84"/>
      <c r="S2956" s="84"/>
      <c r="T2956" s="84"/>
      <c r="U2956" s="84"/>
      <c r="V2956" s="84"/>
      <c r="W2956" s="84"/>
      <c r="X2956" s="84"/>
      <c r="Y2956" s="84"/>
      <c r="Z2956" s="84"/>
      <c r="AA2956" s="84"/>
      <c r="AB2956" s="84"/>
    </row>
    <row r="2957">
      <c r="A2957" s="69">
        <v>197.0</v>
      </c>
      <c r="B2957" s="69">
        <v>320.0</v>
      </c>
      <c r="C2957" s="86" t="s">
        <v>638</v>
      </c>
      <c r="D2957" s="86" t="s">
        <v>639</v>
      </c>
      <c r="E2957" s="86" t="s">
        <v>640</v>
      </c>
      <c r="F2957" s="69">
        <v>500.0</v>
      </c>
      <c r="G2957" s="69">
        <v>20.39</v>
      </c>
      <c r="H2957" s="68">
        <f t="shared" si="1"/>
        <v>14.23</v>
      </c>
      <c r="I2957" s="81">
        <f>IFERROR(__xludf.DUMMYFUNCTION("IF(G2957="""", """", ROUND(G2957 / MAX(FILTER($G$2:$G5067, $D$2:$D5067=$D2957)) * 100, 2))"),69.19)</f>
        <v>69.19</v>
      </c>
      <c r="J2957" s="81">
        <f>IFERROR(__xludf.DUMMYFUNCTION("IF(H2957="""", """", ROUND(H2957 / MAX(FILTER($H$2:$H5067, $D$2:$D5067=$D2957)) * 100, 2))"),5.93)</f>
        <v>5.93</v>
      </c>
      <c r="K2957" s="2"/>
      <c r="L2957" s="48"/>
      <c r="M2957" s="48"/>
      <c r="N2957" s="48"/>
      <c r="O2957" s="48" t="str">
        <f t="shared" si="2"/>
        <v/>
      </c>
      <c r="P2957" s="48" t="str">
        <f t="shared" si="3"/>
        <v/>
      </c>
      <c r="Q2957" s="84"/>
      <c r="R2957" s="84"/>
      <c r="S2957" s="84"/>
      <c r="T2957" s="84"/>
      <c r="U2957" s="84"/>
      <c r="V2957" s="84"/>
      <c r="W2957" s="84"/>
      <c r="X2957" s="84"/>
      <c r="Y2957" s="84"/>
      <c r="Z2957" s="84"/>
      <c r="AA2957" s="84"/>
      <c r="AB2957" s="84"/>
    </row>
    <row r="2958">
      <c r="A2958" s="63">
        <v>197.0</v>
      </c>
      <c r="B2958" s="63">
        <v>320.0</v>
      </c>
      <c r="C2958" s="64" t="s">
        <v>638</v>
      </c>
      <c r="D2958" s="64" t="s">
        <v>639</v>
      </c>
      <c r="E2958" s="64" t="s">
        <v>640</v>
      </c>
      <c r="F2958" s="63">
        <v>1000.0</v>
      </c>
      <c r="G2958" s="63">
        <v>22.43</v>
      </c>
      <c r="H2958" s="66">
        <f t="shared" si="1"/>
        <v>31.32</v>
      </c>
      <c r="I2958" s="81">
        <f>IFERROR(__xludf.DUMMYFUNCTION("IF(G2958="""", """", ROUND(G2958 / MAX(FILTER($G$2:$G5067, $D$2:$D5067=$D2958)) * 100, 2))"),76.11)</f>
        <v>76.11</v>
      </c>
      <c r="J2958" s="81">
        <f>IFERROR(__xludf.DUMMYFUNCTION("IF(H2958="""", """", ROUND(H2958 / MAX(FILTER($H$2:$H5067, $D$2:$D5067=$D2958)) * 100, 2))"),13.05)</f>
        <v>13.05</v>
      </c>
      <c r="K2958" s="2"/>
      <c r="L2958" s="49"/>
      <c r="M2958" s="49"/>
      <c r="N2958" s="49"/>
      <c r="O2958" s="49" t="str">
        <f t="shared" si="2"/>
        <v/>
      </c>
      <c r="P2958" s="49" t="str">
        <f t="shared" si="3"/>
        <v/>
      </c>
      <c r="Q2958" s="84"/>
      <c r="R2958" s="84"/>
      <c r="S2958" s="84"/>
      <c r="T2958" s="84"/>
      <c r="U2958" s="84"/>
      <c r="V2958" s="84"/>
      <c r="W2958" s="84"/>
      <c r="X2958" s="84"/>
      <c r="Y2958" s="84"/>
      <c r="Z2958" s="84"/>
      <c r="AA2958" s="84"/>
      <c r="AB2958" s="84"/>
    </row>
    <row r="2959">
      <c r="A2959" s="69">
        <v>197.0</v>
      </c>
      <c r="B2959" s="69">
        <v>320.0</v>
      </c>
      <c r="C2959" s="86" t="s">
        <v>638</v>
      </c>
      <c r="D2959" s="86" t="s">
        <v>639</v>
      </c>
      <c r="E2959" s="86" t="s">
        <v>640</v>
      </c>
      <c r="F2959" s="69">
        <v>1500.0</v>
      </c>
      <c r="G2959" s="69">
        <v>23.45</v>
      </c>
      <c r="H2959" s="68">
        <f t="shared" si="1"/>
        <v>49.11</v>
      </c>
      <c r="I2959" s="81">
        <f>IFERROR(__xludf.DUMMYFUNCTION("IF(G2959="""", """", ROUND(G2959 / MAX(FILTER($G$2:$G5067, $D$2:$D5067=$D2959)) * 100, 2))"),79.57)</f>
        <v>79.57</v>
      </c>
      <c r="J2959" s="81">
        <f>IFERROR(__xludf.DUMMYFUNCTION("IF(H2959="""", """", ROUND(H2959 / MAX(FILTER($H$2:$H5067, $D$2:$D5067=$D2959)) * 100, 2))"),20.46)</f>
        <v>20.46</v>
      </c>
      <c r="K2959" s="2"/>
      <c r="L2959" s="48"/>
      <c r="M2959" s="48"/>
      <c r="N2959" s="48"/>
      <c r="O2959" s="48" t="str">
        <f t="shared" si="2"/>
        <v/>
      </c>
      <c r="P2959" s="48" t="str">
        <f t="shared" si="3"/>
        <v/>
      </c>
      <c r="Q2959" s="84"/>
      <c r="R2959" s="84"/>
      <c r="S2959" s="84"/>
      <c r="T2959" s="84"/>
      <c r="U2959" s="84"/>
      <c r="V2959" s="84"/>
      <c r="W2959" s="84"/>
      <c r="X2959" s="84"/>
      <c r="Y2959" s="84"/>
      <c r="Z2959" s="84"/>
      <c r="AA2959" s="84"/>
      <c r="AB2959" s="84"/>
    </row>
    <row r="2960">
      <c r="A2960" s="63">
        <v>197.0</v>
      </c>
      <c r="B2960" s="63">
        <v>320.0</v>
      </c>
      <c r="C2960" s="64" t="s">
        <v>638</v>
      </c>
      <c r="D2960" s="64" t="s">
        <v>639</v>
      </c>
      <c r="E2960" s="64" t="s">
        <v>640</v>
      </c>
      <c r="F2960" s="63">
        <v>2000.0</v>
      </c>
      <c r="G2960" s="63">
        <v>24.47</v>
      </c>
      <c r="H2960" s="66">
        <f t="shared" si="1"/>
        <v>68.33</v>
      </c>
      <c r="I2960" s="81">
        <f>IFERROR(__xludf.DUMMYFUNCTION("IF(G2960="""", """", ROUND(G2960 / MAX(FILTER($G$2:$G5067, $D$2:$D5067=$D2960)) * 100, 2))"),83.03)</f>
        <v>83.03</v>
      </c>
      <c r="J2960" s="81">
        <f>IFERROR(__xludf.DUMMYFUNCTION("IF(H2960="""", """", ROUND(H2960 / MAX(FILTER($H$2:$H5067, $D$2:$D5067=$D2960)) * 100, 2))"),28.47)</f>
        <v>28.47</v>
      </c>
      <c r="K2960" s="2"/>
      <c r="L2960" s="49"/>
      <c r="M2960" s="49"/>
      <c r="N2960" s="49"/>
      <c r="O2960" s="49" t="str">
        <f t="shared" si="2"/>
        <v/>
      </c>
      <c r="P2960" s="49" t="str">
        <f t="shared" si="3"/>
        <v/>
      </c>
      <c r="Q2960" s="84"/>
      <c r="R2960" s="84"/>
      <c r="S2960" s="84"/>
      <c r="T2960" s="84"/>
      <c r="U2960" s="84"/>
      <c r="V2960" s="84"/>
      <c r="W2960" s="84"/>
      <c r="X2960" s="84"/>
      <c r="Y2960" s="84"/>
      <c r="Z2960" s="84"/>
      <c r="AA2960" s="84"/>
      <c r="AB2960" s="84"/>
    </row>
    <row r="2961">
      <c r="A2961" s="69">
        <v>197.0</v>
      </c>
      <c r="B2961" s="69">
        <v>320.0</v>
      </c>
      <c r="C2961" s="86" t="s">
        <v>638</v>
      </c>
      <c r="D2961" s="86" t="s">
        <v>639</v>
      </c>
      <c r="E2961" s="86" t="s">
        <v>640</v>
      </c>
      <c r="F2961" s="69">
        <v>2500.0</v>
      </c>
      <c r="G2961" s="69">
        <v>24.98</v>
      </c>
      <c r="H2961" s="68">
        <f t="shared" si="1"/>
        <v>87.2</v>
      </c>
      <c r="I2961" s="81">
        <f>IFERROR(__xludf.DUMMYFUNCTION("IF(G2961="""", """", ROUND(G2961 / MAX(FILTER($G$2:$G5067, $D$2:$D5067=$D2961)) * 100, 2))"),84.76)</f>
        <v>84.76</v>
      </c>
      <c r="J2961" s="81">
        <f>IFERROR(__xludf.DUMMYFUNCTION("IF(H2961="""", """", ROUND(H2961 / MAX(FILTER($H$2:$H5067, $D$2:$D5067=$D2961)) * 100, 2))"),36.33)</f>
        <v>36.33</v>
      </c>
      <c r="K2961" s="2"/>
      <c r="L2961" s="48"/>
      <c r="M2961" s="48"/>
      <c r="N2961" s="48"/>
      <c r="O2961" s="48" t="str">
        <f t="shared" si="2"/>
        <v/>
      </c>
      <c r="P2961" s="48" t="str">
        <f t="shared" si="3"/>
        <v/>
      </c>
      <c r="Q2961" s="84"/>
      <c r="R2961" s="84"/>
      <c r="S2961" s="84"/>
      <c r="T2961" s="84"/>
      <c r="U2961" s="84"/>
      <c r="V2961" s="84"/>
      <c r="W2961" s="84"/>
      <c r="X2961" s="84"/>
      <c r="Y2961" s="84"/>
      <c r="Z2961" s="84"/>
      <c r="AA2961" s="84"/>
      <c r="AB2961" s="84"/>
    </row>
    <row r="2962">
      <c r="A2962" s="63">
        <v>197.0</v>
      </c>
      <c r="B2962" s="63">
        <v>320.0</v>
      </c>
      <c r="C2962" s="64" t="s">
        <v>638</v>
      </c>
      <c r="D2962" s="64" t="s">
        <v>639</v>
      </c>
      <c r="E2962" s="64" t="s">
        <v>640</v>
      </c>
      <c r="F2962" s="63">
        <v>3000.0</v>
      </c>
      <c r="G2962" s="63">
        <v>25.29</v>
      </c>
      <c r="H2962" s="66">
        <f t="shared" si="1"/>
        <v>105.93</v>
      </c>
      <c r="I2962" s="81">
        <f>IFERROR(__xludf.DUMMYFUNCTION("IF(G2962="""", """", ROUND(G2962 / MAX(FILTER($G$2:$G5067, $D$2:$D5067=$D2962)) * 100, 2))"),85.82)</f>
        <v>85.82</v>
      </c>
      <c r="J2962" s="81">
        <f>IFERROR(__xludf.DUMMYFUNCTION("IF(H2962="""", """", ROUND(H2962 / MAX(FILTER($H$2:$H5067, $D$2:$D5067=$D2962)) * 100, 2))"),44.13)</f>
        <v>44.13</v>
      </c>
      <c r="K2962" s="2"/>
      <c r="L2962" s="49"/>
      <c r="M2962" s="49"/>
      <c r="N2962" s="49"/>
      <c r="O2962" s="49" t="str">
        <f t="shared" si="2"/>
        <v/>
      </c>
      <c r="P2962" s="49" t="str">
        <f t="shared" si="3"/>
        <v/>
      </c>
      <c r="Q2962" s="84"/>
      <c r="R2962" s="84"/>
      <c r="S2962" s="84"/>
      <c r="T2962" s="84"/>
      <c r="U2962" s="84"/>
      <c r="V2962" s="84"/>
      <c r="W2962" s="84"/>
      <c r="X2962" s="84"/>
      <c r="Y2962" s="84"/>
      <c r="Z2962" s="84"/>
      <c r="AA2962" s="84"/>
      <c r="AB2962" s="84"/>
    </row>
    <row r="2963">
      <c r="A2963" s="69">
        <v>197.0</v>
      </c>
      <c r="B2963" s="69">
        <v>320.0</v>
      </c>
      <c r="C2963" s="86" t="s">
        <v>638</v>
      </c>
      <c r="D2963" s="86" t="s">
        <v>639</v>
      </c>
      <c r="E2963" s="86" t="s">
        <v>640</v>
      </c>
      <c r="F2963" s="69">
        <v>3500.0</v>
      </c>
      <c r="G2963" s="69">
        <v>25.49</v>
      </c>
      <c r="H2963" s="68">
        <f t="shared" si="1"/>
        <v>124.57</v>
      </c>
      <c r="I2963" s="81">
        <f>IFERROR(__xludf.DUMMYFUNCTION("IF(G2963="""", """", ROUND(G2963 / MAX(FILTER($G$2:$G5067, $D$2:$D5067=$D2963)) * 100, 2))"),86.49)</f>
        <v>86.49</v>
      </c>
      <c r="J2963" s="81">
        <f>IFERROR(__xludf.DUMMYFUNCTION("IF(H2963="""", """", ROUND(H2963 / MAX(FILTER($H$2:$H5067, $D$2:$D5067=$D2963)) * 100, 2))"),51.9)</f>
        <v>51.9</v>
      </c>
      <c r="K2963" s="2"/>
      <c r="L2963" s="48"/>
      <c r="M2963" s="48"/>
      <c r="N2963" s="48"/>
      <c r="O2963" s="48" t="str">
        <f t="shared" si="2"/>
        <v/>
      </c>
      <c r="P2963" s="48" t="str">
        <f t="shared" si="3"/>
        <v/>
      </c>
      <c r="Q2963" s="84"/>
      <c r="R2963" s="84"/>
      <c r="S2963" s="84"/>
      <c r="T2963" s="84"/>
      <c r="U2963" s="84"/>
      <c r="V2963" s="84"/>
      <c r="W2963" s="84"/>
      <c r="X2963" s="84"/>
      <c r="Y2963" s="84"/>
      <c r="Z2963" s="84"/>
      <c r="AA2963" s="84"/>
      <c r="AB2963" s="84"/>
    </row>
    <row r="2964">
      <c r="A2964" s="63">
        <v>197.0</v>
      </c>
      <c r="B2964" s="63">
        <v>320.0</v>
      </c>
      <c r="C2964" s="64" t="s">
        <v>638</v>
      </c>
      <c r="D2964" s="64" t="s">
        <v>639</v>
      </c>
      <c r="E2964" s="64" t="s">
        <v>640</v>
      </c>
      <c r="F2964" s="63">
        <v>4000.0</v>
      </c>
      <c r="G2964" s="63">
        <v>26.51</v>
      </c>
      <c r="H2964" s="66">
        <f t="shared" si="1"/>
        <v>148.06</v>
      </c>
      <c r="I2964" s="81">
        <f>IFERROR(__xludf.DUMMYFUNCTION("IF(G2964="""", """", ROUND(G2964 / MAX(FILTER($G$2:$G5067, $D$2:$D5067=$D2964)) * 100, 2))"),89.96)</f>
        <v>89.96</v>
      </c>
      <c r="J2964" s="81">
        <f>IFERROR(__xludf.DUMMYFUNCTION("IF(H2964="""", """", ROUND(H2964 / MAX(FILTER($H$2:$H5067, $D$2:$D5067=$D2964)) * 100, 2))"),61.69)</f>
        <v>61.69</v>
      </c>
      <c r="K2964" s="2"/>
      <c r="L2964" s="49"/>
      <c r="M2964" s="49"/>
      <c r="N2964" s="49"/>
      <c r="O2964" s="49" t="str">
        <f t="shared" si="2"/>
        <v/>
      </c>
      <c r="P2964" s="49" t="str">
        <f t="shared" si="3"/>
        <v/>
      </c>
      <c r="Q2964" s="84"/>
      <c r="R2964" s="84"/>
      <c r="S2964" s="84"/>
      <c r="T2964" s="84"/>
      <c r="U2964" s="84"/>
      <c r="V2964" s="84"/>
      <c r="W2964" s="84"/>
      <c r="X2964" s="84"/>
      <c r="Y2964" s="84"/>
      <c r="Z2964" s="84"/>
      <c r="AA2964" s="84"/>
      <c r="AB2964" s="84"/>
    </row>
    <row r="2965">
      <c r="A2965" s="69">
        <v>197.0</v>
      </c>
      <c r="B2965" s="69">
        <v>320.0</v>
      </c>
      <c r="C2965" s="86" t="s">
        <v>638</v>
      </c>
      <c r="D2965" s="86" t="s">
        <v>639</v>
      </c>
      <c r="E2965" s="86" t="s">
        <v>640</v>
      </c>
      <c r="F2965" s="69">
        <v>4500.0</v>
      </c>
      <c r="G2965" s="69">
        <v>28.04</v>
      </c>
      <c r="H2965" s="68">
        <f t="shared" si="1"/>
        <v>176.18</v>
      </c>
      <c r="I2965" s="81">
        <f>IFERROR(__xludf.DUMMYFUNCTION("IF(G2965="""", """", ROUND(G2965 / MAX(FILTER($G$2:$G5067, $D$2:$D5067=$D2965)) * 100, 2))"),95.15)</f>
        <v>95.15</v>
      </c>
      <c r="J2965" s="81">
        <f>IFERROR(__xludf.DUMMYFUNCTION("IF(H2965="""", """", ROUND(H2965 / MAX(FILTER($H$2:$H5067, $D$2:$D5067=$D2965)) * 100, 2))"),73.4)</f>
        <v>73.4</v>
      </c>
      <c r="K2965" s="2"/>
      <c r="L2965" s="48"/>
      <c r="M2965" s="48"/>
      <c r="N2965" s="48"/>
      <c r="O2965" s="48" t="str">
        <f t="shared" si="2"/>
        <v/>
      </c>
      <c r="P2965" s="48" t="str">
        <f t="shared" si="3"/>
        <v/>
      </c>
      <c r="Q2965" s="84"/>
      <c r="R2965" s="84"/>
      <c r="S2965" s="84"/>
      <c r="T2965" s="84"/>
      <c r="U2965" s="84"/>
      <c r="V2965" s="84"/>
      <c r="W2965" s="84"/>
      <c r="X2965" s="84"/>
      <c r="Y2965" s="84"/>
      <c r="Z2965" s="84"/>
      <c r="AA2965" s="84"/>
      <c r="AB2965" s="84"/>
    </row>
    <row r="2966">
      <c r="A2966" s="63">
        <v>197.0</v>
      </c>
      <c r="B2966" s="63">
        <v>320.0</v>
      </c>
      <c r="C2966" s="64" t="s">
        <v>638</v>
      </c>
      <c r="D2966" s="64" t="s">
        <v>639</v>
      </c>
      <c r="E2966" s="64" t="s">
        <v>640</v>
      </c>
      <c r="F2966" s="63">
        <v>5000.0</v>
      </c>
      <c r="G2966" s="63">
        <v>29.47</v>
      </c>
      <c r="H2966" s="66">
        <f t="shared" si="1"/>
        <v>205.74</v>
      </c>
      <c r="I2966" s="81">
        <f>IFERROR(__xludf.DUMMYFUNCTION("IF(G2966="""", """", ROUND(G2966 / MAX(FILTER($G$2:$G5067, $D$2:$D5067=$D2966)) * 100, 2))"),100.0)</f>
        <v>100</v>
      </c>
      <c r="J2966" s="81">
        <f>IFERROR(__xludf.DUMMYFUNCTION("IF(H2966="""", """", ROUND(H2966 / MAX(FILTER($H$2:$H5067, $D$2:$D5067=$D2966)) * 100, 2))"),85.72)</f>
        <v>85.72</v>
      </c>
      <c r="K2966" s="2"/>
      <c r="L2966" s="49"/>
      <c r="M2966" s="49"/>
      <c r="N2966" s="49"/>
      <c r="O2966" s="49" t="str">
        <f t="shared" si="2"/>
        <v/>
      </c>
      <c r="P2966" s="49" t="str">
        <f t="shared" si="3"/>
        <v/>
      </c>
      <c r="Q2966" s="84"/>
      <c r="R2966" s="84"/>
      <c r="S2966" s="84"/>
      <c r="T2966" s="84"/>
      <c r="U2966" s="84"/>
      <c r="V2966" s="84"/>
      <c r="W2966" s="84"/>
      <c r="X2966" s="84"/>
      <c r="Y2966" s="84"/>
      <c r="Z2966" s="84"/>
      <c r="AA2966" s="84"/>
      <c r="AB2966" s="84"/>
    </row>
    <row r="2967">
      <c r="A2967" s="69">
        <v>197.0</v>
      </c>
      <c r="B2967" s="69">
        <v>320.0</v>
      </c>
      <c r="C2967" s="86" t="s">
        <v>638</v>
      </c>
      <c r="D2967" s="86" t="s">
        <v>639</v>
      </c>
      <c r="E2967" s="86" t="s">
        <v>640</v>
      </c>
      <c r="F2967" s="69">
        <v>5500.0</v>
      </c>
      <c r="G2967" s="69">
        <v>29.06</v>
      </c>
      <c r="H2967" s="68">
        <f t="shared" si="1"/>
        <v>223.16</v>
      </c>
      <c r="I2967" s="81">
        <f>IFERROR(__xludf.DUMMYFUNCTION("IF(G2967="""", """", ROUND(G2967 / MAX(FILTER($G$2:$G5067, $D$2:$D5067=$D2967)) * 100, 2))"),98.61)</f>
        <v>98.61</v>
      </c>
      <c r="J2967" s="81">
        <f>IFERROR(__xludf.DUMMYFUNCTION("IF(H2967="""", """", ROUND(H2967 / MAX(FILTER($H$2:$H5067, $D$2:$D5067=$D2967)) * 100, 2))"),92.98)</f>
        <v>92.98</v>
      </c>
      <c r="K2967" s="2"/>
      <c r="L2967" s="48"/>
      <c r="M2967" s="48"/>
      <c r="N2967" s="48"/>
      <c r="O2967" s="48" t="str">
        <f t="shared" si="2"/>
        <v/>
      </c>
      <c r="P2967" s="48" t="str">
        <f t="shared" si="3"/>
        <v/>
      </c>
      <c r="Q2967" s="84"/>
      <c r="R2967" s="84"/>
      <c r="S2967" s="84"/>
      <c r="T2967" s="84"/>
      <c r="U2967" s="84"/>
      <c r="V2967" s="84"/>
      <c r="W2967" s="84"/>
      <c r="X2967" s="84"/>
      <c r="Y2967" s="84"/>
      <c r="Z2967" s="84"/>
      <c r="AA2967" s="84"/>
      <c r="AB2967" s="84"/>
    </row>
    <row r="2968">
      <c r="A2968" s="63">
        <v>197.0</v>
      </c>
      <c r="B2968" s="63">
        <v>320.0</v>
      </c>
      <c r="C2968" s="64" t="s">
        <v>638</v>
      </c>
      <c r="D2968" s="64" t="s">
        <v>639</v>
      </c>
      <c r="E2968" s="64" t="s">
        <v>640</v>
      </c>
      <c r="F2968" s="63">
        <v>6000.0</v>
      </c>
      <c r="G2968" s="63">
        <v>28.65</v>
      </c>
      <c r="H2968" s="66">
        <f t="shared" si="1"/>
        <v>240.02</v>
      </c>
      <c r="I2968" s="81">
        <f>IFERROR(__xludf.DUMMYFUNCTION("IF(G2968="""", """", ROUND(G2968 / MAX(FILTER($G$2:$G5067, $D$2:$D5067=$D2968)) * 100, 2))"),97.22)</f>
        <v>97.22</v>
      </c>
      <c r="J2968" s="81">
        <f>IFERROR(__xludf.DUMMYFUNCTION("IF(H2968="""", """", ROUND(H2968 / MAX(FILTER($H$2:$H5067, $D$2:$D5067=$D2968)) * 100, 2))"),100.0)</f>
        <v>100</v>
      </c>
      <c r="K2968" s="2"/>
      <c r="L2968" s="49"/>
      <c r="M2968" s="49"/>
      <c r="N2968" s="49"/>
      <c r="O2968" s="49" t="str">
        <f t="shared" si="2"/>
        <v/>
      </c>
      <c r="P2968" s="49" t="str">
        <f t="shared" si="3"/>
        <v/>
      </c>
      <c r="Q2968" s="84"/>
      <c r="R2968" s="84"/>
      <c r="S2968" s="84"/>
      <c r="T2968" s="84"/>
      <c r="U2968" s="84"/>
      <c r="V2968" s="84"/>
      <c r="W2968" s="84"/>
      <c r="X2968" s="84"/>
      <c r="Y2968" s="84"/>
      <c r="Z2968" s="84"/>
      <c r="AA2968" s="84"/>
      <c r="AB2968" s="84"/>
    </row>
    <row r="2969">
      <c r="A2969" s="69">
        <v>197.0</v>
      </c>
      <c r="B2969" s="69">
        <v>320.0</v>
      </c>
      <c r="C2969" s="86" t="s">
        <v>638</v>
      </c>
      <c r="D2969" s="86" t="s">
        <v>639</v>
      </c>
      <c r="E2969" s="86" t="s">
        <v>640</v>
      </c>
      <c r="F2969" s="69">
        <v>6500.0</v>
      </c>
      <c r="G2969" s="69">
        <v>26.0</v>
      </c>
      <c r="H2969" s="68">
        <f t="shared" si="1"/>
        <v>235.97</v>
      </c>
      <c r="I2969" s="81">
        <f>IFERROR(__xludf.DUMMYFUNCTION("IF(G2969="""", """", ROUND(G2969 / MAX(FILTER($G$2:$G5067, $D$2:$D5067=$D2969)) * 100, 2))"),88.23)</f>
        <v>88.23</v>
      </c>
      <c r="J2969" s="81">
        <f>IFERROR(__xludf.DUMMYFUNCTION("IF(H2969="""", """", ROUND(H2969 / MAX(FILTER($H$2:$H5067, $D$2:$D5067=$D2969)) * 100, 2))"),98.31)</f>
        <v>98.31</v>
      </c>
      <c r="K2969" s="2"/>
      <c r="L2969" s="48"/>
      <c r="M2969" s="48"/>
      <c r="N2969" s="48"/>
      <c r="O2969" s="48" t="str">
        <f t="shared" si="2"/>
        <v/>
      </c>
      <c r="P2969" s="48" t="str">
        <f t="shared" si="3"/>
        <v/>
      </c>
      <c r="Q2969" s="84"/>
      <c r="R2969" s="84"/>
      <c r="S2969" s="84"/>
      <c r="T2969" s="84"/>
      <c r="U2969" s="84"/>
      <c r="V2969" s="84"/>
      <c r="W2969" s="84"/>
      <c r="X2969" s="84"/>
      <c r="Y2969" s="84"/>
      <c r="Z2969" s="84"/>
      <c r="AA2969" s="84"/>
      <c r="AB2969" s="84"/>
    </row>
    <row r="2970">
      <c r="A2970" s="63">
        <v>197.0</v>
      </c>
      <c r="B2970" s="63">
        <v>320.0</v>
      </c>
      <c r="C2970" s="64" t="s">
        <v>638</v>
      </c>
      <c r="D2970" s="64" t="s">
        <v>639</v>
      </c>
      <c r="E2970" s="64" t="s">
        <v>640</v>
      </c>
      <c r="F2970" s="63">
        <v>7000.0</v>
      </c>
      <c r="G2970" s="63">
        <v>21.8</v>
      </c>
      <c r="H2970" s="66">
        <f t="shared" si="1"/>
        <v>213.07</v>
      </c>
      <c r="I2970" s="81">
        <f>IFERROR(__xludf.DUMMYFUNCTION("IF(G2970="""", """", ROUND(G2970 / MAX(FILTER($G$2:$G5067, $D$2:$D5067=$D2970)) * 100, 2))"),73.97)</f>
        <v>73.97</v>
      </c>
      <c r="J2970" s="81">
        <f>IFERROR(__xludf.DUMMYFUNCTION("IF(H2970="""", """", ROUND(H2970 / MAX(FILTER($H$2:$H5067, $D$2:$D5067=$D2970)) * 100, 2))"),88.77)</f>
        <v>88.77</v>
      </c>
      <c r="K2970" s="2"/>
      <c r="L2970" s="49"/>
      <c r="M2970" s="49"/>
      <c r="N2970" s="49"/>
      <c r="O2970" s="49" t="str">
        <f t="shared" si="2"/>
        <v/>
      </c>
      <c r="P2970" s="49" t="str">
        <f t="shared" si="3"/>
        <v/>
      </c>
      <c r="Q2970" s="84"/>
      <c r="R2970" s="84"/>
      <c r="S2970" s="84"/>
      <c r="T2970" s="84"/>
      <c r="U2970" s="84"/>
      <c r="V2970" s="84"/>
      <c r="W2970" s="84"/>
      <c r="X2970" s="84"/>
      <c r="Y2970" s="84"/>
      <c r="Z2970" s="84"/>
      <c r="AA2970" s="84"/>
      <c r="AB2970" s="84"/>
    </row>
    <row r="2971">
      <c r="A2971" s="69">
        <v>197.0</v>
      </c>
      <c r="B2971" s="69">
        <v>320.0</v>
      </c>
      <c r="C2971" s="86" t="s">
        <v>638</v>
      </c>
      <c r="D2971" s="86" t="s">
        <v>639</v>
      </c>
      <c r="E2971" s="86" t="s">
        <v>640</v>
      </c>
      <c r="F2971" s="69">
        <v>7500.0</v>
      </c>
      <c r="G2971" s="69">
        <v>14.85</v>
      </c>
      <c r="H2971" s="68">
        <f t="shared" si="1"/>
        <v>155.51</v>
      </c>
      <c r="I2971" s="81">
        <f>IFERROR(__xludf.DUMMYFUNCTION("IF(G2971="""", """", ROUND(G2971 / MAX(FILTER($G$2:$G5067, $D$2:$D5067=$D2971)) * 100, 2))"),50.39)</f>
        <v>50.39</v>
      </c>
      <c r="J2971" s="81">
        <f>IFERROR(__xludf.DUMMYFUNCTION("IF(H2971="""", """", ROUND(H2971 / MAX(FILTER($H$2:$H5067, $D$2:$D5067=$D2971)) * 100, 2))"),64.79)</f>
        <v>64.79</v>
      </c>
      <c r="K2971" s="2"/>
      <c r="L2971" s="48"/>
      <c r="M2971" s="48"/>
      <c r="N2971" s="48"/>
      <c r="O2971" s="48" t="str">
        <f t="shared" si="2"/>
        <v/>
      </c>
      <c r="P2971" s="48" t="str">
        <f t="shared" si="3"/>
        <v/>
      </c>
      <c r="Q2971" s="84"/>
      <c r="R2971" s="84"/>
      <c r="S2971" s="84"/>
      <c r="T2971" s="84"/>
      <c r="U2971" s="84"/>
      <c r="V2971" s="84"/>
      <c r="W2971" s="84"/>
      <c r="X2971" s="84"/>
      <c r="Y2971" s="84"/>
      <c r="Z2971" s="84"/>
      <c r="AA2971" s="84"/>
      <c r="AB2971" s="84"/>
    </row>
    <row r="2972">
      <c r="A2972" s="63">
        <v>198.0</v>
      </c>
      <c r="B2972" s="63">
        <v>321.0</v>
      </c>
      <c r="C2972" s="64" t="s">
        <v>641</v>
      </c>
      <c r="D2972" s="64" t="s">
        <v>642</v>
      </c>
      <c r="E2972" s="64" t="s">
        <v>643</v>
      </c>
      <c r="F2972" s="63">
        <v>500.0</v>
      </c>
      <c r="G2972" s="63">
        <v>7.48</v>
      </c>
      <c r="H2972" s="66">
        <f t="shared" si="1"/>
        <v>5.22</v>
      </c>
      <c r="I2972" s="81">
        <f>IFERROR(__xludf.DUMMYFUNCTION("IF(G2972="""", """", ROUND(G2972 / MAX(FILTER($G$2:$G5067, $D$2:$D5067=$D2972)) * 100, 2))"),21.38)</f>
        <v>21.38</v>
      </c>
      <c r="J2972" s="81">
        <f>IFERROR(__xludf.DUMMYFUNCTION("IF(H2972="""", """", ROUND(H2972 / MAX(FILTER($H$2:$H5067, $D$2:$D5067=$D2972)) * 100, 2))"),1.87)</f>
        <v>1.87</v>
      </c>
      <c r="K2972" s="2"/>
      <c r="L2972" s="49"/>
      <c r="M2972" s="49"/>
      <c r="N2972" s="49"/>
      <c r="O2972" s="49" t="str">
        <f t="shared" si="2"/>
        <v/>
      </c>
      <c r="P2972" s="49" t="str">
        <f t="shared" si="3"/>
        <v/>
      </c>
      <c r="Q2972" s="84"/>
      <c r="R2972" s="84"/>
      <c r="S2972" s="84"/>
      <c r="T2972" s="84"/>
      <c r="U2972" s="84"/>
      <c r="V2972" s="84"/>
      <c r="W2972" s="84"/>
      <c r="X2972" s="84"/>
      <c r="Y2972" s="84"/>
      <c r="Z2972" s="84"/>
      <c r="AA2972" s="84"/>
      <c r="AB2972" s="84"/>
    </row>
    <row r="2973">
      <c r="A2973" s="69">
        <v>198.0</v>
      </c>
      <c r="B2973" s="69">
        <v>321.0</v>
      </c>
      <c r="C2973" s="86" t="s">
        <v>641</v>
      </c>
      <c r="D2973" s="86" t="s">
        <v>642</v>
      </c>
      <c r="E2973" s="86" t="s">
        <v>643</v>
      </c>
      <c r="F2973" s="69">
        <v>1000.0</v>
      </c>
      <c r="G2973" s="69">
        <v>14.96</v>
      </c>
      <c r="H2973" s="68">
        <f t="shared" si="1"/>
        <v>20.89</v>
      </c>
      <c r="I2973" s="81">
        <f>IFERROR(__xludf.DUMMYFUNCTION("IF(G2973="""", """", ROUND(G2973 / MAX(FILTER($G$2:$G5067, $D$2:$D5067=$D2973)) * 100, 2))"),42.77)</f>
        <v>42.77</v>
      </c>
      <c r="J2973" s="81">
        <f>IFERROR(__xludf.DUMMYFUNCTION("IF(H2973="""", """", ROUND(H2973 / MAX(FILTER($H$2:$H5067, $D$2:$D5067=$D2973)) * 100, 2))"),7.48)</f>
        <v>7.48</v>
      </c>
      <c r="K2973" s="2"/>
      <c r="L2973" s="48"/>
      <c r="M2973" s="48"/>
      <c r="N2973" s="48"/>
      <c r="O2973" s="48" t="str">
        <f t="shared" si="2"/>
        <v/>
      </c>
      <c r="P2973" s="48" t="str">
        <f t="shared" si="3"/>
        <v/>
      </c>
      <c r="Q2973" s="84"/>
      <c r="R2973" s="84"/>
      <c r="S2973" s="84"/>
      <c r="T2973" s="84"/>
      <c r="U2973" s="84"/>
      <c r="V2973" s="84"/>
      <c r="W2973" s="84"/>
      <c r="X2973" s="84"/>
      <c r="Y2973" s="84"/>
      <c r="Z2973" s="84"/>
      <c r="AA2973" s="84"/>
      <c r="AB2973" s="84"/>
    </row>
    <row r="2974">
      <c r="A2974" s="63">
        <v>198.0</v>
      </c>
      <c r="B2974" s="63">
        <v>321.0</v>
      </c>
      <c r="C2974" s="64" t="s">
        <v>641</v>
      </c>
      <c r="D2974" s="64" t="s">
        <v>642</v>
      </c>
      <c r="E2974" s="64" t="s">
        <v>643</v>
      </c>
      <c r="F2974" s="63">
        <v>1500.0</v>
      </c>
      <c r="G2974" s="63">
        <v>22.43</v>
      </c>
      <c r="H2974" s="66">
        <f t="shared" si="1"/>
        <v>46.98</v>
      </c>
      <c r="I2974" s="81">
        <f>IFERROR(__xludf.DUMMYFUNCTION("IF(G2974="""", """", ROUND(G2974 / MAX(FILTER($G$2:$G5067, $D$2:$D5067=$D2974)) * 100, 2))"),64.12)</f>
        <v>64.12</v>
      </c>
      <c r="J2974" s="81">
        <f>IFERROR(__xludf.DUMMYFUNCTION("IF(H2974="""", """", ROUND(H2974 / MAX(FILTER($H$2:$H5067, $D$2:$D5067=$D2974)) * 100, 2))"),16.81)</f>
        <v>16.81</v>
      </c>
      <c r="K2974" s="2"/>
      <c r="L2974" s="49"/>
      <c r="M2974" s="49"/>
      <c r="N2974" s="49"/>
      <c r="O2974" s="49" t="str">
        <f t="shared" si="2"/>
        <v/>
      </c>
      <c r="P2974" s="49" t="str">
        <f t="shared" si="3"/>
        <v/>
      </c>
      <c r="Q2974" s="84"/>
      <c r="R2974" s="84"/>
      <c r="S2974" s="84"/>
      <c r="T2974" s="84"/>
      <c r="U2974" s="84"/>
      <c r="V2974" s="84"/>
      <c r="W2974" s="84"/>
      <c r="X2974" s="84"/>
      <c r="Y2974" s="84"/>
      <c r="Z2974" s="84"/>
      <c r="AA2974" s="84"/>
      <c r="AB2974" s="84"/>
    </row>
    <row r="2975">
      <c r="A2975" s="69">
        <v>198.0</v>
      </c>
      <c r="B2975" s="69">
        <v>321.0</v>
      </c>
      <c r="C2975" s="86" t="s">
        <v>641</v>
      </c>
      <c r="D2975" s="86" t="s">
        <v>642</v>
      </c>
      <c r="E2975" s="86" t="s">
        <v>643</v>
      </c>
      <c r="F2975" s="69">
        <v>2000.0</v>
      </c>
      <c r="G2975" s="69">
        <v>34.67</v>
      </c>
      <c r="H2975" s="68">
        <f t="shared" si="1"/>
        <v>96.82</v>
      </c>
      <c r="I2975" s="81">
        <f>IFERROR(__xludf.DUMMYFUNCTION("IF(G2975="""", """", ROUND(G2975 / MAX(FILTER($G$2:$G5067, $D$2:$D5067=$D2975)) * 100, 2))"),99.11)</f>
        <v>99.11</v>
      </c>
      <c r="J2975" s="81">
        <f>IFERROR(__xludf.DUMMYFUNCTION("IF(H2975="""", """", ROUND(H2975 / MAX(FILTER($H$2:$H5067, $D$2:$D5067=$D2975)) * 100, 2))"),34.65)</f>
        <v>34.65</v>
      </c>
      <c r="K2975" s="2"/>
      <c r="L2975" s="48"/>
      <c r="M2975" s="48"/>
      <c r="N2975" s="48"/>
      <c r="O2975" s="48" t="str">
        <f t="shared" si="2"/>
        <v/>
      </c>
      <c r="P2975" s="48" t="str">
        <f t="shared" si="3"/>
        <v/>
      </c>
      <c r="Q2975" s="84"/>
      <c r="R2975" s="84"/>
      <c r="S2975" s="84"/>
      <c r="T2975" s="84"/>
      <c r="U2975" s="84"/>
      <c r="V2975" s="84"/>
      <c r="W2975" s="84"/>
      <c r="X2975" s="84"/>
      <c r="Y2975" s="84"/>
      <c r="Z2975" s="84"/>
      <c r="AA2975" s="84"/>
      <c r="AB2975" s="84"/>
    </row>
    <row r="2976">
      <c r="A2976" s="63">
        <v>198.0</v>
      </c>
      <c r="B2976" s="63">
        <v>321.0</v>
      </c>
      <c r="C2976" s="64" t="s">
        <v>641</v>
      </c>
      <c r="D2976" s="64" t="s">
        <v>642</v>
      </c>
      <c r="E2976" s="64" t="s">
        <v>643</v>
      </c>
      <c r="F2976" s="63">
        <v>2500.0</v>
      </c>
      <c r="G2976" s="63">
        <v>34.98</v>
      </c>
      <c r="H2976" s="66">
        <f t="shared" si="1"/>
        <v>122.1</v>
      </c>
      <c r="I2976" s="81">
        <f>IFERROR(__xludf.DUMMYFUNCTION("IF(G2976="""", """", ROUND(G2976 / MAX(FILTER($G$2:$G5067, $D$2:$D5067=$D2976)) * 100, 2))"),100.0)</f>
        <v>100</v>
      </c>
      <c r="J2976" s="81">
        <f>IFERROR(__xludf.DUMMYFUNCTION("IF(H2976="""", """", ROUND(H2976 / MAX(FILTER($H$2:$H5067, $D$2:$D5067=$D2976)) * 100, 2))"),43.69)</f>
        <v>43.69</v>
      </c>
      <c r="K2976" s="2"/>
      <c r="L2976" s="49"/>
      <c r="M2976" s="49"/>
      <c r="N2976" s="49"/>
      <c r="O2976" s="49" t="str">
        <f t="shared" si="2"/>
        <v/>
      </c>
      <c r="P2976" s="49" t="str">
        <f t="shared" si="3"/>
        <v/>
      </c>
      <c r="Q2976" s="84"/>
      <c r="R2976" s="84"/>
      <c r="S2976" s="84"/>
      <c r="T2976" s="84"/>
      <c r="U2976" s="84"/>
      <c r="V2976" s="84"/>
      <c r="W2976" s="84"/>
      <c r="X2976" s="84"/>
      <c r="Y2976" s="84"/>
      <c r="Z2976" s="84"/>
      <c r="AA2976" s="84"/>
      <c r="AB2976" s="84"/>
    </row>
    <row r="2977">
      <c r="A2977" s="69">
        <v>198.0</v>
      </c>
      <c r="B2977" s="69">
        <v>321.0</v>
      </c>
      <c r="C2977" s="86" t="s">
        <v>641</v>
      </c>
      <c r="D2977" s="86" t="s">
        <v>642</v>
      </c>
      <c r="E2977" s="86" t="s">
        <v>643</v>
      </c>
      <c r="F2977" s="69">
        <v>3000.0</v>
      </c>
      <c r="G2977" s="69">
        <v>34.87</v>
      </c>
      <c r="H2977" s="68">
        <f t="shared" si="1"/>
        <v>146.06</v>
      </c>
      <c r="I2977" s="81">
        <f>IFERROR(__xludf.DUMMYFUNCTION("IF(G2977="""", """", ROUND(G2977 / MAX(FILTER($G$2:$G5067, $D$2:$D5067=$D2977)) * 100, 2))"),99.69)</f>
        <v>99.69</v>
      </c>
      <c r="J2977" s="81">
        <f>IFERROR(__xludf.DUMMYFUNCTION("IF(H2977="""", """", ROUND(H2977 / MAX(FILTER($H$2:$H5067, $D$2:$D5067=$D2977)) * 100, 2))"),52.27)</f>
        <v>52.27</v>
      </c>
      <c r="K2977" s="2"/>
      <c r="L2977" s="48"/>
      <c r="M2977" s="48"/>
      <c r="N2977" s="48"/>
      <c r="O2977" s="48" t="str">
        <f t="shared" si="2"/>
        <v/>
      </c>
      <c r="P2977" s="48" t="str">
        <f t="shared" si="3"/>
        <v/>
      </c>
      <c r="Q2977" s="84"/>
      <c r="R2977" s="84"/>
      <c r="S2977" s="84"/>
      <c r="T2977" s="84"/>
      <c r="U2977" s="84"/>
      <c r="V2977" s="84"/>
      <c r="W2977" s="84"/>
      <c r="X2977" s="84"/>
      <c r="Y2977" s="84"/>
      <c r="Z2977" s="84"/>
      <c r="AA2977" s="84"/>
      <c r="AB2977" s="84"/>
    </row>
    <row r="2978">
      <c r="A2978" s="63">
        <v>198.0</v>
      </c>
      <c r="B2978" s="63">
        <v>321.0</v>
      </c>
      <c r="C2978" s="64" t="s">
        <v>641</v>
      </c>
      <c r="D2978" s="64" t="s">
        <v>642</v>
      </c>
      <c r="E2978" s="64" t="s">
        <v>643</v>
      </c>
      <c r="F2978" s="63">
        <v>3500.0</v>
      </c>
      <c r="G2978" s="63">
        <v>34.77</v>
      </c>
      <c r="H2978" s="66">
        <f t="shared" si="1"/>
        <v>169.92</v>
      </c>
      <c r="I2978" s="81">
        <f>IFERROR(__xludf.DUMMYFUNCTION("IF(G2978="""", """", ROUND(G2978 / MAX(FILTER($G$2:$G5067, $D$2:$D5067=$D2978)) * 100, 2))"),99.4)</f>
        <v>99.4</v>
      </c>
      <c r="J2978" s="81">
        <f>IFERROR(__xludf.DUMMYFUNCTION("IF(H2978="""", """", ROUND(H2978 / MAX(FILTER($H$2:$H5067, $D$2:$D5067=$D2978)) * 100, 2))"),60.81)</f>
        <v>60.81</v>
      </c>
      <c r="K2978" s="2"/>
      <c r="L2978" s="49"/>
      <c r="M2978" s="49"/>
      <c r="N2978" s="49"/>
      <c r="O2978" s="49" t="str">
        <f t="shared" si="2"/>
        <v/>
      </c>
      <c r="P2978" s="49" t="str">
        <f t="shared" si="3"/>
        <v/>
      </c>
      <c r="Q2978" s="84"/>
      <c r="R2978" s="84"/>
      <c r="S2978" s="84"/>
      <c r="T2978" s="84"/>
      <c r="U2978" s="84"/>
      <c r="V2978" s="84"/>
      <c r="W2978" s="84"/>
      <c r="X2978" s="84"/>
      <c r="Y2978" s="84"/>
      <c r="Z2978" s="84"/>
      <c r="AA2978" s="84"/>
      <c r="AB2978" s="84"/>
    </row>
    <row r="2979">
      <c r="A2979" s="69">
        <v>198.0</v>
      </c>
      <c r="B2979" s="69">
        <v>321.0</v>
      </c>
      <c r="C2979" s="86" t="s">
        <v>641</v>
      </c>
      <c r="D2979" s="86" t="s">
        <v>642</v>
      </c>
      <c r="E2979" s="86" t="s">
        <v>643</v>
      </c>
      <c r="F2979" s="69">
        <v>4000.0</v>
      </c>
      <c r="G2979" s="69">
        <v>34.67</v>
      </c>
      <c r="H2979" s="68">
        <f t="shared" si="1"/>
        <v>193.63</v>
      </c>
      <c r="I2979" s="81">
        <f>IFERROR(__xludf.DUMMYFUNCTION("IF(G2979="""", """", ROUND(G2979 / MAX(FILTER($G$2:$G5067, $D$2:$D5067=$D2979)) * 100, 2))"),99.11)</f>
        <v>99.11</v>
      </c>
      <c r="J2979" s="81">
        <f>IFERROR(__xludf.DUMMYFUNCTION("IF(H2979="""", """", ROUND(H2979 / MAX(FILTER($H$2:$H5067, $D$2:$D5067=$D2979)) * 100, 2))"),69.29)</f>
        <v>69.29</v>
      </c>
      <c r="K2979" s="2"/>
      <c r="L2979" s="48"/>
      <c r="M2979" s="48"/>
      <c r="N2979" s="48"/>
      <c r="O2979" s="48" t="str">
        <f t="shared" si="2"/>
        <v/>
      </c>
      <c r="P2979" s="48" t="str">
        <f t="shared" si="3"/>
        <v/>
      </c>
      <c r="Q2979" s="84"/>
      <c r="R2979" s="84"/>
      <c r="S2979" s="84"/>
      <c r="T2979" s="84"/>
      <c r="U2979" s="84"/>
      <c r="V2979" s="84"/>
      <c r="W2979" s="84"/>
      <c r="X2979" s="84"/>
      <c r="Y2979" s="84"/>
      <c r="Z2979" s="84"/>
      <c r="AA2979" s="84"/>
      <c r="AB2979" s="84"/>
    </row>
    <row r="2980">
      <c r="A2980" s="63">
        <v>198.0</v>
      </c>
      <c r="B2980" s="63">
        <v>321.0</v>
      </c>
      <c r="C2980" s="64" t="s">
        <v>641</v>
      </c>
      <c r="D2980" s="64" t="s">
        <v>642</v>
      </c>
      <c r="E2980" s="64" t="s">
        <v>643</v>
      </c>
      <c r="F2980" s="63">
        <v>4500.0</v>
      </c>
      <c r="G2980" s="63">
        <v>34.16</v>
      </c>
      <c r="H2980" s="66">
        <f t="shared" si="1"/>
        <v>214.63</v>
      </c>
      <c r="I2980" s="81">
        <f>IFERROR(__xludf.DUMMYFUNCTION("IF(G2980="""", """", ROUND(G2980 / MAX(FILTER($G$2:$G5067, $D$2:$D5067=$D2980)) * 100, 2))"),97.66)</f>
        <v>97.66</v>
      </c>
      <c r="J2980" s="81">
        <f>IFERROR(__xludf.DUMMYFUNCTION("IF(H2980="""", """", ROUND(H2980 / MAX(FILTER($H$2:$H5067, $D$2:$D5067=$D2980)) * 100, 2))"),76.81)</f>
        <v>76.81</v>
      </c>
      <c r="K2980" s="2"/>
      <c r="L2980" s="49"/>
      <c r="M2980" s="49"/>
      <c r="N2980" s="49"/>
      <c r="O2980" s="49" t="str">
        <f t="shared" si="2"/>
        <v/>
      </c>
      <c r="P2980" s="49" t="str">
        <f t="shared" si="3"/>
        <v/>
      </c>
      <c r="Q2980" s="84"/>
      <c r="R2980" s="84"/>
      <c r="S2980" s="84"/>
      <c r="T2980" s="84"/>
      <c r="U2980" s="84"/>
      <c r="V2980" s="84"/>
      <c r="W2980" s="84"/>
      <c r="X2980" s="84"/>
      <c r="Y2980" s="84"/>
      <c r="Z2980" s="84"/>
      <c r="AA2980" s="84"/>
      <c r="AB2980" s="84"/>
    </row>
    <row r="2981">
      <c r="A2981" s="69">
        <v>198.0</v>
      </c>
      <c r="B2981" s="69">
        <v>321.0</v>
      </c>
      <c r="C2981" s="86" t="s">
        <v>641</v>
      </c>
      <c r="D2981" s="86" t="s">
        <v>642</v>
      </c>
      <c r="E2981" s="86" t="s">
        <v>643</v>
      </c>
      <c r="F2981" s="69">
        <v>5000.0</v>
      </c>
      <c r="G2981" s="69">
        <v>33.65</v>
      </c>
      <c r="H2981" s="68">
        <f t="shared" si="1"/>
        <v>234.92</v>
      </c>
      <c r="I2981" s="81">
        <f>IFERROR(__xludf.DUMMYFUNCTION("IF(G2981="""", """", ROUND(G2981 / MAX(FILTER($G$2:$G5067, $D$2:$D5067=$D2981)) * 100, 2))"),96.2)</f>
        <v>96.2</v>
      </c>
      <c r="J2981" s="81">
        <f>IFERROR(__xludf.DUMMYFUNCTION("IF(H2981="""", """", ROUND(H2981 / MAX(FILTER($H$2:$H5067, $D$2:$D5067=$D2981)) * 100, 2))"),84.07)</f>
        <v>84.07</v>
      </c>
      <c r="K2981" s="2"/>
      <c r="L2981" s="48"/>
      <c r="M2981" s="48"/>
      <c r="N2981" s="48"/>
      <c r="O2981" s="48" t="str">
        <f t="shared" si="2"/>
        <v/>
      </c>
      <c r="P2981" s="48" t="str">
        <f t="shared" si="3"/>
        <v/>
      </c>
      <c r="Q2981" s="84"/>
      <c r="R2981" s="84"/>
      <c r="S2981" s="84"/>
      <c r="T2981" s="84"/>
      <c r="U2981" s="84"/>
      <c r="V2981" s="84"/>
      <c r="W2981" s="84"/>
      <c r="X2981" s="84"/>
      <c r="Y2981" s="84"/>
      <c r="Z2981" s="84"/>
      <c r="AA2981" s="84"/>
      <c r="AB2981" s="84"/>
    </row>
    <row r="2982">
      <c r="A2982" s="63">
        <v>198.0</v>
      </c>
      <c r="B2982" s="63">
        <v>321.0</v>
      </c>
      <c r="C2982" s="64" t="s">
        <v>641</v>
      </c>
      <c r="D2982" s="64" t="s">
        <v>642</v>
      </c>
      <c r="E2982" s="64" t="s">
        <v>643</v>
      </c>
      <c r="F2982" s="63">
        <v>5500.0</v>
      </c>
      <c r="G2982" s="63">
        <v>33.14</v>
      </c>
      <c r="H2982" s="66">
        <f t="shared" si="1"/>
        <v>254.5</v>
      </c>
      <c r="I2982" s="81">
        <f>IFERROR(__xludf.DUMMYFUNCTION("IF(G2982="""", """", ROUND(G2982 / MAX(FILTER($G$2:$G5067, $D$2:$D5067=$D2982)) * 100, 2))"),94.74)</f>
        <v>94.74</v>
      </c>
      <c r="J2982" s="81">
        <f>IFERROR(__xludf.DUMMYFUNCTION("IF(H2982="""", """", ROUND(H2982 / MAX(FILTER($H$2:$H5067, $D$2:$D5067=$D2982)) * 100, 2))"),91.08)</f>
        <v>91.08</v>
      </c>
      <c r="K2982" s="2"/>
      <c r="L2982" s="49"/>
      <c r="M2982" s="49"/>
      <c r="N2982" s="49"/>
      <c r="O2982" s="49" t="str">
        <f t="shared" si="2"/>
        <v/>
      </c>
      <c r="P2982" s="49" t="str">
        <f t="shared" si="3"/>
        <v/>
      </c>
      <c r="Q2982" s="84"/>
      <c r="R2982" s="84"/>
      <c r="S2982" s="84"/>
      <c r="T2982" s="84"/>
      <c r="U2982" s="84"/>
      <c r="V2982" s="84"/>
      <c r="W2982" s="84"/>
      <c r="X2982" s="84"/>
      <c r="Y2982" s="84"/>
      <c r="Z2982" s="84"/>
      <c r="AA2982" s="84"/>
      <c r="AB2982" s="84"/>
    </row>
    <row r="2983">
      <c r="A2983" s="69">
        <v>198.0</v>
      </c>
      <c r="B2983" s="69">
        <v>321.0</v>
      </c>
      <c r="C2983" s="86" t="s">
        <v>641</v>
      </c>
      <c r="D2983" s="86" t="s">
        <v>642</v>
      </c>
      <c r="E2983" s="86" t="s">
        <v>643</v>
      </c>
      <c r="F2983" s="69">
        <v>6000.0</v>
      </c>
      <c r="G2983" s="69">
        <v>32.11</v>
      </c>
      <c r="H2983" s="68">
        <f t="shared" si="1"/>
        <v>269</v>
      </c>
      <c r="I2983" s="81">
        <f>IFERROR(__xludf.DUMMYFUNCTION("IF(G2983="""", """", ROUND(G2983 / MAX(FILTER($G$2:$G5067, $D$2:$D5067=$D2983)) * 100, 2))"),91.8)</f>
        <v>91.8</v>
      </c>
      <c r="J2983" s="81">
        <f>IFERROR(__xludf.DUMMYFUNCTION("IF(H2983="""", """", ROUND(H2983 / MAX(FILTER($H$2:$H5067, $D$2:$D5067=$D2983)) * 100, 2))"),96.26)</f>
        <v>96.26</v>
      </c>
      <c r="K2983" s="2"/>
      <c r="L2983" s="48"/>
      <c r="M2983" s="48"/>
      <c r="N2983" s="48"/>
      <c r="O2983" s="48" t="str">
        <f t="shared" si="2"/>
        <v/>
      </c>
      <c r="P2983" s="48" t="str">
        <f t="shared" si="3"/>
        <v/>
      </c>
      <c r="Q2983" s="84"/>
      <c r="R2983" s="84"/>
      <c r="S2983" s="84"/>
      <c r="T2983" s="84"/>
      <c r="U2983" s="84"/>
      <c r="V2983" s="84"/>
      <c r="W2983" s="84"/>
      <c r="X2983" s="84"/>
      <c r="Y2983" s="84"/>
      <c r="Z2983" s="84"/>
      <c r="AA2983" s="84"/>
      <c r="AB2983" s="84"/>
    </row>
    <row r="2984">
      <c r="A2984" s="63">
        <v>198.0</v>
      </c>
      <c r="B2984" s="63">
        <v>321.0</v>
      </c>
      <c r="C2984" s="64" t="s">
        <v>641</v>
      </c>
      <c r="D2984" s="64" t="s">
        <v>642</v>
      </c>
      <c r="E2984" s="64" t="s">
        <v>643</v>
      </c>
      <c r="F2984" s="63">
        <v>6500.0</v>
      </c>
      <c r="G2984" s="63">
        <v>30.79</v>
      </c>
      <c r="H2984" s="66">
        <f t="shared" si="1"/>
        <v>279.44</v>
      </c>
      <c r="I2984" s="81">
        <f>IFERROR(__xludf.DUMMYFUNCTION("IF(G2984="""", """", ROUND(G2984 / MAX(FILTER($G$2:$G5067, $D$2:$D5067=$D2984)) * 100, 2))"),88.02)</f>
        <v>88.02</v>
      </c>
      <c r="J2984" s="81">
        <f>IFERROR(__xludf.DUMMYFUNCTION("IF(H2984="""", """", ROUND(H2984 / MAX(FILTER($H$2:$H5067, $D$2:$D5067=$D2984)) * 100, 2))"),100.0)</f>
        <v>100</v>
      </c>
      <c r="K2984" s="2"/>
      <c r="L2984" s="49"/>
      <c r="M2984" s="49"/>
      <c r="N2984" s="49"/>
      <c r="O2984" s="49" t="str">
        <f t="shared" si="2"/>
        <v/>
      </c>
      <c r="P2984" s="49" t="str">
        <f t="shared" si="3"/>
        <v/>
      </c>
      <c r="Q2984" s="84"/>
      <c r="R2984" s="84"/>
      <c r="S2984" s="84"/>
      <c r="T2984" s="84"/>
      <c r="U2984" s="84"/>
      <c r="V2984" s="84"/>
      <c r="W2984" s="84"/>
      <c r="X2984" s="84"/>
      <c r="Y2984" s="84"/>
      <c r="Z2984" s="84"/>
      <c r="AA2984" s="84"/>
      <c r="AB2984" s="84"/>
    </row>
    <row r="2985">
      <c r="A2985" s="69">
        <v>198.0</v>
      </c>
      <c r="B2985" s="69">
        <v>321.0</v>
      </c>
      <c r="C2985" s="86" t="s">
        <v>641</v>
      </c>
      <c r="D2985" s="86" t="s">
        <v>642</v>
      </c>
      <c r="E2985" s="86" t="s">
        <v>643</v>
      </c>
      <c r="F2985" s="69">
        <v>7000.0</v>
      </c>
      <c r="G2985" s="69">
        <v>27.82</v>
      </c>
      <c r="H2985" s="68">
        <f t="shared" si="1"/>
        <v>271.91</v>
      </c>
      <c r="I2985" s="81">
        <f>IFERROR(__xludf.DUMMYFUNCTION("IF(G2985="""", """", ROUND(G2985 / MAX(FILTER($G$2:$G5067, $D$2:$D5067=$D2985)) * 100, 2))"),79.53)</f>
        <v>79.53</v>
      </c>
      <c r="J2985" s="81">
        <f>IFERROR(__xludf.DUMMYFUNCTION("IF(H2985="""", """", ROUND(H2985 / MAX(FILTER($H$2:$H5067, $D$2:$D5067=$D2985)) * 100, 2))"),97.31)</f>
        <v>97.31</v>
      </c>
      <c r="K2985" s="2"/>
      <c r="L2985" s="48"/>
      <c r="M2985" s="48"/>
      <c r="N2985" s="48"/>
      <c r="O2985" s="48" t="str">
        <f t="shared" si="2"/>
        <v/>
      </c>
      <c r="P2985" s="48" t="str">
        <f t="shared" si="3"/>
        <v/>
      </c>
      <c r="Q2985" s="84"/>
      <c r="R2985" s="84"/>
      <c r="S2985" s="84"/>
      <c r="T2985" s="84"/>
      <c r="U2985" s="84"/>
      <c r="V2985" s="84"/>
      <c r="W2985" s="84"/>
      <c r="X2985" s="84"/>
      <c r="Y2985" s="84"/>
      <c r="Z2985" s="84"/>
      <c r="AA2985" s="84"/>
      <c r="AB2985" s="84"/>
    </row>
    <row r="2986">
      <c r="A2986" s="63">
        <v>199.0</v>
      </c>
      <c r="B2986" s="63">
        <v>323.0</v>
      </c>
      <c r="C2986" s="64" t="s">
        <v>644</v>
      </c>
      <c r="D2986" s="64" t="s">
        <v>645</v>
      </c>
      <c r="E2986" s="64" t="s">
        <v>646</v>
      </c>
      <c r="F2986" s="63">
        <v>500.0</v>
      </c>
      <c r="G2986" s="63">
        <v>41.47</v>
      </c>
      <c r="H2986" s="66">
        <f t="shared" si="1"/>
        <v>28.95</v>
      </c>
      <c r="I2986" s="81">
        <f>IFERROR(__xludf.DUMMYFUNCTION("IF(G2986="""", """", ROUND(G2986 / MAX(FILTER($G$2:$G5067, $D$2:$D5067=$D2986)) * 100, 2))"),60.01)</f>
        <v>60.01</v>
      </c>
      <c r="J2986" s="81">
        <f>IFERROR(__xludf.DUMMYFUNCTION("IF(H2986="""", """", ROUND(H2986 / MAX(FILTER($H$2:$H5067, $D$2:$D5067=$D2986)) * 100, 2))"),5.8)</f>
        <v>5.8</v>
      </c>
      <c r="K2986" s="2"/>
      <c r="L2986" s="49"/>
      <c r="M2986" s="49"/>
      <c r="N2986" s="49"/>
      <c r="O2986" s="49" t="str">
        <f t="shared" si="2"/>
        <v/>
      </c>
      <c r="P2986" s="49" t="str">
        <f t="shared" si="3"/>
        <v/>
      </c>
      <c r="Q2986" s="84"/>
      <c r="R2986" s="84"/>
      <c r="S2986" s="84"/>
      <c r="T2986" s="84"/>
      <c r="U2986" s="84"/>
      <c r="V2986" s="84"/>
      <c r="W2986" s="84"/>
      <c r="X2986" s="84"/>
      <c r="Y2986" s="84"/>
      <c r="Z2986" s="84"/>
      <c r="AA2986" s="84"/>
      <c r="AB2986" s="84"/>
    </row>
    <row r="2987">
      <c r="A2987" s="69">
        <v>199.0</v>
      </c>
      <c r="B2987" s="69">
        <v>323.0</v>
      </c>
      <c r="C2987" s="86" t="s">
        <v>644</v>
      </c>
      <c r="D2987" s="86" t="s">
        <v>645</v>
      </c>
      <c r="E2987" s="86" t="s">
        <v>646</v>
      </c>
      <c r="F2987" s="69">
        <v>1000.0</v>
      </c>
      <c r="G2987" s="69">
        <v>49.0</v>
      </c>
      <c r="H2987" s="68">
        <f t="shared" si="1"/>
        <v>68.42</v>
      </c>
      <c r="I2987" s="81">
        <f>IFERROR(__xludf.DUMMYFUNCTION("IF(G2987="""", """", ROUND(G2987 / MAX(FILTER($G$2:$G5067, $D$2:$D5067=$D2987)) * 100, 2))"),70.91)</f>
        <v>70.91</v>
      </c>
      <c r="J2987" s="81">
        <f>IFERROR(__xludf.DUMMYFUNCTION("IF(H2987="""", """", ROUND(H2987 / MAX(FILTER($H$2:$H5067, $D$2:$D5067=$D2987)) * 100, 2))"),13.71)</f>
        <v>13.71</v>
      </c>
      <c r="K2987" s="2"/>
      <c r="L2987" s="48"/>
      <c r="M2987" s="48"/>
      <c r="N2987" s="48"/>
      <c r="O2987" s="48" t="str">
        <f t="shared" si="2"/>
        <v/>
      </c>
      <c r="P2987" s="48" t="str">
        <f t="shared" si="3"/>
        <v/>
      </c>
      <c r="Q2987" s="84"/>
      <c r="R2987" s="84"/>
      <c r="S2987" s="84"/>
      <c r="T2987" s="84"/>
      <c r="U2987" s="84"/>
      <c r="V2987" s="84"/>
      <c r="W2987" s="84"/>
      <c r="X2987" s="84"/>
      <c r="Y2987" s="84"/>
      <c r="Z2987" s="84"/>
      <c r="AA2987" s="84"/>
      <c r="AB2987" s="84"/>
    </row>
    <row r="2988">
      <c r="A2988" s="63">
        <v>199.0</v>
      </c>
      <c r="B2988" s="63">
        <v>323.0</v>
      </c>
      <c r="C2988" s="64" t="s">
        <v>644</v>
      </c>
      <c r="D2988" s="64" t="s">
        <v>645</v>
      </c>
      <c r="E2988" s="64" t="s">
        <v>646</v>
      </c>
      <c r="F2988" s="63">
        <v>1500.0</v>
      </c>
      <c r="G2988" s="63">
        <v>56.0</v>
      </c>
      <c r="H2988" s="66">
        <f t="shared" si="1"/>
        <v>117.29</v>
      </c>
      <c r="I2988" s="81">
        <f>IFERROR(__xludf.DUMMYFUNCTION("IF(G2988="""", """", ROUND(G2988 / MAX(FILTER($G$2:$G5067, $D$2:$D5067=$D2988)) * 100, 2))"),81.04)</f>
        <v>81.04</v>
      </c>
      <c r="J2988" s="81">
        <f>IFERROR(__xludf.DUMMYFUNCTION("IF(H2988="""", """", ROUND(H2988 / MAX(FILTER($H$2:$H5067, $D$2:$D5067=$D2988)) * 100, 2))"),23.5)</f>
        <v>23.5</v>
      </c>
      <c r="K2988" s="2"/>
      <c r="L2988" s="49"/>
      <c r="M2988" s="49"/>
      <c r="N2988" s="49"/>
      <c r="O2988" s="49" t="str">
        <f t="shared" si="2"/>
        <v/>
      </c>
      <c r="P2988" s="49" t="str">
        <f t="shared" si="3"/>
        <v/>
      </c>
      <c r="Q2988" s="84"/>
      <c r="R2988" s="84"/>
      <c r="S2988" s="84"/>
      <c r="T2988" s="84"/>
      <c r="U2988" s="84"/>
      <c r="V2988" s="84"/>
      <c r="W2988" s="84"/>
      <c r="X2988" s="84"/>
      <c r="Y2988" s="84"/>
      <c r="Z2988" s="84"/>
      <c r="AA2988" s="84"/>
      <c r="AB2988" s="84"/>
    </row>
    <row r="2989">
      <c r="A2989" s="69">
        <v>199.0</v>
      </c>
      <c r="B2989" s="69">
        <v>323.0</v>
      </c>
      <c r="C2989" s="86" t="s">
        <v>644</v>
      </c>
      <c r="D2989" s="86" t="s">
        <v>645</v>
      </c>
      <c r="E2989" s="86" t="s">
        <v>646</v>
      </c>
      <c r="F2989" s="69">
        <v>2000.0</v>
      </c>
      <c r="G2989" s="69">
        <v>61.6</v>
      </c>
      <c r="H2989" s="68">
        <f t="shared" si="1"/>
        <v>172.02</v>
      </c>
      <c r="I2989" s="81">
        <f>IFERROR(__xludf.DUMMYFUNCTION("IF(G2989="""", """", ROUND(G2989 / MAX(FILTER($G$2:$G5067, $D$2:$D5067=$D2989)) * 100, 2))"),89.15)</f>
        <v>89.15</v>
      </c>
      <c r="J2989" s="81">
        <f>IFERROR(__xludf.DUMMYFUNCTION("IF(H2989="""", """", ROUND(H2989 / MAX(FILTER($H$2:$H5067, $D$2:$D5067=$D2989)) * 100, 2))"),34.46)</f>
        <v>34.46</v>
      </c>
      <c r="K2989" s="2"/>
      <c r="L2989" s="48"/>
      <c r="M2989" s="48"/>
      <c r="N2989" s="48"/>
      <c r="O2989" s="48" t="str">
        <f t="shared" si="2"/>
        <v/>
      </c>
      <c r="P2989" s="48" t="str">
        <f t="shared" si="3"/>
        <v/>
      </c>
      <c r="Q2989" s="84"/>
      <c r="R2989" s="84"/>
      <c r="S2989" s="84"/>
      <c r="T2989" s="84"/>
      <c r="U2989" s="84"/>
      <c r="V2989" s="84"/>
      <c r="W2989" s="84"/>
      <c r="X2989" s="84"/>
      <c r="Y2989" s="84"/>
      <c r="Z2989" s="84"/>
      <c r="AA2989" s="84"/>
      <c r="AB2989" s="84"/>
    </row>
    <row r="2990">
      <c r="A2990" s="63">
        <v>199.0</v>
      </c>
      <c r="B2990" s="63">
        <v>323.0</v>
      </c>
      <c r="C2990" s="64" t="s">
        <v>644</v>
      </c>
      <c r="D2990" s="64" t="s">
        <v>645</v>
      </c>
      <c r="E2990" s="64" t="s">
        <v>646</v>
      </c>
      <c r="F2990" s="63">
        <v>2500.0</v>
      </c>
      <c r="G2990" s="63">
        <v>65.63</v>
      </c>
      <c r="H2990" s="66">
        <f t="shared" si="1"/>
        <v>229.09</v>
      </c>
      <c r="I2990" s="81">
        <f>IFERROR(__xludf.DUMMYFUNCTION("IF(G2990="""", """", ROUND(G2990 / MAX(FILTER($G$2:$G5067, $D$2:$D5067=$D2990)) * 100, 2))"),94.98)</f>
        <v>94.98</v>
      </c>
      <c r="J2990" s="81">
        <f>IFERROR(__xludf.DUMMYFUNCTION("IF(H2990="""", """", ROUND(H2990 / MAX(FILTER($H$2:$H5067, $D$2:$D5067=$D2990)) * 100, 2))"),45.9)</f>
        <v>45.9</v>
      </c>
      <c r="K2990" s="2"/>
      <c r="L2990" s="49"/>
      <c r="M2990" s="49"/>
      <c r="N2990" s="49"/>
      <c r="O2990" s="49" t="str">
        <f t="shared" si="2"/>
        <v/>
      </c>
      <c r="P2990" s="49" t="str">
        <f t="shared" si="3"/>
        <v/>
      </c>
      <c r="Q2990" s="84"/>
      <c r="R2990" s="84"/>
      <c r="S2990" s="84"/>
      <c r="T2990" s="84"/>
      <c r="U2990" s="84"/>
      <c r="V2990" s="84"/>
      <c r="W2990" s="84"/>
      <c r="X2990" s="84"/>
      <c r="Y2990" s="84"/>
      <c r="Z2990" s="84"/>
      <c r="AA2990" s="84"/>
      <c r="AB2990" s="84"/>
    </row>
    <row r="2991">
      <c r="A2991" s="69">
        <v>199.0</v>
      </c>
      <c r="B2991" s="69">
        <v>323.0</v>
      </c>
      <c r="C2991" s="86" t="s">
        <v>644</v>
      </c>
      <c r="D2991" s="86" t="s">
        <v>645</v>
      </c>
      <c r="E2991" s="86" t="s">
        <v>646</v>
      </c>
      <c r="F2991" s="69">
        <v>3000.0</v>
      </c>
      <c r="G2991" s="69">
        <v>68.07</v>
      </c>
      <c r="H2991" s="68">
        <f t="shared" si="1"/>
        <v>285.13</v>
      </c>
      <c r="I2991" s="81">
        <f>IFERROR(__xludf.DUMMYFUNCTION("IF(G2991="""", """", ROUND(G2991 / MAX(FILTER($G$2:$G5067, $D$2:$D5067=$D2991)) * 100, 2))"),98.51)</f>
        <v>98.51</v>
      </c>
      <c r="J2991" s="81">
        <f>IFERROR(__xludf.DUMMYFUNCTION("IF(H2991="""", """", ROUND(H2991 / MAX(FILTER($H$2:$H5067, $D$2:$D5067=$D2991)) * 100, 2))"),57.12)</f>
        <v>57.12</v>
      </c>
      <c r="K2991" s="2"/>
      <c r="L2991" s="48"/>
      <c r="M2991" s="48"/>
      <c r="N2991" s="48"/>
      <c r="O2991" s="48" t="str">
        <f t="shared" si="2"/>
        <v/>
      </c>
      <c r="P2991" s="48" t="str">
        <f t="shared" si="3"/>
        <v/>
      </c>
      <c r="Q2991" s="84"/>
      <c r="R2991" s="84"/>
      <c r="S2991" s="84"/>
      <c r="T2991" s="84"/>
      <c r="U2991" s="84"/>
      <c r="V2991" s="84"/>
      <c r="W2991" s="84"/>
      <c r="X2991" s="84"/>
      <c r="Y2991" s="84"/>
      <c r="Z2991" s="84"/>
      <c r="AA2991" s="84"/>
      <c r="AB2991" s="84"/>
    </row>
    <row r="2992">
      <c r="A2992" s="63">
        <v>199.0</v>
      </c>
      <c r="B2992" s="63">
        <v>323.0</v>
      </c>
      <c r="C2992" s="64" t="s">
        <v>644</v>
      </c>
      <c r="D2992" s="64" t="s">
        <v>645</v>
      </c>
      <c r="E2992" s="64" t="s">
        <v>646</v>
      </c>
      <c r="F2992" s="63">
        <v>3750.0</v>
      </c>
      <c r="G2992" s="63">
        <v>69.1</v>
      </c>
      <c r="H2992" s="66">
        <f t="shared" si="1"/>
        <v>361.81</v>
      </c>
      <c r="I2992" s="81">
        <f>IFERROR(__xludf.DUMMYFUNCTION("IF(G2992="""", """", ROUND(G2992 / MAX(FILTER($G$2:$G5067, $D$2:$D5067=$D2992)) * 100, 2))"),100.0)</f>
        <v>100</v>
      </c>
      <c r="J2992" s="81">
        <f>IFERROR(__xludf.DUMMYFUNCTION("IF(H2992="""", """", ROUND(H2992 / MAX(FILTER($H$2:$H5067, $D$2:$D5067=$D2992)) * 100, 2))"),72.48)</f>
        <v>72.48</v>
      </c>
      <c r="K2992" s="2"/>
      <c r="L2992" s="49"/>
      <c r="M2992" s="49"/>
      <c r="N2992" s="49"/>
      <c r="O2992" s="49" t="str">
        <f t="shared" si="2"/>
        <v/>
      </c>
      <c r="P2992" s="49" t="str">
        <f t="shared" si="3"/>
        <v/>
      </c>
      <c r="Q2992" s="84"/>
      <c r="R2992" s="84"/>
      <c r="S2992" s="84"/>
      <c r="T2992" s="84"/>
      <c r="U2992" s="84"/>
      <c r="V2992" s="84"/>
      <c r="W2992" s="84"/>
      <c r="X2992" s="84"/>
      <c r="Y2992" s="84"/>
      <c r="Z2992" s="84"/>
      <c r="AA2992" s="84"/>
      <c r="AB2992" s="84"/>
    </row>
    <row r="2993">
      <c r="A2993" s="69">
        <v>199.0</v>
      </c>
      <c r="B2993" s="69">
        <v>323.0</v>
      </c>
      <c r="C2993" s="86" t="s">
        <v>644</v>
      </c>
      <c r="D2993" s="86" t="s">
        <v>645</v>
      </c>
      <c r="E2993" s="86" t="s">
        <v>646</v>
      </c>
      <c r="F2993" s="69">
        <v>4000.0</v>
      </c>
      <c r="G2993" s="69">
        <v>68.78</v>
      </c>
      <c r="H2993" s="68">
        <f t="shared" si="1"/>
        <v>384.14</v>
      </c>
      <c r="I2993" s="81">
        <f>IFERROR(__xludf.DUMMYFUNCTION("IF(G2993="""", """", ROUND(G2993 / MAX(FILTER($G$2:$G5067, $D$2:$D5067=$D2993)) * 100, 2))"),99.54)</f>
        <v>99.54</v>
      </c>
      <c r="J2993" s="81">
        <f>IFERROR(__xludf.DUMMYFUNCTION("IF(H2993="""", """", ROUND(H2993 / MAX(FILTER($H$2:$H5067, $D$2:$D5067=$D2993)) * 100, 2))"),76.96)</f>
        <v>76.96</v>
      </c>
      <c r="K2993" s="2"/>
      <c r="L2993" s="48"/>
      <c r="M2993" s="48"/>
      <c r="N2993" s="48"/>
      <c r="O2993" s="48" t="str">
        <f t="shared" si="2"/>
        <v/>
      </c>
      <c r="P2993" s="48" t="str">
        <f t="shared" si="3"/>
        <v/>
      </c>
      <c r="Q2993" s="84"/>
      <c r="R2993" s="84"/>
      <c r="S2993" s="84"/>
      <c r="T2993" s="84"/>
      <c r="U2993" s="84"/>
      <c r="V2993" s="84"/>
      <c r="W2993" s="84"/>
      <c r="X2993" s="84"/>
      <c r="Y2993" s="84"/>
      <c r="Z2993" s="84"/>
      <c r="AA2993" s="84"/>
      <c r="AB2993" s="84"/>
    </row>
    <row r="2994">
      <c r="A2994" s="63">
        <v>199.0</v>
      </c>
      <c r="B2994" s="63">
        <v>323.0</v>
      </c>
      <c r="C2994" s="64" t="s">
        <v>644</v>
      </c>
      <c r="D2994" s="64" t="s">
        <v>645</v>
      </c>
      <c r="E2994" s="64" t="s">
        <v>646</v>
      </c>
      <c r="F2994" s="63">
        <v>4500.0</v>
      </c>
      <c r="G2994" s="63">
        <v>67.55</v>
      </c>
      <c r="H2994" s="66">
        <f t="shared" si="1"/>
        <v>424.43</v>
      </c>
      <c r="I2994" s="81">
        <f>IFERROR(__xludf.DUMMYFUNCTION("IF(G2994="""", """", ROUND(G2994 / MAX(FILTER($G$2:$G5067, $D$2:$D5067=$D2994)) * 100, 2))"),97.76)</f>
        <v>97.76</v>
      </c>
      <c r="J2994" s="81">
        <f>IFERROR(__xludf.DUMMYFUNCTION("IF(H2994="""", """", ROUND(H2994 / MAX(FILTER($H$2:$H5067, $D$2:$D5067=$D2994)) * 100, 2))"),85.03)</f>
        <v>85.03</v>
      </c>
      <c r="K2994" s="2"/>
      <c r="L2994" s="49"/>
      <c r="M2994" s="49"/>
      <c r="N2994" s="49"/>
      <c r="O2994" s="49" t="str">
        <f t="shared" si="2"/>
        <v/>
      </c>
      <c r="P2994" s="49" t="str">
        <f t="shared" si="3"/>
        <v/>
      </c>
      <c r="Q2994" s="84"/>
      <c r="R2994" s="84"/>
      <c r="S2994" s="84"/>
      <c r="T2994" s="84"/>
      <c r="U2994" s="84"/>
      <c r="V2994" s="84"/>
      <c r="W2994" s="84"/>
      <c r="X2994" s="84"/>
      <c r="Y2994" s="84"/>
      <c r="Z2994" s="84"/>
      <c r="AA2994" s="84"/>
      <c r="AB2994" s="84"/>
    </row>
    <row r="2995">
      <c r="A2995" s="69">
        <v>199.0</v>
      </c>
      <c r="B2995" s="69">
        <v>323.0</v>
      </c>
      <c r="C2995" s="86" t="s">
        <v>644</v>
      </c>
      <c r="D2995" s="86" t="s">
        <v>645</v>
      </c>
      <c r="E2995" s="86" t="s">
        <v>646</v>
      </c>
      <c r="F2995" s="69">
        <v>5000.0</v>
      </c>
      <c r="G2995" s="69">
        <v>65.45</v>
      </c>
      <c r="H2995" s="68">
        <f t="shared" si="1"/>
        <v>456.93</v>
      </c>
      <c r="I2995" s="81">
        <f>IFERROR(__xludf.DUMMYFUNCTION("IF(G2995="""", """", ROUND(G2995 / MAX(FILTER($G$2:$G5067, $D$2:$D5067=$D2995)) * 100, 2))"),94.72)</f>
        <v>94.72</v>
      </c>
      <c r="J2995" s="81">
        <f>IFERROR(__xludf.DUMMYFUNCTION("IF(H2995="""", """", ROUND(H2995 / MAX(FILTER($H$2:$H5067, $D$2:$D5067=$D2995)) * 100, 2))"),91.54)</f>
        <v>91.54</v>
      </c>
      <c r="K2995" s="2"/>
      <c r="L2995" s="48"/>
      <c r="M2995" s="48"/>
      <c r="N2995" s="48"/>
      <c r="O2995" s="48" t="str">
        <f t="shared" si="2"/>
        <v/>
      </c>
      <c r="P2995" s="48" t="str">
        <f t="shared" si="3"/>
        <v/>
      </c>
      <c r="Q2995" s="84"/>
      <c r="R2995" s="84"/>
      <c r="S2995" s="84"/>
      <c r="T2995" s="84"/>
      <c r="U2995" s="84"/>
      <c r="V2995" s="84"/>
      <c r="W2995" s="84"/>
      <c r="X2995" s="84"/>
      <c r="Y2995" s="84"/>
      <c r="Z2995" s="84"/>
      <c r="AA2995" s="84"/>
      <c r="AB2995" s="84"/>
    </row>
    <row r="2996">
      <c r="A2996" s="63">
        <v>199.0</v>
      </c>
      <c r="B2996" s="63">
        <v>323.0</v>
      </c>
      <c r="C2996" s="64" t="s">
        <v>644</v>
      </c>
      <c r="D2996" s="64" t="s">
        <v>645</v>
      </c>
      <c r="E2996" s="64" t="s">
        <v>646</v>
      </c>
      <c r="F2996" s="63">
        <v>5500.0</v>
      </c>
      <c r="G2996" s="63">
        <v>62.3</v>
      </c>
      <c r="H2996" s="66">
        <f t="shared" si="1"/>
        <v>478.43</v>
      </c>
      <c r="I2996" s="81">
        <f>IFERROR(__xludf.DUMMYFUNCTION("IF(G2996="""", """", ROUND(G2996 / MAX(FILTER($G$2:$G5067, $D$2:$D5067=$D2996)) * 100, 2))"),90.16)</f>
        <v>90.16</v>
      </c>
      <c r="J2996" s="81">
        <f>IFERROR(__xludf.DUMMYFUNCTION("IF(H2996="""", """", ROUND(H2996 / MAX(FILTER($H$2:$H5067, $D$2:$D5067=$D2996)) * 100, 2))"),95.85)</f>
        <v>95.85</v>
      </c>
      <c r="K2996" s="2"/>
      <c r="L2996" s="49"/>
      <c r="M2996" s="49"/>
      <c r="N2996" s="49"/>
      <c r="O2996" s="49" t="str">
        <f t="shared" si="2"/>
        <v/>
      </c>
      <c r="P2996" s="49" t="str">
        <f t="shared" si="3"/>
        <v/>
      </c>
      <c r="Q2996" s="84"/>
      <c r="R2996" s="84"/>
      <c r="S2996" s="84"/>
      <c r="T2996" s="84"/>
      <c r="U2996" s="84"/>
      <c r="V2996" s="84"/>
      <c r="W2996" s="84"/>
      <c r="X2996" s="84"/>
      <c r="Y2996" s="84"/>
      <c r="Z2996" s="84"/>
      <c r="AA2996" s="84"/>
      <c r="AB2996" s="84"/>
    </row>
    <row r="2997">
      <c r="A2997" s="69">
        <v>199.0</v>
      </c>
      <c r="B2997" s="69">
        <v>323.0</v>
      </c>
      <c r="C2997" s="86" t="s">
        <v>644</v>
      </c>
      <c r="D2997" s="86" t="s">
        <v>645</v>
      </c>
      <c r="E2997" s="86" t="s">
        <v>646</v>
      </c>
      <c r="F2997" s="69">
        <v>6000.0</v>
      </c>
      <c r="G2997" s="69">
        <v>58.8</v>
      </c>
      <c r="H2997" s="68">
        <f t="shared" si="1"/>
        <v>492.6</v>
      </c>
      <c r="I2997" s="81">
        <f>IFERROR(__xludf.DUMMYFUNCTION("IF(G2997="""", """", ROUND(G2997 / MAX(FILTER($G$2:$G5067, $D$2:$D5067=$D2997)) * 100, 2))"),85.09)</f>
        <v>85.09</v>
      </c>
      <c r="J2997" s="81">
        <f>IFERROR(__xludf.DUMMYFUNCTION("IF(H2997="""", """", ROUND(H2997 / MAX(FILTER($H$2:$H5067, $D$2:$D5067=$D2997)) * 100, 2))"),98.69)</f>
        <v>98.69</v>
      </c>
      <c r="K2997" s="2"/>
      <c r="L2997" s="48"/>
      <c r="M2997" s="48"/>
      <c r="N2997" s="48"/>
      <c r="O2997" s="48" t="str">
        <f t="shared" si="2"/>
        <v/>
      </c>
      <c r="P2997" s="48" t="str">
        <f t="shared" si="3"/>
        <v/>
      </c>
      <c r="Q2997" s="84"/>
      <c r="R2997" s="84"/>
      <c r="S2997" s="84"/>
      <c r="T2997" s="84"/>
      <c r="U2997" s="84"/>
      <c r="V2997" s="84"/>
      <c r="W2997" s="84"/>
      <c r="X2997" s="84"/>
      <c r="Y2997" s="84"/>
      <c r="Z2997" s="84"/>
      <c r="AA2997" s="84"/>
      <c r="AB2997" s="84"/>
    </row>
    <row r="2998">
      <c r="A2998" s="63">
        <v>199.0</v>
      </c>
      <c r="B2998" s="63">
        <v>323.0</v>
      </c>
      <c r="C2998" s="64" t="s">
        <v>644</v>
      </c>
      <c r="D2998" s="64" t="s">
        <v>645</v>
      </c>
      <c r="E2998" s="64" t="s">
        <v>646</v>
      </c>
      <c r="F2998" s="63">
        <v>6500.0</v>
      </c>
      <c r="G2998" s="63">
        <v>55.0</v>
      </c>
      <c r="H2998" s="66">
        <f t="shared" si="1"/>
        <v>499.16</v>
      </c>
      <c r="I2998" s="81">
        <f>IFERROR(__xludf.DUMMYFUNCTION("IF(G2998="""", """", ROUND(G2998 / MAX(FILTER($G$2:$G5067, $D$2:$D5067=$D2998)) * 100, 2))"),79.59)</f>
        <v>79.59</v>
      </c>
      <c r="J2998" s="81">
        <f>IFERROR(__xludf.DUMMYFUNCTION("IF(H2998="""", """", ROUND(H2998 / MAX(FILTER($H$2:$H5067, $D$2:$D5067=$D2998)) * 100, 2))"),100.0)</f>
        <v>100</v>
      </c>
      <c r="K2998" s="2"/>
      <c r="L2998" s="49"/>
      <c r="M2998" s="49"/>
      <c r="N2998" s="49"/>
      <c r="O2998" s="49" t="str">
        <f t="shared" si="2"/>
        <v/>
      </c>
      <c r="P2998" s="49" t="str">
        <f t="shared" si="3"/>
        <v/>
      </c>
      <c r="Q2998" s="84"/>
      <c r="R2998" s="84"/>
      <c r="S2998" s="84"/>
      <c r="T2998" s="84"/>
      <c r="U2998" s="84"/>
      <c r="V2998" s="84"/>
      <c r="W2998" s="84"/>
      <c r="X2998" s="84"/>
      <c r="Y2998" s="84"/>
      <c r="Z2998" s="84"/>
      <c r="AA2998" s="84"/>
      <c r="AB2998" s="84"/>
    </row>
    <row r="2999">
      <c r="A2999" s="69">
        <v>199.0</v>
      </c>
      <c r="B2999" s="69">
        <v>323.0</v>
      </c>
      <c r="C2999" s="86" t="s">
        <v>644</v>
      </c>
      <c r="D2999" s="86" t="s">
        <v>645</v>
      </c>
      <c r="E2999" s="86" t="s">
        <v>646</v>
      </c>
      <c r="F2999" s="69">
        <v>7000.0</v>
      </c>
      <c r="G2999" s="69">
        <v>49.88</v>
      </c>
      <c r="H2999" s="68">
        <f t="shared" si="1"/>
        <v>487.52</v>
      </c>
      <c r="I2999" s="81">
        <f>IFERROR(__xludf.DUMMYFUNCTION("IF(G2999="""", """", ROUND(G2999 / MAX(FILTER($G$2:$G5067, $D$2:$D5067=$D2999)) * 100, 2))"),72.19)</f>
        <v>72.19</v>
      </c>
      <c r="J2999" s="81">
        <f>IFERROR(__xludf.DUMMYFUNCTION("IF(H2999="""", """", ROUND(H2999 / MAX(FILTER($H$2:$H5067, $D$2:$D5067=$D2999)) * 100, 2))"),97.67)</f>
        <v>97.67</v>
      </c>
      <c r="K2999" s="2"/>
      <c r="L2999" s="48"/>
      <c r="M2999" s="48"/>
      <c r="N2999" s="48"/>
      <c r="O2999" s="48" t="str">
        <f t="shared" si="2"/>
        <v/>
      </c>
      <c r="P2999" s="48" t="str">
        <f t="shared" si="3"/>
        <v/>
      </c>
      <c r="Q2999" s="84"/>
      <c r="R2999" s="84"/>
      <c r="S2999" s="84"/>
      <c r="T2999" s="84"/>
      <c r="U2999" s="84"/>
      <c r="V2999" s="84"/>
      <c r="W2999" s="84"/>
      <c r="X2999" s="84"/>
      <c r="Y2999" s="84"/>
      <c r="Z2999" s="84"/>
      <c r="AA2999" s="84"/>
      <c r="AB2999" s="84"/>
    </row>
    <row r="3000">
      <c r="A3000" s="63">
        <v>200.0</v>
      </c>
      <c r="B3000" s="63">
        <v>327.0</v>
      </c>
      <c r="C3000" s="64" t="s">
        <v>647</v>
      </c>
      <c r="D3000" s="64" t="s">
        <v>648</v>
      </c>
      <c r="E3000" s="64" t="s">
        <v>649</v>
      </c>
      <c r="F3000" s="63">
        <v>500.0</v>
      </c>
      <c r="G3000" s="63">
        <v>5.55</v>
      </c>
      <c r="H3000" s="66">
        <f t="shared" si="1"/>
        <v>3.87</v>
      </c>
      <c r="I3000" s="81">
        <f>IFERROR(__xludf.DUMMYFUNCTION("IF(G3000="""", """", ROUND(G3000 / MAX(FILTER($G$2:$G5067, $D$2:$D5067=$D3000)) * 100, 2))"),44.4)</f>
        <v>44.4</v>
      </c>
      <c r="J3000" s="81">
        <f>IFERROR(__xludf.DUMMYFUNCTION("IF(H3000="""", """", ROUND(H3000 / MAX(FILTER($H$2:$H5067, $D$2:$D5067=$D3000)) * 100, 2))"),3.26)</f>
        <v>3.26</v>
      </c>
      <c r="K3000" s="2"/>
      <c r="L3000" s="49"/>
      <c r="M3000" s="49"/>
      <c r="N3000" s="49"/>
      <c r="O3000" s="49" t="str">
        <f t="shared" si="2"/>
        <v/>
      </c>
      <c r="P3000" s="49" t="str">
        <f t="shared" si="3"/>
        <v/>
      </c>
      <c r="Q3000" s="84"/>
      <c r="R3000" s="84"/>
      <c r="S3000" s="84"/>
      <c r="T3000" s="84"/>
      <c r="U3000" s="84"/>
      <c r="V3000" s="84"/>
      <c r="W3000" s="84"/>
      <c r="X3000" s="84"/>
      <c r="Y3000" s="84"/>
      <c r="Z3000" s="84"/>
      <c r="AA3000" s="84"/>
      <c r="AB3000" s="84"/>
    </row>
    <row r="3001">
      <c r="A3001" s="69">
        <v>200.0</v>
      </c>
      <c r="B3001" s="69">
        <v>327.0</v>
      </c>
      <c r="C3001" s="86" t="s">
        <v>647</v>
      </c>
      <c r="D3001" s="86" t="s">
        <v>648</v>
      </c>
      <c r="E3001" s="86" t="s">
        <v>649</v>
      </c>
      <c r="F3001" s="69">
        <v>1000.0</v>
      </c>
      <c r="G3001" s="69">
        <v>6.8</v>
      </c>
      <c r="H3001" s="68">
        <f t="shared" si="1"/>
        <v>9.49</v>
      </c>
      <c r="I3001" s="81">
        <f>IFERROR(__xludf.DUMMYFUNCTION("IF(G3001="""", """", ROUND(G3001 / MAX(FILTER($G$2:$G5067, $D$2:$D5067=$D3001)) * 100, 2))"),54.4)</f>
        <v>54.4</v>
      </c>
      <c r="J3001" s="81">
        <f>IFERROR(__xludf.DUMMYFUNCTION("IF(H3001="""", """", ROUND(H3001 / MAX(FILTER($H$2:$H5067, $D$2:$D5067=$D3001)) * 100, 2))"),8.0)</f>
        <v>8</v>
      </c>
      <c r="K3001" s="2"/>
      <c r="L3001" s="48"/>
      <c r="M3001" s="48"/>
      <c r="N3001" s="48"/>
      <c r="O3001" s="48" t="str">
        <f t="shared" si="2"/>
        <v/>
      </c>
      <c r="P3001" s="48" t="str">
        <f t="shared" si="3"/>
        <v/>
      </c>
      <c r="Q3001" s="84"/>
      <c r="R3001" s="84"/>
      <c r="S3001" s="84"/>
      <c r="T3001" s="84"/>
      <c r="U3001" s="84"/>
      <c r="V3001" s="84"/>
      <c r="W3001" s="84"/>
      <c r="X3001" s="84"/>
      <c r="Y3001" s="84"/>
      <c r="Z3001" s="84"/>
      <c r="AA3001" s="84"/>
      <c r="AB3001" s="84"/>
    </row>
    <row r="3002">
      <c r="A3002" s="63">
        <v>200.0</v>
      </c>
      <c r="B3002" s="63">
        <v>327.0</v>
      </c>
      <c r="C3002" s="64" t="s">
        <v>647</v>
      </c>
      <c r="D3002" s="64" t="s">
        <v>648</v>
      </c>
      <c r="E3002" s="64" t="s">
        <v>649</v>
      </c>
      <c r="F3002" s="63">
        <v>1500.0</v>
      </c>
      <c r="G3002" s="63">
        <v>7.7</v>
      </c>
      <c r="H3002" s="66">
        <f t="shared" si="1"/>
        <v>16.13</v>
      </c>
      <c r="I3002" s="81">
        <f>IFERROR(__xludf.DUMMYFUNCTION("IF(G3002="""", """", ROUND(G3002 / MAX(FILTER($G$2:$G5067, $D$2:$D5067=$D3002)) * 100, 2))"),61.6)</f>
        <v>61.6</v>
      </c>
      <c r="J3002" s="81">
        <f>IFERROR(__xludf.DUMMYFUNCTION("IF(H3002="""", """", ROUND(H3002 / MAX(FILTER($H$2:$H5067, $D$2:$D5067=$D3002)) * 100, 2))"),13.59)</f>
        <v>13.59</v>
      </c>
      <c r="K3002" s="2"/>
      <c r="L3002" s="49"/>
      <c r="M3002" s="49"/>
      <c r="N3002" s="49"/>
      <c r="O3002" s="49" t="str">
        <f t="shared" si="2"/>
        <v/>
      </c>
      <c r="P3002" s="49" t="str">
        <f t="shared" si="3"/>
        <v/>
      </c>
      <c r="Q3002" s="84"/>
      <c r="R3002" s="84"/>
      <c r="S3002" s="84"/>
      <c r="T3002" s="84"/>
      <c r="U3002" s="84"/>
      <c r="V3002" s="84"/>
      <c r="W3002" s="84"/>
      <c r="X3002" s="84"/>
      <c r="Y3002" s="84"/>
      <c r="Z3002" s="84"/>
      <c r="AA3002" s="84"/>
      <c r="AB3002" s="84"/>
    </row>
    <row r="3003">
      <c r="A3003" s="69">
        <v>200.0</v>
      </c>
      <c r="B3003" s="69">
        <v>327.0</v>
      </c>
      <c r="C3003" s="86" t="s">
        <v>647</v>
      </c>
      <c r="D3003" s="86" t="s">
        <v>648</v>
      </c>
      <c r="E3003" s="86" t="s">
        <v>649</v>
      </c>
      <c r="F3003" s="69">
        <v>2000.0</v>
      </c>
      <c r="G3003" s="69">
        <v>8.45</v>
      </c>
      <c r="H3003" s="68">
        <f t="shared" si="1"/>
        <v>23.6</v>
      </c>
      <c r="I3003" s="81">
        <f>IFERROR(__xludf.DUMMYFUNCTION("IF(G3003="""", """", ROUND(G3003 / MAX(FILTER($G$2:$G5067, $D$2:$D5067=$D3003)) * 100, 2))"),67.6)</f>
        <v>67.6</v>
      </c>
      <c r="J3003" s="81">
        <f>IFERROR(__xludf.DUMMYFUNCTION("IF(H3003="""", """", ROUND(H3003 / MAX(FILTER($H$2:$H5067, $D$2:$D5067=$D3003)) * 100, 2))"),19.89)</f>
        <v>19.89</v>
      </c>
      <c r="K3003" s="2"/>
      <c r="L3003" s="48"/>
      <c r="M3003" s="48"/>
      <c r="N3003" s="48"/>
      <c r="O3003" s="48" t="str">
        <f t="shared" si="2"/>
        <v/>
      </c>
      <c r="P3003" s="48" t="str">
        <f t="shared" si="3"/>
        <v/>
      </c>
      <c r="Q3003" s="84"/>
      <c r="R3003" s="84"/>
      <c r="S3003" s="84"/>
      <c r="T3003" s="84"/>
      <c r="U3003" s="84"/>
      <c r="V3003" s="84"/>
      <c r="W3003" s="84"/>
      <c r="X3003" s="84"/>
      <c r="Y3003" s="84"/>
      <c r="Z3003" s="84"/>
      <c r="AA3003" s="84"/>
      <c r="AB3003" s="84"/>
    </row>
    <row r="3004">
      <c r="A3004" s="63">
        <v>200.0</v>
      </c>
      <c r="B3004" s="63">
        <v>327.0</v>
      </c>
      <c r="C3004" s="64" t="s">
        <v>647</v>
      </c>
      <c r="D3004" s="64" t="s">
        <v>648</v>
      </c>
      <c r="E3004" s="64" t="s">
        <v>649</v>
      </c>
      <c r="F3004" s="63">
        <v>2500.0</v>
      </c>
      <c r="G3004" s="63">
        <v>8.85</v>
      </c>
      <c r="H3004" s="66">
        <f t="shared" si="1"/>
        <v>30.89</v>
      </c>
      <c r="I3004" s="81">
        <f>IFERROR(__xludf.DUMMYFUNCTION("IF(G3004="""", """", ROUND(G3004 / MAX(FILTER($G$2:$G5067, $D$2:$D5067=$D3004)) * 100, 2))"),70.8)</f>
        <v>70.8</v>
      </c>
      <c r="J3004" s="81">
        <f>IFERROR(__xludf.DUMMYFUNCTION("IF(H3004="""", """", ROUND(H3004 / MAX(FILTER($H$2:$H5067, $D$2:$D5067=$D3004)) * 100, 2))"),26.03)</f>
        <v>26.03</v>
      </c>
      <c r="K3004" s="2"/>
      <c r="L3004" s="49"/>
      <c r="M3004" s="49"/>
      <c r="N3004" s="49"/>
      <c r="O3004" s="49" t="str">
        <f t="shared" si="2"/>
        <v/>
      </c>
      <c r="P3004" s="49" t="str">
        <f t="shared" si="3"/>
        <v/>
      </c>
      <c r="Q3004" s="84"/>
      <c r="R3004" s="84"/>
      <c r="S3004" s="84"/>
      <c r="T3004" s="84"/>
      <c r="U3004" s="84"/>
      <c r="V3004" s="84"/>
      <c r="W3004" s="84"/>
      <c r="X3004" s="84"/>
      <c r="Y3004" s="84"/>
      <c r="Z3004" s="84"/>
      <c r="AA3004" s="84"/>
      <c r="AB3004" s="84"/>
    </row>
    <row r="3005">
      <c r="A3005" s="69">
        <v>200.0</v>
      </c>
      <c r="B3005" s="69">
        <v>327.0</v>
      </c>
      <c r="C3005" s="86" t="s">
        <v>647</v>
      </c>
      <c r="D3005" s="86" t="s">
        <v>648</v>
      </c>
      <c r="E3005" s="86" t="s">
        <v>649</v>
      </c>
      <c r="F3005" s="69">
        <v>3000.0</v>
      </c>
      <c r="G3005" s="69">
        <v>9.3</v>
      </c>
      <c r="H3005" s="68">
        <f t="shared" si="1"/>
        <v>38.96</v>
      </c>
      <c r="I3005" s="81">
        <f>IFERROR(__xludf.DUMMYFUNCTION("IF(G3005="""", """", ROUND(G3005 / MAX(FILTER($G$2:$G5067, $D$2:$D5067=$D3005)) * 100, 2))"),74.4)</f>
        <v>74.4</v>
      </c>
      <c r="J3005" s="81">
        <f>IFERROR(__xludf.DUMMYFUNCTION("IF(H3005="""", """", ROUND(H3005 / MAX(FILTER($H$2:$H5067, $D$2:$D5067=$D3005)) * 100, 2))"),32.83)</f>
        <v>32.83</v>
      </c>
      <c r="K3005" s="2"/>
      <c r="L3005" s="48"/>
      <c r="M3005" s="48"/>
      <c r="N3005" s="48"/>
      <c r="O3005" s="48" t="str">
        <f t="shared" si="2"/>
        <v/>
      </c>
      <c r="P3005" s="48" t="str">
        <f t="shared" si="3"/>
        <v/>
      </c>
      <c r="Q3005" s="84"/>
      <c r="R3005" s="84"/>
      <c r="S3005" s="84"/>
      <c r="T3005" s="84"/>
      <c r="U3005" s="84"/>
      <c r="V3005" s="84"/>
      <c r="W3005" s="84"/>
      <c r="X3005" s="84"/>
      <c r="Y3005" s="84"/>
      <c r="Z3005" s="84"/>
      <c r="AA3005" s="84"/>
      <c r="AB3005" s="84"/>
    </row>
    <row r="3006">
      <c r="A3006" s="63">
        <v>200.0</v>
      </c>
      <c r="B3006" s="63">
        <v>327.0</v>
      </c>
      <c r="C3006" s="64" t="s">
        <v>647</v>
      </c>
      <c r="D3006" s="64" t="s">
        <v>648</v>
      </c>
      <c r="E3006" s="64" t="s">
        <v>649</v>
      </c>
      <c r="F3006" s="63">
        <v>3500.0</v>
      </c>
      <c r="G3006" s="63">
        <v>9.95</v>
      </c>
      <c r="H3006" s="66">
        <f t="shared" si="1"/>
        <v>48.62</v>
      </c>
      <c r="I3006" s="81">
        <f>IFERROR(__xludf.DUMMYFUNCTION("IF(G3006="""", """", ROUND(G3006 / MAX(FILTER($G$2:$G5067, $D$2:$D5067=$D3006)) * 100, 2))"),79.6)</f>
        <v>79.6</v>
      </c>
      <c r="J3006" s="81">
        <f>IFERROR(__xludf.DUMMYFUNCTION("IF(H3006="""", """", ROUND(H3006 / MAX(FILTER($H$2:$H5067, $D$2:$D5067=$D3006)) * 100, 2))"),40.97)</f>
        <v>40.97</v>
      </c>
      <c r="K3006" s="2"/>
      <c r="L3006" s="49"/>
      <c r="M3006" s="49"/>
      <c r="N3006" s="49"/>
      <c r="O3006" s="49" t="str">
        <f t="shared" si="2"/>
        <v/>
      </c>
      <c r="P3006" s="49" t="str">
        <f t="shared" si="3"/>
        <v/>
      </c>
      <c r="Q3006" s="84"/>
      <c r="R3006" s="84"/>
      <c r="S3006" s="84"/>
      <c r="T3006" s="84"/>
      <c r="U3006" s="84"/>
      <c r="V3006" s="84"/>
      <c r="W3006" s="84"/>
      <c r="X3006" s="84"/>
      <c r="Y3006" s="84"/>
      <c r="Z3006" s="84"/>
      <c r="AA3006" s="84"/>
      <c r="AB3006" s="84"/>
    </row>
    <row r="3007">
      <c r="A3007" s="69">
        <v>200.0</v>
      </c>
      <c r="B3007" s="69">
        <v>327.0</v>
      </c>
      <c r="C3007" s="86" t="s">
        <v>647</v>
      </c>
      <c r="D3007" s="86" t="s">
        <v>648</v>
      </c>
      <c r="E3007" s="86" t="s">
        <v>649</v>
      </c>
      <c r="F3007" s="69">
        <v>4000.0</v>
      </c>
      <c r="G3007" s="69">
        <v>10.8</v>
      </c>
      <c r="H3007" s="68">
        <f t="shared" si="1"/>
        <v>60.32</v>
      </c>
      <c r="I3007" s="81">
        <f>IFERROR(__xludf.DUMMYFUNCTION("IF(G3007="""", """", ROUND(G3007 / MAX(FILTER($G$2:$G5067, $D$2:$D5067=$D3007)) * 100, 2))"),86.4)</f>
        <v>86.4</v>
      </c>
      <c r="J3007" s="81">
        <f>IFERROR(__xludf.DUMMYFUNCTION("IF(H3007="""", """", ROUND(H3007 / MAX(FILTER($H$2:$H5067, $D$2:$D5067=$D3007)) * 100, 2))"),50.83)</f>
        <v>50.83</v>
      </c>
      <c r="K3007" s="2"/>
      <c r="L3007" s="48"/>
      <c r="M3007" s="48"/>
      <c r="N3007" s="48"/>
      <c r="O3007" s="48" t="str">
        <f t="shared" si="2"/>
        <v/>
      </c>
      <c r="P3007" s="48" t="str">
        <f t="shared" si="3"/>
        <v/>
      </c>
      <c r="Q3007" s="84"/>
      <c r="R3007" s="84"/>
      <c r="S3007" s="84"/>
      <c r="T3007" s="84"/>
      <c r="U3007" s="84"/>
      <c r="V3007" s="84"/>
      <c r="W3007" s="84"/>
      <c r="X3007" s="84"/>
      <c r="Y3007" s="84"/>
      <c r="Z3007" s="84"/>
      <c r="AA3007" s="84"/>
      <c r="AB3007" s="84"/>
    </row>
    <row r="3008">
      <c r="A3008" s="63">
        <v>200.0</v>
      </c>
      <c r="B3008" s="63">
        <v>327.0</v>
      </c>
      <c r="C3008" s="64" t="s">
        <v>647</v>
      </c>
      <c r="D3008" s="64" t="s">
        <v>648</v>
      </c>
      <c r="E3008" s="64" t="s">
        <v>649</v>
      </c>
      <c r="F3008" s="63">
        <v>4500.0</v>
      </c>
      <c r="G3008" s="63">
        <v>11.45</v>
      </c>
      <c r="H3008" s="66">
        <f t="shared" si="1"/>
        <v>71.94</v>
      </c>
      <c r="I3008" s="81">
        <f>IFERROR(__xludf.DUMMYFUNCTION("IF(G3008="""", """", ROUND(G3008 / MAX(FILTER($G$2:$G5067, $D$2:$D5067=$D3008)) * 100, 2))"),91.6)</f>
        <v>91.6</v>
      </c>
      <c r="J3008" s="81">
        <f>IFERROR(__xludf.DUMMYFUNCTION("IF(H3008="""", """", ROUND(H3008 / MAX(FILTER($H$2:$H5067, $D$2:$D5067=$D3008)) * 100, 2))"),60.62)</f>
        <v>60.62</v>
      </c>
      <c r="K3008" s="2"/>
      <c r="L3008" s="49"/>
      <c r="M3008" s="49"/>
      <c r="N3008" s="49"/>
      <c r="O3008" s="49" t="str">
        <f t="shared" si="2"/>
        <v/>
      </c>
      <c r="P3008" s="49" t="str">
        <f t="shared" si="3"/>
        <v/>
      </c>
      <c r="Q3008" s="84"/>
      <c r="R3008" s="84"/>
      <c r="S3008" s="84"/>
      <c r="T3008" s="84"/>
      <c r="U3008" s="84"/>
      <c r="V3008" s="84"/>
      <c r="W3008" s="84"/>
      <c r="X3008" s="84"/>
      <c r="Y3008" s="84"/>
      <c r="Z3008" s="84"/>
      <c r="AA3008" s="84"/>
      <c r="AB3008" s="84"/>
    </row>
    <row r="3009">
      <c r="A3009" s="69">
        <v>200.0</v>
      </c>
      <c r="B3009" s="69">
        <v>327.0</v>
      </c>
      <c r="C3009" s="86" t="s">
        <v>647</v>
      </c>
      <c r="D3009" s="86" t="s">
        <v>648</v>
      </c>
      <c r="E3009" s="86" t="s">
        <v>649</v>
      </c>
      <c r="F3009" s="69">
        <v>5000.0</v>
      </c>
      <c r="G3009" s="69">
        <v>11.85</v>
      </c>
      <c r="H3009" s="68">
        <f t="shared" si="1"/>
        <v>82.73</v>
      </c>
      <c r="I3009" s="81">
        <f>IFERROR(__xludf.DUMMYFUNCTION("IF(G3009="""", """", ROUND(G3009 / MAX(FILTER($G$2:$G5067, $D$2:$D5067=$D3009)) * 100, 2))"),94.8)</f>
        <v>94.8</v>
      </c>
      <c r="J3009" s="81">
        <f>IFERROR(__xludf.DUMMYFUNCTION("IF(H3009="""", """", ROUND(H3009 / MAX(FILTER($H$2:$H5067, $D$2:$D5067=$D3009)) * 100, 2))"),69.71)</f>
        <v>69.71</v>
      </c>
      <c r="K3009" s="2"/>
      <c r="L3009" s="48"/>
      <c r="M3009" s="48"/>
      <c r="N3009" s="48"/>
      <c r="O3009" s="48" t="str">
        <f t="shared" si="2"/>
        <v/>
      </c>
      <c r="P3009" s="48" t="str">
        <f t="shared" si="3"/>
        <v/>
      </c>
      <c r="Q3009" s="84"/>
      <c r="R3009" s="84"/>
      <c r="S3009" s="84"/>
      <c r="T3009" s="84"/>
      <c r="U3009" s="84"/>
      <c r="V3009" s="84"/>
      <c r="W3009" s="84"/>
      <c r="X3009" s="84"/>
      <c r="Y3009" s="84"/>
      <c r="Z3009" s="84"/>
      <c r="AA3009" s="84"/>
      <c r="AB3009" s="84"/>
    </row>
    <row r="3010">
      <c r="A3010" s="63">
        <v>200.0</v>
      </c>
      <c r="B3010" s="63">
        <v>327.0</v>
      </c>
      <c r="C3010" s="64" t="s">
        <v>647</v>
      </c>
      <c r="D3010" s="64" t="s">
        <v>648</v>
      </c>
      <c r="E3010" s="64" t="s">
        <v>649</v>
      </c>
      <c r="F3010" s="63">
        <v>5500.0</v>
      </c>
      <c r="G3010" s="63">
        <v>12.2</v>
      </c>
      <c r="H3010" s="66">
        <f t="shared" si="1"/>
        <v>93.69</v>
      </c>
      <c r="I3010" s="81">
        <f>IFERROR(__xludf.DUMMYFUNCTION("IF(G3010="""", """", ROUND(G3010 / MAX(FILTER($G$2:$G5067, $D$2:$D5067=$D3010)) * 100, 2))"),97.6)</f>
        <v>97.6</v>
      </c>
      <c r="J3010" s="81">
        <f>IFERROR(__xludf.DUMMYFUNCTION("IF(H3010="""", """", ROUND(H3010 / MAX(FILTER($H$2:$H5067, $D$2:$D5067=$D3010)) * 100, 2))"),78.94)</f>
        <v>78.94</v>
      </c>
      <c r="K3010" s="2"/>
      <c r="L3010" s="49"/>
      <c r="M3010" s="49"/>
      <c r="N3010" s="49"/>
      <c r="O3010" s="49" t="str">
        <f t="shared" si="2"/>
        <v/>
      </c>
      <c r="P3010" s="49" t="str">
        <f t="shared" si="3"/>
        <v/>
      </c>
      <c r="Q3010" s="84"/>
      <c r="R3010" s="84"/>
      <c r="S3010" s="84"/>
      <c r="T3010" s="84"/>
      <c r="U3010" s="84"/>
      <c r="V3010" s="84"/>
      <c r="W3010" s="84"/>
      <c r="X3010" s="84"/>
      <c r="Y3010" s="84"/>
      <c r="Z3010" s="84"/>
      <c r="AA3010" s="84"/>
      <c r="AB3010" s="84"/>
    </row>
    <row r="3011">
      <c r="A3011" s="69">
        <v>200.0</v>
      </c>
      <c r="B3011" s="69">
        <v>327.0</v>
      </c>
      <c r="C3011" s="86" t="s">
        <v>647</v>
      </c>
      <c r="D3011" s="86" t="s">
        <v>648</v>
      </c>
      <c r="E3011" s="86" t="s">
        <v>649</v>
      </c>
      <c r="F3011" s="69">
        <v>6000.0</v>
      </c>
      <c r="G3011" s="69">
        <v>12.4</v>
      </c>
      <c r="H3011" s="68">
        <f t="shared" si="1"/>
        <v>103.88</v>
      </c>
      <c r="I3011" s="81">
        <f>IFERROR(__xludf.DUMMYFUNCTION("IF(G3011="""", """", ROUND(G3011 / MAX(FILTER($G$2:$G5067, $D$2:$D5067=$D3011)) * 100, 2))"),99.2)</f>
        <v>99.2</v>
      </c>
      <c r="J3011" s="81">
        <f>IFERROR(__xludf.DUMMYFUNCTION("IF(H3011="""", """", ROUND(H3011 / MAX(FILTER($H$2:$H5067, $D$2:$D5067=$D3011)) * 100, 2))"),87.53)</f>
        <v>87.53</v>
      </c>
      <c r="K3011" s="2"/>
      <c r="L3011" s="48"/>
      <c r="M3011" s="48"/>
      <c r="N3011" s="48"/>
      <c r="O3011" s="48" t="str">
        <f t="shared" si="2"/>
        <v/>
      </c>
      <c r="P3011" s="48" t="str">
        <f t="shared" si="3"/>
        <v/>
      </c>
      <c r="Q3011" s="84"/>
      <c r="R3011" s="84"/>
      <c r="S3011" s="84"/>
      <c r="T3011" s="84"/>
      <c r="U3011" s="84"/>
      <c r="V3011" s="84"/>
      <c r="W3011" s="84"/>
      <c r="X3011" s="84"/>
      <c r="Y3011" s="84"/>
      <c r="Z3011" s="84"/>
      <c r="AA3011" s="84"/>
      <c r="AB3011" s="84"/>
    </row>
    <row r="3012">
      <c r="A3012" s="63">
        <v>200.0</v>
      </c>
      <c r="B3012" s="63">
        <v>327.0</v>
      </c>
      <c r="C3012" s="64" t="s">
        <v>647</v>
      </c>
      <c r="D3012" s="64" t="s">
        <v>648</v>
      </c>
      <c r="E3012" s="64" t="s">
        <v>649</v>
      </c>
      <c r="F3012" s="63">
        <v>6800.0</v>
      </c>
      <c r="G3012" s="63">
        <v>12.5</v>
      </c>
      <c r="H3012" s="66">
        <f t="shared" si="1"/>
        <v>118.68</v>
      </c>
      <c r="I3012" s="81">
        <f>IFERROR(__xludf.DUMMYFUNCTION("IF(G3012="""", """", ROUND(G3012 / MAX(FILTER($G$2:$G5067, $D$2:$D5067=$D3012)) * 100, 2))"),100.0)</f>
        <v>100</v>
      </c>
      <c r="J3012" s="81">
        <f>IFERROR(__xludf.DUMMYFUNCTION("IF(H3012="""", """", ROUND(H3012 / MAX(FILTER($H$2:$H5067, $D$2:$D5067=$D3012)) * 100, 2))"),100.0)</f>
        <v>100</v>
      </c>
      <c r="K3012" s="2"/>
      <c r="L3012" s="49"/>
      <c r="M3012" s="49"/>
      <c r="N3012" s="49"/>
      <c r="O3012" s="49" t="str">
        <f t="shared" si="2"/>
        <v/>
      </c>
      <c r="P3012" s="49" t="str">
        <f t="shared" si="3"/>
        <v/>
      </c>
      <c r="Q3012" s="84"/>
      <c r="R3012" s="84"/>
      <c r="S3012" s="84"/>
      <c r="T3012" s="84"/>
      <c r="U3012" s="84"/>
      <c r="V3012" s="84"/>
      <c r="W3012" s="84"/>
      <c r="X3012" s="84"/>
      <c r="Y3012" s="84"/>
      <c r="Z3012" s="84"/>
      <c r="AA3012" s="84"/>
      <c r="AB3012" s="84"/>
    </row>
    <row r="3013">
      <c r="A3013" s="69">
        <v>200.0</v>
      </c>
      <c r="B3013" s="69">
        <v>327.0</v>
      </c>
      <c r="C3013" s="86" t="s">
        <v>647</v>
      </c>
      <c r="D3013" s="86" t="s">
        <v>648</v>
      </c>
      <c r="E3013" s="86" t="s">
        <v>649</v>
      </c>
      <c r="F3013" s="69">
        <v>7000.0</v>
      </c>
      <c r="G3013" s="69">
        <v>12.1</v>
      </c>
      <c r="H3013" s="68">
        <f t="shared" si="1"/>
        <v>118.26</v>
      </c>
      <c r="I3013" s="81">
        <f>IFERROR(__xludf.DUMMYFUNCTION("IF(G3013="""", """", ROUND(G3013 / MAX(FILTER($G$2:$G5067, $D$2:$D5067=$D3013)) * 100, 2))"),96.8)</f>
        <v>96.8</v>
      </c>
      <c r="J3013" s="81">
        <f>IFERROR(__xludf.DUMMYFUNCTION("IF(H3013="""", """", ROUND(H3013 / MAX(FILTER($H$2:$H5067, $D$2:$D5067=$D3013)) * 100, 2))"),99.65)</f>
        <v>99.65</v>
      </c>
      <c r="K3013" s="2"/>
      <c r="L3013" s="48"/>
      <c r="M3013" s="48"/>
      <c r="N3013" s="48"/>
      <c r="O3013" s="48" t="str">
        <f t="shared" si="2"/>
        <v/>
      </c>
      <c r="P3013" s="48" t="str">
        <f t="shared" si="3"/>
        <v/>
      </c>
      <c r="Q3013" s="84"/>
      <c r="R3013" s="84"/>
      <c r="S3013" s="84"/>
      <c r="T3013" s="84"/>
      <c r="U3013" s="84"/>
      <c r="V3013" s="84"/>
      <c r="W3013" s="84"/>
      <c r="X3013" s="84"/>
      <c r="Y3013" s="84"/>
      <c r="Z3013" s="84"/>
      <c r="AA3013" s="84"/>
      <c r="AB3013" s="84"/>
    </row>
    <row r="3014">
      <c r="A3014" s="63">
        <v>200.0</v>
      </c>
      <c r="B3014" s="63">
        <v>327.0</v>
      </c>
      <c r="C3014" s="64" t="s">
        <v>647</v>
      </c>
      <c r="D3014" s="64" t="s">
        <v>648</v>
      </c>
      <c r="E3014" s="64" t="s">
        <v>649</v>
      </c>
      <c r="F3014" s="63">
        <v>7500.0</v>
      </c>
      <c r="G3014" s="63">
        <v>11.15</v>
      </c>
      <c r="H3014" s="66">
        <f t="shared" si="1"/>
        <v>116.76</v>
      </c>
      <c r="I3014" s="81">
        <f>IFERROR(__xludf.DUMMYFUNCTION("IF(G3014="""", """", ROUND(G3014 / MAX(FILTER($G$2:$G5067, $D$2:$D5067=$D3014)) * 100, 2))"),89.2)</f>
        <v>89.2</v>
      </c>
      <c r="J3014" s="81">
        <f>IFERROR(__xludf.DUMMYFUNCTION("IF(H3014="""", """", ROUND(H3014 / MAX(FILTER($H$2:$H5067, $D$2:$D5067=$D3014)) * 100, 2))"),98.38)</f>
        <v>98.38</v>
      </c>
      <c r="K3014" s="2"/>
      <c r="L3014" s="49"/>
      <c r="M3014" s="49"/>
      <c r="N3014" s="49"/>
      <c r="O3014" s="49" t="str">
        <f t="shared" si="2"/>
        <v/>
      </c>
      <c r="P3014" s="49" t="str">
        <f t="shared" si="3"/>
        <v/>
      </c>
      <c r="Q3014" s="84"/>
      <c r="R3014" s="84"/>
      <c r="S3014" s="84"/>
      <c r="T3014" s="84"/>
      <c r="U3014" s="84"/>
      <c r="V3014" s="84"/>
      <c r="W3014" s="84"/>
      <c r="X3014" s="84"/>
      <c r="Y3014" s="84"/>
      <c r="Z3014" s="84"/>
      <c r="AA3014" s="84"/>
      <c r="AB3014" s="84"/>
    </row>
    <row r="3015">
      <c r="A3015" s="69">
        <v>200.0</v>
      </c>
      <c r="B3015" s="69">
        <v>327.0</v>
      </c>
      <c r="C3015" s="86" t="s">
        <v>647</v>
      </c>
      <c r="D3015" s="86" t="s">
        <v>648</v>
      </c>
      <c r="E3015" s="86" t="s">
        <v>649</v>
      </c>
      <c r="F3015" s="69">
        <v>8000.0</v>
      </c>
      <c r="G3015" s="69">
        <v>10.1</v>
      </c>
      <c r="H3015" s="68">
        <f t="shared" si="1"/>
        <v>112.82</v>
      </c>
      <c r="I3015" s="81">
        <f>IFERROR(__xludf.DUMMYFUNCTION("IF(G3015="""", """", ROUND(G3015 / MAX(FILTER($G$2:$G5067, $D$2:$D5067=$D3015)) * 100, 2))"),80.8)</f>
        <v>80.8</v>
      </c>
      <c r="J3015" s="81">
        <f>IFERROR(__xludf.DUMMYFUNCTION("IF(H3015="""", """", ROUND(H3015 / MAX(FILTER($H$2:$H5067, $D$2:$D5067=$D3015)) * 100, 2))"),95.06)</f>
        <v>95.06</v>
      </c>
      <c r="K3015" s="2"/>
      <c r="L3015" s="48"/>
      <c r="M3015" s="48"/>
      <c r="N3015" s="48"/>
      <c r="O3015" s="48" t="str">
        <f t="shared" si="2"/>
        <v/>
      </c>
      <c r="P3015" s="48" t="str">
        <f t="shared" si="3"/>
        <v/>
      </c>
      <c r="Q3015" s="84"/>
      <c r="R3015" s="84"/>
      <c r="S3015" s="84"/>
      <c r="T3015" s="84"/>
      <c r="U3015" s="84"/>
      <c r="V3015" s="84"/>
      <c r="W3015" s="84"/>
      <c r="X3015" s="84"/>
      <c r="Y3015" s="84"/>
      <c r="Z3015" s="84"/>
      <c r="AA3015" s="84"/>
      <c r="AB3015" s="84"/>
    </row>
    <row r="3016">
      <c r="A3016" s="63">
        <v>200.0</v>
      </c>
      <c r="B3016" s="63">
        <v>327.0</v>
      </c>
      <c r="C3016" s="64" t="s">
        <v>647</v>
      </c>
      <c r="D3016" s="64" t="s">
        <v>648</v>
      </c>
      <c r="E3016" s="64" t="s">
        <v>649</v>
      </c>
      <c r="F3016" s="63">
        <v>8200.0</v>
      </c>
      <c r="G3016" s="63">
        <v>9.5</v>
      </c>
      <c r="H3016" s="66">
        <f t="shared" si="1"/>
        <v>108.77</v>
      </c>
      <c r="I3016" s="81">
        <f>IFERROR(__xludf.DUMMYFUNCTION("IF(G3016="""", """", ROUND(G3016 / MAX(FILTER($G$2:$G5067, $D$2:$D5067=$D3016)) * 100, 2))"),76.0)</f>
        <v>76</v>
      </c>
      <c r="J3016" s="81">
        <f>IFERROR(__xludf.DUMMYFUNCTION("IF(H3016="""", """", ROUND(H3016 / MAX(FILTER($H$2:$H5067, $D$2:$D5067=$D3016)) * 100, 2))"),91.65)</f>
        <v>91.65</v>
      </c>
      <c r="K3016" s="2"/>
      <c r="L3016" s="49"/>
      <c r="M3016" s="49"/>
      <c r="N3016" s="49"/>
      <c r="O3016" s="49" t="str">
        <f t="shared" si="2"/>
        <v/>
      </c>
      <c r="P3016" s="49" t="str">
        <f t="shared" si="3"/>
        <v/>
      </c>
      <c r="Q3016" s="84"/>
      <c r="R3016" s="84"/>
      <c r="S3016" s="84"/>
      <c r="T3016" s="84"/>
      <c r="U3016" s="84"/>
      <c r="V3016" s="84"/>
      <c r="W3016" s="84"/>
      <c r="X3016" s="84"/>
      <c r="Y3016" s="84"/>
      <c r="Z3016" s="84"/>
      <c r="AA3016" s="84"/>
      <c r="AB3016" s="84"/>
    </row>
    <row r="3017">
      <c r="A3017" s="69">
        <v>200.0</v>
      </c>
      <c r="B3017" s="69">
        <v>327.0</v>
      </c>
      <c r="C3017" s="86" t="s">
        <v>647</v>
      </c>
      <c r="D3017" s="86" t="s">
        <v>648</v>
      </c>
      <c r="E3017" s="86" t="s">
        <v>649</v>
      </c>
      <c r="F3017" s="69">
        <v>9000.0</v>
      </c>
      <c r="G3017" s="69">
        <v>6.95</v>
      </c>
      <c r="H3017" s="68">
        <f t="shared" si="1"/>
        <v>87.34</v>
      </c>
      <c r="I3017" s="81">
        <f>IFERROR(__xludf.DUMMYFUNCTION("IF(G3017="""", """", ROUND(G3017 / MAX(FILTER($G$2:$G5067, $D$2:$D5067=$D3017)) * 100, 2))"),55.6)</f>
        <v>55.6</v>
      </c>
      <c r="J3017" s="81">
        <f>IFERROR(__xludf.DUMMYFUNCTION("IF(H3017="""", """", ROUND(H3017 / MAX(FILTER($H$2:$H5067, $D$2:$D5067=$D3017)) * 100, 2))"),73.59)</f>
        <v>73.59</v>
      </c>
      <c r="K3017" s="2"/>
      <c r="L3017" s="48"/>
      <c r="M3017" s="48"/>
      <c r="N3017" s="48"/>
      <c r="O3017" s="48" t="str">
        <f t="shared" si="2"/>
        <v/>
      </c>
      <c r="P3017" s="48" t="str">
        <f t="shared" si="3"/>
        <v/>
      </c>
      <c r="Q3017" s="84"/>
      <c r="R3017" s="84"/>
      <c r="S3017" s="84"/>
      <c r="T3017" s="84"/>
      <c r="U3017" s="84"/>
      <c r="V3017" s="84"/>
      <c r="W3017" s="84"/>
      <c r="X3017" s="84"/>
      <c r="Y3017" s="84"/>
      <c r="Z3017" s="84"/>
      <c r="AA3017" s="84"/>
      <c r="AB3017" s="84"/>
    </row>
    <row r="3018">
      <c r="A3018" s="63">
        <v>201.0</v>
      </c>
      <c r="B3018" s="63">
        <v>330.0</v>
      </c>
      <c r="C3018" s="64" t="s">
        <v>650</v>
      </c>
      <c r="D3018" s="64" t="s">
        <v>651</v>
      </c>
      <c r="E3018" s="64" t="s">
        <v>652</v>
      </c>
      <c r="F3018" s="63">
        <v>500.0</v>
      </c>
      <c r="G3018" s="63">
        <v>25.0</v>
      </c>
      <c r="H3018" s="66">
        <f t="shared" si="1"/>
        <v>17.45</v>
      </c>
      <c r="I3018" s="81">
        <f>IFERROR(__xludf.DUMMYFUNCTION("IF(G3018="""", """", ROUND(G3018 / MAX(FILTER($G$2:$G5067, $D$2:$D5067=$D3018)) * 100, 2))"),69.44)</f>
        <v>69.44</v>
      </c>
      <c r="J3018" s="81">
        <f>IFERROR(__xludf.DUMMYFUNCTION("IF(H3018="""", """", ROUND(H3018 / MAX(FILTER($H$2:$H5067, $D$2:$D5067=$D3018)) * 100, 2))"),6.49)</f>
        <v>6.49</v>
      </c>
      <c r="K3018" s="2"/>
      <c r="L3018" s="49"/>
      <c r="M3018" s="49"/>
      <c r="N3018" s="49"/>
      <c r="O3018" s="49" t="str">
        <f t="shared" si="2"/>
        <v/>
      </c>
      <c r="P3018" s="49" t="str">
        <f t="shared" si="3"/>
        <v/>
      </c>
      <c r="Q3018" s="84"/>
      <c r="R3018" s="84"/>
      <c r="S3018" s="84"/>
      <c r="T3018" s="84"/>
      <c r="U3018" s="84"/>
      <c r="V3018" s="84"/>
      <c r="W3018" s="84"/>
      <c r="X3018" s="84"/>
      <c r="Y3018" s="84"/>
      <c r="Z3018" s="84"/>
      <c r="AA3018" s="84"/>
      <c r="AB3018" s="84"/>
    </row>
    <row r="3019">
      <c r="A3019" s="69">
        <v>201.0</v>
      </c>
      <c r="B3019" s="69">
        <v>330.0</v>
      </c>
      <c r="C3019" s="86" t="s">
        <v>650</v>
      </c>
      <c r="D3019" s="86" t="s">
        <v>651</v>
      </c>
      <c r="E3019" s="86" t="s">
        <v>652</v>
      </c>
      <c r="F3019" s="69">
        <v>1000.0</v>
      </c>
      <c r="G3019" s="69">
        <v>27.6</v>
      </c>
      <c r="H3019" s="68">
        <f t="shared" si="1"/>
        <v>38.54</v>
      </c>
      <c r="I3019" s="81">
        <f>IFERROR(__xludf.DUMMYFUNCTION("IF(G3019="""", """", ROUND(G3019 / MAX(FILTER($G$2:$G5067, $D$2:$D5067=$D3019)) * 100, 2))"),76.67)</f>
        <v>76.67</v>
      </c>
      <c r="J3019" s="81">
        <f>IFERROR(__xludf.DUMMYFUNCTION("IF(H3019="""", """", ROUND(H3019 / MAX(FILTER($H$2:$H5067, $D$2:$D5067=$D3019)) * 100, 2))"),14.34)</f>
        <v>14.34</v>
      </c>
      <c r="K3019" s="2"/>
      <c r="L3019" s="48"/>
      <c r="M3019" s="48"/>
      <c r="N3019" s="48"/>
      <c r="O3019" s="48" t="str">
        <f t="shared" si="2"/>
        <v/>
      </c>
      <c r="P3019" s="48" t="str">
        <f t="shared" si="3"/>
        <v/>
      </c>
      <c r="Q3019" s="84"/>
      <c r="R3019" s="84"/>
      <c r="S3019" s="84"/>
      <c r="T3019" s="84"/>
      <c r="U3019" s="84"/>
      <c r="V3019" s="84"/>
      <c r="W3019" s="84"/>
      <c r="X3019" s="84"/>
      <c r="Y3019" s="84"/>
      <c r="Z3019" s="84"/>
      <c r="AA3019" s="84"/>
      <c r="AB3019" s="84"/>
    </row>
    <row r="3020">
      <c r="A3020" s="63">
        <v>201.0</v>
      </c>
      <c r="B3020" s="63">
        <v>330.0</v>
      </c>
      <c r="C3020" s="64" t="s">
        <v>650</v>
      </c>
      <c r="D3020" s="64" t="s">
        <v>651</v>
      </c>
      <c r="E3020" s="64" t="s">
        <v>652</v>
      </c>
      <c r="F3020" s="63">
        <v>1500.0</v>
      </c>
      <c r="G3020" s="63">
        <v>30.0</v>
      </c>
      <c r="H3020" s="66">
        <f t="shared" si="1"/>
        <v>62.83</v>
      </c>
      <c r="I3020" s="81">
        <f>IFERROR(__xludf.DUMMYFUNCTION("IF(G3020="""", """", ROUND(G3020 / MAX(FILTER($G$2:$G5067, $D$2:$D5067=$D3020)) * 100, 2))"),83.33)</f>
        <v>83.33</v>
      </c>
      <c r="J3020" s="81">
        <f>IFERROR(__xludf.DUMMYFUNCTION("IF(H3020="""", """", ROUND(H3020 / MAX(FILTER($H$2:$H5067, $D$2:$D5067=$D3020)) * 100, 2))"),23.38)</f>
        <v>23.38</v>
      </c>
      <c r="K3020" s="2"/>
      <c r="L3020" s="49"/>
      <c r="M3020" s="49"/>
      <c r="N3020" s="49"/>
      <c r="O3020" s="49" t="str">
        <f t="shared" si="2"/>
        <v/>
      </c>
      <c r="P3020" s="49" t="str">
        <f t="shared" si="3"/>
        <v/>
      </c>
      <c r="Q3020" s="84"/>
      <c r="R3020" s="84"/>
      <c r="S3020" s="84"/>
      <c r="T3020" s="84"/>
      <c r="U3020" s="84"/>
      <c r="V3020" s="84"/>
      <c r="W3020" s="84"/>
      <c r="X3020" s="84"/>
      <c r="Y3020" s="84"/>
      <c r="Z3020" s="84"/>
      <c r="AA3020" s="84"/>
      <c r="AB3020" s="84"/>
    </row>
    <row r="3021">
      <c r="A3021" s="69">
        <v>201.0</v>
      </c>
      <c r="B3021" s="69">
        <v>330.0</v>
      </c>
      <c r="C3021" s="86" t="s">
        <v>650</v>
      </c>
      <c r="D3021" s="86" t="s">
        <v>651</v>
      </c>
      <c r="E3021" s="86" t="s">
        <v>652</v>
      </c>
      <c r="F3021" s="69">
        <v>2000.0</v>
      </c>
      <c r="G3021" s="69">
        <v>32.1</v>
      </c>
      <c r="H3021" s="68">
        <f t="shared" si="1"/>
        <v>89.64</v>
      </c>
      <c r="I3021" s="81">
        <f>IFERROR(__xludf.DUMMYFUNCTION("IF(G3021="""", """", ROUND(G3021 / MAX(FILTER($G$2:$G5067, $D$2:$D5067=$D3021)) * 100, 2))"),89.17)</f>
        <v>89.17</v>
      </c>
      <c r="J3021" s="81">
        <f>IFERROR(__xludf.DUMMYFUNCTION("IF(H3021="""", """", ROUND(H3021 / MAX(FILTER($H$2:$H5067, $D$2:$D5067=$D3021)) * 100, 2))"),33.35)</f>
        <v>33.35</v>
      </c>
      <c r="K3021" s="2"/>
      <c r="L3021" s="48"/>
      <c r="M3021" s="48"/>
      <c r="N3021" s="48"/>
      <c r="O3021" s="48" t="str">
        <f t="shared" si="2"/>
        <v/>
      </c>
      <c r="P3021" s="48" t="str">
        <f t="shared" si="3"/>
        <v/>
      </c>
      <c r="Q3021" s="84"/>
      <c r="R3021" s="84"/>
      <c r="S3021" s="84"/>
      <c r="T3021" s="84"/>
      <c r="U3021" s="84"/>
      <c r="V3021" s="84"/>
      <c r="W3021" s="84"/>
      <c r="X3021" s="84"/>
      <c r="Y3021" s="84"/>
      <c r="Z3021" s="84"/>
      <c r="AA3021" s="84"/>
      <c r="AB3021" s="84"/>
    </row>
    <row r="3022">
      <c r="A3022" s="63">
        <v>201.0</v>
      </c>
      <c r="B3022" s="63">
        <v>330.0</v>
      </c>
      <c r="C3022" s="64" t="s">
        <v>650</v>
      </c>
      <c r="D3022" s="64" t="s">
        <v>651</v>
      </c>
      <c r="E3022" s="64" t="s">
        <v>652</v>
      </c>
      <c r="F3022" s="63">
        <v>2500.0</v>
      </c>
      <c r="G3022" s="63">
        <v>33.9</v>
      </c>
      <c r="H3022" s="66">
        <f t="shared" si="1"/>
        <v>118.33</v>
      </c>
      <c r="I3022" s="81">
        <f>IFERROR(__xludf.DUMMYFUNCTION("IF(G3022="""", """", ROUND(G3022 / MAX(FILTER($G$2:$G5067, $D$2:$D5067=$D3022)) * 100, 2))"),94.17)</f>
        <v>94.17</v>
      </c>
      <c r="J3022" s="81">
        <f>IFERROR(__xludf.DUMMYFUNCTION("IF(H3022="""", """", ROUND(H3022 / MAX(FILTER($H$2:$H5067, $D$2:$D5067=$D3022)) * 100, 2))"),44.02)</f>
        <v>44.02</v>
      </c>
      <c r="K3022" s="2"/>
      <c r="L3022" s="49"/>
      <c r="M3022" s="49"/>
      <c r="N3022" s="49"/>
      <c r="O3022" s="49" t="str">
        <f t="shared" si="2"/>
        <v/>
      </c>
      <c r="P3022" s="49" t="str">
        <f t="shared" si="3"/>
        <v/>
      </c>
      <c r="Q3022" s="84"/>
      <c r="R3022" s="84"/>
      <c r="S3022" s="84"/>
      <c r="T3022" s="84"/>
      <c r="U3022" s="84"/>
      <c r="V3022" s="84"/>
      <c r="W3022" s="84"/>
      <c r="X3022" s="84"/>
      <c r="Y3022" s="84"/>
      <c r="Z3022" s="84"/>
      <c r="AA3022" s="84"/>
      <c r="AB3022" s="84"/>
    </row>
    <row r="3023">
      <c r="A3023" s="69">
        <v>201.0</v>
      </c>
      <c r="B3023" s="69">
        <v>330.0</v>
      </c>
      <c r="C3023" s="86" t="s">
        <v>650</v>
      </c>
      <c r="D3023" s="86" t="s">
        <v>651</v>
      </c>
      <c r="E3023" s="86" t="s">
        <v>652</v>
      </c>
      <c r="F3023" s="69">
        <v>3000.0</v>
      </c>
      <c r="G3023" s="69">
        <v>35.3</v>
      </c>
      <c r="H3023" s="68">
        <f t="shared" si="1"/>
        <v>147.86</v>
      </c>
      <c r="I3023" s="81">
        <f>IFERROR(__xludf.DUMMYFUNCTION("IF(G3023="""", """", ROUND(G3023 / MAX(FILTER($G$2:$G5067, $D$2:$D5067=$D3023)) * 100, 2))"),98.06)</f>
        <v>98.06</v>
      </c>
      <c r="J3023" s="81">
        <f>IFERROR(__xludf.DUMMYFUNCTION("IF(H3023="""", """", ROUND(H3023 / MAX(FILTER($H$2:$H5067, $D$2:$D5067=$D3023)) * 100, 2))"),55.01)</f>
        <v>55.01</v>
      </c>
      <c r="K3023" s="2"/>
      <c r="L3023" s="48"/>
      <c r="M3023" s="48"/>
      <c r="N3023" s="48"/>
      <c r="O3023" s="48" t="str">
        <f t="shared" si="2"/>
        <v/>
      </c>
      <c r="P3023" s="48" t="str">
        <f t="shared" si="3"/>
        <v/>
      </c>
      <c r="Q3023" s="84"/>
      <c r="R3023" s="84"/>
      <c r="S3023" s="84"/>
      <c r="T3023" s="84"/>
      <c r="U3023" s="84"/>
      <c r="V3023" s="84"/>
      <c r="W3023" s="84"/>
      <c r="X3023" s="84"/>
      <c r="Y3023" s="84"/>
      <c r="Z3023" s="84"/>
      <c r="AA3023" s="84"/>
      <c r="AB3023" s="84"/>
    </row>
    <row r="3024">
      <c r="A3024" s="63">
        <v>201.0</v>
      </c>
      <c r="B3024" s="63">
        <v>330.0</v>
      </c>
      <c r="C3024" s="64" t="s">
        <v>650</v>
      </c>
      <c r="D3024" s="64" t="s">
        <v>651</v>
      </c>
      <c r="E3024" s="64" t="s">
        <v>652</v>
      </c>
      <c r="F3024" s="63">
        <v>3500.0</v>
      </c>
      <c r="G3024" s="63">
        <v>36.0</v>
      </c>
      <c r="H3024" s="66">
        <f t="shared" si="1"/>
        <v>175.93</v>
      </c>
      <c r="I3024" s="81">
        <f>IFERROR(__xludf.DUMMYFUNCTION("IF(G3024="""", """", ROUND(G3024 / MAX(FILTER($G$2:$G5067, $D$2:$D5067=$D3024)) * 100, 2))"),100.0)</f>
        <v>100</v>
      </c>
      <c r="J3024" s="81">
        <f>IFERROR(__xludf.DUMMYFUNCTION("IF(H3024="""", """", ROUND(H3024 / MAX(FILTER($H$2:$H5067, $D$2:$D5067=$D3024)) * 100, 2))"),65.46)</f>
        <v>65.46</v>
      </c>
      <c r="K3024" s="2"/>
      <c r="L3024" s="49"/>
      <c r="M3024" s="49"/>
      <c r="N3024" s="49"/>
      <c r="O3024" s="49" t="str">
        <f t="shared" si="2"/>
        <v/>
      </c>
      <c r="P3024" s="49" t="str">
        <f t="shared" si="3"/>
        <v/>
      </c>
      <c r="Q3024" s="84"/>
      <c r="R3024" s="84"/>
      <c r="S3024" s="84"/>
      <c r="T3024" s="84"/>
      <c r="U3024" s="84"/>
      <c r="V3024" s="84"/>
      <c r="W3024" s="84"/>
      <c r="X3024" s="84"/>
      <c r="Y3024" s="84"/>
      <c r="Z3024" s="84"/>
      <c r="AA3024" s="84"/>
      <c r="AB3024" s="84"/>
    </row>
    <row r="3025">
      <c r="A3025" s="69">
        <v>201.0</v>
      </c>
      <c r="B3025" s="69">
        <v>330.0</v>
      </c>
      <c r="C3025" s="86" t="s">
        <v>650</v>
      </c>
      <c r="D3025" s="86" t="s">
        <v>651</v>
      </c>
      <c r="E3025" s="86" t="s">
        <v>652</v>
      </c>
      <c r="F3025" s="69">
        <v>4000.0</v>
      </c>
      <c r="G3025" s="69">
        <v>35.8</v>
      </c>
      <c r="H3025" s="68">
        <f t="shared" si="1"/>
        <v>199.94</v>
      </c>
      <c r="I3025" s="81">
        <f>IFERROR(__xludf.DUMMYFUNCTION("IF(G3025="""", """", ROUND(G3025 / MAX(FILTER($G$2:$G5067, $D$2:$D5067=$D3025)) * 100, 2))"),99.44)</f>
        <v>99.44</v>
      </c>
      <c r="J3025" s="81">
        <f>IFERROR(__xludf.DUMMYFUNCTION("IF(H3025="""", """", ROUND(H3025 / MAX(FILTER($H$2:$H5067, $D$2:$D5067=$D3025)) * 100, 2))"),74.39)</f>
        <v>74.39</v>
      </c>
      <c r="K3025" s="2"/>
      <c r="L3025" s="48"/>
      <c r="M3025" s="48"/>
      <c r="N3025" s="48"/>
      <c r="O3025" s="48" t="str">
        <f t="shared" si="2"/>
        <v/>
      </c>
      <c r="P3025" s="48" t="str">
        <f t="shared" si="3"/>
        <v/>
      </c>
      <c r="Q3025" s="84"/>
      <c r="R3025" s="84"/>
      <c r="S3025" s="84"/>
      <c r="T3025" s="84"/>
      <c r="U3025" s="84"/>
      <c r="V3025" s="84"/>
      <c r="W3025" s="84"/>
      <c r="X3025" s="84"/>
      <c r="Y3025" s="84"/>
      <c r="Z3025" s="84"/>
      <c r="AA3025" s="84"/>
      <c r="AB3025" s="84"/>
    </row>
    <row r="3026">
      <c r="A3026" s="63">
        <v>201.0</v>
      </c>
      <c r="B3026" s="63">
        <v>330.0</v>
      </c>
      <c r="C3026" s="64" t="s">
        <v>650</v>
      </c>
      <c r="D3026" s="64" t="s">
        <v>651</v>
      </c>
      <c r="E3026" s="64" t="s">
        <v>652</v>
      </c>
      <c r="F3026" s="63">
        <v>4500.0</v>
      </c>
      <c r="G3026" s="63">
        <v>35.6</v>
      </c>
      <c r="H3026" s="66">
        <f t="shared" si="1"/>
        <v>223.68</v>
      </c>
      <c r="I3026" s="81">
        <f>IFERROR(__xludf.DUMMYFUNCTION("IF(G3026="""", """", ROUND(G3026 / MAX(FILTER($G$2:$G5067, $D$2:$D5067=$D3026)) * 100, 2))"),98.89)</f>
        <v>98.89</v>
      </c>
      <c r="J3026" s="81">
        <f>IFERROR(__xludf.DUMMYFUNCTION("IF(H3026="""", """", ROUND(H3026 / MAX(FILTER($H$2:$H5067, $D$2:$D5067=$D3026)) * 100, 2))"),83.22)</f>
        <v>83.22</v>
      </c>
      <c r="K3026" s="2"/>
      <c r="L3026" s="49"/>
      <c r="M3026" s="49"/>
      <c r="N3026" s="49"/>
      <c r="O3026" s="49" t="str">
        <f t="shared" si="2"/>
        <v/>
      </c>
      <c r="P3026" s="49" t="str">
        <f t="shared" si="3"/>
        <v/>
      </c>
      <c r="Q3026" s="84"/>
      <c r="R3026" s="84"/>
      <c r="S3026" s="84"/>
      <c r="T3026" s="84"/>
      <c r="U3026" s="84"/>
      <c r="V3026" s="84"/>
      <c r="W3026" s="84"/>
      <c r="X3026" s="84"/>
      <c r="Y3026" s="84"/>
      <c r="Z3026" s="84"/>
      <c r="AA3026" s="84"/>
      <c r="AB3026" s="84"/>
    </row>
    <row r="3027">
      <c r="A3027" s="69">
        <v>201.0</v>
      </c>
      <c r="B3027" s="69">
        <v>330.0</v>
      </c>
      <c r="C3027" s="86" t="s">
        <v>650</v>
      </c>
      <c r="D3027" s="86" t="s">
        <v>651</v>
      </c>
      <c r="E3027" s="86" t="s">
        <v>652</v>
      </c>
      <c r="F3027" s="69">
        <v>5000.0</v>
      </c>
      <c r="G3027" s="69">
        <v>35.3</v>
      </c>
      <c r="H3027" s="68">
        <f t="shared" si="1"/>
        <v>246.44</v>
      </c>
      <c r="I3027" s="81">
        <f>IFERROR(__xludf.DUMMYFUNCTION("IF(G3027="""", """", ROUND(G3027 / MAX(FILTER($G$2:$G5067, $D$2:$D5067=$D3027)) * 100, 2))"),98.06)</f>
        <v>98.06</v>
      </c>
      <c r="J3027" s="81">
        <f>IFERROR(__xludf.DUMMYFUNCTION("IF(H3027="""", """", ROUND(H3027 / MAX(FILTER($H$2:$H5067, $D$2:$D5067=$D3027)) * 100, 2))"),91.69)</f>
        <v>91.69</v>
      </c>
      <c r="K3027" s="2"/>
      <c r="L3027" s="48"/>
      <c r="M3027" s="48"/>
      <c r="N3027" s="48"/>
      <c r="O3027" s="48" t="str">
        <f t="shared" si="2"/>
        <v/>
      </c>
      <c r="P3027" s="48" t="str">
        <f t="shared" si="3"/>
        <v/>
      </c>
      <c r="Q3027" s="84"/>
      <c r="R3027" s="84"/>
      <c r="S3027" s="84"/>
      <c r="T3027" s="84"/>
      <c r="U3027" s="84"/>
      <c r="V3027" s="84"/>
      <c r="W3027" s="84"/>
      <c r="X3027" s="84"/>
      <c r="Y3027" s="84"/>
      <c r="Z3027" s="84"/>
      <c r="AA3027" s="84"/>
      <c r="AB3027" s="84"/>
    </row>
    <row r="3028">
      <c r="A3028" s="63">
        <v>201.0</v>
      </c>
      <c r="B3028" s="63">
        <v>330.0</v>
      </c>
      <c r="C3028" s="64" t="s">
        <v>650</v>
      </c>
      <c r="D3028" s="64" t="s">
        <v>651</v>
      </c>
      <c r="E3028" s="64" t="s">
        <v>652</v>
      </c>
      <c r="F3028" s="63">
        <v>5500.0</v>
      </c>
      <c r="G3028" s="63">
        <v>35.0</v>
      </c>
      <c r="H3028" s="66">
        <f t="shared" si="1"/>
        <v>268.78</v>
      </c>
      <c r="I3028" s="81">
        <f>IFERROR(__xludf.DUMMYFUNCTION("IF(G3028="""", """", ROUND(G3028 / MAX(FILTER($G$2:$G5067, $D$2:$D5067=$D3028)) * 100, 2))"),97.22)</f>
        <v>97.22</v>
      </c>
      <c r="J3028" s="81">
        <f>IFERROR(__xludf.DUMMYFUNCTION("IF(H3028="""", """", ROUND(H3028 / MAX(FILTER($H$2:$H5067, $D$2:$D5067=$D3028)) * 100, 2))"),100.0)</f>
        <v>100</v>
      </c>
      <c r="K3028" s="2"/>
      <c r="L3028" s="49"/>
      <c r="M3028" s="49"/>
      <c r="N3028" s="49"/>
      <c r="O3028" s="49" t="str">
        <f t="shared" si="2"/>
        <v/>
      </c>
      <c r="P3028" s="49" t="str">
        <f t="shared" si="3"/>
        <v/>
      </c>
      <c r="Q3028" s="84"/>
      <c r="R3028" s="84"/>
      <c r="S3028" s="84"/>
      <c r="T3028" s="84"/>
      <c r="U3028" s="84"/>
      <c r="V3028" s="84"/>
      <c r="W3028" s="84"/>
      <c r="X3028" s="84"/>
      <c r="Y3028" s="84"/>
      <c r="Z3028" s="84"/>
      <c r="AA3028" s="84"/>
      <c r="AB3028" s="84"/>
    </row>
    <row r="3029">
      <c r="A3029" s="69">
        <v>201.0</v>
      </c>
      <c r="B3029" s="69">
        <v>330.0</v>
      </c>
      <c r="C3029" s="86" t="s">
        <v>650</v>
      </c>
      <c r="D3029" s="86" t="s">
        <v>651</v>
      </c>
      <c r="E3029" s="86" t="s">
        <v>652</v>
      </c>
      <c r="F3029" s="69">
        <v>6000.0</v>
      </c>
      <c r="G3029" s="69">
        <v>31.5</v>
      </c>
      <c r="H3029" s="68">
        <f t="shared" si="1"/>
        <v>263.89</v>
      </c>
      <c r="I3029" s="81">
        <f>IFERROR(__xludf.DUMMYFUNCTION("IF(G3029="""", """", ROUND(G3029 / MAX(FILTER($G$2:$G5067, $D$2:$D5067=$D3029)) * 100, 2))"),87.5)</f>
        <v>87.5</v>
      </c>
      <c r="J3029" s="81">
        <f>IFERROR(__xludf.DUMMYFUNCTION("IF(H3029="""", """", ROUND(H3029 / MAX(FILTER($H$2:$H5067, $D$2:$D5067=$D3029)) * 100, 2))"),98.18)</f>
        <v>98.18</v>
      </c>
      <c r="K3029" s="2"/>
      <c r="L3029" s="48"/>
      <c r="M3029" s="48"/>
      <c r="N3029" s="48"/>
      <c r="O3029" s="48" t="str">
        <f t="shared" si="2"/>
        <v/>
      </c>
      <c r="P3029" s="48" t="str">
        <f t="shared" si="3"/>
        <v/>
      </c>
      <c r="Q3029" s="84"/>
      <c r="R3029" s="84"/>
      <c r="S3029" s="84"/>
      <c r="T3029" s="84"/>
      <c r="U3029" s="84"/>
      <c r="V3029" s="84"/>
      <c r="W3029" s="84"/>
      <c r="X3029" s="84"/>
      <c r="Y3029" s="84"/>
      <c r="Z3029" s="84"/>
      <c r="AA3029" s="84"/>
      <c r="AB3029" s="84"/>
    </row>
    <row r="3030">
      <c r="A3030" s="63">
        <v>201.0</v>
      </c>
      <c r="B3030" s="63">
        <v>330.0</v>
      </c>
      <c r="C3030" s="64" t="s">
        <v>650</v>
      </c>
      <c r="D3030" s="64" t="s">
        <v>651</v>
      </c>
      <c r="E3030" s="64" t="s">
        <v>652</v>
      </c>
      <c r="F3030" s="63">
        <v>6500.0</v>
      </c>
      <c r="G3030" s="63">
        <v>26.7</v>
      </c>
      <c r="H3030" s="66">
        <f t="shared" si="1"/>
        <v>242.32</v>
      </c>
      <c r="I3030" s="81">
        <f>IFERROR(__xludf.DUMMYFUNCTION("IF(G3030="""", """", ROUND(G3030 / MAX(FILTER($G$2:$G5067, $D$2:$D5067=$D3030)) * 100, 2))"),74.17)</f>
        <v>74.17</v>
      </c>
      <c r="J3030" s="81">
        <f>IFERROR(__xludf.DUMMYFUNCTION("IF(H3030="""", """", ROUND(H3030 / MAX(FILTER($H$2:$H5067, $D$2:$D5067=$D3030)) * 100, 2))"),90.16)</f>
        <v>90.16</v>
      </c>
      <c r="K3030" s="2"/>
      <c r="L3030" s="49"/>
      <c r="M3030" s="49"/>
      <c r="N3030" s="49"/>
      <c r="O3030" s="49" t="str">
        <f t="shared" si="2"/>
        <v/>
      </c>
      <c r="P3030" s="49" t="str">
        <f t="shared" si="3"/>
        <v/>
      </c>
      <c r="Q3030" s="84"/>
      <c r="R3030" s="84"/>
      <c r="S3030" s="84"/>
      <c r="T3030" s="84"/>
      <c r="U3030" s="84"/>
      <c r="V3030" s="84"/>
      <c r="W3030" s="84"/>
      <c r="X3030" s="84"/>
      <c r="Y3030" s="84"/>
      <c r="Z3030" s="84"/>
      <c r="AA3030" s="84"/>
      <c r="AB3030" s="84"/>
    </row>
    <row r="3031">
      <c r="A3031" s="69">
        <v>201.0</v>
      </c>
      <c r="B3031" s="69">
        <v>330.0</v>
      </c>
      <c r="C3031" s="86" t="s">
        <v>650</v>
      </c>
      <c r="D3031" s="86" t="s">
        <v>651</v>
      </c>
      <c r="E3031" s="86" t="s">
        <v>652</v>
      </c>
      <c r="F3031" s="69">
        <v>7000.0</v>
      </c>
      <c r="G3031" s="69">
        <v>22.2</v>
      </c>
      <c r="H3031" s="68">
        <f t="shared" si="1"/>
        <v>216.98</v>
      </c>
      <c r="I3031" s="81">
        <f>IFERROR(__xludf.DUMMYFUNCTION("IF(G3031="""", """", ROUND(G3031 / MAX(FILTER($G$2:$G5067, $D$2:$D5067=$D3031)) * 100, 2))"),61.67)</f>
        <v>61.67</v>
      </c>
      <c r="J3031" s="81">
        <f>IFERROR(__xludf.DUMMYFUNCTION("IF(H3031="""", """", ROUND(H3031 / MAX(FILTER($H$2:$H5067, $D$2:$D5067=$D3031)) * 100, 2))"),80.73)</f>
        <v>80.73</v>
      </c>
      <c r="K3031" s="2"/>
      <c r="L3031" s="48"/>
      <c r="M3031" s="48"/>
      <c r="N3031" s="48"/>
      <c r="O3031" s="48" t="str">
        <f t="shared" si="2"/>
        <v/>
      </c>
      <c r="P3031" s="48" t="str">
        <f t="shared" si="3"/>
        <v/>
      </c>
      <c r="Q3031" s="84"/>
      <c r="R3031" s="84"/>
      <c r="S3031" s="84"/>
      <c r="T3031" s="84"/>
      <c r="U3031" s="84"/>
      <c r="V3031" s="84"/>
      <c r="W3031" s="84"/>
      <c r="X3031" s="84"/>
      <c r="Y3031" s="84"/>
      <c r="Z3031" s="84"/>
      <c r="AA3031" s="84"/>
      <c r="AB3031" s="84"/>
    </row>
    <row r="3032">
      <c r="A3032" s="63">
        <v>201.0</v>
      </c>
      <c r="B3032" s="63">
        <v>330.0</v>
      </c>
      <c r="C3032" s="64" t="s">
        <v>650</v>
      </c>
      <c r="D3032" s="64" t="s">
        <v>651</v>
      </c>
      <c r="E3032" s="64" t="s">
        <v>652</v>
      </c>
      <c r="F3032" s="63">
        <v>7500.0</v>
      </c>
      <c r="G3032" s="63">
        <v>18.3</v>
      </c>
      <c r="H3032" s="66">
        <f t="shared" si="1"/>
        <v>191.64</v>
      </c>
      <c r="I3032" s="81">
        <f>IFERROR(__xludf.DUMMYFUNCTION("IF(G3032="""", """", ROUND(G3032 / MAX(FILTER($G$2:$G5067, $D$2:$D5067=$D3032)) * 100, 2))"),50.83)</f>
        <v>50.83</v>
      </c>
      <c r="J3032" s="81">
        <f>IFERROR(__xludf.DUMMYFUNCTION("IF(H3032="""", """", ROUND(H3032 / MAX(FILTER($H$2:$H5067, $D$2:$D5067=$D3032)) * 100, 2))"),71.3)</f>
        <v>71.3</v>
      </c>
      <c r="K3032" s="2"/>
      <c r="L3032" s="49"/>
      <c r="M3032" s="49"/>
      <c r="N3032" s="49"/>
      <c r="O3032" s="49" t="str">
        <f t="shared" si="2"/>
        <v/>
      </c>
      <c r="P3032" s="49" t="str">
        <f t="shared" si="3"/>
        <v/>
      </c>
      <c r="Q3032" s="84"/>
      <c r="R3032" s="84"/>
      <c r="S3032" s="84"/>
      <c r="T3032" s="84"/>
      <c r="U3032" s="84"/>
      <c r="V3032" s="84"/>
      <c r="W3032" s="84"/>
      <c r="X3032" s="84"/>
      <c r="Y3032" s="84"/>
      <c r="Z3032" s="84"/>
      <c r="AA3032" s="84"/>
      <c r="AB3032" s="84"/>
    </row>
    <row r="3033">
      <c r="A3033" s="69">
        <v>202.0</v>
      </c>
      <c r="B3033" s="69">
        <v>331.0</v>
      </c>
      <c r="C3033" s="86" t="s">
        <v>653</v>
      </c>
      <c r="D3033" s="86" t="s">
        <v>654</v>
      </c>
      <c r="E3033" s="86" t="s">
        <v>655</v>
      </c>
      <c r="F3033" s="69">
        <v>500.0</v>
      </c>
      <c r="G3033" s="69">
        <v>27.7</v>
      </c>
      <c r="H3033" s="68">
        <f t="shared" si="1"/>
        <v>19.34</v>
      </c>
      <c r="I3033" s="81">
        <f>IFERROR(__xludf.DUMMYFUNCTION("IF(G3033="""", """", ROUND(G3033 / MAX(FILTER($G$2:$G5067, $D$2:$D5067=$D3033)) * 100, 2))"),74.86)</f>
        <v>74.86</v>
      </c>
      <c r="J3033" s="81">
        <f>IFERROR(__xludf.DUMMYFUNCTION("IF(H3033="""", """", ROUND(H3033 / MAX(FILTER($H$2:$H5067, $D$2:$D5067=$D3033)) * 100, 2))"),6.92)</f>
        <v>6.92</v>
      </c>
      <c r="K3033" s="2"/>
      <c r="L3033" s="48"/>
      <c r="M3033" s="48"/>
      <c r="N3033" s="48"/>
      <c r="O3033" s="48" t="str">
        <f t="shared" si="2"/>
        <v/>
      </c>
      <c r="P3033" s="48" t="str">
        <f t="shared" si="3"/>
        <v/>
      </c>
      <c r="Q3033" s="84"/>
      <c r="R3033" s="84"/>
      <c r="S3033" s="84"/>
      <c r="T3033" s="84"/>
      <c r="U3033" s="84"/>
      <c r="V3033" s="84"/>
      <c r="W3033" s="84"/>
      <c r="X3033" s="84"/>
      <c r="Y3033" s="84"/>
      <c r="Z3033" s="84"/>
      <c r="AA3033" s="84"/>
      <c r="AB3033" s="84"/>
    </row>
    <row r="3034">
      <c r="A3034" s="63">
        <v>202.0</v>
      </c>
      <c r="B3034" s="63">
        <v>331.0</v>
      </c>
      <c r="C3034" s="64" t="s">
        <v>653</v>
      </c>
      <c r="D3034" s="64" t="s">
        <v>654</v>
      </c>
      <c r="E3034" s="64" t="s">
        <v>655</v>
      </c>
      <c r="F3034" s="63">
        <v>1000.0</v>
      </c>
      <c r="G3034" s="63">
        <v>30.2</v>
      </c>
      <c r="H3034" s="66">
        <f t="shared" si="1"/>
        <v>42.17</v>
      </c>
      <c r="I3034" s="81">
        <f>IFERROR(__xludf.DUMMYFUNCTION("IF(G3034="""", """", ROUND(G3034 / MAX(FILTER($G$2:$G5067, $D$2:$D5067=$D3034)) * 100, 2))"),81.62)</f>
        <v>81.62</v>
      </c>
      <c r="J3034" s="81">
        <f>IFERROR(__xludf.DUMMYFUNCTION("IF(H3034="""", """", ROUND(H3034 / MAX(FILTER($H$2:$H5067, $D$2:$D5067=$D3034)) * 100, 2))"),15.09)</f>
        <v>15.09</v>
      </c>
      <c r="K3034" s="2"/>
      <c r="L3034" s="49"/>
      <c r="M3034" s="49"/>
      <c r="N3034" s="49"/>
      <c r="O3034" s="49" t="str">
        <f t="shared" si="2"/>
        <v/>
      </c>
      <c r="P3034" s="49" t="str">
        <f t="shared" si="3"/>
        <v/>
      </c>
      <c r="Q3034" s="84"/>
      <c r="R3034" s="84"/>
      <c r="S3034" s="84"/>
      <c r="T3034" s="84"/>
      <c r="U3034" s="84"/>
      <c r="V3034" s="84"/>
      <c r="W3034" s="84"/>
      <c r="X3034" s="84"/>
      <c r="Y3034" s="84"/>
      <c r="Z3034" s="84"/>
      <c r="AA3034" s="84"/>
      <c r="AB3034" s="84"/>
    </row>
    <row r="3035">
      <c r="A3035" s="69">
        <v>202.0</v>
      </c>
      <c r="B3035" s="69">
        <v>331.0</v>
      </c>
      <c r="C3035" s="86" t="s">
        <v>653</v>
      </c>
      <c r="D3035" s="86" t="s">
        <v>654</v>
      </c>
      <c r="E3035" s="86" t="s">
        <v>655</v>
      </c>
      <c r="F3035" s="69">
        <v>1500.0</v>
      </c>
      <c r="G3035" s="69">
        <v>32.3</v>
      </c>
      <c r="H3035" s="68">
        <f t="shared" si="1"/>
        <v>67.65</v>
      </c>
      <c r="I3035" s="81">
        <f>IFERROR(__xludf.DUMMYFUNCTION("IF(G3035="""", """", ROUND(G3035 / MAX(FILTER($G$2:$G5067, $D$2:$D5067=$D3035)) * 100, 2))"),87.3)</f>
        <v>87.3</v>
      </c>
      <c r="J3035" s="81">
        <f>IFERROR(__xludf.DUMMYFUNCTION("IF(H3035="""", """", ROUND(H3035 / MAX(FILTER($H$2:$H5067, $D$2:$D5067=$D3035)) * 100, 2))"),24.2)</f>
        <v>24.2</v>
      </c>
      <c r="K3035" s="2"/>
      <c r="L3035" s="48"/>
      <c r="M3035" s="48"/>
      <c r="N3035" s="48"/>
      <c r="O3035" s="48" t="str">
        <f t="shared" si="2"/>
        <v/>
      </c>
      <c r="P3035" s="48" t="str">
        <f t="shared" si="3"/>
        <v/>
      </c>
      <c r="Q3035" s="84"/>
      <c r="R3035" s="84"/>
      <c r="S3035" s="84"/>
      <c r="T3035" s="84"/>
      <c r="U3035" s="84"/>
      <c r="V3035" s="84"/>
      <c r="W3035" s="84"/>
      <c r="X3035" s="84"/>
      <c r="Y3035" s="84"/>
      <c r="Z3035" s="84"/>
      <c r="AA3035" s="84"/>
      <c r="AB3035" s="84"/>
    </row>
    <row r="3036">
      <c r="A3036" s="63">
        <v>202.0</v>
      </c>
      <c r="B3036" s="63">
        <v>331.0</v>
      </c>
      <c r="C3036" s="64" t="s">
        <v>653</v>
      </c>
      <c r="D3036" s="64" t="s">
        <v>654</v>
      </c>
      <c r="E3036" s="64" t="s">
        <v>655</v>
      </c>
      <c r="F3036" s="63">
        <v>2000.0</v>
      </c>
      <c r="G3036" s="63">
        <v>33.8</v>
      </c>
      <c r="H3036" s="66">
        <f t="shared" si="1"/>
        <v>94.39</v>
      </c>
      <c r="I3036" s="81">
        <f>IFERROR(__xludf.DUMMYFUNCTION("IF(G3036="""", """", ROUND(G3036 / MAX(FILTER($G$2:$G5067, $D$2:$D5067=$D3036)) * 100, 2))"),91.35)</f>
        <v>91.35</v>
      </c>
      <c r="J3036" s="81">
        <f>IFERROR(__xludf.DUMMYFUNCTION("IF(H3036="""", """", ROUND(H3036 / MAX(FILTER($H$2:$H5067, $D$2:$D5067=$D3036)) * 100, 2))"),33.77)</f>
        <v>33.77</v>
      </c>
      <c r="K3036" s="2"/>
      <c r="L3036" s="49"/>
      <c r="M3036" s="49"/>
      <c r="N3036" s="49"/>
      <c r="O3036" s="49" t="str">
        <f t="shared" si="2"/>
        <v/>
      </c>
      <c r="P3036" s="49" t="str">
        <f t="shared" si="3"/>
        <v/>
      </c>
      <c r="Q3036" s="84"/>
      <c r="R3036" s="84"/>
      <c r="S3036" s="84"/>
      <c r="T3036" s="84"/>
      <c r="U3036" s="84"/>
      <c r="V3036" s="84"/>
      <c r="W3036" s="84"/>
      <c r="X3036" s="84"/>
      <c r="Y3036" s="84"/>
      <c r="Z3036" s="84"/>
      <c r="AA3036" s="84"/>
      <c r="AB3036" s="84"/>
    </row>
    <row r="3037">
      <c r="A3037" s="69">
        <v>202.0</v>
      </c>
      <c r="B3037" s="69">
        <v>331.0</v>
      </c>
      <c r="C3037" s="86" t="s">
        <v>653</v>
      </c>
      <c r="D3037" s="86" t="s">
        <v>654</v>
      </c>
      <c r="E3037" s="86" t="s">
        <v>655</v>
      </c>
      <c r="F3037" s="69">
        <v>2500.0</v>
      </c>
      <c r="G3037" s="69">
        <v>34.9</v>
      </c>
      <c r="H3037" s="68">
        <f t="shared" si="1"/>
        <v>121.82</v>
      </c>
      <c r="I3037" s="81">
        <f>IFERROR(__xludf.DUMMYFUNCTION("IF(G3037="""", """", ROUND(G3037 / MAX(FILTER($G$2:$G5067, $D$2:$D5067=$D3037)) * 100, 2))"),94.32)</f>
        <v>94.32</v>
      </c>
      <c r="J3037" s="81">
        <f>IFERROR(__xludf.DUMMYFUNCTION("IF(H3037="""", """", ROUND(H3037 / MAX(FILTER($H$2:$H5067, $D$2:$D5067=$D3037)) * 100, 2))"),43.58)</f>
        <v>43.58</v>
      </c>
      <c r="K3037" s="2"/>
      <c r="L3037" s="48"/>
      <c r="M3037" s="48"/>
      <c r="N3037" s="48"/>
      <c r="O3037" s="48" t="str">
        <f t="shared" si="2"/>
        <v/>
      </c>
      <c r="P3037" s="48" t="str">
        <f t="shared" si="3"/>
        <v/>
      </c>
      <c r="Q3037" s="84"/>
      <c r="R3037" s="84"/>
      <c r="S3037" s="84"/>
      <c r="T3037" s="84"/>
      <c r="U3037" s="84"/>
      <c r="V3037" s="84"/>
      <c r="W3037" s="84"/>
      <c r="X3037" s="84"/>
      <c r="Y3037" s="84"/>
      <c r="Z3037" s="84"/>
      <c r="AA3037" s="84"/>
      <c r="AB3037" s="84"/>
    </row>
    <row r="3038">
      <c r="A3038" s="63">
        <v>202.0</v>
      </c>
      <c r="B3038" s="63">
        <v>331.0</v>
      </c>
      <c r="C3038" s="64" t="s">
        <v>653</v>
      </c>
      <c r="D3038" s="64" t="s">
        <v>654</v>
      </c>
      <c r="E3038" s="64" t="s">
        <v>655</v>
      </c>
      <c r="F3038" s="63">
        <v>3000.0</v>
      </c>
      <c r="G3038" s="63">
        <v>35.8</v>
      </c>
      <c r="H3038" s="66">
        <f t="shared" si="1"/>
        <v>149.96</v>
      </c>
      <c r="I3038" s="81">
        <f>IFERROR(__xludf.DUMMYFUNCTION("IF(G3038="""", """", ROUND(G3038 / MAX(FILTER($G$2:$G5067, $D$2:$D5067=$D3038)) * 100, 2))"),96.76)</f>
        <v>96.76</v>
      </c>
      <c r="J3038" s="81">
        <f>IFERROR(__xludf.DUMMYFUNCTION("IF(H3038="""", """", ROUND(H3038 / MAX(FILTER($H$2:$H5067, $D$2:$D5067=$D3038)) * 100, 2))"),53.65)</f>
        <v>53.65</v>
      </c>
      <c r="K3038" s="2"/>
      <c r="L3038" s="49"/>
      <c r="M3038" s="49"/>
      <c r="N3038" s="49"/>
      <c r="O3038" s="49" t="str">
        <f t="shared" si="2"/>
        <v/>
      </c>
      <c r="P3038" s="49" t="str">
        <f t="shared" si="3"/>
        <v/>
      </c>
      <c r="Q3038" s="84"/>
      <c r="R3038" s="84"/>
      <c r="S3038" s="84"/>
      <c r="T3038" s="84"/>
      <c r="U3038" s="84"/>
      <c r="V3038" s="84"/>
      <c r="W3038" s="84"/>
      <c r="X3038" s="84"/>
      <c r="Y3038" s="84"/>
      <c r="Z3038" s="84"/>
      <c r="AA3038" s="84"/>
      <c r="AB3038" s="84"/>
    </row>
    <row r="3039">
      <c r="A3039" s="69">
        <v>202.0</v>
      </c>
      <c r="B3039" s="69">
        <v>331.0</v>
      </c>
      <c r="C3039" s="86" t="s">
        <v>653</v>
      </c>
      <c r="D3039" s="86" t="s">
        <v>654</v>
      </c>
      <c r="E3039" s="86" t="s">
        <v>655</v>
      </c>
      <c r="F3039" s="69">
        <v>3500.0</v>
      </c>
      <c r="G3039" s="69">
        <v>36.6</v>
      </c>
      <c r="H3039" s="68">
        <f t="shared" si="1"/>
        <v>178.86</v>
      </c>
      <c r="I3039" s="81">
        <f>IFERROR(__xludf.DUMMYFUNCTION("IF(G3039="""", """", ROUND(G3039 / MAX(FILTER($G$2:$G5067, $D$2:$D5067=$D3039)) * 100, 2))"),98.92)</f>
        <v>98.92</v>
      </c>
      <c r="J3039" s="81">
        <f>IFERROR(__xludf.DUMMYFUNCTION("IF(H3039="""", """", ROUND(H3039 / MAX(FILTER($H$2:$H5067, $D$2:$D5067=$D3039)) * 100, 2))"),63.99)</f>
        <v>63.99</v>
      </c>
      <c r="K3039" s="2"/>
      <c r="L3039" s="48"/>
      <c r="M3039" s="48"/>
      <c r="N3039" s="48"/>
      <c r="O3039" s="48" t="str">
        <f t="shared" si="2"/>
        <v/>
      </c>
      <c r="P3039" s="48" t="str">
        <f t="shared" si="3"/>
        <v/>
      </c>
      <c r="Q3039" s="84"/>
      <c r="R3039" s="84"/>
      <c r="S3039" s="84"/>
      <c r="T3039" s="84"/>
      <c r="U3039" s="84"/>
      <c r="V3039" s="84"/>
      <c r="W3039" s="84"/>
      <c r="X3039" s="84"/>
      <c r="Y3039" s="84"/>
      <c r="Z3039" s="84"/>
      <c r="AA3039" s="84"/>
      <c r="AB3039" s="84"/>
    </row>
    <row r="3040">
      <c r="A3040" s="63">
        <v>202.0</v>
      </c>
      <c r="B3040" s="63">
        <v>331.0</v>
      </c>
      <c r="C3040" s="64" t="s">
        <v>653</v>
      </c>
      <c r="D3040" s="64" t="s">
        <v>654</v>
      </c>
      <c r="E3040" s="64" t="s">
        <v>655</v>
      </c>
      <c r="F3040" s="63">
        <v>4000.0</v>
      </c>
      <c r="G3040" s="63">
        <v>37.0</v>
      </c>
      <c r="H3040" s="66">
        <f t="shared" si="1"/>
        <v>206.65</v>
      </c>
      <c r="I3040" s="81">
        <f>IFERROR(__xludf.DUMMYFUNCTION("IF(G3040="""", """", ROUND(G3040 / MAX(FILTER($G$2:$G5067, $D$2:$D5067=$D3040)) * 100, 2))"),100.0)</f>
        <v>100</v>
      </c>
      <c r="J3040" s="81">
        <f>IFERROR(__xludf.DUMMYFUNCTION("IF(H3040="""", """", ROUND(H3040 / MAX(FILTER($H$2:$H5067, $D$2:$D5067=$D3040)) * 100, 2))"),73.93)</f>
        <v>73.93</v>
      </c>
      <c r="K3040" s="2"/>
      <c r="L3040" s="49"/>
      <c r="M3040" s="49"/>
      <c r="N3040" s="49"/>
      <c r="O3040" s="49" t="str">
        <f t="shared" si="2"/>
        <v/>
      </c>
      <c r="P3040" s="49" t="str">
        <f t="shared" si="3"/>
        <v/>
      </c>
      <c r="Q3040" s="84"/>
      <c r="R3040" s="84"/>
      <c r="S3040" s="84"/>
      <c r="T3040" s="84"/>
      <c r="U3040" s="84"/>
      <c r="V3040" s="84"/>
      <c r="W3040" s="84"/>
      <c r="X3040" s="84"/>
      <c r="Y3040" s="84"/>
      <c r="Z3040" s="84"/>
      <c r="AA3040" s="84"/>
      <c r="AB3040" s="84"/>
    </row>
    <row r="3041">
      <c r="A3041" s="69">
        <v>202.0</v>
      </c>
      <c r="B3041" s="69">
        <v>331.0</v>
      </c>
      <c r="C3041" s="86" t="s">
        <v>653</v>
      </c>
      <c r="D3041" s="86" t="s">
        <v>654</v>
      </c>
      <c r="E3041" s="86" t="s">
        <v>655</v>
      </c>
      <c r="F3041" s="69">
        <v>4500.0</v>
      </c>
      <c r="G3041" s="69">
        <v>37.0</v>
      </c>
      <c r="H3041" s="68">
        <f t="shared" si="1"/>
        <v>232.48</v>
      </c>
      <c r="I3041" s="81">
        <f>IFERROR(__xludf.DUMMYFUNCTION("IF(G3041="""", """", ROUND(G3041 / MAX(FILTER($G$2:$G5067, $D$2:$D5067=$D3041)) * 100, 2))"),100.0)</f>
        <v>100</v>
      </c>
      <c r="J3041" s="81">
        <f>IFERROR(__xludf.DUMMYFUNCTION("IF(H3041="""", """", ROUND(H3041 / MAX(FILTER($H$2:$H5067, $D$2:$D5067=$D3041)) * 100, 2))"),83.17)</f>
        <v>83.17</v>
      </c>
      <c r="K3041" s="2"/>
      <c r="L3041" s="48"/>
      <c r="M3041" s="48"/>
      <c r="N3041" s="48"/>
      <c r="O3041" s="48" t="str">
        <f t="shared" si="2"/>
        <v/>
      </c>
      <c r="P3041" s="48" t="str">
        <f t="shared" si="3"/>
        <v/>
      </c>
      <c r="Q3041" s="84"/>
      <c r="R3041" s="84"/>
      <c r="S3041" s="84"/>
      <c r="T3041" s="84"/>
      <c r="U3041" s="84"/>
      <c r="V3041" s="84"/>
      <c r="W3041" s="84"/>
      <c r="X3041" s="84"/>
      <c r="Y3041" s="84"/>
      <c r="Z3041" s="84"/>
      <c r="AA3041" s="84"/>
      <c r="AB3041" s="84"/>
    </row>
    <row r="3042">
      <c r="A3042" s="63">
        <v>202.0</v>
      </c>
      <c r="B3042" s="63">
        <v>331.0</v>
      </c>
      <c r="C3042" s="64" t="s">
        <v>653</v>
      </c>
      <c r="D3042" s="64" t="s">
        <v>654</v>
      </c>
      <c r="E3042" s="64" t="s">
        <v>655</v>
      </c>
      <c r="F3042" s="63">
        <v>5000.0</v>
      </c>
      <c r="G3042" s="63">
        <v>37.0</v>
      </c>
      <c r="H3042" s="66">
        <f t="shared" si="1"/>
        <v>258.31</v>
      </c>
      <c r="I3042" s="81">
        <f>IFERROR(__xludf.DUMMYFUNCTION("IF(G3042="""", """", ROUND(G3042 / MAX(FILTER($G$2:$G5067, $D$2:$D5067=$D3042)) * 100, 2))"),100.0)</f>
        <v>100</v>
      </c>
      <c r="J3042" s="81">
        <f>IFERROR(__xludf.DUMMYFUNCTION("IF(H3042="""", """", ROUND(H3042 / MAX(FILTER($H$2:$H5067, $D$2:$D5067=$D3042)) * 100, 2))"),92.41)</f>
        <v>92.41</v>
      </c>
      <c r="K3042" s="2"/>
      <c r="L3042" s="49"/>
      <c r="M3042" s="49"/>
      <c r="N3042" s="49"/>
      <c r="O3042" s="49" t="str">
        <f t="shared" si="2"/>
        <v/>
      </c>
      <c r="P3042" s="49" t="str">
        <f t="shared" si="3"/>
        <v/>
      </c>
      <c r="Q3042" s="84"/>
      <c r="R3042" s="84"/>
      <c r="S3042" s="84"/>
      <c r="T3042" s="84"/>
      <c r="U3042" s="84"/>
      <c r="V3042" s="84"/>
      <c r="W3042" s="84"/>
      <c r="X3042" s="84"/>
      <c r="Y3042" s="84"/>
      <c r="Z3042" s="84"/>
      <c r="AA3042" s="84"/>
      <c r="AB3042" s="84"/>
    </row>
    <row r="3043">
      <c r="A3043" s="69">
        <v>202.0</v>
      </c>
      <c r="B3043" s="69">
        <v>331.0</v>
      </c>
      <c r="C3043" s="86" t="s">
        <v>653</v>
      </c>
      <c r="D3043" s="86" t="s">
        <v>654</v>
      </c>
      <c r="E3043" s="86" t="s">
        <v>655</v>
      </c>
      <c r="F3043" s="69">
        <v>5500.0</v>
      </c>
      <c r="G3043" s="69">
        <v>36.4</v>
      </c>
      <c r="H3043" s="68">
        <f t="shared" si="1"/>
        <v>279.53</v>
      </c>
      <c r="I3043" s="81">
        <f>IFERROR(__xludf.DUMMYFUNCTION("IF(G3043="""", """", ROUND(G3043 / MAX(FILTER($G$2:$G5067, $D$2:$D5067=$D3043)) * 100, 2))"),98.38)</f>
        <v>98.38</v>
      </c>
      <c r="J3043" s="81">
        <f>IFERROR(__xludf.DUMMYFUNCTION("IF(H3043="""", """", ROUND(H3043 / MAX(FILTER($H$2:$H5067, $D$2:$D5067=$D3043)) * 100, 2))"),100.0)</f>
        <v>100</v>
      </c>
      <c r="K3043" s="2"/>
      <c r="L3043" s="48"/>
      <c r="M3043" s="48"/>
      <c r="N3043" s="48"/>
      <c r="O3043" s="48" t="str">
        <f t="shared" si="2"/>
        <v/>
      </c>
      <c r="P3043" s="48" t="str">
        <f t="shared" si="3"/>
        <v/>
      </c>
      <c r="Q3043" s="84"/>
      <c r="R3043" s="84"/>
      <c r="S3043" s="84"/>
      <c r="T3043" s="84"/>
      <c r="U3043" s="84"/>
      <c r="V3043" s="84"/>
      <c r="W3043" s="84"/>
      <c r="X3043" s="84"/>
      <c r="Y3043" s="84"/>
      <c r="Z3043" s="84"/>
      <c r="AA3043" s="84"/>
      <c r="AB3043" s="84"/>
    </row>
    <row r="3044">
      <c r="A3044" s="63">
        <v>202.0</v>
      </c>
      <c r="B3044" s="63">
        <v>331.0</v>
      </c>
      <c r="C3044" s="64" t="s">
        <v>653</v>
      </c>
      <c r="D3044" s="64" t="s">
        <v>654</v>
      </c>
      <c r="E3044" s="64" t="s">
        <v>655</v>
      </c>
      <c r="F3044" s="63">
        <v>6000.0</v>
      </c>
      <c r="G3044" s="63">
        <v>32.5</v>
      </c>
      <c r="H3044" s="66">
        <f t="shared" si="1"/>
        <v>272.27</v>
      </c>
      <c r="I3044" s="81">
        <f>IFERROR(__xludf.DUMMYFUNCTION("IF(G3044="""", """", ROUND(G3044 / MAX(FILTER($G$2:$G5067, $D$2:$D5067=$D3044)) * 100, 2))"),87.84)</f>
        <v>87.84</v>
      </c>
      <c r="J3044" s="81">
        <f>IFERROR(__xludf.DUMMYFUNCTION("IF(H3044="""", """", ROUND(H3044 / MAX(FILTER($H$2:$H5067, $D$2:$D5067=$D3044)) * 100, 2))"),97.4)</f>
        <v>97.4</v>
      </c>
      <c r="K3044" s="2"/>
      <c r="L3044" s="49"/>
      <c r="M3044" s="49"/>
      <c r="N3044" s="49"/>
      <c r="O3044" s="49" t="str">
        <f t="shared" si="2"/>
        <v/>
      </c>
      <c r="P3044" s="49" t="str">
        <f t="shared" si="3"/>
        <v/>
      </c>
      <c r="Q3044" s="84"/>
      <c r="R3044" s="84"/>
      <c r="S3044" s="84"/>
      <c r="T3044" s="84"/>
      <c r="U3044" s="84"/>
      <c r="V3044" s="84"/>
      <c r="W3044" s="84"/>
      <c r="X3044" s="84"/>
      <c r="Y3044" s="84"/>
      <c r="Z3044" s="84"/>
      <c r="AA3044" s="84"/>
      <c r="AB3044" s="84"/>
    </row>
    <row r="3045">
      <c r="A3045" s="69">
        <v>203.0</v>
      </c>
      <c r="B3045" s="69">
        <v>332.0</v>
      </c>
      <c r="C3045" s="86" t="s">
        <v>656</v>
      </c>
      <c r="D3045" s="86" t="s">
        <v>657</v>
      </c>
      <c r="E3045" s="86" t="s">
        <v>658</v>
      </c>
      <c r="F3045" s="69">
        <v>500.0</v>
      </c>
      <c r="G3045" s="69">
        <v>45.2</v>
      </c>
      <c r="H3045" s="68">
        <f t="shared" si="1"/>
        <v>31.56</v>
      </c>
      <c r="I3045" s="81">
        <f>IFERROR(__xludf.DUMMYFUNCTION("IF(G3045="""", """", ROUND(G3045 / MAX(FILTER($G$2:$G5067, $D$2:$D5067=$D3045)) * 100, 2))"),60.27)</f>
        <v>60.27</v>
      </c>
      <c r="J3045" s="81">
        <f>IFERROR(__xludf.DUMMYFUNCTION("IF(H3045="""", """", ROUND(H3045 / MAX(FILTER($H$2:$H5067, $D$2:$D5067=$D3045)) * 100, 2))"),5.22)</f>
        <v>5.22</v>
      </c>
      <c r="K3045" s="2"/>
      <c r="L3045" s="48"/>
      <c r="M3045" s="48"/>
      <c r="N3045" s="48"/>
      <c r="O3045" s="48" t="str">
        <f t="shared" si="2"/>
        <v/>
      </c>
      <c r="P3045" s="48" t="str">
        <f t="shared" si="3"/>
        <v/>
      </c>
      <c r="Q3045" s="84"/>
      <c r="R3045" s="84"/>
      <c r="S3045" s="84"/>
      <c r="T3045" s="84"/>
      <c r="U3045" s="84"/>
      <c r="V3045" s="84"/>
      <c r="W3045" s="84"/>
      <c r="X3045" s="84"/>
      <c r="Y3045" s="84"/>
      <c r="Z3045" s="84"/>
      <c r="AA3045" s="84"/>
      <c r="AB3045" s="84"/>
    </row>
    <row r="3046">
      <c r="A3046" s="63">
        <v>203.0</v>
      </c>
      <c r="B3046" s="63">
        <v>332.0</v>
      </c>
      <c r="C3046" s="64" t="s">
        <v>656</v>
      </c>
      <c r="D3046" s="64" t="s">
        <v>657</v>
      </c>
      <c r="E3046" s="64" t="s">
        <v>658</v>
      </c>
      <c r="F3046" s="63">
        <v>1000.0</v>
      </c>
      <c r="G3046" s="63">
        <v>61.4</v>
      </c>
      <c r="H3046" s="66">
        <f t="shared" si="1"/>
        <v>85.73</v>
      </c>
      <c r="I3046" s="81">
        <f>IFERROR(__xludf.DUMMYFUNCTION("IF(G3046="""", """", ROUND(G3046 / MAX(FILTER($G$2:$G5067, $D$2:$D5067=$D3046)) * 100, 2))"),81.87)</f>
        <v>81.87</v>
      </c>
      <c r="J3046" s="81">
        <f>IFERROR(__xludf.DUMMYFUNCTION("IF(H3046="""", """", ROUND(H3046 / MAX(FILTER($H$2:$H5067, $D$2:$D5067=$D3046)) * 100, 2))"),14.18)</f>
        <v>14.18</v>
      </c>
      <c r="K3046" s="2"/>
      <c r="L3046" s="49"/>
      <c r="M3046" s="49"/>
      <c r="N3046" s="49"/>
      <c r="O3046" s="49" t="str">
        <f t="shared" si="2"/>
        <v/>
      </c>
      <c r="P3046" s="49" t="str">
        <f t="shared" si="3"/>
        <v/>
      </c>
      <c r="Q3046" s="84"/>
      <c r="R3046" s="84"/>
      <c r="S3046" s="84"/>
      <c r="T3046" s="84"/>
      <c r="U3046" s="84"/>
      <c r="V3046" s="84"/>
      <c r="W3046" s="84"/>
      <c r="X3046" s="84"/>
      <c r="Y3046" s="84"/>
      <c r="Z3046" s="84"/>
      <c r="AA3046" s="84"/>
      <c r="AB3046" s="84"/>
    </row>
    <row r="3047">
      <c r="A3047" s="69">
        <v>203.0</v>
      </c>
      <c r="B3047" s="69">
        <v>332.0</v>
      </c>
      <c r="C3047" s="86" t="s">
        <v>656</v>
      </c>
      <c r="D3047" s="86" t="s">
        <v>657</v>
      </c>
      <c r="E3047" s="86" t="s">
        <v>658</v>
      </c>
      <c r="F3047" s="69">
        <v>1500.0</v>
      </c>
      <c r="G3047" s="69">
        <v>68.2</v>
      </c>
      <c r="H3047" s="68">
        <f t="shared" si="1"/>
        <v>142.84</v>
      </c>
      <c r="I3047" s="81">
        <f>IFERROR(__xludf.DUMMYFUNCTION("IF(G3047="""", """", ROUND(G3047 / MAX(FILTER($G$2:$G5067, $D$2:$D5067=$D3047)) * 100, 2))"),90.93)</f>
        <v>90.93</v>
      </c>
      <c r="J3047" s="81">
        <f>IFERROR(__xludf.DUMMYFUNCTION("IF(H3047="""", """", ROUND(H3047 / MAX(FILTER($H$2:$H5067, $D$2:$D5067=$D3047)) * 100, 2))"),23.63)</f>
        <v>23.63</v>
      </c>
      <c r="K3047" s="2"/>
      <c r="L3047" s="48"/>
      <c r="M3047" s="48"/>
      <c r="N3047" s="48"/>
      <c r="O3047" s="48" t="str">
        <f t="shared" si="2"/>
        <v/>
      </c>
      <c r="P3047" s="48" t="str">
        <f t="shared" si="3"/>
        <v/>
      </c>
      <c r="Q3047" s="84"/>
      <c r="R3047" s="84"/>
      <c r="S3047" s="84"/>
      <c r="T3047" s="84"/>
      <c r="U3047" s="84"/>
      <c r="V3047" s="84"/>
      <c r="W3047" s="84"/>
      <c r="X3047" s="84"/>
      <c r="Y3047" s="84"/>
      <c r="Z3047" s="84"/>
      <c r="AA3047" s="84"/>
      <c r="AB3047" s="84"/>
    </row>
    <row r="3048">
      <c r="A3048" s="63">
        <v>203.0</v>
      </c>
      <c r="B3048" s="63">
        <v>332.0</v>
      </c>
      <c r="C3048" s="64" t="s">
        <v>656</v>
      </c>
      <c r="D3048" s="64" t="s">
        <v>657</v>
      </c>
      <c r="E3048" s="64" t="s">
        <v>658</v>
      </c>
      <c r="F3048" s="63">
        <v>2000.0</v>
      </c>
      <c r="G3048" s="63">
        <v>72.0</v>
      </c>
      <c r="H3048" s="66">
        <f t="shared" si="1"/>
        <v>201.06</v>
      </c>
      <c r="I3048" s="81">
        <f>IFERROR(__xludf.DUMMYFUNCTION("IF(G3048="""", """", ROUND(G3048 / MAX(FILTER($G$2:$G5067, $D$2:$D5067=$D3048)) * 100, 2))"),96.0)</f>
        <v>96</v>
      </c>
      <c r="J3048" s="81">
        <f>IFERROR(__xludf.DUMMYFUNCTION("IF(H3048="""", """", ROUND(H3048 / MAX(FILTER($H$2:$H5067, $D$2:$D5067=$D3048)) * 100, 2))"),33.26)</f>
        <v>33.26</v>
      </c>
      <c r="K3048" s="2"/>
      <c r="L3048" s="49"/>
      <c r="M3048" s="49"/>
      <c r="N3048" s="49"/>
      <c r="O3048" s="49" t="str">
        <f t="shared" si="2"/>
        <v/>
      </c>
      <c r="P3048" s="49" t="str">
        <f t="shared" si="3"/>
        <v/>
      </c>
      <c r="Q3048" s="84"/>
      <c r="R3048" s="84"/>
      <c r="S3048" s="84"/>
      <c r="T3048" s="84"/>
      <c r="U3048" s="84"/>
      <c r="V3048" s="84"/>
      <c r="W3048" s="84"/>
      <c r="X3048" s="84"/>
      <c r="Y3048" s="84"/>
      <c r="Z3048" s="84"/>
      <c r="AA3048" s="84"/>
      <c r="AB3048" s="84"/>
    </row>
    <row r="3049">
      <c r="A3049" s="69">
        <v>203.0</v>
      </c>
      <c r="B3049" s="69">
        <v>332.0</v>
      </c>
      <c r="C3049" s="86" t="s">
        <v>656</v>
      </c>
      <c r="D3049" s="86" t="s">
        <v>657</v>
      </c>
      <c r="E3049" s="86" t="s">
        <v>658</v>
      </c>
      <c r="F3049" s="69">
        <v>2500.0</v>
      </c>
      <c r="G3049" s="69">
        <v>73.6</v>
      </c>
      <c r="H3049" s="68">
        <f t="shared" si="1"/>
        <v>256.91</v>
      </c>
      <c r="I3049" s="81">
        <f>IFERROR(__xludf.DUMMYFUNCTION("IF(G3049="""", """", ROUND(G3049 / MAX(FILTER($G$2:$G5067, $D$2:$D5067=$D3049)) * 100, 2))"),98.13)</f>
        <v>98.13</v>
      </c>
      <c r="J3049" s="81">
        <f>IFERROR(__xludf.DUMMYFUNCTION("IF(H3049="""", """", ROUND(H3049 / MAX(FILTER($H$2:$H5067, $D$2:$D5067=$D3049)) * 100, 2))"),42.5)</f>
        <v>42.5</v>
      </c>
      <c r="K3049" s="2"/>
      <c r="L3049" s="48"/>
      <c r="M3049" s="48"/>
      <c r="N3049" s="48"/>
      <c r="O3049" s="48" t="str">
        <f t="shared" si="2"/>
        <v/>
      </c>
      <c r="P3049" s="48" t="str">
        <f t="shared" si="3"/>
        <v/>
      </c>
      <c r="Q3049" s="84"/>
      <c r="R3049" s="84"/>
      <c r="S3049" s="84"/>
      <c r="T3049" s="84"/>
      <c r="U3049" s="84"/>
      <c r="V3049" s="84"/>
      <c r="W3049" s="84"/>
      <c r="X3049" s="84"/>
      <c r="Y3049" s="84"/>
      <c r="Z3049" s="84"/>
      <c r="AA3049" s="84"/>
      <c r="AB3049" s="84"/>
    </row>
    <row r="3050">
      <c r="A3050" s="63">
        <v>203.0</v>
      </c>
      <c r="B3050" s="63">
        <v>332.0</v>
      </c>
      <c r="C3050" s="64" t="s">
        <v>656</v>
      </c>
      <c r="D3050" s="64" t="s">
        <v>657</v>
      </c>
      <c r="E3050" s="64" t="s">
        <v>658</v>
      </c>
      <c r="F3050" s="63">
        <v>3250.0</v>
      </c>
      <c r="G3050" s="63">
        <v>75.0</v>
      </c>
      <c r="H3050" s="66">
        <f t="shared" si="1"/>
        <v>340.34</v>
      </c>
      <c r="I3050" s="81">
        <f>IFERROR(__xludf.DUMMYFUNCTION("IF(G3050="""", """", ROUND(G3050 / MAX(FILTER($G$2:$G5067, $D$2:$D5067=$D3050)) * 100, 2))"),100.0)</f>
        <v>100</v>
      </c>
      <c r="J3050" s="81">
        <f>IFERROR(__xludf.DUMMYFUNCTION("IF(H3050="""", """", ROUND(H3050 / MAX(FILTER($H$2:$H5067, $D$2:$D5067=$D3050)) * 100, 2))"),56.31)</f>
        <v>56.31</v>
      </c>
      <c r="K3050" s="2"/>
      <c r="L3050" s="49"/>
      <c r="M3050" s="49"/>
      <c r="N3050" s="49"/>
      <c r="O3050" s="49" t="str">
        <f t="shared" si="2"/>
        <v/>
      </c>
      <c r="P3050" s="49" t="str">
        <f t="shared" si="3"/>
        <v/>
      </c>
      <c r="Q3050" s="84"/>
      <c r="R3050" s="84"/>
      <c r="S3050" s="84"/>
      <c r="T3050" s="84"/>
      <c r="U3050" s="84"/>
      <c r="V3050" s="84"/>
      <c r="W3050" s="84"/>
      <c r="X3050" s="84"/>
      <c r="Y3050" s="84"/>
      <c r="Z3050" s="84"/>
      <c r="AA3050" s="84"/>
      <c r="AB3050" s="84"/>
    </row>
    <row r="3051">
      <c r="A3051" s="69">
        <v>203.0</v>
      </c>
      <c r="B3051" s="69">
        <v>332.0</v>
      </c>
      <c r="C3051" s="86" t="s">
        <v>656</v>
      </c>
      <c r="D3051" s="86" t="s">
        <v>657</v>
      </c>
      <c r="E3051" s="86" t="s">
        <v>658</v>
      </c>
      <c r="F3051" s="69">
        <v>3500.0</v>
      </c>
      <c r="G3051" s="69">
        <v>75.0</v>
      </c>
      <c r="H3051" s="68">
        <f t="shared" si="1"/>
        <v>366.52</v>
      </c>
      <c r="I3051" s="81">
        <f>IFERROR(__xludf.DUMMYFUNCTION("IF(G3051="""", """", ROUND(G3051 / MAX(FILTER($G$2:$G5067, $D$2:$D5067=$D3051)) * 100, 2))"),100.0)</f>
        <v>100</v>
      </c>
      <c r="J3051" s="81">
        <f>IFERROR(__xludf.DUMMYFUNCTION("IF(H3051="""", """", ROUND(H3051 / MAX(FILTER($H$2:$H5067, $D$2:$D5067=$D3051)) * 100, 2))"),60.64)</f>
        <v>60.64</v>
      </c>
      <c r="K3051" s="2"/>
      <c r="L3051" s="48"/>
      <c r="M3051" s="48"/>
      <c r="N3051" s="48"/>
      <c r="O3051" s="48" t="str">
        <f t="shared" si="2"/>
        <v/>
      </c>
      <c r="P3051" s="48" t="str">
        <f t="shared" si="3"/>
        <v/>
      </c>
      <c r="Q3051" s="84"/>
      <c r="R3051" s="84"/>
      <c r="S3051" s="84"/>
      <c r="T3051" s="84"/>
      <c r="U3051" s="84"/>
      <c r="V3051" s="84"/>
      <c r="W3051" s="84"/>
      <c r="X3051" s="84"/>
      <c r="Y3051" s="84"/>
      <c r="Z3051" s="84"/>
      <c r="AA3051" s="84"/>
      <c r="AB3051" s="84"/>
    </row>
    <row r="3052">
      <c r="A3052" s="63">
        <v>203.0</v>
      </c>
      <c r="B3052" s="63">
        <v>332.0</v>
      </c>
      <c r="C3052" s="64" t="s">
        <v>656</v>
      </c>
      <c r="D3052" s="64" t="s">
        <v>657</v>
      </c>
      <c r="E3052" s="64" t="s">
        <v>658</v>
      </c>
      <c r="F3052" s="63">
        <v>4000.0</v>
      </c>
      <c r="G3052" s="63">
        <v>74.8</v>
      </c>
      <c r="H3052" s="66">
        <f t="shared" si="1"/>
        <v>417.76</v>
      </c>
      <c r="I3052" s="81">
        <f>IFERROR(__xludf.DUMMYFUNCTION("IF(G3052="""", """", ROUND(G3052 / MAX(FILTER($G$2:$G5067, $D$2:$D5067=$D3052)) * 100, 2))"),99.73)</f>
        <v>99.73</v>
      </c>
      <c r="J3052" s="81">
        <f>IFERROR(__xludf.DUMMYFUNCTION("IF(H3052="""", """", ROUND(H3052 / MAX(FILTER($H$2:$H5067, $D$2:$D5067=$D3052)) * 100, 2))"),69.12)</f>
        <v>69.12</v>
      </c>
      <c r="K3052" s="2"/>
      <c r="L3052" s="49"/>
      <c r="M3052" s="49"/>
      <c r="N3052" s="49"/>
      <c r="O3052" s="49" t="str">
        <f t="shared" si="2"/>
        <v/>
      </c>
      <c r="P3052" s="49" t="str">
        <f t="shared" si="3"/>
        <v/>
      </c>
      <c r="Q3052" s="84"/>
      <c r="R3052" s="84"/>
      <c r="S3052" s="84"/>
      <c r="T3052" s="84"/>
      <c r="U3052" s="84"/>
      <c r="V3052" s="84"/>
      <c r="W3052" s="84"/>
      <c r="X3052" s="84"/>
      <c r="Y3052" s="84"/>
      <c r="Z3052" s="84"/>
      <c r="AA3052" s="84"/>
      <c r="AB3052" s="84"/>
    </row>
    <row r="3053">
      <c r="A3053" s="69">
        <v>203.0</v>
      </c>
      <c r="B3053" s="69">
        <v>332.0</v>
      </c>
      <c r="C3053" s="86" t="s">
        <v>656</v>
      </c>
      <c r="D3053" s="86" t="s">
        <v>657</v>
      </c>
      <c r="E3053" s="86" t="s">
        <v>658</v>
      </c>
      <c r="F3053" s="69">
        <v>4500.0</v>
      </c>
      <c r="G3053" s="69">
        <v>74.2</v>
      </c>
      <c r="H3053" s="68">
        <f t="shared" si="1"/>
        <v>466.21</v>
      </c>
      <c r="I3053" s="81">
        <f>IFERROR(__xludf.DUMMYFUNCTION("IF(G3053="""", """", ROUND(G3053 / MAX(FILTER($G$2:$G5067, $D$2:$D5067=$D3053)) * 100, 2))"),98.93)</f>
        <v>98.93</v>
      </c>
      <c r="J3053" s="81">
        <f>IFERROR(__xludf.DUMMYFUNCTION("IF(H3053="""", """", ROUND(H3053 / MAX(FILTER($H$2:$H5067, $D$2:$D5067=$D3053)) * 100, 2))"),77.13)</f>
        <v>77.13</v>
      </c>
      <c r="K3053" s="2"/>
      <c r="L3053" s="48"/>
      <c r="M3053" s="48"/>
      <c r="N3053" s="48"/>
      <c r="O3053" s="48" t="str">
        <f t="shared" si="2"/>
        <v/>
      </c>
      <c r="P3053" s="48" t="str">
        <f t="shared" si="3"/>
        <v/>
      </c>
      <c r="Q3053" s="84"/>
      <c r="R3053" s="84"/>
      <c r="S3053" s="84"/>
      <c r="T3053" s="84"/>
      <c r="U3053" s="84"/>
      <c r="V3053" s="84"/>
      <c r="W3053" s="84"/>
      <c r="X3053" s="84"/>
      <c r="Y3053" s="84"/>
      <c r="Z3053" s="84"/>
      <c r="AA3053" s="84"/>
      <c r="AB3053" s="84"/>
    </row>
    <row r="3054">
      <c r="A3054" s="63">
        <v>203.0</v>
      </c>
      <c r="B3054" s="63">
        <v>332.0</v>
      </c>
      <c r="C3054" s="64" t="s">
        <v>656</v>
      </c>
      <c r="D3054" s="64" t="s">
        <v>657</v>
      </c>
      <c r="E3054" s="64" t="s">
        <v>658</v>
      </c>
      <c r="F3054" s="63">
        <v>5000.0</v>
      </c>
      <c r="G3054" s="63">
        <v>73.6</v>
      </c>
      <c r="H3054" s="66">
        <f t="shared" si="1"/>
        <v>513.82</v>
      </c>
      <c r="I3054" s="81">
        <f>IFERROR(__xludf.DUMMYFUNCTION("IF(G3054="""", """", ROUND(G3054 / MAX(FILTER($G$2:$G5067, $D$2:$D5067=$D3054)) * 100, 2))"),98.13)</f>
        <v>98.13</v>
      </c>
      <c r="J3054" s="81">
        <f>IFERROR(__xludf.DUMMYFUNCTION("IF(H3054="""", """", ROUND(H3054 / MAX(FILTER($H$2:$H5067, $D$2:$D5067=$D3054)) * 100, 2))"),85.01)</f>
        <v>85.01</v>
      </c>
      <c r="K3054" s="2"/>
      <c r="L3054" s="49"/>
      <c r="M3054" s="49"/>
      <c r="N3054" s="49"/>
      <c r="O3054" s="49" t="str">
        <f t="shared" si="2"/>
        <v/>
      </c>
      <c r="P3054" s="49" t="str">
        <f t="shared" si="3"/>
        <v/>
      </c>
      <c r="Q3054" s="84"/>
      <c r="R3054" s="84"/>
      <c r="S3054" s="84"/>
      <c r="T3054" s="84"/>
      <c r="U3054" s="84"/>
      <c r="V3054" s="84"/>
      <c r="W3054" s="84"/>
      <c r="X3054" s="84"/>
      <c r="Y3054" s="84"/>
      <c r="Z3054" s="84"/>
      <c r="AA3054" s="84"/>
      <c r="AB3054" s="84"/>
    </row>
    <row r="3055">
      <c r="A3055" s="69">
        <v>203.0</v>
      </c>
      <c r="B3055" s="69">
        <v>332.0</v>
      </c>
      <c r="C3055" s="86" t="s">
        <v>656</v>
      </c>
      <c r="D3055" s="86" t="s">
        <v>657</v>
      </c>
      <c r="E3055" s="86" t="s">
        <v>658</v>
      </c>
      <c r="F3055" s="69">
        <v>5500.0</v>
      </c>
      <c r="G3055" s="69">
        <v>72.4</v>
      </c>
      <c r="H3055" s="68">
        <f t="shared" si="1"/>
        <v>555.99</v>
      </c>
      <c r="I3055" s="81">
        <f>IFERROR(__xludf.DUMMYFUNCTION("IF(G3055="""", """", ROUND(G3055 / MAX(FILTER($G$2:$G5067, $D$2:$D5067=$D3055)) * 100, 2))"),96.53)</f>
        <v>96.53</v>
      </c>
      <c r="J3055" s="81">
        <f>IFERROR(__xludf.DUMMYFUNCTION("IF(H3055="""", """", ROUND(H3055 / MAX(FILTER($H$2:$H5067, $D$2:$D5067=$D3055)) * 100, 2))"),91.98)</f>
        <v>91.98</v>
      </c>
      <c r="K3055" s="2"/>
      <c r="L3055" s="48"/>
      <c r="M3055" s="48"/>
      <c r="N3055" s="48"/>
      <c r="O3055" s="48" t="str">
        <f t="shared" si="2"/>
        <v/>
      </c>
      <c r="P3055" s="48" t="str">
        <f t="shared" si="3"/>
        <v/>
      </c>
      <c r="Q3055" s="84"/>
      <c r="R3055" s="84"/>
      <c r="S3055" s="84"/>
      <c r="T3055" s="84"/>
      <c r="U3055" s="84"/>
      <c r="V3055" s="84"/>
      <c r="W3055" s="84"/>
      <c r="X3055" s="84"/>
      <c r="Y3055" s="84"/>
      <c r="Z3055" s="84"/>
      <c r="AA3055" s="84"/>
      <c r="AB3055" s="84"/>
    </row>
    <row r="3056">
      <c r="A3056" s="63">
        <v>203.0</v>
      </c>
      <c r="B3056" s="63">
        <v>332.0</v>
      </c>
      <c r="C3056" s="64" t="s">
        <v>656</v>
      </c>
      <c r="D3056" s="64" t="s">
        <v>657</v>
      </c>
      <c r="E3056" s="64" t="s">
        <v>658</v>
      </c>
      <c r="F3056" s="63">
        <v>6000.0</v>
      </c>
      <c r="G3056" s="63">
        <v>70.9</v>
      </c>
      <c r="H3056" s="66">
        <f t="shared" si="1"/>
        <v>593.97</v>
      </c>
      <c r="I3056" s="81">
        <f>IFERROR(__xludf.DUMMYFUNCTION("IF(G3056="""", """", ROUND(G3056 / MAX(FILTER($G$2:$G5067, $D$2:$D5067=$D3056)) * 100, 2))"),94.53)</f>
        <v>94.53</v>
      </c>
      <c r="J3056" s="81">
        <f>IFERROR(__xludf.DUMMYFUNCTION("IF(H3056="""", """", ROUND(H3056 / MAX(FILTER($H$2:$H5067, $D$2:$D5067=$D3056)) * 100, 2))"),98.27)</f>
        <v>98.27</v>
      </c>
      <c r="K3056" s="2"/>
      <c r="L3056" s="49"/>
      <c r="M3056" s="49"/>
      <c r="N3056" s="49"/>
      <c r="O3056" s="49" t="str">
        <f t="shared" si="2"/>
        <v/>
      </c>
      <c r="P3056" s="49" t="str">
        <f t="shared" si="3"/>
        <v/>
      </c>
      <c r="Q3056" s="84"/>
      <c r="R3056" s="84"/>
      <c r="S3056" s="84"/>
      <c r="T3056" s="84"/>
      <c r="U3056" s="84"/>
      <c r="V3056" s="84"/>
      <c r="W3056" s="84"/>
      <c r="X3056" s="84"/>
      <c r="Y3056" s="84"/>
      <c r="Z3056" s="84"/>
      <c r="AA3056" s="84"/>
      <c r="AB3056" s="84"/>
    </row>
    <row r="3057">
      <c r="A3057" s="69">
        <v>203.0</v>
      </c>
      <c r="B3057" s="69">
        <v>332.0</v>
      </c>
      <c r="C3057" s="86" t="s">
        <v>656</v>
      </c>
      <c r="D3057" s="86" t="s">
        <v>657</v>
      </c>
      <c r="E3057" s="86" t="s">
        <v>658</v>
      </c>
      <c r="F3057" s="69">
        <v>6500.0</v>
      </c>
      <c r="G3057" s="69">
        <v>66.6</v>
      </c>
      <c r="H3057" s="68">
        <f t="shared" si="1"/>
        <v>604.44</v>
      </c>
      <c r="I3057" s="81">
        <f>IFERROR(__xludf.DUMMYFUNCTION("IF(G3057="""", """", ROUND(G3057 / MAX(FILTER($G$2:$G5067, $D$2:$D5067=$D3057)) * 100, 2))"),88.8)</f>
        <v>88.8</v>
      </c>
      <c r="J3057" s="81">
        <f>IFERROR(__xludf.DUMMYFUNCTION("IF(H3057="""", """", ROUND(H3057 / MAX(FILTER($H$2:$H5067, $D$2:$D5067=$D3057)) * 100, 2))"),100.0)</f>
        <v>100</v>
      </c>
      <c r="K3057" s="2"/>
      <c r="L3057" s="48"/>
      <c r="M3057" s="48"/>
      <c r="N3057" s="48"/>
      <c r="O3057" s="48" t="str">
        <f t="shared" si="2"/>
        <v/>
      </c>
      <c r="P3057" s="48" t="str">
        <f t="shared" si="3"/>
        <v/>
      </c>
      <c r="Q3057" s="84"/>
      <c r="R3057" s="84"/>
      <c r="S3057" s="84"/>
      <c r="T3057" s="84"/>
      <c r="U3057" s="84"/>
      <c r="V3057" s="84"/>
      <c r="W3057" s="84"/>
      <c r="X3057" s="84"/>
      <c r="Y3057" s="84"/>
      <c r="Z3057" s="84"/>
      <c r="AA3057" s="84"/>
      <c r="AB3057" s="84"/>
    </row>
    <row r="3058">
      <c r="A3058" s="63">
        <v>203.0</v>
      </c>
      <c r="B3058" s="63">
        <v>332.0</v>
      </c>
      <c r="C3058" s="64" t="s">
        <v>656</v>
      </c>
      <c r="D3058" s="64" t="s">
        <v>657</v>
      </c>
      <c r="E3058" s="64" t="s">
        <v>658</v>
      </c>
      <c r="F3058" s="63">
        <v>7000.0</v>
      </c>
      <c r="G3058" s="63">
        <v>60.8</v>
      </c>
      <c r="H3058" s="66">
        <f t="shared" si="1"/>
        <v>594.25</v>
      </c>
      <c r="I3058" s="81">
        <f>IFERROR(__xludf.DUMMYFUNCTION("IF(G3058="""", """", ROUND(G3058 / MAX(FILTER($G$2:$G5067, $D$2:$D5067=$D3058)) * 100, 2))"),81.07)</f>
        <v>81.07</v>
      </c>
      <c r="J3058" s="81">
        <f>IFERROR(__xludf.DUMMYFUNCTION("IF(H3058="""", """", ROUND(H3058 / MAX(FILTER($H$2:$H5067, $D$2:$D5067=$D3058)) * 100, 2))"),98.31)</f>
        <v>98.31</v>
      </c>
      <c r="K3058" s="2"/>
      <c r="L3058" s="49"/>
      <c r="M3058" s="49"/>
      <c r="N3058" s="49"/>
      <c r="O3058" s="49" t="str">
        <f t="shared" si="2"/>
        <v/>
      </c>
      <c r="P3058" s="49" t="str">
        <f t="shared" si="3"/>
        <v/>
      </c>
      <c r="Q3058" s="84"/>
      <c r="R3058" s="84"/>
      <c r="S3058" s="84"/>
      <c r="T3058" s="84"/>
      <c r="U3058" s="84"/>
      <c r="V3058" s="84"/>
      <c r="W3058" s="84"/>
      <c r="X3058" s="84"/>
      <c r="Y3058" s="84"/>
      <c r="Z3058" s="84"/>
      <c r="AA3058" s="84"/>
      <c r="AB3058" s="84"/>
    </row>
    <row r="3059">
      <c r="A3059" s="69">
        <v>203.0</v>
      </c>
      <c r="B3059" s="69">
        <v>332.0</v>
      </c>
      <c r="C3059" s="86" t="s">
        <v>656</v>
      </c>
      <c r="D3059" s="86" t="s">
        <v>657</v>
      </c>
      <c r="E3059" s="86" t="s">
        <v>658</v>
      </c>
      <c r="F3059" s="69">
        <v>7500.0</v>
      </c>
      <c r="G3059" s="69">
        <v>51.6</v>
      </c>
      <c r="H3059" s="68">
        <f t="shared" si="1"/>
        <v>540.35</v>
      </c>
      <c r="I3059" s="81">
        <f>IFERROR(__xludf.DUMMYFUNCTION("IF(G3059="""", """", ROUND(G3059 / MAX(FILTER($G$2:$G5067, $D$2:$D5067=$D3059)) * 100, 2))"),68.8)</f>
        <v>68.8</v>
      </c>
      <c r="J3059" s="81">
        <f>IFERROR(__xludf.DUMMYFUNCTION("IF(H3059="""", """", ROUND(H3059 / MAX(FILTER($H$2:$H5067, $D$2:$D5067=$D3059)) * 100, 2))"),89.4)</f>
        <v>89.4</v>
      </c>
      <c r="K3059" s="2"/>
      <c r="L3059" s="48"/>
      <c r="M3059" s="48"/>
      <c r="N3059" s="48"/>
      <c r="O3059" s="48" t="str">
        <f t="shared" si="2"/>
        <v/>
      </c>
      <c r="P3059" s="48" t="str">
        <f t="shared" si="3"/>
        <v/>
      </c>
      <c r="Q3059" s="84"/>
      <c r="R3059" s="84"/>
      <c r="S3059" s="84"/>
      <c r="T3059" s="84"/>
      <c r="U3059" s="84"/>
      <c r="V3059" s="84"/>
      <c r="W3059" s="84"/>
      <c r="X3059" s="84"/>
      <c r="Y3059" s="84"/>
      <c r="Z3059" s="84"/>
      <c r="AA3059" s="84"/>
      <c r="AB3059" s="84"/>
    </row>
    <row r="3060">
      <c r="A3060" s="63">
        <v>204.0</v>
      </c>
      <c r="B3060" s="63">
        <v>333.0</v>
      </c>
      <c r="C3060" s="64" t="s">
        <v>659</v>
      </c>
      <c r="D3060" s="64" t="s">
        <v>660</v>
      </c>
      <c r="E3060" s="64" t="s">
        <v>661</v>
      </c>
      <c r="F3060" s="63">
        <v>500.0</v>
      </c>
      <c r="G3060" s="63">
        <v>15.6</v>
      </c>
      <c r="H3060" s="66">
        <f t="shared" si="1"/>
        <v>10.89</v>
      </c>
      <c r="I3060" s="81">
        <f>IFERROR(__xludf.DUMMYFUNCTION("IF(G3060="""", """", ROUND(G3060 / MAX(FILTER($G$2:$G5067, $D$2:$D5067=$D3060)) * 100, 2))"),61.3)</f>
        <v>61.3</v>
      </c>
      <c r="J3060" s="81">
        <f>IFERROR(__xludf.DUMMYFUNCTION("IF(H3060="""", """", ROUND(H3060 / MAX(FILTER($H$2:$H5067, $D$2:$D5067=$D3060)) * 100, 2))"),5.47)</f>
        <v>5.47</v>
      </c>
      <c r="K3060" s="2"/>
      <c r="L3060" s="49"/>
      <c r="M3060" s="49"/>
      <c r="N3060" s="49"/>
      <c r="O3060" s="49" t="str">
        <f t="shared" si="2"/>
        <v/>
      </c>
      <c r="P3060" s="49" t="str">
        <f t="shared" si="3"/>
        <v/>
      </c>
      <c r="Q3060" s="84"/>
      <c r="R3060" s="84"/>
      <c r="S3060" s="84"/>
      <c r="T3060" s="84"/>
      <c r="U3060" s="84"/>
      <c r="V3060" s="84"/>
      <c r="W3060" s="84"/>
      <c r="X3060" s="84"/>
      <c r="Y3060" s="84"/>
      <c r="Z3060" s="84"/>
      <c r="AA3060" s="84"/>
      <c r="AB3060" s="84"/>
    </row>
    <row r="3061">
      <c r="A3061" s="69">
        <v>204.0</v>
      </c>
      <c r="B3061" s="69">
        <v>333.0</v>
      </c>
      <c r="C3061" s="86" t="s">
        <v>659</v>
      </c>
      <c r="D3061" s="86" t="s">
        <v>660</v>
      </c>
      <c r="E3061" s="86" t="s">
        <v>661</v>
      </c>
      <c r="F3061" s="69">
        <v>1000.0</v>
      </c>
      <c r="G3061" s="69">
        <v>19.13</v>
      </c>
      <c r="H3061" s="68">
        <f t="shared" si="1"/>
        <v>26.71</v>
      </c>
      <c r="I3061" s="81">
        <f>IFERROR(__xludf.DUMMYFUNCTION("IF(G3061="""", """", ROUND(G3061 / MAX(FILTER($G$2:$G5067, $D$2:$D5067=$D3061)) * 100, 2))"),75.17)</f>
        <v>75.17</v>
      </c>
      <c r="J3061" s="81">
        <f>IFERROR(__xludf.DUMMYFUNCTION("IF(H3061="""", """", ROUND(H3061 / MAX(FILTER($H$2:$H5067, $D$2:$D5067=$D3061)) * 100, 2))"),13.42)</f>
        <v>13.42</v>
      </c>
      <c r="K3061" s="2"/>
      <c r="L3061" s="48"/>
      <c r="M3061" s="48"/>
      <c r="N3061" s="48"/>
      <c r="O3061" s="48" t="str">
        <f t="shared" si="2"/>
        <v/>
      </c>
      <c r="P3061" s="48" t="str">
        <f t="shared" si="3"/>
        <v/>
      </c>
      <c r="Q3061" s="84"/>
      <c r="R3061" s="84"/>
      <c r="S3061" s="84"/>
      <c r="T3061" s="84"/>
      <c r="U3061" s="84"/>
      <c r="V3061" s="84"/>
      <c r="W3061" s="84"/>
      <c r="X3061" s="84"/>
      <c r="Y3061" s="84"/>
      <c r="Z3061" s="84"/>
      <c r="AA3061" s="84"/>
      <c r="AB3061" s="84"/>
    </row>
    <row r="3062">
      <c r="A3062" s="63">
        <v>204.0</v>
      </c>
      <c r="B3062" s="63">
        <v>333.0</v>
      </c>
      <c r="C3062" s="64" t="s">
        <v>659</v>
      </c>
      <c r="D3062" s="64" t="s">
        <v>660</v>
      </c>
      <c r="E3062" s="64" t="s">
        <v>661</v>
      </c>
      <c r="F3062" s="63">
        <v>1500.0</v>
      </c>
      <c r="G3062" s="63">
        <v>22.47</v>
      </c>
      <c r="H3062" s="66">
        <f t="shared" si="1"/>
        <v>47.06</v>
      </c>
      <c r="I3062" s="81">
        <f>IFERROR(__xludf.DUMMYFUNCTION("IF(G3062="""", """", ROUND(G3062 / MAX(FILTER($G$2:$G5067, $D$2:$D5067=$D3062)) * 100, 2))"),88.29)</f>
        <v>88.29</v>
      </c>
      <c r="J3062" s="81">
        <f>IFERROR(__xludf.DUMMYFUNCTION("IF(H3062="""", """", ROUND(H3062 / MAX(FILTER($H$2:$H5067, $D$2:$D5067=$D3062)) * 100, 2))"),23.65)</f>
        <v>23.65</v>
      </c>
      <c r="K3062" s="2"/>
      <c r="L3062" s="49"/>
      <c r="M3062" s="49"/>
      <c r="N3062" s="49"/>
      <c r="O3062" s="49" t="str">
        <f t="shared" si="2"/>
        <v/>
      </c>
      <c r="P3062" s="49" t="str">
        <f t="shared" si="3"/>
        <v/>
      </c>
      <c r="Q3062" s="84"/>
      <c r="R3062" s="84"/>
      <c r="S3062" s="84"/>
      <c r="T3062" s="84"/>
      <c r="U3062" s="84"/>
      <c r="V3062" s="84"/>
      <c r="W3062" s="84"/>
      <c r="X3062" s="84"/>
      <c r="Y3062" s="84"/>
      <c r="Z3062" s="84"/>
      <c r="AA3062" s="84"/>
      <c r="AB3062" s="84"/>
    </row>
    <row r="3063">
      <c r="A3063" s="69">
        <v>204.0</v>
      </c>
      <c r="B3063" s="69">
        <v>333.0</v>
      </c>
      <c r="C3063" s="86" t="s">
        <v>659</v>
      </c>
      <c r="D3063" s="86" t="s">
        <v>660</v>
      </c>
      <c r="E3063" s="86" t="s">
        <v>661</v>
      </c>
      <c r="F3063" s="69">
        <v>2000.0</v>
      </c>
      <c r="G3063" s="69">
        <v>25.07</v>
      </c>
      <c r="H3063" s="68">
        <f t="shared" si="1"/>
        <v>70.01</v>
      </c>
      <c r="I3063" s="81">
        <f>IFERROR(__xludf.DUMMYFUNCTION("IF(G3063="""", """", ROUND(G3063 / MAX(FILTER($G$2:$G5067, $D$2:$D5067=$D3063)) * 100, 2))"),98.51)</f>
        <v>98.51</v>
      </c>
      <c r="J3063" s="81">
        <f>IFERROR(__xludf.DUMMYFUNCTION("IF(H3063="""", """", ROUND(H3063 / MAX(FILTER($H$2:$H5067, $D$2:$D5067=$D3063)) * 100, 2))"),35.19)</f>
        <v>35.19</v>
      </c>
      <c r="K3063" s="2"/>
      <c r="L3063" s="48"/>
      <c r="M3063" s="48"/>
      <c r="N3063" s="48"/>
      <c r="O3063" s="48" t="str">
        <f t="shared" si="2"/>
        <v/>
      </c>
      <c r="P3063" s="48" t="str">
        <f t="shared" si="3"/>
        <v/>
      </c>
      <c r="Q3063" s="84"/>
      <c r="R3063" s="84"/>
      <c r="S3063" s="84"/>
      <c r="T3063" s="84"/>
      <c r="U3063" s="84"/>
      <c r="V3063" s="84"/>
      <c r="W3063" s="84"/>
      <c r="X3063" s="84"/>
      <c r="Y3063" s="84"/>
      <c r="Z3063" s="84"/>
      <c r="AA3063" s="84"/>
      <c r="AB3063" s="84"/>
    </row>
    <row r="3064">
      <c r="A3064" s="63">
        <v>204.0</v>
      </c>
      <c r="B3064" s="63">
        <v>333.0</v>
      </c>
      <c r="C3064" s="64" t="s">
        <v>659</v>
      </c>
      <c r="D3064" s="64" t="s">
        <v>660</v>
      </c>
      <c r="E3064" s="64" t="s">
        <v>661</v>
      </c>
      <c r="F3064" s="63">
        <v>2500.0</v>
      </c>
      <c r="G3064" s="63">
        <v>25.3</v>
      </c>
      <c r="H3064" s="66">
        <f t="shared" si="1"/>
        <v>88.31</v>
      </c>
      <c r="I3064" s="81">
        <f>IFERROR(__xludf.DUMMYFUNCTION("IF(G3064="""", """", ROUND(G3064 / MAX(FILTER($G$2:$G5067, $D$2:$D5067=$D3064)) * 100, 2))"),99.41)</f>
        <v>99.41</v>
      </c>
      <c r="J3064" s="81">
        <f>IFERROR(__xludf.DUMMYFUNCTION("IF(H3064="""", """", ROUND(H3064 / MAX(FILTER($H$2:$H5067, $D$2:$D5067=$D3064)) * 100, 2))"),44.38)</f>
        <v>44.38</v>
      </c>
      <c r="K3064" s="2"/>
      <c r="L3064" s="49"/>
      <c r="M3064" s="49"/>
      <c r="N3064" s="49"/>
      <c r="O3064" s="49" t="str">
        <f t="shared" si="2"/>
        <v/>
      </c>
      <c r="P3064" s="49" t="str">
        <f t="shared" si="3"/>
        <v/>
      </c>
      <c r="Q3064" s="84"/>
      <c r="R3064" s="84"/>
      <c r="S3064" s="84"/>
      <c r="T3064" s="84"/>
      <c r="U3064" s="84"/>
      <c r="V3064" s="84"/>
      <c r="W3064" s="84"/>
      <c r="X3064" s="84"/>
      <c r="Y3064" s="84"/>
      <c r="Z3064" s="84"/>
      <c r="AA3064" s="84"/>
      <c r="AB3064" s="84"/>
    </row>
    <row r="3065">
      <c r="A3065" s="69">
        <v>204.0</v>
      </c>
      <c r="B3065" s="69">
        <v>333.0</v>
      </c>
      <c r="C3065" s="86" t="s">
        <v>659</v>
      </c>
      <c r="D3065" s="86" t="s">
        <v>660</v>
      </c>
      <c r="E3065" s="86" t="s">
        <v>661</v>
      </c>
      <c r="F3065" s="69">
        <v>3000.0</v>
      </c>
      <c r="G3065" s="69">
        <v>25.37</v>
      </c>
      <c r="H3065" s="68">
        <f t="shared" si="1"/>
        <v>106.27</v>
      </c>
      <c r="I3065" s="81">
        <f>IFERROR(__xludf.DUMMYFUNCTION("IF(G3065="""", """", ROUND(G3065 / MAX(FILTER($G$2:$G5067, $D$2:$D5067=$D3065)) * 100, 2))"),99.69)</f>
        <v>99.69</v>
      </c>
      <c r="J3065" s="81">
        <f>IFERROR(__xludf.DUMMYFUNCTION("IF(H3065="""", """", ROUND(H3065 / MAX(FILTER($H$2:$H5067, $D$2:$D5067=$D3065)) * 100, 2))"),53.41)</f>
        <v>53.41</v>
      </c>
      <c r="K3065" s="2"/>
      <c r="L3065" s="48"/>
      <c r="M3065" s="48"/>
      <c r="N3065" s="48"/>
      <c r="O3065" s="48" t="str">
        <f t="shared" si="2"/>
        <v/>
      </c>
      <c r="P3065" s="48" t="str">
        <f t="shared" si="3"/>
        <v/>
      </c>
      <c r="Q3065" s="84"/>
      <c r="R3065" s="84"/>
      <c r="S3065" s="84"/>
      <c r="T3065" s="84"/>
      <c r="U3065" s="84"/>
      <c r="V3065" s="84"/>
      <c r="W3065" s="84"/>
      <c r="X3065" s="84"/>
      <c r="Y3065" s="84"/>
      <c r="Z3065" s="84"/>
      <c r="AA3065" s="84"/>
      <c r="AB3065" s="84"/>
    </row>
    <row r="3066">
      <c r="A3066" s="63">
        <v>204.0</v>
      </c>
      <c r="B3066" s="63">
        <v>333.0</v>
      </c>
      <c r="C3066" s="64" t="s">
        <v>659</v>
      </c>
      <c r="D3066" s="64" t="s">
        <v>660</v>
      </c>
      <c r="E3066" s="64" t="s">
        <v>661</v>
      </c>
      <c r="F3066" s="63">
        <v>3500.0</v>
      </c>
      <c r="G3066" s="63">
        <v>25.45</v>
      </c>
      <c r="H3066" s="66">
        <f t="shared" si="1"/>
        <v>124.37</v>
      </c>
      <c r="I3066" s="81">
        <f>IFERROR(__xludf.DUMMYFUNCTION("IF(G3066="""", """", ROUND(G3066 / MAX(FILTER($G$2:$G5067, $D$2:$D5067=$D3066)) * 100, 2))"),100.0)</f>
        <v>100</v>
      </c>
      <c r="J3066" s="81">
        <f>IFERROR(__xludf.DUMMYFUNCTION("IF(H3066="""", """", ROUND(H3066 / MAX(FILTER($H$2:$H5067, $D$2:$D5067=$D3066)) * 100, 2))"),62.51)</f>
        <v>62.51</v>
      </c>
      <c r="K3066" s="2"/>
      <c r="L3066" s="49"/>
      <c r="M3066" s="49"/>
      <c r="N3066" s="49"/>
      <c r="O3066" s="49" t="str">
        <f t="shared" si="2"/>
        <v/>
      </c>
      <c r="P3066" s="49" t="str">
        <f t="shared" si="3"/>
        <v/>
      </c>
      <c r="Q3066" s="84"/>
      <c r="R3066" s="84"/>
      <c r="S3066" s="84"/>
      <c r="T3066" s="84"/>
      <c r="U3066" s="84"/>
      <c r="V3066" s="84"/>
      <c r="W3066" s="84"/>
      <c r="X3066" s="84"/>
      <c r="Y3066" s="84"/>
      <c r="Z3066" s="84"/>
      <c r="AA3066" s="84"/>
      <c r="AB3066" s="84"/>
    </row>
    <row r="3067">
      <c r="A3067" s="69">
        <v>204.0</v>
      </c>
      <c r="B3067" s="69">
        <v>333.0</v>
      </c>
      <c r="C3067" s="86" t="s">
        <v>659</v>
      </c>
      <c r="D3067" s="86" t="s">
        <v>660</v>
      </c>
      <c r="E3067" s="86" t="s">
        <v>661</v>
      </c>
      <c r="F3067" s="69">
        <v>4000.0</v>
      </c>
      <c r="G3067" s="69">
        <v>25.3</v>
      </c>
      <c r="H3067" s="68">
        <f t="shared" si="1"/>
        <v>141.3</v>
      </c>
      <c r="I3067" s="81">
        <f>IFERROR(__xludf.DUMMYFUNCTION("IF(G3067="""", """", ROUND(G3067 / MAX(FILTER($G$2:$G5067, $D$2:$D5067=$D3067)) * 100, 2))"),99.41)</f>
        <v>99.41</v>
      </c>
      <c r="J3067" s="81">
        <f>IFERROR(__xludf.DUMMYFUNCTION("IF(H3067="""", """", ROUND(H3067 / MAX(FILTER($H$2:$H5067, $D$2:$D5067=$D3067)) * 100, 2))"),71.02)</f>
        <v>71.02</v>
      </c>
      <c r="K3067" s="2"/>
      <c r="L3067" s="48"/>
      <c r="M3067" s="48"/>
      <c r="N3067" s="48"/>
      <c r="O3067" s="48" t="str">
        <f t="shared" si="2"/>
        <v/>
      </c>
      <c r="P3067" s="48" t="str">
        <f t="shared" si="3"/>
        <v/>
      </c>
      <c r="Q3067" s="84"/>
      <c r="R3067" s="84"/>
      <c r="S3067" s="84"/>
      <c r="T3067" s="84"/>
      <c r="U3067" s="84"/>
      <c r="V3067" s="84"/>
      <c r="W3067" s="84"/>
      <c r="X3067" s="84"/>
      <c r="Y3067" s="84"/>
      <c r="Z3067" s="84"/>
      <c r="AA3067" s="84"/>
      <c r="AB3067" s="84"/>
    </row>
    <row r="3068">
      <c r="A3068" s="63">
        <v>204.0</v>
      </c>
      <c r="B3068" s="63">
        <v>333.0</v>
      </c>
      <c r="C3068" s="64" t="s">
        <v>659</v>
      </c>
      <c r="D3068" s="64" t="s">
        <v>660</v>
      </c>
      <c r="E3068" s="64" t="s">
        <v>661</v>
      </c>
      <c r="F3068" s="63">
        <v>4500.0</v>
      </c>
      <c r="G3068" s="63">
        <v>25.22</v>
      </c>
      <c r="H3068" s="66">
        <f t="shared" si="1"/>
        <v>158.46</v>
      </c>
      <c r="I3068" s="81">
        <f>IFERROR(__xludf.DUMMYFUNCTION("IF(G3068="""", """", ROUND(G3068 / MAX(FILTER($G$2:$G5067, $D$2:$D5067=$D3068)) * 100, 2))"),99.1)</f>
        <v>99.1</v>
      </c>
      <c r="J3068" s="81">
        <f>IFERROR(__xludf.DUMMYFUNCTION("IF(H3068="""", """", ROUND(H3068 / MAX(FILTER($H$2:$H5067, $D$2:$D5067=$D3068)) * 100, 2))"),79.64)</f>
        <v>79.64</v>
      </c>
      <c r="K3068" s="2"/>
      <c r="L3068" s="49"/>
      <c r="M3068" s="49"/>
      <c r="N3068" s="49"/>
      <c r="O3068" s="49" t="str">
        <f t="shared" si="2"/>
        <v/>
      </c>
      <c r="P3068" s="49" t="str">
        <f t="shared" si="3"/>
        <v/>
      </c>
      <c r="Q3068" s="84"/>
      <c r="R3068" s="84"/>
      <c r="S3068" s="84"/>
      <c r="T3068" s="84"/>
      <c r="U3068" s="84"/>
      <c r="V3068" s="84"/>
      <c r="W3068" s="84"/>
      <c r="X3068" s="84"/>
      <c r="Y3068" s="84"/>
      <c r="Z3068" s="84"/>
      <c r="AA3068" s="84"/>
      <c r="AB3068" s="84"/>
    </row>
    <row r="3069">
      <c r="A3069" s="69">
        <v>204.0</v>
      </c>
      <c r="B3069" s="69">
        <v>333.0</v>
      </c>
      <c r="C3069" s="86" t="s">
        <v>659</v>
      </c>
      <c r="D3069" s="86" t="s">
        <v>660</v>
      </c>
      <c r="E3069" s="86" t="s">
        <v>661</v>
      </c>
      <c r="F3069" s="69">
        <v>5000.0</v>
      </c>
      <c r="G3069" s="69">
        <v>25.15</v>
      </c>
      <c r="H3069" s="68">
        <f t="shared" si="1"/>
        <v>175.58</v>
      </c>
      <c r="I3069" s="81">
        <f>IFERROR(__xludf.DUMMYFUNCTION("IF(G3069="""", """", ROUND(G3069 / MAX(FILTER($G$2:$G5067, $D$2:$D5067=$D3069)) * 100, 2))"),98.82)</f>
        <v>98.82</v>
      </c>
      <c r="J3069" s="81">
        <f>IFERROR(__xludf.DUMMYFUNCTION("IF(H3069="""", """", ROUND(H3069 / MAX(FILTER($H$2:$H5067, $D$2:$D5067=$D3069)) * 100, 2))"),88.24)</f>
        <v>88.24</v>
      </c>
      <c r="K3069" s="2"/>
      <c r="L3069" s="48"/>
      <c r="M3069" s="48"/>
      <c r="N3069" s="48"/>
      <c r="O3069" s="48" t="str">
        <f t="shared" si="2"/>
        <v/>
      </c>
      <c r="P3069" s="48" t="str">
        <f t="shared" si="3"/>
        <v/>
      </c>
      <c r="Q3069" s="84"/>
      <c r="R3069" s="84"/>
      <c r="S3069" s="84"/>
      <c r="T3069" s="84"/>
      <c r="U3069" s="84"/>
      <c r="V3069" s="84"/>
      <c r="W3069" s="84"/>
      <c r="X3069" s="84"/>
      <c r="Y3069" s="84"/>
      <c r="Z3069" s="84"/>
      <c r="AA3069" s="84"/>
      <c r="AB3069" s="84"/>
    </row>
    <row r="3070">
      <c r="A3070" s="63">
        <v>204.0</v>
      </c>
      <c r="B3070" s="63">
        <v>333.0</v>
      </c>
      <c r="C3070" s="64" t="s">
        <v>659</v>
      </c>
      <c r="D3070" s="64" t="s">
        <v>660</v>
      </c>
      <c r="E3070" s="64" t="s">
        <v>661</v>
      </c>
      <c r="F3070" s="63">
        <v>5700.0</v>
      </c>
      <c r="G3070" s="63">
        <v>25.0</v>
      </c>
      <c r="H3070" s="66">
        <f t="shared" si="1"/>
        <v>198.97</v>
      </c>
      <c r="I3070" s="81">
        <f>IFERROR(__xludf.DUMMYFUNCTION("IF(G3070="""", """", ROUND(G3070 / MAX(FILTER($G$2:$G5067, $D$2:$D5067=$D3070)) * 100, 2))"),98.23)</f>
        <v>98.23</v>
      </c>
      <c r="J3070" s="81">
        <f>IFERROR(__xludf.DUMMYFUNCTION("IF(H3070="""", """", ROUND(H3070 / MAX(FILTER($H$2:$H5067, $D$2:$D5067=$D3070)) * 100, 2))"),100.0)</f>
        <v>100</v>
      </c>
      <c r="K3070" s="2"/>
      <c r="L3070" s="49"/>
      <c r="M3070" s="49"/>
      <c r="N3070" s="49"/>
      <c r="O3070" s="49" t="str">
        <f t="shared" si="2"/>
        <v/>
      </c>
      <c r="P3070" s="49" t="str">
        <f t="shared" si="3"/>
        <v/>
      </c>
      <c r="Q3070" s="84"/>
      <c r="R3070" s="84"/>
      <c r="S3070" s="84"/>
      <c r="T3070" s="84"/>
      <c r="U3070" s="84"/>
      <c r="V3070" s="84"/>
      <c r="W3070" s="84"/>
      <c r="X3070" s="84"/>
      <c r="Y3070" s="84"/>
      <c r="Z3070" s="84"/>
      <c r="AA3070" s="84"/>
      <c r="AB3070" s="84"/>
    </row>
    <row r="3071">
      <c r="A3071" s="69">
        <v>204.0</v>
      </c>
      <c r="B3071" s="69">
        <v>333.0</v>
      </c>
      <c r="C3071" s="86" t="s">
        <v>659</v>
      </c>
      <c r="D3071" s="86" t="s">
        <v>660</v>
      </c>
      <c r="E3071" s="86" t="s">
        <v>661</v>
      </c>
      <c r="F3071" s="69">
        <v>6000.0</v>
      </c>
      <c r="G3071" s="69">
        <v>23.55</v>
      </c>
      <c r="H3071" s="68">
        <f t="shared" si="1"/>
        <v>197.29</v>
      </c>
      <c r="I3071" s="81">
        <f>IFERROR(__xludf.DUMMYFUNCTION("IF(G3071="""", """", ROUND(G3071 / MAX(FILTER($G$2:$G5067, $D$2:$D5067=$D3071)) * 100, 2))"),92.53)</f>
        <v>92.53</v>
      </c>
      <c r="J3071" s="81">
        <f>IFERROR(__xludf.DUMMYFUNCTION("IF(H3071="""", """", ROUND(H3071 / MAX(FILTER($H$2:$H5067, $D$2:$D5067=$D3071)) * 100, 2))"),99.16)</f>
        <v>99.16</v>
      </c>
      <c r="K3071" s="2"/>
      <c r="L3071" s="48"/>
      <c r="M3071" s="48"/>
      <c r="N3071" s="48"/>
      <c r="O3071" s="48" t="str">
        <f t="shared" si="2"/>
        <v/>
      </c>
      <c r="P3071" s="48" t="str">
        <f t="shared" si="3"/>
        <v/>
      </c>
      <c r="Q3071" s="84"/>
      <c r="R3071" s="84"/>
      <c r="S3071" s="84"/>
      <c r="T3071" s="84"/>
      <c r="U3071" s="84"/>
      <c r="V3071" s="84"/>
      <c r="W3071" s="84"/>
      <c r="X3071" s="84"/>
      <c r="Y3071" s="84"/>
      <c r="Z3071" s="84"/>
      <c r="AA3071" s="84"/>
      <c r="AB3071" s="84"/>
    </row>
    <row r="3072">
      <c r="A3072" s="63">
        <v>204.0</v>
      </c>
      <c r="B3072" s="63">
        <v>333.0</v>
      </c>
      <c r="C3072" s="64" t="s">
        <v>659</v>
      </c>
      <c r="D3072" s="64" t="s">
        <v>660</v>
      </c>
      <c r="E3072" s="64" t="s">
        <v>661</v>
      </c>
      <c r="F3072" s="63">
        <v>6500.0</v>
      </c>
      <c r="G3072" s="63">
        <v>20.27</v>
      </c>
      <c r="H3072" s="66">
        <f t="shared" si="1"/>
        <v>183.96</v>
      </c>
      <c r="I3072" s="81">
        <f>IFERROR(__xludf.DUMMYFUNCTION("IF(G3072="""", """", ROUND(G3072 / MAX(FILTER($G$2:$G5067, $D$2:$D5067=$D3072)) * 100, 2))"),79.65)</f>
        <v>79.65</v>
      </c>
      <c r="J3072" s="81">
        <f>IFERROR(__xludf.DUMMYFUNCTION("IF(H3072="""", """", ROUND(H3072 / MAX(FILTER($H$2:$H5067, $D$2:$D5067=$D3072)) * 100, 2))"),92.46)</f>
        <v>92.46</v>
      </c>
      <c r="K3072" s="2"/>
      <c r="L3072" s="49"/>
      <c r="M3072" s="49"/>
      <c r="N3072" s="49"/>
      <c r="O3072" s="49" t="str">
        <f t="shared" si="2"/>
        <v/>
      </c>
      <c r="P3072" s="49" t="str">
        <f t="shared" si="3"/>
        <v/>
      </c>
      <c r="Q3072" s="84"/>
      <c r="R3072" s="84"/>
      <c r="S3072" s="84"/>
      <c r="T3072" s="84"/>
      <c r="U3072" s="84"/>
      <c r="V3072" s="84"/>
      <c r="W3072" s="84"/>
      <c r="X3072" s="84"/>
      <c r="Y3072" s="84"/>
      <c r="Z3072" s="84"/>
      <c r="AA3072" s="84"/>
      <c r="AB3072" s="84"/>
    </row>
    <row r="3073">
      <c r="A3073" s="69">
        <v>204.0</v>
      </c>
      <c r="B3073" s="69">
        <v>333.0</v>
      </c>
      <c r="C3073" s="86" t="s">
        <v>659</v>
      </c>
      <c r="D3073" s="86" t="s">
        <v>660</v>
      </c>
      <c r="E3073" s="86" t="s">
        <v>661</v>
      </c>
      <c r="F3073" s="69">
        <v>7000.0</v>
      </c>
      <c r="G3073" s="69">
        <v>16.05</v>
      </c>
      <c r="H3073" s="68">
        <f t="shared" si="1"/>
        <v>156.87</v>
      </c>
      <c r="I3073" s="81">
        <f>IFERROR(__xludf.DUMMYFUNCTION("IF(G3073="""", """", ROUND(G3073 / MAX(FILTER($G$2:$G5067, $D$2:$D5067=$D3073)) * 100, 2))"),63.06)</f>
        <v>63.06</v>
      </c>
      <c r="J3073" s="81">
        <f>IFERROR(__xludf.DUMMYFUNCTION("IF(H3073="""", """", ROUND(H3073 / MAX(FILTER($H$2:$H5067, $D$2:$D5067=$D3073)) * 100, 2))"),78.84)</f>
        <v>78.84</v>
      </c>
      <c r="K3073" s="2"/>
      <c r="L3073" s="48"/>
      <c r="M3073" s="48"/>
      <c r="N3073" s="48"/>
      <c r="O3073" s="48" t="str">
        <f t="shared" si="2"/>
        <v/>
      </c>
      <c r="P3073" s="48" t="str">
        <f t="shared" si="3"/>
        <v/>
      </c>
      <c r="Q3073" s="84"/>
      <c r="R3073" s="84"/>
      <c r="S3073" s="84"/>
      <c r="T3073" s="84"/>
      <c r="U3073" s="84"/>
      <c r="V3073" s="84"/>
      <c r="W3073" s="84"/>
      <c r="X3073" s="84"/>
      <c r="Y3073" s="84"/>
      <c r="Z3073" s="84"/>
      <c r="AA3073" s="84"/>
      <c r="AB3073" s="84"/>
    </row>
    <row r="3074">
      <c r="A3074" s="63">
        <v>204.0</v>
      </c>
      <c r="B3074" s="63">
        <v>333.0</v>
      </c>
      <c r="C3074" s="64" t="s">
        <v>659</v>
      </c>
      <c r="D3074" s="64" t="s">
        <v>660</v>
      </c>
      <c r="E3074" s="64" t="s">
        <v>661</v>
      </c>
      <c r="F3074" s="63">
        <v>7500.0</v>
      </c>
      <c r="G3074" s="63">
        <v>11.77</v>
      </c>
      <c r="H3074" s="66">
        <f t="shared" si="1"/>
        <v>123.25</v>
      </c>
      <c r="I3074" s="81">
        <f>IFERROR(__xludf.DUMMYFUNCTION("IF(G3074="""", """", ROUND(G3074 / MAX(FILTER($G$2:$G5067, $D$2:$D5067=$D3074)) * 100, 2))"),46.25)</f>
        <v>46.25</v>
      </c>
      <c r="J3074" s="81">
        <f>IFERROR(__xludf.DUMMYFUNCTION("IF(H3074="""", """", ROUND(H3074 / MAX(FILTER($H$2:$H5067, $D$2:$D5067=$D3074)) * 100, 2))"),61.94)</f>
        <v>61.94</v>
      </c>
      <c r="K3074" s="2"/>
      <c r="L3074" s="49"/>
      <c r="M3074" s="49"/>
      <c r="N3074" s="49"/>
      <c r="O3074" s="49" t="str">
        <f t="shared" si="2"/>
        <v/>
      </c>
      <c r="P3074" s="49" t="str">
        <f t="shared" si="3"/>
        <v/>
      </c>
      <c r="Q3074" s="84"/>
      <c r="R3074" s="84"/>
      <c r="S3074" s="84"/>
      <c r="T3074" s="84"/>
      <c r="U3074" s="84"/>
      <c r="V3074" s="84"/>
      <c r="W3074" s="84"/>
      <c r="X3074" s="84"/>
      <c r="Y3074" s="84"/>
      <c r="Z3074" s="84"/>
      <c r="AA3074" s="84"/>
      <c r="AB3074" s="84"/>
    </row>
    <row r="3075">
      <c r="A3075" s="69">
        <v>205.0</v>
      </c>
      <c r="B3075" s="69">
        <v>334.0</v>
      </c>
      <c r="C3075" s="86" t="s">
        <v>662</v>
      </c>
      <c r="D3075" s="86" t="s">
        <v>663</v>
      </c>
      <c r="E3075" s="86" t="s">
        <v>664</v>
      </c>
      <c r="F3075" s="69">
        <v>500.0</v>
      </c>
      <c r="G3075" s="69">
        <v>32.4</v>
      </c>
      <c r="H3075" s="68">
        <f t="shared" si="1"/>
        <v>22.62</v>
      </c>
      <c r="I3075" s="81">
        <f>IFERROR(__xludf.DUMMYFUNCTION("IF(G3075="""", """", ROUND(G3075 / MAX(FILTER($G$2:$G5067, $D$2:$D5067=$D3075)) * 100, 2))"),46.29)</f>
        <v>46.29</v>
      </c>
      <c r="J3075" s="81">
        <f>IFERROR(__xludf.DUMMYFUNCTION("IF(H3075="""", """", ROUND(H3075 / MAX(FILTER($H$2:$H5067, $D$2:$D5067=$D3075)) * 100, 2))"),3.79)</f>
        <v>3.79</v>
      </c>
      <c r="K3075" s="2"/>
      <c r="L3075" s="48"/>
      <c r="M3075" s="48"/>
      <c r="N3075" s="48"/>
      <c r="O3075" s="48" t="str">
        <f t="shared" si="2"/>
        <v/>
      </c>
      <c r="P3075" s="48" t="str">
        <f t="shared" si="3"/>
        <v/>
      </c>
      <c r="Q3075" s="84"/>
      <c r="R3075" s="84"/>
      <c r="S3075" s="84"/>
      <c r="T3075" s="84"/>
      <c r="U3075" s="84"/>
      <c r="V3075" s="84"/>
      <c r="W3075" s="84"/>
      <c r="X3075" s="84"/>
      <c r="Y3075" s="84"/>
      <c r="Z3075" s="84"/>
      <c r="AA3075" s="84"/>
      <c r="AB3075" s="84"/>
    </row>
    <row r="3076">
      <c r="A3076" s="63">
        <v>205.0</v>
      </c>
      <c r="B3076" s="63">
        <v>334.0</v>
      </c>
      <c r="C3076" s="64" t="s">
        <v>662</v>
      </c>
      <c r="D3076" s="64" t="s">
        <v>663</v>
      </c>
      <c r="E3076" s="64" t="s">
        <v>664</v>
      </c>
      <c r="F3076" s="63">
        <v>1000.0</v>
      </c>
      <c r="G3076" s="63">
        <v>40.8</v>
      </c>
      <c r="H3076" s="66">
        <f t="shared" si="1"/>
        <v>56.97</v>
      </c>
      <c r="I3076" s="81">
        <f>IFERROR(__xludf.DUMMYFUNCTION("IF(G3076="""", """", ROUND(G3076 / MAX(FILTER($G$2:$G5067, $D$2:$D5067=$D3076)) * 100, 2))"),58.29)</f>
        <v>58.29</v>
      </c>
      <c r="J3076" s="81">
        <f>IFERROR(__xludf.DUMMYFUNCTION("IF(H3076="""", """", ROUND(H3076 / MAX(FILTER($H$2:$H5067, $D$2:$D5067=$D3076)) * 100, 2))"),9.54)</f>
        <v>9.54</v>
      </c>
      <c r="K3076" s="2"/>
      <c r="L3076" s="49"/>
      <c r="M3076" s="49"/>
      <c r="N3076" s="49"/>
      <c r="O3076" s="49" t="str">
        <f t="shared" si="2"/>
        <v/>
      </c>
      <c r="P3076" s="49" t="str">
        <f t="shared" si="3"/>
        <v/>
      </c>
      <c r="Q3076" s="84"/>
      <c r="R3076" s="84"/>
      <c r="S3076" s="84"/>
      <c r="T3076" s="84"/>
      <c r="U3076" s="84"/>
      <c r="V3076" s="84"/>
      <c r="W3076" s="84"/>
      <c r="X3076" s="84"/>
      <c r="Y3076" s="84"/>
      <c r="Z3076" s="84"/>
      <c r="AA3076" s="84"/>
      <c r="AB3076" s="84"/>
    </row>
    <row r="3077">
      <c r="A3077" s="69">
        <v>205.0</v>
      </c>
      <c r="B3077" s="69">
        <v>334.0</v>
      </c>
      <c r="C3077" s="86" t="s">
        <v>662</v>
      </c>
      <c r="D3077" s="86" t="s">
        <v>663</v>
      </c>
      <c r="E3077" s="86" t="s">
        <v>664</v>
      </c>
      <c r="F3077" s="69">
        <v>1500.0</v>
      </c>
      <c r="G3077" s="69">
        <v>48.0</v>
      </c>
      <c r="H3077" s="68">
        <f t="shared" si="1"/>
        <v>100.53</v>
      </c>
      <c r="I3077" s="81">
        <f>IFERROR(__xludf.DUMMYFUNCTION("IF(G3077="""", """", ROUND(G3077 / MAX(FILTER($G$2:$G5067, $D$2:$D5067=$D3077)) * 100, 2))"),68.57)</f>
        <v>68.57</v>
      </c>
      <c r="J3077" s="81">
        <f>IFERROR(__xludf.DUMMYFUNCTION("IF(H3077="""", """", ROUND(H3077 / MAX(FILTER($H$2:$H5067, $D$2:$D5067=$D3077)) * 100, 2))"),16.84)</f>
        <v>16.84</v>
      </c>
      <c r="K3077" s="2"/>
      <c r="L3077" s="48"/>
      <c r="M3077" s="48"/>
      <c r="N3077" s="48"/>
      <c r="O3077" s="48" t="str">
        <f t="shared" si="2"/>
        <v/>
      </c>
      <c r="P3077" s="48" t="str">
        <f t="shared" si="3"/>
        <v/>
      </c>
      <c r="Q3077" s="84"/>
      <c r="R3077" s="84"/>
      <c r="S3077" s="84"/>
      <c r="T3077" s="84"/>
      <c r="U3077" s="84"/>
      <c r="V3077" s="84"/>
      <c r="W3077" s="84"/>
      <c r="X3077" s="84"/>
      <c r="Y3077" s="84"/>
      <c r="Z3077" s="84"/>
      <c r="AA3077" s="84"/>
      <c r="AB3077" s="84"/>
    </row>
    <row r="3078">
      <c r="A3078" s="63">
        <v>205.0</v>
      </c>
      <c r="B3078" s="63">
        <v>334.0</v>
      </c>
      <c r="C3078" s="64" t="s">
        <v>662</v>
      </c>
      <c r="D3078" s="64" t="s">
        <v>663</v>
      </c>
      <c r="E3078" s="64" t="s">
        <v>664</v>
      </c>
      <c r="F3078" s="63">
        <v>2000.0</v>
      </c>
      <c r="G3078" s="63">
        <v>55.0</v>
      </c>
      <c r="H3078" s="66">
        <f t="shared" si="1"/>
        <v>153.59</v>
      </c>
      <c r="I3078" s="81">
        <f>IFERROR(__xludf.DUMMYFUNCTION("IF(G3078="""", """", ROUND(G3078 / MAX(FILTER($G$2:$G5067, $D$2:$D5067=$D3078)) * 100, 2))"),78.57)</f>
        <v>78.57</v>
      </c>
      <c r="J3078" s="81">
        <f>IFERROR(__xludf.DUMMYFUNCTION("IF(H3078="""", """", ROUND(H3078 / MAX(FILTER($H$2:$H5067, $D$2:$D5067=$D3078)) * 100, 2))"),25.73)</f>
        <v>25.73</v>
      </c>
      <c r="K3078" s="2"/>
      <c r="L3078" s="49"/>
      <c r="M3078" s="49"/>
      <c r="N3078" s="49"/>
      <c r="O3078" s="49" t="str">
        <f t="shared" si="2"/>
        <v/>
      </c>
      <c r="P3078" s="49" t="str">
        <f t="shared" si="3"/>
        <v/>
      </c>
      <c r="Q3078" s="84"/>
      <c r="R3078" s="84"/>
      <c r="S3078" s="84"/>
      <c r="T3078" s="84"/>
      <c r="U3078" s="84"/>
      <c r="V3078" s="84"/>
      <c r="W3078" s="84"/>
      <c r="X3078" s="84"/>
      <c r="Y3078" s="84"/>
      <c r="Z3078" s="84"/>
      <c r="AA3078" s="84"/>
      <c r="AB3078" s="84"/>
    </row>
    <row r="3079">
      <c r="A3079" s="69">
        <v>205.0</v>
      </c>
      <c r="B3079" s="69">
        <v>334.0</v>
      </c>
      <c r="C3079" s="86" t="s">
        <v>662</v>
      </c>
      <c r="D3079" s="86" t="s">
        <v>663</v>
      </c>
      <c r="E3079" s="86" t="s">
        <v>664</v>
      </c>
      <c r="F3079" s="69">
        <v>2500.0</v>
      </c>
      <c r="G3079" s="69">
        <v>60.2</v>
      </c>
      <c r="H3079" s="68">
        <f t="shared" si="1"/>
        <v>210.14</v>
      </c>
      <c r="I3079" s="81">
        <f>IFERROR(__xludf.DUMMYFUNCTION("IF(G3079="""", """", ROUND(G3079 / MAX(FILTER($G$2:$G5067, $D$2:$D5067=$D3079)) * 100, 2))"),86.0)</f>
        <v>86</v>
      </c>
      <c r="J3079" s="81">
        <f>IFERROR(__xludf.DUMMYFUNCTION("IF(H3079="""", """", ROUND(H3079 / MAX(FILTER($H$2:$H5067, $D$2:$D5067=$D3079)) * 100, 2))"),35.21)</f>
        <v>35.21</v>
      </c>
      <c r="K3079" s="2"/>
      <c r="L3079" s="48"/>
      <c r="M3079" s="48"/>
      <c r="N3079" s="48"/>
      <c r="O3079" s="48" t="str">
        <f t="shared" si="2"/>
        <v/>
      </c>
      <c r="P3079" s="48" t="str">
        <f t="shared" si="3"/>
        <v/>
      </c>
      <c r="Q3079" s="84"/>
      <c r="R3079" s="84"/>
      <c r="S3079" s="84"/>
      <c r="T3079" s="84"/>
      <c r="U3079" s="84"/>
      <c r="V3079" s="84"/>
      <c r="W3079" s="84"/>
      <c r="X3079" s="84"/>
      <c r="Y3079" s="84"/>
      <c r="Z3079" s="84"/>
      <c r="AA3079" s="84"/>
      <c r="AB3079" s="84"/>
    </row>
    <row r="3080">
      <c r="A3080" s="63">
        <v>205.0</v>
      </c>
      <c r="B3080" s="63">
        <v>334.0</v>
      </c>
      <c r="C3080" s="64" t="s">
        <v>662</v>
      </c>
      <c r="D3080" s="64" t="s">
        <v>663</v>
      </c>
      <c r="E3080" s="64" t="s">
        <v>664</v>
      </c>
      <c r="F3080" s="63">
        <v>3000.0</v>
      </c>
      <c r="G3080" s="63">
        <v>64.4</v>
      </c>
      <c r="H3080" s="66">
        <f t="shared" si="1"/>
        <v>269.76</v>
      </c>
      <c r="I3080" s="81">
        <f>IFERROR(__xludf.DUMMYFUNCTION("IF(G3080="""", """", ROUND(G3080 / MAX(FILTER($G$2:$G5067, $D$2:$D5067=$D3080)) * 100, 2))"),92.0)</f>
        <v>92</v>
      </c>
      <c r="J3080" s="81">
        <f>IFERROR(__xludf.DUMMYFUNCTION("IF(H3080="""", """", ROUND(H3080 / MAX(FILTER($H$2:$H5067, $D$2:$D5067=$D3080)) * 100, 2))"),45.19)</f>
        <v>45.19</v>
      </c>
      <c r="K3080" s="2"/>
      <c r="L3080" s="49"/>
      <c r="M3080" s="49"/>
      <c r="N3080" s="49"/>
      <c r="O3080" s="49" t="str">
        <f t="shared" si="2"/>
        <v/>
      </c>
      <c r="P3080" s="49" t="str">
        <f t="shared" si="3"/>
        <v/>
      </c>
      <c r="Q3080" s="84"/>
      <c r="R3080" s="84"/>
      <c r="S3080" s="84"/>
      <c r="T3080" s="84"/>
      <c r="U3080" s="84"/>
      <c r="V3080" s="84"/>
      <c r="W3080" s="84"/>
      <c r="X3080" s="84"/>
      <c r="Y3080" s="84"/>
      <c r="Z3080" s="84"/>
      <c r="AA3080" s="84"/>
      <c r="AB3080" s="84"/>
    </row>
    <row r="3081">
      <c r="A3081" s="69">
        <v>205.0</v>
      </c>
      <c r="B3081" s="69">
        <v>334.0</v>
      </c>
      <c r="C3081" s="86" t="s">
        <v>662</v>
      </c>
      <c r="D3081" s="86" t="s">
        <v>663</v>
      </c>
      <c r="E3081" s="86" t="s">
        <v>664</v>
      </c>
      <c r="F3081" s="69">
        <v>3500.0</v>
      </c>
      <c r="G3081" s="69">
        <v>67.4</v>
      </c>
      <c r="H3081" s="68">
        <f t="shared" si="1"/>
        <v>329.38</v>
      </c>
      <c r="I3081" s="81">
        <f>IFERROR(__xludf.DUMMYFUNCTION("IF(G3081="""", """", ROUND(G3081 / MAX(FILTER($G$2:$G5067, $D$2:$D5067=$D3081)) * 100, 2))"),96.29)</f>
        <v>96.29</v>
      </c>
      <c r="J3081" s="81">
        <f>IFERROR(__xludf.DUMMYFUNCTION("IF(H3081="""", """", ROUND(H3081 / MAX(FILTER($H$2:$H5067, $D$2:$D5067=$D3081)) * 100, 2))"),55.18)</f>
        <v>55.18</v>
      </c>
      <c r="K3081" s="2"/>
      <c r="L3081" s="48"/>
      <c r="M3081" s="48"/>
      <c r="N3081" s="48"/>
      <c r="O3081" s="48" t="str">
        <f t="shared" si="2"/>
        <v/>
      </c>
      <c r="P3081" s="48" t="str">
        <f t="shared" si="3"/>
        <v/>
      </c>
      <c r="Q3081" s="84"/>
      <c r="R3081" s="84"/>
      <c r="S3081" s="84"/>
      <c r="T3081" s="84"/>
      <c r="U3081" s="84"/>
      <c r="V3081" s="84"/>
      <c r="W3081" s="84"/>
      <c r="X3081" s="84"/>
      <c r="Y3081" s="84"/>
      <c r="Z3081" s="84"/>
      <c r="AA3081" s="84"/>
      <c r="AB3081" s="84"/>
    </row>
    <row r="3082">
      <c r="A3082" s="63">
        <v>205.0</v>
      </c>
      <c r="B3082" s="63">
        <v>334.0</v>
      </c>
      <c r="C3082" s="64" t="s">
        <v>662</v>
      </c>
      <c r="D3082" s="64" t="s">
        <v>663</v>
      </c>
      <c r="E3082" s="64" t="s">
        <v>664</v>
      </c>
      <c r="F3082" s="63">
        <v>4000.0</v>
      </c>
      <c r="G3082" s="63">
        <v>69.2</v>
      </c>
      <c r="H3082" s="66">
        <f t="shared" si="1"/>
        <v>386.48</v>
      </c>
      <c r="I3082" s="81">
        <f>IFERROR(__xludf.DUMMYFUNCTION("IF(G3082="""", """", ROUND(G3082 / MAX(FILTER($G$2:$G5067, $D$2:$D5067=$D3082)) * 100, 2))"),98.86)</f>
        <v>98.86</v>
      </c>
      <c r="J3082" s="81">
        <f>IFERROR(__xludf.DUMMYFUNCTION("IF(H3082="""", """", ROUND(H3082 / MAX(FILTER($H$2:$H5067, $D$2:$D5067=$D3082)) * 100, 2))"),64.75)</f>
        <v>64.75</v>
      </c>
      <c r="K3082" s="2"/>
      <c r="L3082" s="49"/>
      <c r="M3082" s="49"/>
      <c r="N3082" s="49"/>
      <c r="O3082" s="49" t="str">
        <f t="shared" si="2"/>
        <v/>
      </c>
      <c r="P3082" s="49" t="str">
        <f t="shared" si="3"/>
        <v/>
      </c>
      <c r="Q3082" s="84"/>
      <c r="R3082" s="84"/>
      <c r="S3082" s="84"/>
      <c r="T3082" s="84"/>
      <c r="U3082" s="84"/>
      <c r="V3082" s="84"/>
      <c r="W3082" s="84"/>
      <c r="X3082" s="84"/>
      <c r="Y3082" s="84"/>
      <c r="Z3082" s="84"/>
      <c r="AA3082" s="84"/>
      <c r="AB3082" s="84"/>
    </row>
    <row r="3083">
      <c r="A3083" s="69">
        <v>205.0</v>
      </c>
      <c r="B3083" s="69">
        <v>334.0</v>
      </c>
      <c r="C3083" s="86" t="s">
        <v>662</v>
      </c>
      <c r="D3083" s="86" t="s">
        <v>663</v>
      </c>
      <c r="E3083" s="86" t="s">
        <v>664</v>
      </c>
      <c r="F3083" s="69">
        <v>4500.0</v>
      </c>
      <c r="G3083" s="69">
        <v>70.0</v>
      </c>
      <c r="H3083" s="68">
        <f t="shared" si="1"/>
        <v>439.82</v>
      </c>
      <c r="I3083" s="81">
        <f>IFERROR(__xludf.DUMMYFUNCTION("IF(G3083="""", """", ROUND(G3083 / MAX(FILTER($G$2:$G5067, $D$2:$D5067=$D3083)) * 100, 2))"),100.0)</f>
        <v>100</v>
      </c>
      <c r="J3083" s="81">
        <f>IFERROR(__xludf.DUMMYFUNCTION("IF(H3083="""", """", ROUND(H3083 / MAX(FILTER($H$2:$H5067, $D$2:$D5067=$D3083)) * 100, 2))"),73.68)</f>
        <v>73.68</v>
      </c>
      <c r="K3083" s="2"/>
      <c r="L3083" s="48"/>
      <c r="M3083" s="48"/>
      <c r="N3083" s="48"/>
      <c r="O3083" s="48" t="str">
        <f t="shared" si="2"/>
        <v/>
      </c>
      <c r="P3083" s="48" t="str">
        <f t="shared" si="3"/>
        <v/>
      </c>
      <c r="Q3083" s="84"/>
      <c r="R3083" s="84"/>
      <c r="S3083" s="84"/>
      <c r="T3083" s="84"/>
      <c r="U3083" s="84"/>
      <c r="V3083" s="84"/>
      <c r="W3083" s="84"/>
      <c r="X3083" s="84"/>
      <c r="Y3083" s="84"/>
      <c r="Z3083" s="84"/>
      <c r="AA3083" s="84"/>
      <c r="AB3083" s="84"/>
    </row>
    <row r="3084">
      <c r="A3084" s="63">
        <v>205.0</v>
      </c>
      <c r="B3084" s="63">
        <v>334.0</v>
      </c>
      <c r="C3084" s="64" t="s">
        <v>662</v>
      </c>
      <c r="D3084" s="64" t="s">
        <v>663</v>
      </c>
      <c r="E3084" s="64" t="s">
        <v>664</v>
      </c>
      <c r="F3084" s="63">
        <v>5000.0</v>
      </c>
      <c r="G3084" s="63">
        <v>69.4</v>
      </c>
      <c r="H3084" s="66">
        <f t="shared" si="1"/>
        <v>484.5</v>
      </c>
      <c r="I3084" s="81">
        <f>IFERROR(__xludf.DUMMYFUNCTION("IF(G3084="""", """", ROUND(G3084 / MAX(FILTER($G$2:$G5067, $D$2:$D5067=$D3084)) * 100, 2))"),99.14)</f>
        <v>99.14</v>
      </c>
      <c r="J3084" s="81">
        <f>IFERROR(__xludf.DUMMYFUNCTION("IF(H3084="""", """", ROUND(H3084 / MAX(FILTER($H$2:$H5067, $D$2:$D5067=$D3084)) * 100, 2))"),81.17)</f>
        <v>81.17</v>
      </c>
      <c r="K3084" s="2"/>
      <c r="L3084" s="49"/>
      <c r="M3084" s="49"/>
      <c r="N3084" s="49"/>
      <c r="O3084" s="49" t="str">
        <f t="shared" si="2"/>
        <v/>
      </c>
      <c r="P3084" s="49" t="str">
        <f t="shared" si="3"/>
        <v/>
      </c>
      <c r="Q3084" s="84"/>
      <c r="R3084" s="84"/>
      <c r="S3084" s="84"/>
      <c r="T3084" s="84"/>
      <c r="U3084" s="84"/>
      <c r="V3084" s="84"/>
      <c r="W3084" s="84"/>
      <c r="X3084" s="84"/>
      <c r="Y3084" s="84"/>
      <c r="Z3084" s="84"/>
      <c r="AA3084" s="84"/>
      <c r="AB3084" s="84"/>
    </row>
    <row r="3085">
      <c r="A3085" s="69">
        <v>205.0</v>
      </c>
      <c r="B3085" s="69">
        <v>334.0</v>
      </c>
      <c r="C3085" s="86" t="s">
        <v>662</v>
      </c>
      <c r="D3085" s="86" t="s">
        <v>663</v>
      </c>
      <c r="E3085" s="86" t="s">
        <v>664</v>
      </c>
      <c r="F3085" s="69">
        <v>5500.0</v>
      </c>
      <c r="G3085" s="69">
        <v>68.4</v>
      </c>
      <c r="H3085" s="68">
        <f t="shared" si="1"/>
        <v>525.27</v>
      </c>
      <c r="I3085" s="81">
        <f>IFERROR(__xludf.DUMMYFUNCTION("IF(G3085="""", """", ROUND(G3085 / MAX(FILTER($G$2:$G5067, $D$2:$D5067=$D3085)) * 100, 2))"),97.71)</f>
        <v>97.71</v>
      </c>
      <c r="J3085" s="81">
        <f>IFERROR(__xludf.DUMMYFUNCTION("IF(H3085="""", """", ROUND(H3085 / MAX(FILTER($H$2:$H5067, $D$2:$D5067=$D3085)) * 100, 2))"),88.0)</f>
        <v>88</v>
      </c>
      <c r="K3085" s="2"/>
      <c r="L3085" s="48"/>
      <c r="M3085" s="48"/>
      <c r="N3085" s="48"/>
      <c r="O3085" s="48" t="str">
        <f t="shared" si="2"/>
        <v/>
      </c>
      <c r="P3085" s="48" t="str">
        <f t="shared" si="3"/>
        <v/>
      </c>
      <c r="Q3085" s="84"/>
      <c r="R3085" s="84"/>
      <c r="S3085" s="84"/>
      <c r="T3085" s="84"/>
      <c r="U3085" s="84"/>
      <c r="V3085" s="84"/>
      <c r="W3085" s="84"/>
      <c r="X3085" s="84"/>
      <c r="Y3085" s="84"/>
      <c r="Z3085" s="84"/>
      <c r="AA3085" s="84"/>
      <c r="AB3085" s="84"/>
    </row>
    <row r="3086">
      <c r="A3086" s="63">
        <v>205.0</v>
      </c>
      <c r="B3086" s="63">
        <v>334.0</v>
      </c>
      <c r="C3086" s="64" t="s">
        <v>662</v>
      </c>
      <c r="D3086" s="64" t="s">
        <v>663</v>
      </c>
      <c r="E3086" s="64" t="s">
        <v>664</v>
      </c>
      <c r="F3086" s="63">
        <v>6000.0</v>
      </c>
      <c r="G3086" s="63">
        <v>66.4</v>
      </c>
      <c r="H3086" s="66">
        <f t="shared" si="1"/>
        <v>556.27</v>
      </c>
      <c r="I3086" s="81">
        <f>IFERROR(__xludf.DUMMYFUNCTION("IF(G3086="""", """", ROUND(G3086 / MAX(FILTER($G$2:$G5067, $D$2:$D5067=$D3086)) * 100, 2))"),94.86)</f>
        <v>94.86</v>
      </c>
      <c r="J3086" s="81">
        <f>IFERROR(__xludf.DUMMYFUNCTION("IF(H3086="""", """", ROUND(H3086 / MAX(FILTER($H$2:$H5067, $D$2:$D5067=$D3086)) * 100, 2))"),93.19)</f>
        <v>93.19</v>
      </c>
      <c r="K3086" s="2"/>
      <c r="L3086" s="49"/>
      <c r="M3086" s="49"/>
      <c r="N3086" s="49"/>
      <c r="O3086" s="49" t="str">
        <f t="shared" si="2"/>
        <v/>
      </c>
      <c r="P3086" s="49" t="str">
        <f t="shared" si="3"/>
        <v/>
      </c>
      <c r="Q3086" s="84"/>
      <c r="R3086" s="84"/>
      <c r="S3086" s="84"/>
      <c r="T3086" s="84"/>
      <c r="U3086" s="84"/>
      <c r="V3086" s="84"/>
      <c r="W3086" s="84"/>
      <c r="X3086" s="84"/>
      <c r="Y3086" s="84"/>
      <c r="Z3086" s="84"/>
      <c r="AA3086" s="84"/>
      <c r="AB3086" s="84"/>
    </row>
    <row r="3087">
      <c r="A3087" s="69">
        <v>205.0</v>
      </c>
      <c r="B3087" s="69">
        <v>334.0</v>
      </c>
      <c r="C3087" s="86" t="s">
        <v>662</v>
      </c>
      <c r="D3087" s="86" t="s">
        <v>663</v>
      </c>
      <c r="E3087" s="86" t="s">
        <v>664</v>
      </c>
      <c r="F3087" s="69">
        <v>6500.0</v>
      </c>
      <c r="G3087" s="69">
        <v>63.8</v>
      </c>
      <c r="H3087" s="68">
        <f t="shared" si="1"/>
        <v>579.03</v>
      </c>
      <c r="I3087" s="81">
        <f>IFERROR(__xludf.DUMMYFUNCTION("IF(G3087="""", """", ROUND(G3087 / MAX(FILTER($G$2:$G5067, $D$2:$D5067=$D3087)) * 100, 2))"),91.14)</f>
        <v>91.14</v>
      </c>
      <c r="J3087" s="81">
        <f>IFERROR(__xludf.DUMMYFUNCTION("IF(H3087="""", """", ROUND(H3087 / MAX(FILTER($H$2:$H5067, $D$2:$D5067=$D3087)) * 100, 2))"),97.01)</f>
        <v>97.01</v>
      </c>
      <c r="K3087" s="2"/>
      <c r="L3087" s="48"/>
      <c r="M3087" s="48"/>
      <c r="N3087" s="48"/>
      <c r="O3087" s="48" t="str">
        <f t="shared" si="2"/>
        <v/>
      </c>
      <c r="P3087" s="48" t="str">
        <f t="shared" si="3"/>
        <v/>
      </c>
      <c r="Q3087" s="84"/>
      <c r="R3087" s="84"/>
      <c r="S3087" s="84"/>
      <c r="T3087" s="84"/>
      <c r="U3087" s="84"/>
      <c r="V3087" s="84"/>
      <c r="W3087" s="84"/>
      <c r="X3087" s="84"/>
      <c r="Y3087" s="84"/>
      <c r="Z3087" s="84"/>
      <c r="AA3087" s="84"/>
      <c r="AB3087" s="84"/>
    </row>
    <row r="3088">
      <c r="A3088" s="63">
        <v>205.0</v>
      </c>
      <c r="B3088" s="63">
        <v>334.0</v>
      </c>
      <c r="C3088" s="64" t="s">
        <v>662</v>
      </c>
      <c r="D3088" s="64" t="s">
        <v>663</v>
      </c>
      <c r="E3088" s="64" t="s">
        <v>664</v>
      </c>
      <c r="F3088" s="63">
        <v>7000.0</v>
      </c>
      <c r="G3088" s="63">
        <v>60.4</v>
      </c>
      <c r="H3088" s="66">
        <f t="shared" si="1"/>
        <v>590.34</v>
      </c>
      <c r="I3088" s="81">
        <f>IFERROR(__xludf.DUMMYFUNCTION("IF(G3088="""", """", ROUND(G3088 / MAX(FILTER($G$2:$G5067, $D$2:$D5067=$D3088)) * 100, 2))"),86.29)</f>
        <v>86.29</v>
      </c>
      <c r="J3088" s="81">
        <f>IFERROR(__xludf.DUMMYFUNCTION("IF(H3088="""", """", ROUND(H3088 / MAX(FILTER($H$2:$H5067, $D$2:$D5067=$D3088)) * 100, 2))"),98.9)</f>
        <v>98.9</v>
      </c>
      <c r="K3088" s="2"/>
      <c r="L3088" s="49"/>
      <c r="M3088" s="49"/>
      <c r="N3088" s="49"/>
      <c r="O3088" s="49" t="str">
        <f t="shared" si="2"/>
        <v/>
      </c>
      <c r="P3088" s="49" t="str">
        <f t="shared" si="3"/>
        <v/>
      </c>
      <c r="Q3088" s="84"/>
      <c r="R3088" s="84"/>
      <c r="S3088" s="84"/>
      <c r="T3088" s="84"/>
      <c r="U3088" s="84"/>
      <c r="V3088" s="84"/>
      <c r="W3088" s="84"/>
      <c r="X3088" s="84"/>
      <c r="Y3088" s="84"/>
      <c r="Z3088" s="84"/>
      <c r="AA3088" s="84"/>
      <c r="AB3088" s="84"/>
    </row>
    <row r="3089">
      <c r="A3089" s="69">
        <v>205.0</v>
      </c>
      <c r="B3089" s="69">
        <v>334.0</v>
      </c>
      <c r="C3089" s="86" t="s">
        <v>662</v>
      </c>
      <c r="D3089" s="86" t="s">
        <v>663</v>
      </c>
      <c r="E3089" s="86" t="s">
        <v>664</v>
      </c>
      <c r="F3089" s="69">
        <v>7500.0</v>
      </c>
      <c r="G3089" s="69">
        <v>57.0</v>
      </c>
      <c r="H3089" s="68">
        <f t="shared" si="1"/>
        <v>596.9</v>
      </c>
      <c r="I3089" s="81">
        <f>IFERROR(__xludf.DUMMYFUNCTION("IF(G3089="""", """", ROUND(G3089 / MAX(FILTER($G$2:$G5067, $D$2:$D5067=$D3089)) * 100, 2))"),81.43)</f>
        <v>81.43</v>
      </c>
      <c r="J3089" s="81">
        <f>IFERROR(__xludf.DUMMYFUNCTION("IF(H3089="""", """", ROUND(H3089 / MAX(FILTER($H$2:$H5067, $D$2:$D5067=$D3089)) * 100, 2))"),100.0)</f>
        <v>100</v>
      </c>
      <c r="K3089" s="2"/>
      <c r="L3089" s="48"/>
      <c r="M3089" s="48"/>
      <c r="N3089" s="48"/>
      <c r="O3089" s="48" t="str">
        <f t="shared" si="2"/>
        <v/>
      </c>
      <c r="P3089" s="48" t="str">
        <f t="shared" si="3"/>
        <v/>
      </c>
      <c r="Q3089" s="84"/>
      <c r="R3089" s="84"/>
      <c r="S3089" s="84"/>
      <c r="T3089" s="84"/>
      <c r="U3089" s="84"/>
      <c r="V3089" s="84"/>
      <c r="W3089" s="84"/>
      <c r="X3089" s="84"/>
      <c r="Y3089" s="84"/>
      <c r="Z3089" s="84"/>
      <c r="AA3089" s="84"/>
      <c r="AB3089" s="84"/>
    </row>
    <row r="3090">
      <c r="A3090" s="63">
        <v>205.0</v>
      </c>
      <c r="B3090" s="63">
        <v>334.0</v>
      </c>
      <c r="C3090" s="64" t="s">
        <v>662</v>
      </c>
      <c r="D3090" s="64" t="s">
        <v>663</v>
      </c>
      <c r="E3090" s="64" t="s">
        <v>664</v>
      </c>
      <c r="F3090" s="63">
        <v>8000.0</v>
      </c>
      <c r="G3090" s="63">
        <v>51.8</v>
      </c>
      <c r="H3090" s="66">
        <f t="shared" si="1"/>
        <v>578.61</v>
      </c>
      <c r="I3090" s="81">
        <f>IFERROR(__xludf.DUMMYFUNCTION("IF(G3090="""", """", ROUND(G3090 / MAX(FILTER($G$2:$G5067, $D$2:$D5067=$D3090)) * 100, 2))"),74.0)</f>
        <v>74</v>
      </c>
      <c r="J3090" s="81">
        <f>IFERROR(__xludf.DUMMYFUNCTION("IF(H3090="""", """", ROUND(H3090 / MAX(FILTER($H$2:$H5067, $D$2:$D5067=$D3090)) * 100, 2))"),96.94)</f>
        <v>96.94</v>
      </c>
      <c r="K3090" s="2"/>
      <c r="L3090" s="49"/>
      <c r="M3090" s="49"/>
      <c r="N3090" s="49"/>
      <c r="O3090" s="49" t="str">
        <f t="shared" si="2"/>
        <v/>
      </c>
      <c r="P3090" s="49" t="str">
        <f t="shared" si="3"/>
        <v/>
      </c>
      <c r="Q3090" s="84"/>
      <c r="R3090" s="84"/>
      <c r="S3090" s="84"/>
      <c r="T3090" s="84"/>
      <c r="U3090" s="84"/>
      <c r="V3090" s="84"/>
      <c r="W3090" s="84"/>
      <c r="X3090" s="84"/>
      <c r="Y3090" s="84"/>
      <c r="Z3090" s="84"/>
      <c r="AA3090" s="84"/>
      <c r="AB3090" s="84"/>
    </row>
    <row r="3091">
      <c r="A3091" s="69">
        <v>206.0</v>
      </c>
      <c r="B3091" s="69">
        <v>335.0</v>
      </c>
      <c r="C3091" s="86" t="s">
        <v>665</v>
      </c>
      <c r="D3091" s="86" t="s">
        <v>666</v>
      </c>
      <c r="E3091" s="86" t="s">
        <v>667</v>
      </c>
      <c r="F3091" s="69">
        <v>500.0</v>
      </c>
      <c r="G3091" s="69">
        <v>23.5</v>
      </c>
      <c r="H3091" s="68">
        <f t="shared" si="1"/>
        <v>16.41</v>
      </c>
      <c r="I3091" s="81">
        <f>IFERROR(__xludf.DUMMYFUNCTION("IF(G3091="""", """", ROUND(G3091 / MAX(FILTER($G$2:$G5067, $D$2:$D5067=$D3091)) * 100, 2))"),59.19)</f>
        <v>59.19</v>
      </c>
      <c r="J3091" s="81">
        <f>IFERROR(__xludf.DUMMYFUNCTION("IF(H3091="""", """", ROUND(H3091 / MAX(FILTER($H$2:$H5067, $D$2:$D5067=$D3091)) * 100, 2))"),4.33)</f>
        <v>4.33</v>
      </c>
      <c r="K3091" s="2"/>
      <c r="L3091" s="48"/>
      <c r="M3091" s="48"/>
      <c r="N3091" s="48"/>
      <c r="O3091" s="48" t="str">
        <f t="shared" si="2"/>
        <v/>
      </c>
      <c r="P3091" s="48" t="str">
        <f t="shared" si="3"/>
        <v/>
      </c>
      <c r="Q3091" s="84"/>
      <c r="R3091" s="84"/>
      <c r="S3091" s="84"/>
      <c r="T3091" s="84"/>
      <c r="U3091" s="84"/>
      <c r="V3091" s="84"/>
      <c r="W3091" s="84"/>
      <c r="X3091" s="84"/>
      <c r="Y3091" s="84"/>
      <c r="Z3091" s="84"/>
      <c r="AA3091" s="84"/>
      <c r="AB3091" s="84"/>
    </row>
    <row r="3092">
      <c r="A3092" s="63">
        <v>206.0</v>
      </c>
      <c r="B3092" s="63">
        <v>335.0</v>
      </c>
      <c r="C3092" s="64" t="s">
        <v>665</v>
      </c>
      <c r="D3092" s="64" t="s">
        <v>666</v>
      </c>
      <c r="E3092" s="64" t="s">
        <v>667</v>
      </c>
      <c r="F3092" s="63">
        <v>1000.0</v>
      </c>
      <c r="G3092" s="63">
        <v>27.6</v>
      </c>
      <c r="H3092" s="66">
        <f t="shared" si="1"/>
        <v>38.54</v>
      </c>
      <c r="I3092" s="81">
        <f>IFERROR(__xludf.DUMMYFUNCTION("IF(G3092="""", """", ROUND(G3092 / MAX(FILTER($G$2:$G5067, $D$2:$D5067=$D3092)) * 100, 2))"),69.52)</f>
        <v>69.52</v>
      </c>
      <c r="J3092" s="81">
        <f>IFERROR(__xludf.DUMMYFUNCTION("IF(H3092="""", """", ROUND(H3092 / MAX(FILTER($H$2:$H5067, $D$2:$D5067=$D3092)) * 100, 2))"),10.16)</f>
        <v>10.16</v>
      </c>
      <c r="K3092" s="2"/>
      <c r="L3092" s="49"/>
      <c r="M3092" s="49"/>
      <c r="N3092" s="49"/>
      <c r="O3092" s="49" t="str">
        <f t="shared" si="2"/>
        <v/>
      </c>
      <c r="P3092" s="49" t="str">
        <f t="shared" si="3"/>
        <v/>
      </c>
      <c r="Q3092" s="84"/>
      <c r="R3092" s="84"/>
      <c r="S3092" s="84"/>
      <c r="T3092" s="84"/>
      <c r="U3092" s="84"/>
      <c r="V3092" s="84"/>
      <c r="W3092" s="84"/>
      <c r="X3092" s="84"/>
      <c r="Y3092" s="84"/>
      <c r="Z3092" s="84"/>
      <c r="AA3092" s="84"/>
      <c r="AB3092" s="84"/>
    </row>
    <row r="3093">
      <c r="A3093" s="69">
        <v>206.0</v>
      </c>
      <c r="B3093" s="69">
        <v>335.0</v>
      </c>
      <c r="C3093" s="86" t="s">
        <v>665</v>
      </c>
      <c r="D3093" s="86" t="s">
        <v>666</v>
      </c>
      <c r="E3093" s="86" t="s">
        <v>667</v>
      </c>
      <c r="F3093" s="69">
        <v>1500.0</v>
      </c>
      <c r="G3093" s="69">
        <v>30.3</v>
      </c>
      <c r="H3093" s="68">
        <f t="shared" si="1"/>
        <v>63.46</v>
      </c>
      <c r="I3093" s="81">
        <f>IFERROR(__xludf.DUMMYFUNCTION("IF(G3093="""", """", ROUND(G3093 / MAX(FILTER($G$2:$G5067, $D$2:$D5067=$D3093)) * 100, 2))"),76.32)</f>
        <v>76.32</v>
      </c>
      <c r="J3093" s="81">
        <f>IFERROR(__xludf.DUMMYFUNCTION("IF(H3093="""", """", ROUND(H3093 / MAX(FILTER($H$2:$H5067, $D$2:$D5067=$D3093)) * 100, 2))"),16.73)</f>
        <v>16.73</v>
      </c>
      <c r="K3093" s="2"/>
      <c r="L3093" s="48"/>
      <c r="M3093" s="48"/>
      <c r="N3093" s="48"/>
      <c r="O3093" s="48" t="str">
        <f t="shared" si="2"/>
        <v/>
      </c>
      <c r="P3093" s="48" t="str">
        <f t="shared" si="3"/>
        <v/>
      </c>
      <c r="Q3093" s="84"/>
      <c r="R3093" s="84"/>
      <c r="S3093" s="84"/>
      <c r="T3093" s="84"/>
      <c r="U3093" s="84"/>
      <c r="V3093" s="84"/>
      <c r="W3093" s="84"/>
      <c r="X3093" s="84"/>
      <c r="Y3093" s="84"/>
      <c r="Z3093" s="84"/>
      <c r="AA3093" s="84"/>
      <c r="AB3093" s="84"/>
    </row>
    <row r="3094">
      <c r="A3094" s="63">
        <v>206.0</v>
      </c>
      <c r="B3094" s="63">
        <v>335.0</v>
      </c>
      <c r="C3094" s="64" t="s">
        <v>665</v>
      </c>
      <c r="D3094" s="64" t="s">
        <v>666</v>
      </c>
      <c r="E3094" s="64" t="s">
        <v>667</v>
      </c>
      <c r="F3094" s="63">
        <v>2000.0</v>
      </c>
      <c r="G3094" s="63">
        <v>33.1</v>
      </c>
      <c r="H3094" s="66">
        <f t="shared" si="1"/>
        <v>92.43</v>
      </c>
      <c r="I3094" s="81">
        <f>IFERROR(__xludf.DUMMYFUNCTION("IF(G3094="""", """", ROUND(G3094 / MAX(FILTER($G$2:$G5067, $D$2:$D5067=$D3094)) * 100, 2))"),83.38)</f>
        <v>83.38</v>
      </c>
      <c r="J3094" s="81">
        <f>IFERROR(__xludf.DUMMYFUNCTION("IF(H3094="""", """", ROUND(H3094 / MAX(FILTER($H$2:$H5067, $D$2:$D5067=$D3094)) * 100, 2))"),24.37)</f>
        <v>24.37</v>
      </c>
      <c r="K3094" s="2"/>
      <c r="L3094" s="49"/>
      <c r="M3094" s="49"/>
      <c r="N3094" s="49"/>
      <c r="O3094" s="49" t="str">
        <f t="shared" si="2"/>
        <v/>
      </c>
      <c r="P3094" s="49" t="str">
        <f t="shared" si="3"/>
        <v/>
      </c>
      <c r="Q3094" s="84"/>
      <c r="R3094" s="84"/>
      <c r="S3094" s="84"/>
      <c r="T3094" s="84"/>
      <c r="U3094" s="84"/>
      <c r="V3094" s="84"/>
      <c r="W3094" s="84"/>
      <c r="X3094" s="84"/>
      <c r="Y3094" s="84"/>
      <c r="Z3094" s="84"/>
      <c r="AA3094" s="84"/>
      <c r="AB3094" s="84"/>
    </row>
    <row r="3095">
      <c r="A3095" s="69">
        <v>206.0</v>
      </c>
      <c r="B3095" s="69">
        <v>335.0</v>
      </c>
      <c r="C3095" s="86" t="s">
        <v>665</v>
      </c>
      <c r="D3095" s="86" t="s">
        <v>666</v>
      </c>
      <c r="E3095" s="86" t="s">
        <v>667</v>
      </c>
      <c r="F3095" s="69">
        <v>2500.0</v>
      </c>
      <c r="G3095" s="69">
        <v>35.3</v>
      </c>
      <c r="H3095" s="68">
        <f t="shared" si="1"/>
        <v>123.22</v>
      </c>
      <c r="I3095" s="81">
        <f>IFERROR(__xludf.DUMMYFUNCTION("IF(G3095="""", """", ROUND(G3095 / MAX(FILTER($G$2:$G5067, $D$2:$D5067=$D3095)) * 100, 2))"),88.92)</f>
        <v>88.92</v>
      </c>
      <c r="J3095" s="81">
        <f>IFERROR(__xludf.DUMMYFUNCTION("IF(H3095="""", """", ROUND(H3095 / MAX(FILTER($H$2:$H5067, $D$2:$D5067=$D3095)) * 100, 2))"),32.49)</f>
        <v>32.49</v>
      </c>
      <c r="K3095" s="2"/>
      <c r="L3095" s="48"/>
      <c r="M3095" s="48"/>
      <c r="N3095" s="48"/>
      <c r="O3095" s="48" t="str">
        <f t="shared" si="2"/>
        <v/>
      </c>
      <c r="P3095" s="48" t="str">
        <f t="shared" si="3"/>
        <v/>
      </c>
      <c r="Q3095" s="84"/>
      <c r="R3095" s="84"/>
      <c r="S3095" s="84"/>
      <c r="T3095" s="84"/>
      <c r="U3095" s="84"/>
      <c r="V3095" s="84"/>
      <c r="W3095" s="84"/>
      <c r="X3095" s="84"/>
      <c r="Y3095" s="84"/>
      <c r="Z3095" s="84"/>
      <c r="AA3095" s="84"/>
      <c r="AB3095" s="84"/>
    </row>
    <row r="3096">
      <c r="A3096" s="63">
        <v>206.0</v>
      </c>
      <c r="B3096" s="63">
        <v>335.0</v>
      </c>
      <c r="C3096" s="64" t="s">
        <v>665</v>
      </c>
      <c r="D3096" s="64" t="s">
        <v>666</v>
      </c>
      <c r="E3096" s="64" t="s">
        <v>667</v>
      </c>
      <c r="F3096" s="63">
        <v>3000.0</v>
      </c>
      <c r="G3096" s="63">
        <v>36.9</v>
      </c>
      <c r="H3096" s="66">
        <f t="shared" si="1"/>
        <v>154.57</v>
      </c>
      <c r="I3096" s="81">
        <f>IFERROR(__xludf.DUMMYFUNCTION("IF(G3096="""", """", ROUND(G3096 / MAX(FILTER($G$2:$G5067, $D$2:$D5067=$D3096)) * 100, 2))"),92.95)</f>
        <v>92.95</v>
      </c>
      <c r="J3096" s="81">
        <f>IFERROR(__xludf.DUMMYFUNCTION("IF(H3096="""", """", ROUND(H3096 / MAX(FILTER($H$2:$H5067, $D$2:$D5067=$D3096)) * 100, 2))"),40.76)</f>
        <v>40.76</v>
      </c>
      <c r="K3096" s="2"/>
      <c r="L3096" s="49"/>
      <c r="M3096" s="49"/>
      <c r="N3096" s="49"/>
      <c r="O3096" s="49" t="str">
        <f t="shared" si="2"/>
        <v/>
      </c>
      <c r="P3096" s="49" t="str">
        <f t="shared" si="3"/>
        <v/>
      </c>
      <c r="Q3096" s="84"/>
      <c r="R3096" s="84"/>
      <c r="S3096" s="84"/>
      <c r="T3096" s="84"/>
      <c r="U3096" s="84"/>
      <c r="V3096" s="84"/>
      <c r="W3096" s="84"/>
      <c r="X3096" s="84"/>
      <c r="Y3096" s="84"/>
      <c r="Z3096" s="84"/>
      <c r="AA3096" s="84"/>
      <c r="AB3096" s="84"/>
    </row>
    <row r="3097">
      <c r="A3097" s="69">
        <v>206.0</v>
      </c>
      <c r="B3097" s="69">
        <v>335.0</v>
      </c>
      <c r="C3097" s="86" t="s">
        <v>665</v>
      </c>
      <c r="D3097" s="86" t="s">
        <v>666</v>
      </c>
      <c r="E3097" s="86" t="s">
        <v>667</v>
      </c>
      <c r="F3097" s="69">
        <v>3500.0</v>
      </c>
      <c r="G3097" s="69">
        <v>38.1</v>
      </c>
      <c r="H3097" s="68">
        <f t="shared" si="1"/>
        <v>186.19</v>
      </c>
      <c r="I3097" s="81">
        <f>IFERROR(__xludf.DUMMYFUNCTION("IF(G3097="""", """", ROUND(G3097 / MAX(FILTER($G$2:$G5067, $D$2:$D5067=$D3097)) * 100, 2))"),95.97)</f>
        <v>95.97</v>
      </c>
      <c r="J3097" s="81">
        <f>IFERROR(__xludf.DUMMYFUNCTION("IF(H3097="""", """", ROUND(H3097 / MAX(FILTER($H$2:$H5067, $D$2:$D5067=$D3097)) * 100, 2))"),49.1)</f>
        <v>49.1</v>
      </c>
      <c r="K3097" s="2"/>
      <c r="L3097" s="48"/>
      <c r="M3097" s="48"/>
      <c r="N3097" s="48"/>
      <c r="O3097" s="48" t="str">
        <f t="shared" si="2"/>
        <v/>
      </c>
      <c r="P3097" s="48" t="str">
        <f t="shared" si="3"/>
        <v/>
      </c>
      <c r="Q3097" s="84"/>
      <c r="R3097" s="84"/>
      <c r="S3097" s="84"/>
      <c r="T3097" s="84"/>
      <c r="U3097" s="84"/>
      <c r="V3097" s="84"/>
      <c r="W3097" s="84"/>
      <c r="X3097" s="84"/>
      <c r="Y3097" s="84"/>
      <c r="Z3097" s="84"/>
      <c r="AA3097" s="84"/>
      <c r="AB3097" s="84"/>
    </row>
    <row r="3098">
      <c r="A3098" s="63">
        <v>206.0</v>
      </c>
      <c r="B3098" s="63">
        <v>335.0</v>
      </c>
      <c r="C3098" s="64" t="s">
        <v>665</v>
      </c>
      <c r="D3098" s="64" t="s">
        <v>666</v>
      </c>
      <c r="E3098" s="64" t="s">
        <v>667</v>
      </c>
      <c r="F3098" s="63">
        <v>4000.0</v>
      </c>
      <c r="G3098" s="63">
        <v>38.9</v>
      </c>
      <c r="H3098" s="66">
        <f t="shared" si="1"/>
        <v>217.26</v>
      </c>
      <c r="I3098" s="81">
        <f>IFERROR(__xludf.DUMMYFUNCTION("IF(G3098="""", """", ROUND(G3098 / MAX(FILTER($G$2:$G5067, $D$2:$D5067=$D3098)) * 100, 2))"),97.98)</f>
        <v>97.98</v>
      </c>
      <c r="J3098" s="81">
        <f>IFERROR(__xludf.DUMMYFUNCTION("IF(H3098="""", """", ROUND(H3098 / MAX(FILTER($H$2:$H5067, $D$2:$D5067=$D3098)) * 100, 2))"),57.29)</f>
        <v>57.29</v>
      </c>
      <c r="K3098" s="2"/>
      <c r="L3098" s="49"/>
      <c r="M3098" s="49"/>
      <c r="N3098" s="49"/>
      <c r="O3098" s="49" t="str">
        <f t="shared" si="2"/>
        <v/>
      </c>
      <c r="P3098" s="49" t="str">
        <f t="shared" si="3"/>
        <v/>
      </c>
      <c r="Q3098" s="84"/>
      <c r="R3098" s="84"/>
      <c r="S3098" s="84"/>
      <c r="T3098" s="84"/>
      <c r="U3098" s="84"/>
      <c r="V3098" s="84"/>
      <c r="W3098" s="84"/>
      <c r="X3098" s="84"/>
      <c r="Y3098" s="84"/>
      <c r="Z3098" s="84"/>
      <c r="AA3098" s="84"/>
      <c r="AB3098" s="84"/>
    </row>
    <row r="3099">
      <c r="A3099" s="69">
        <v>206.0</v>
      </c>
      <c r="B3099" s="69">
        <v>335.0</v>
      </c>
      <c r="C3099" s="86" t="s">
        <v>665</v>
      </c>
      <c r="D3099" s="86" t="s">
        <v>666</v>
      </c>
      <c r="E3099" s="86" t="s">
        <v>667</v>
      </c>
      <c r="F3099" s="69">
        <v>4500.0</v>
      </c>
      <c r="G3099" s="69">
        <v>39.7</v>
      </c>
      <c r="H3099" s="68">
        <f t="shared" si="1"/>
        <v>249.44</v>
      </c>
      <c r="I3099" s="81">
        <f>IFERROR(__xludf.DUMMYFUNCTION("IF(G3099="""", """", ROUND(G3099 / MAX(FILTER($G$2:$G5067, $D$2:$D5067=$D3099)) * 100, 2))"),100.0)</f>
        <v>100</v>
      </c>
      <c r="J3099" s="81">
        <f>IFERROR(__xludf.DUMMYFUNCTION("IF(H3099="""", """", ROUND(H3099 / MAX(FILTER($H$2:$H5067, $D$2:$D5067=$D3099)) * 100, 2))"),65.78)</f>
        <v>65.78</v>
      </c>
      <c r="K3099" s="2"/>
      <c r="L3099" s="48"/>
      <c r="M3099" s="48"/>
      <c r="N3099" s="48"/>
      <c r="O3099" s="48" t="str">
        <f t="shared" si="2"/>
        <v/>
      </c>
      <c r="P3099" s="48" t="str">
        <f t="shared" si="3"/>
        <v/>
      </c>
      <c r="Q3099" s="84"/>
      <c r="R3099" s="84"/>
      <c r="S3099" s="84"/>
      <c r="T3099" s="84"/>
      <c r="U3099" s="84"/>
      <c r="V3099" s="84"/>
      <c r="W3099" s="84"/>
      <c r="X3099" s="84"/>
      <c r="Y3099" s="84"/>
      <c r="Z3099" s="84"/>
      <c r="AA3099" s="84"/>
      <c r="AB3099" s="84"/>
    </row>
    <row r="3100">
      <c r="A3100" s="63">
        <v>206.0</v>
      </c>
      <c r="B3100" s="63">
        <v>335.0</v>
      </c>
      <c r="C3100" s="64" t="s">
        <v>665</v>
      </c>
      <c r="D3100" s="64" t="s">
        <v>666</v>
      </c>
      <c r="E3100" s="64" t="s">
        <v>667</v>
      </c>
      <c r="F3100" s="63">
        <v>5000.0</v>
      </c>
      <c r="G3100" s="63">
        <v>39.6</v>
      </c>
      <c r="H3100" s="66">
        <f t="shared" si="1"/>
        <v>276.46</v>
      </c>
      <c r="I3100" s="81">
        <f>IFERROR(__xludf.DUMMYFUNCTION("IF(G3100="""", """", ROUND(G3100 / MAX(FILTER($G$2:$G5067, $D$2:$D5067=$D3100)) * 100, 2))"),99.75)</f>
        <v>99.75</v>
      </c>
      <c r="J3100" s="81">
        <f>IFERROR(__xludf.DUMMYFUNCTION("IF(H3100="""", """", ROUND(H3100 / MAX(FILTER($H$2:$H5067, $D$2:$D5067=$D3100)) * 100, 2))"),72.9)</f>
        <v>72.9</v>
      </c>
      <c r="K3100" s="2"/>
      <c r="L3100" s="49"/>
      <c r="M3100" s="49"/>
      <c r="N3100" s="49"/>
      <c r="O3100" s="49" t="str">
        <f t="shared" si="2"/>
        <v/>
      </c>
      <c r="P3100" s="49" t="str">
        <f t="shared" si="3"/>
        <v/>
      </c>
      <c r="Q3100" s="84"/>
      <c r="R3100" s="84"/>
      <c r="S3100" s="84"/>
      <c r="T3100" s="84"/>
      <c r="U3100" s="84"/>
      <c r="V3100" s="84"/>
      <c r="W3100" s="84"/>
      <c r="X3100" s="84"/>
      <c r="Y3100" s="84"/>
      <c r="Z3100" s="84"/>
      <c r="AA3100" s="84"/>
      <c r="AB3100" s="84"/>
    </row>
    <row r="3101">
      <c r="A3101" s="69">
        <v>206.0</v>
      </c>
      <c r="B3101" s="69">
        <v>335.0</v>
      </c>
      <c r="C3101" s="86" t="s">
        <v>665</v>
      </c>
      <c r="D3101" s="86" t="s">
        <v>666</v>
      </c>
      <c r="E3101" s="86" t="s">
        <v>667</v>
      </c>
      <c r="F3101" s="69">
        <v>5500.0</v>
      </c>
      <c r="G3101" s="69">
        <v>39.5</v>
      </c>
      <c r="H3101" s="68">
        <f t="shared" si="1"/>
        <v>303.34</v>
      </c>
      <c r="I3101" s="81">
        <f>IFERROR(__xludf.DUMMYFUNCTION("IF(G3101="""", """", ROUND(G3101 / MAX(FILTER($G$2:$G5067, $D$2:$D5067=$D3101)) * 100, 2))"),99.5)</f>
        <v>99.5</v>
      </c>
      <c r="J3101" s="81">
        <f>IFERROR(__xludf.DUMMYFUNCTION("IF(H3101="""", """", ROUND(H3101 / MAX(FILTER($H$2:$H5067, $D$2:$D5067=$D3101)) * 100, 2))"),79.99)</f>
        <v>79.99</v>
      </c>
      <c r="K3101" s="2"/>
      <c r="L3101" s="48"/>
      <c r="M3101" s="48"/>
      <c r="N3101" s="48"/>
      <c r="O3101" s="48" t="str">
        <f t="shared" si="2"/>
        <v/>
      </c>
      <c r="P3101" s="48" t="str">
        <f t="shared" si="3"/>
        <v/>
      </c>
      <c r="Q3101" s="84"/>
      <c r="R3101" s="84"/>
      <c r="S3101" s="84"/>
      <c r="T3101" s="84"/>
      <c r="U3101" s="84"/>
      <c r="V3101" s="84"/>
      <c r="W3101" s="84"/>
      <c r="X3101" s="84"/>
      <c r="Y3101" s="84"/>
      <c r="Z3101" s="84"/>
      <c r="AA3101" s="84"/>
      <c r="AB3101" s="84"/>
    </row>
    <row r="3102">
      <c r="A3102" s="63">
        <v>206.0</v>
      </c>
      <c r="B3102" s="63">
        <v>335.0</v>
      </c>
      <c r="C3102" s="64" t="s">
        <v>665</v>
      </c>
      <c r="D3102" s="64" t="s">
        <v>666</v>
      </c>
      <c r="E3102" s="64" t="s">
        <v>667</v>
      </c>
      <c r="F3102" s="63">
        <v>6000.0</v>
      </c>
      <c r="G3102" s="63">
        <v>39.4</v>
      </c>
      <c r="H3102" s="66">
        <f t="shared" si="1"/>
        <v>330.08</v>
      </c>
      <c r="I3102" s="81">
        <f>IFERROR(__xludf.DUMMYFUNCTION("IF(G3102="""", """", ROUND(G3102 / MAX(FILTER($G$2:$G5067, $D$2:$D5067=$D3102)) * 100, 2))"),99.24)</f>
        <v>99.24</v>
      </c>
      <c r="J3102" s="81">
        <f>IFERROR(__xludf.DUMMYFUNCTION("IF(H3102="""", """", ROUND(H3102 / MAX(FILTER($H$2:$H5067, $D$2:$D5067=$D3102)) * 100, 2))"),87.04)</f>
        <v>87.04</v>
      </c>
      <c r="K3102" s="2"/>
      <c r="L3102" s="49"/>
      <c r="M3102" s="49"/>
      <c r="N3102" s="49"/>
      <c r="O3102" s="49" t="str">
        <f t="shared" si="2"/>
        <v/>
      </c>
      <c r="P3102" s="49" t="str">
        <f t="shared" si="3"/>
        <v/>
      </c>
      <c r="Q3102" s="84"/>
      <c r="R3102" s="84"/>
      <c r="S3102" s="84"/>
      <c r="T3102" s="84"/>
      <c r="U3102" s="84"/>
      <c r="V3102" s="84"/>
      <c r="W3102" s="84"/>
      <c r="X3102" s="84"/>
      <c r="Y3102" s="84"/>
      <c r="Z3102" s="84"/>
      <c r="AA3102" s="84"/>
      <c r="AB3102" s="84"/>
    </row>
    <row r="3103">
      <c r="A3103" s="69">
        <v>206.0</v>
      </c>
      <c r="B3103" s="69">
        <v>335.0</v>
      </c>
      <c r="C3103" s="86" t="s">
        <v>665</v>
      </c>
      <c r="D3103" s="86" t="s">
        <v>666</v>
      </c>
      <c r="E3103" s="86" t="s">
        <v>667</v>
      </c>
      <c r="F3103" s="69">
        <v>6500.0</v>
      </c>
      <c r="G3103" s="69">
        <v>39.2</v>
      </c>
      <c r="H3103" s="68">
        <f t="shared" si="1"/>
        <v>355.77</v>
      </c>
      <c r="I3103" s="81">
        <f>IFERROR(__xludf.DUMMYFUNCTION("IF(G3103="""", """", ROUND(G3103 / MAX(FILTER($G$2:$G5067, $D$2:$D5067=$D3103)) * 100, 2))"),98.74)</f>
        <v>98.74</v>
      </c>
      <c r="J3103" s="81">
        <f>IFERROR(__xludf.DUMMYFUNCTION("IF(H3103="""", """", ROUND(H3103 / MAX(FILTER($H$2:$H5067, $D$2:$D5067=$D3103)) * 100, 2))"),93.82)</f>
        <v>93.82</v>
      </c>
      <c r="K3103" s="2"/>
      <c r="L3103" s="48"/>
      <c r="M3103" s="48"/>
      <c r="N3103" s="48"/>
      <c r="O3103" s="48" t="str">
        <f t="shared" si="2"/>
        <v/>
      </c>
      <c r="P3103" s="48" t="str">
        <f t="shared" si="3"/>
        <v/>
      </c>
      <c r="Q3103" s="84"/>
      <c r="R3103" s="84"/>
      <c r="S3103" s="84"/>
      <c r="T3103" s="84"/>
      <c r="U3103" s="84"/>
      <c r="V3103" s="84"/>
      <c r="W3103" s="84"/>
      <c r="X3103" s="84"/>
      <c r="Y3103" s="84"/>
      <c r="Z3103" s="84"/>
      <c r="AA3103" s="84"/>
      <c r="AB3103" s="84"/>
    </row>
    <row r="3104">
      <c r="A3104" s="63">
        <v>206.0</v>
      </c>
      <c r="B3104" s="63">
        <v>335.0</v>
      </c>
      <c r="C3104" s="64" t="s">
        <v>665</v>
      </c>
      <c r="D3104" s="64" t="s">
        <v>666</v>
      </c>
      <c r="E3104" s="64" t="s">
        <v>667</v>
      </c>
      <c r="F3104" s="63">
        <v>7000.0</v>
      </c>
      <c r="G3104" s="63">
        <v>38.8</v>
      </c>
      <c r="H3104" s="66">
        <f t="shared" si="1"/>
        <v>379.22</v>
      </c>
      <c r="I3104" s="81">
        <f>IFERROR(__xludf.DUMMYFUNCTION("IF(G3104="""", """", ROUND(G3104 / MAX(FILTER($G$2:$G5067, $D$2:$D5067=$D3104)) * 100, 2))"),97.73)</f>
        <v>97.73</v>
      </c>
      <c r="J3104" s="81">
        <f>IFERROR(__xludf.DUMMYFUNCTION("IF(H3104="""", """", ROUND(H3104 / MAX(FILTER($H$2:$H5067, $D$2:$D5067=$D3104)) * 100, 2))"),100.0)</f>
        <v>100</v>
      </c>
      <c r="K3104" s="2"/>
      <c r="L3104" s="49"/>
      <c r="M3104" s="49"/>
      <c r="N3104" s="49"/>
      <c r="O3104" s="49" t="str">
        <f t="shared" si="2"/>
        <v/>
      </c>
      <c r="P3104" s="49" t="str">
        <f t="shared" si="3"/>
        <v/>
      </c>
      <c r="Q3104" s="84"/>
      <c r="R3104" s="84"/>
      <c r="S3104" s="84"/>
      <c r="T3104" s="84"/>
      <c r="U3104" s="84"/>
      <c r="V3104" s="84"/>
      <c r="W3104" s="84"/>
      <c r="X3104" s="84"/>
      <c r="Y3104" s="84"/>
      <c r="Z3104" s="84"/>
      <c r="AA3104" s="84"/>
      <c r="AB3104" s="84"/>
    </row>
    <row r="3105">
      <c r="A3105" s="69">
        <v>206.0</v>
      </c>
      <c r="B3105" s="69">
        <v>335.0</v>
      </c>
      <c r="C3105" s="86" t="s">
        <v>665</v>
      </c>
      <c r="D3105" s="86" t="s">
        <v>666</v>
      </c>
      <c r="E3105" s="86" t="s">
        <v>667</v>
      </c>
      <c r="F3105" s="69">
        <v>7500.0</v>
      </c>
      <c r="G3105" s="69">
        <v>35.7</v>
      </c>
      <c r="H3105" s="68">
        <f t="shared" si="1"/>
        <v>373.85</v>
      </c>
      <c r="I3105" s="81">
        <f>IFERROR(__xludf.DUMMYFUNCTION("IF(G3105="""", """", ROUND(G3105 / MAX(FILTER($G$2:$G5067, $D$2:$D5067=$D3105)) * 100, 2))"),89.92)</f>
        <v>89.92</v>
      </c>
      <c r="J3105" s="81">
        <f>IFERROR(__xludf.DUMMYFUNCTION("IF(H3105="""", """", ROUND(H3105 / MAX(FILTER($H$2:$H5067, $D$2:$D5067=$D3105)) * 100, 2))"),98.58)</f>
        <v>98.58</v>
      </c>
      <c r="K3105" s="2"/>
      <c r="L3105" s="48"/>
      <c r="M3105" s="48"/>
      <c r="N3105" s="48"/>
      <c r="O3105" s="48" t="str">
        <f t="shared" si="2"/>
        <v/>
      </c>
      <c r="P3105" s="48" t="str">
        <f t="shared" si="3"/>
        <v/>
      </c>
      <c r="Q3105" s="84"/>
      <c r="R3105" s="84"/>
      <c r="S3105" s="84"/>
      <c r="T3105" s="84"/>
      <c r="U3105" s="84"/>
      <c r="V3105" s="84"/>
      <c r="W3105" s="84"/>
      <c r="X3105" s="84"/>
      <c r="Y3105" s="84"/>
      <c r="Z3105" s="84"/>
      <c r="AA3105" s="84"/>
      <c r="AB3105" s="84"/>
    </row>
    <row r="3106">
      <c r="A3106" s="63">
        <v>206.0</v>
      </c>
      <c r="B3106" s="63">
        <v>335.0</v>
      </c>
      <c r="C3106" s="64" t="s">
        <v>665</v>
      </c>
      <c r="D3106" s="64" t="s">
        <v>666</v>
      </c>
      <c r="E3106" s="64" t="s">
        <v>667</v>
      </c>
      <c r="F3106" s="63">
        <v>8000.0</v>
      </c>
      <c r="G3106" s="63">
        <v>31.2</v>
      </c>
      <c r="H3106" s="66">
        <f t="shared" si="1"/>
        <v>348.51</v>
      </c>
      <c r="I3106" s="81">
        <f>IFERROR(__xludf.DUMMYFUNCTION("IF(G3106="""", """", ROUND(G3106 / MAX(FILTER($G$2:$G5067, $D$2:$D5067=$D3106)) * 100, 2))"),78.59)</f>
        <v>78.59</v>
      </c>
      <c r="J3106" s="81">
        <f>IFERROR(__xludf.DUMMYFUNCTION("IF(H3106="""", """", ROUND(H3106 / MAX(FILTER($H$2:$H5067, $D$2:$D5067=$D3106)) * 100, 2))"),91.9)</f>
        <v>91.9</v>
      </c>
      <c r="K3106" s="2"/>
      <c r="L3106" s="49"/>
      <c r="M3106" s="49"/>
      <c r="N3106" s="49"/>
      <c r="O3106" s="49" t="str">
        <f t="shared" si="2"/>
        <v/>
      </c>
      <c r="P3106" s="49" t="str">
        <f t="shared" si="3"/>
        <v/>
      </c>
      <c r="Q3106" s="84"/>
      <c r="R3106" s="84"/>
      <c r="S3106" s="84"/>
      <c r="T3106" s="84"/>
      <c r="U3106" s="84"/>
      <c r="V3106" s="84"/>
      <c r="W3106" s="84"/>
      <c r="X3106" s="84"/>
      <c r="Y3106" s="84"/>
      <c r="Z3106" s="84"/>
      <c r="AA3106" s="84"/>
      <c r="AB3106" s="84"/>
    </row>
    <row r="3107">
      <c r="A3107" s="69">
        <v>206.0</v>
      </c>
      <c r="B3107" s="69">
        <v>335.0</v>
      </c>
      <c r="C3107" s="86" t="s">
        <v>665</v>
      </c>
      <c r="D3107" s="86" t="s">
        <v>666</v>
      </c>
      <c r="E3107" s="86" t="s">
        <v>667</v>
      </c>
      <c r="F3107" s="69">
        <v>8500.0</v>
      </c>
      <c r="G3107" s="69">
        <v>25.4</v>
      </c>
      <c r="H3107" s="68">
        <f t="shared" si="1"/>
        <v>301.45</v>
      </c>
      <c r="I3107" s="81">
        <f>IFERROR(__xludf.DUMMYFUNCTION("IF(G3107="""", """", ROUND(G3107 / MAX(FILTER($G$2:$G5067, $D$2:$D5067=$D3107)) * 100, 2))"),63.98)</f>
        <v>63.98</v>
      </c>
      <c r="J3107" s="81">
        <f>IFERROR(__xludf.DUMMYFUNCTION("IF(H3107="""", """", ROUND(H3107 / MAX(FILTER($H$2:$H5067, $D$2:$D5067=$D3107)) * 100, 2))"),79.49)</f>
        <v>79.49</v>
      </c>
      <c r="K3107" s="2"/>
      <c r="L3107" s="48"/>
      <c r="M3107" s="48"/>
      <c r="N3107" s="48"/>
      <c r="O3107" s="48" t="str">
        <f t="shared" si="2"/>
        <v/>
      </c>
      <c r="P3107" s="48" t="str">
        <f t="shared" si="3"/>
        <v/>
      </c>
      <c r="Q3107" s="84"/>
      <c r="R3107" s="84"/>
      <c r="S3107" s="84"/>
      <c r="T3107" s="84"/>
      <c r="U3107" s="84"/>
      <c r="V3107" s="84"/>
      <c r="W3107" s="84"/>
      <c r="X3107" s="84"/>
      <c r="Y3107" s="84"/>
      <c r="Z3107" s="84"/>
      <c r="AA3107" s="84"/>
      <c r="AB3107" s="84"/>
    </row>
    <row r="3108">
      <c r="A3108" s="63">
        <v>207.0</v>
      </c>
      <c r="B3108" s="63">
        <v>336.0</v>
      </c>
      <c r="C3108" s="64" t="s">
        <v>668</v>
      </c>
      <c r="D3108" s="64" t="s">
        <v>669</v>
      </c>
      <c r="E3108" s="64" t="s">
        <v>670</v>
      </c>
      <c r="F3108" s="63">
        <v>500.0</v>
      </c>
      <c r="G3108" s="63">
        <v>15.68</v>
      </c>
      <c r="H3108" s="66">
        <f t="shared" si="1"/>
        <v>10.95</v>
      </c>
      <c r="I3108" s="81">
        <f>IFERROR(__xludf.DUMMYFUNCTION("IF(G3108="""", """", ROUND(G3108 / MAX(FILTER($G$2:$G5067, $D$2:$D5067=$D3108)) * 100, 2))"),54.22)</f>
        <v>54.22</v>
      </c>
      <c r="J3108" s="81">
        <f>IFERROR(__xludf.DUMMYFUNCTION("IF(H3108="""", """", ROUND(H3108 / MAX(FILTER($H$2:$H5067, $D$2:$D5067=$D3108)) * 100, 2))"),3.38)</f>
        <v>3.38</v>
      </c>
      <c r="K3108" s="2"/>
      <c r="L3108" s="49"/>
      <c r="M3108" s="49"/>
      <c r="N3108" s="49"/>
      <c r="O3108" s="49" t="str">
        <f t="shared" si="2"/>
        <v/>
      </c>
      <c r="P3108" s="49" t="str">
        <f t="shared" si="3"/>
        <v/>
      </c>
      <c r="Q3108" s="84"/>
      <c r="R3108" s="84"/>
      <c r="S3108" s="84"/>
      <c r="T3108" s="84"/>
      <c r="U3108" s="84"/>
      <c r="V3108" s="84"/>
      <c r="W3108" s="84"/>
      <c r="X3108" s="84"/>
      <c r="Y3108" s="84"/>
      <c r="Z3108" s="84"/>
      <c r="AA3108" s="84"/>
      <c r="AB3108" s="84"/>
    </row>
    <row r="3109">
      <c r="A3109" s="69">
        <v>207.0</v>
      </c>
      <c r="B3109" s="69">
        <v>336.0</v>
      </c>
      <c r="C3109" s="86" t="s">
        <v>668</v>
      </c>
      <c r="D3109" s="86" t="s">
        <v>669</v>
      </c>
      <c r="E3109" s="86" t="s">
        <v>670</v>
      </c>
      <c r="F3109" s="69">
        <v>1000.0</v>
      </c>
      <c r="G3109" s="69">
        <v>19.27</v>
      </c>
      <c r="H3109" s="68">
        <f t="shared" si="1"/>
        <v>26.91</v>
      </c>
      <c r="I3109" s="81">
        <f>IFERROR(__xludf.DUMMYFUNCTION("IF(G3109="""", """", ROUND(G3109 / MAX(FILTER($G$2:$G5067, $D$2:$D5067=$D3109)) * 100, 2))"),66.63)</f>
        <v>66.63</v>
      </c>
      <c r="J3109" s="81">
        <f>IFERROR(__xludf.DUMMYFUNCTION("IF(H3109="""", """", ROUND(H3109 / MAX(FILTER($H$2:$H5067, $D$2:$D5067=$D3109)) * 100, 2))"),8.3)</f>
        <v>8.3</v>
      </c>
      <c r="K3109" s="2"/>
      <c r="L3109" s="48"/>
      <c r="M3109" s="48"/>
      <c r="N3109" s="48"/>
      <c r="O3109" s="48" t="str">
        <f t="shared" si="2"/>
        <v/>
      </c>
      <c r="P3109" s="48" t="str">
        <f t="shared" si="3"/>
        <v/>
      </c>
      <c r="Q3109" s="84"/>
      <c r="R3109" s="84"/>
      <c r="S3109" s="84"/>
      <c r="T3109" s="84"/>
      <c r="U3109" s="84"/>
      <c r="V3109" s="84"/>
      <c r="W3109" s="84"/>
      <c r="X3109" s="84"/>
      <c r="Y3109" s="84"/>
      <c r="Z3109" s="84"/>
      <c r="AA3109" s="84"/>
      <c r="AB3109" s="84"/>
    </row>
    <row r="3110">
      <c r="A3110" s="63">
        <v>207.0</v>
      </c>
      <c r="B3110" s="63">
        <v>336.0</v>
      </c>
      <c r="C3110" s="64" t="s">
        <v>668</v>
      </c>
      <c r="D3110" s="64" t="s">
        <v>669</v>
      </c>
      <c r="E3110" s="64" t="s">
        <v>670</v>
      </c>
      <c r="F3110" s="63">
        <v>1500.0</v>
      </c>
      <c r="G3110" s="63">
        <v>21.88</v>
      </c>
      <c r="H3110" s="66">
        <f t="shared" si="1"/>
        <v>45.83</v>
      </c>
      <c r="I3110" s="81">
        <f>IFERROR(__xludf.DUMMYFUNCTION("IF(G3110="""", """", ROUND(G3110 / MAX(FILTER($G$2:$G5067, $D$2:$D5067=$D3110)) * 100, 2))"),75.66)</f>
        <v>75.66</v>
      </c>
      <c r="J3110" s="81">
        <f>IFERROR(__xludf.DUMMYFUNCTION("IF(H3110="""", """", ROUND(H3110 / MAX(FILTER($H$2:$H5067, $D$2:$D5067=$D3110)) * 100, 2))"),14.13)</f>
        <v>14.13</v>
      </c>
      <c r="K3110" s="2"/>
      <c r="L3110" s="49"/>
      <c r="M3110" s="49"/>
      <c r="N3110" s="49"/>
      <c r="O3110" s="49" t="str">
        <f t="shared" si="2"/>
        <v/>
      </c>
      <c r="P3110" s="49" t="str">
        <f t="shared" si="3"/>
        <v/>
      </c>
      <c r="Q3110" s="84"/>
      <c r="R3110" s="84"/>
      <c r="S3110" s="84"/>
      <c r="T3110" s="84"/>
      <c r="U3110" s="84"/>
      <c r="V3110" s="84"/>
      <c r="W3110" s="84"/>
      <c r="X3110" s="84"/>
      <c r="Y3110" s="84"/>
      <c r="Z3110" s="84"/>
      <c r="AA3110" s="84"/>
      <c r="AB3110" s="84"/>
    </row>
    <row r="3111">
      <c r="A3111" s="69">
        <v>207.0</v>
      </c>
      <c r="B3111" s="69">
        <v>336.0</v>
      </c>
      <c r="C3111" s="86" t="s">
        <v>668</v>
      </c>
      <c r="D3111" s="86" t="s">
        <v>669</v>
      </c>
      <c r="E3111" s="86" t="s">
        <v>670</v>
      </c>
      <c r="F3111" s="69">
        <v>2000.0</v>
      </c>
      <c r="G3111" s="69">
        <v>22.75</v>
      </c>
      <c r="H3111" s="68">
        <f t="shared" si="1"/>
        <v>63.53</v>
      </c>
      <c r="I3111" s="81">
        <f>IFERROR(__xludf.DUMMYFUNCTION("IF(G3111="""", """", ROUND(G3111 / MAX(FILTER($G$2:$G5067, $D$2:$D5067=$D3111)) * 100, 2))"),78.67)</f>
        <v>78.67</v>
      </c>
      <c r="J3111" s="81">
        <f>IFERROR(__xludf.DUMMYFUNCTION("IF(H3111="""", """", ROUND(H3111 / MAX(FILTER($H$2:$H5067, $D$2:$D5067=$D3111)) * 100, 2))"),19.59)</f>
        <v>19.59</v>
      </c>
      <c r="K3111" s="2"/>
      <c r="L3111" s="48"/>
      <c r="M3111" s="48"/>
      <c r="N3111" s="48"/>
      <c r="O3111" s="48" t="str">
        <f t="shared" si="2"/>
        <v/>
      </c>
      <c r="P3111" s="48" t="str">
        <f t="shared" si="3"/>
        <v/>
      </c>
      <c r="Q3111" s="84"/>
      <c r="R3111" s="84"/>
      <c r="S3111" s="84"/>
      <c r="T3111" s="84"/>
      <c r="U3111" s="84"/>
      <c r="V3111" s="84"/>
      <c r="W3111" s="84"/>
      <c r="X3111" s="84"/>
      <c r="Y3111" s="84"/>
      <c r="Z3111" s="84"/>
      <c r="AA3111" s="84"/>
      <c r="AB3111" s="84"/>
    </row>
    <row r="3112">
      <c r="A3112" s="63">
        <v>207.0</v>
      </c>
      <c r="B3112" s="63">
        <v>336.0</v>
      </c>
      <c r="C3112" s="64" t="s">
        <v>668</v>
      </c>
      <c r="D3112" s="64" t="s">
        <v>669</v>
      </c>
      <c r="E3112" s="64" t="s">
        <v>670</v>
      </c>
      <c r="F3112" s="63">
        <v>2500.0</v>
      </c>
      <c r="G3112" s="63">
        <v>23.73</v>
      </c>
      <c r="H3112" s="66">
        <f t="shared" si="1"/>
        <v>82.83</v>
      </c>
      <c r="I3112" s="81">
        <f>IFERROR(__xludf.DUMMYFUNCTION("IF(G3112="""", """", ROUND(G3112 / MAX(FILTER($G$2:$G5067, $D$2:$D5067=$D3112)) * 100, 2))"),82.05)</f>
        <v>82.05</v>
      </c>
      <c r="J3112" s="81">
        <f>IFERROR(__xludf.DUMMYFUNCTION("IF(H3112="""", """", ROUND(H3112 / MAX(FILTER($H$2:$H5067, $D$2:$D5067=$D3112)) * 100, 2))"),25.55)</f>
        <v>25.55</v>
      </c>
      <c r="K3112" s="2"/>
      <c r="L3112" s="49"/>
      <c r="M3112" s="49"/>
      <c r="N3112" s="49"/>
      <c r="O3112" s="49" t="str">
        <f t="shared" si="2"/>
        <v/>
      </c>
      <c r="P3112" s="49" t="str">
        <f t="shared" si="3"/>
        <v/>
      </c>
      <c r="Q3112" s="84"/>
      <c r="R3112" s="84"/>
      <c r="S3112" s="84"/>
      <c r="T3112" s="84"/>
      <c r="U3112" s="84"/>
      <c r="V3112" s="84"/>
      <c r="W3112" s="84"/>
      <c r="X3112" s="84"/>
      <c r="Y3112" s="84"/>
      <c r="Z3112" s="84"/>
      <c r="AA3112" s="84"/>
      <c r="AB3112" s="84"/>
    </row>
    <row r="3113">
      <c r="A3113" s="69">
        <v>207.0</v>
      </c>
      <c r="B3113" s="69">
        <v>336.0</v>
      </c>
      <c r="C3113" s="86" t="s">
        <v>668</v>
      </c>
      <c r="D3113" s="86" t="s">
        <v>669</v>
      </c>
      <c r="E3113" s="86" t="s">
        <v>670</v>
      </c>
      <c r="F3113" s="69">
        <v>3000.0</v>
      </c>
      <c r="G3113" s="69">
        <v>25.08</v>
      </c>
      <c r="H3113" s="68">
        <f t="shared" si="1"/>
        <v>105.05</v>
      </c>
      <c r="I3113" s="81">
        <f>IFERROR(__xludf.DUMMYFUNCTION("IF(G3113="""", """", ROUND(G3113 / MAX(FILTER($G$2:$G5067, $D$2:$D5067=$D3113)) * 100, 2))"),86.72)</f>
        <v>86.72</v>
      </c>
      <c r="J3113" s="81">
        <f>IFERROR(__xludf.DUMMYFUNCTION("IF(H3113="""", """", ROUND(H3113 / MAX(FILTER($H$2:$H5067, $D$2:$D5067=$D3113)) * 100, 2))"),32.4)</f>
        <v>32.4</v>
      </c>
      <c r="K3113" s="2"/>
      <c r="L3113" s="48"/>
      <c r="M3113" s="48"/>
      <c r="N3113" s="48"/>
      <c r="O3113" s="48" t="str">
        <f t="shared" si="2"/>
        <v/>
      </c>
      <c r="P3113" s="48" t="str">
        <f t="shared" si="3"/>
        <v/>
      </c>
      <c r="Q3113" s="84"/>
      <c r="R3113" s="84"/>
      <c r="S3113" s="84"/>
      <c r="T3113" s="84"/>
      <c r="U3113" s="84"/>
      <c r="V3113" s="84"/>
      <c r="W3113" s="84"/>
      <c r="X3113" s="84"/>
      <c r="Y3113" s="84"/>
      <c r="Z3113" s="84"/>
      <c r="AA3113" s="84"/>
      <c r="AB3113" s="84"/>
    </row>
    <row r="3114">
      <c r="A3114" s="63">
        <v>207.0</v>
      </c>
      <c r="B3114" s="63">
        <v>336.0</v>
      </c>
      <c r="C3114" s="64" t="s">
        <v>668</v>
      </c>
      <c r="D3114" s="64" t="s">
        <v>669</v>
      </c>
      <c r="E3114" s="64" t="s">
        <v>670</v>
      </c>
      <c r="F3114" s="63">
        <v>3500.0</v>
      </c>
      <c r="G3114" s="63">
        <v>26.42</v>
      </c>
      <c r="H3114" s="66">
        <f t="shared" si="1"/>
        <v>129.11</v>
      </c>
      <c r="I3114" s="81">
        <f>IFERROR(__xludf.DUMMYFUNCTION("IF(G3114="""", """", ROUND(G3114 / MAX(FILTER($G$2:$G5067, $D$2:$D5067=$D3114)) * 100, 2))"),91.36)</f>
        <v>91.36</v>
      </c>
      <c r="J3114" s="81">
        <f>IFERROR(__xludf.DUMMYFUNCTION("IF(H3114="""", """", ROUND(H3114 / MAX(FILTER($H$2:$H5067, $D$2:$D5067=$D3114)) * 100, 2))"),39.82)</f>
        <v>39.82</v>
      </c>
      <c r="K3114" s="2"/>
      <c r="L3114" s="49"/>
      <c r="M3114" s="49"/>
      <c r="N3114" s="49"/>
      <c r="O3114" s="49" t="str">
        <f t="shared" si="2"/>
        <v/>
      </c>
      <c r="P3114" s="49" t="str">
        <f t="shared" si="3"/>
        <v/>
      </c>
      <c r="Q3114" s="84"/>
      <c r="R3114" s="84"/>
      <c r="S3114" s="84"/>
      <c r="T3114" s="84"/>
      <c r="U3114" s="84"/>
      <c r="V3114" s="84"/>
      <c r="W3114" s="84"/>
      <c r="X3114" s="84"/>
      <c r="Y3114" s="84"/>
      <c r="Z3114" s="84"/>
      <c r="AA3114" s="84"/>
      <c r="AB3114" s="84"/>
    </row>
    <row r="3115">
      <c r="A3115" s="69">
        <v>207.0</v>
      </c>
      <c r="B3115" s="69">
        <v>336.0</v>
      </c>
      <c r="C3115" s="86" t="s">
        <v>668</v>
      </c>
      <c r="D3115" s="86" t="s">
        <v>669</v>
      </c>
      <c r="E3115" s="86" t="s">
        <v>670</v>
      </c>
      <c r="F3115" s="69">
        <v>4000.0</v>
      </c>
      <c r="G3115" s="69">
        <v>26.9</v>
      </c>
      <c r="H3115" s="68">
        <f t="shared" si="1"/>
        <v>150.24</v>
      </c>
      <c r="I3115" s="81">
        <f>IFERROR(__xludf.DUMMYFUNCTION("IF(G3115="""", """", ROUND(G3115 / MAX(FILTER($G$2:$G5067, $D$2:$D5067=$D3115)) * 100, 2))"),93.02)</f>
        <v>93.02</v>
      </c>
      <c r="J3115" s="81">
        <f>IFERROR(__xludf.DUMMYFUNCTION("IF(H3115="""", """", ROUND(H3115 / MAX(FILTER($H$2:$H5067, $D$2:$D5067=$D3115)) * 100, 2))"),46.34)</f>
        <v>46.34</v>
      </c>
      <c r="K3115" s="2"/>
      <c r="L3115" s="48"/>
      <c r="M3115" s="48"/>
      <c r="N3115" s="48"/>
      <c r="O3115" s="48" t="str">
        <f t="shared" si="2"/>
        <v/>
      </c>
      <c r="P3115" s="48" t="str">
        <f t="shared" si="3"/>
        <v/>
      </c>
      <c r="Q3115" s="84"/>
      <c r="R3115" s="84"/>
      <c r="S3115" s="84"/>
      <c r="T3115" s="84"/>
      <c r="U3115" s="84"/>
      <c r="V3115" s="84"/>
      <c r="W3115" s="84"/>
      <c r="X3115" s="84"/>
      <c r="Y3115" s="84"/>
      <c r="Z3115" s="84"/>
      <c r="AA3115" s="84"/>
      <c r="AB3115" s="84"/>
    </row>
    <row r="3116">
      <c r="A3116" s="63">
        <v>207.0</v>
      </c>
      <c r="B3116" s="63">
        <v>336.0</v>
      </c>
      <c r="C3116" s="64" t="s">
        <v>668</v>
      </c>
      <c r="D3116" s="64" t="s">
        <v>669</v>
      </c>
      <c r="E3116" s="64" t="s">
        <v>670</v>
      </c>
      <c r="F3116" s="63">
        <v>4500.0</v>
      </c>
      <c r="G3116" s="63">
        <v>27.65</v>
      </c>
      <c r="H3116" s="66">
        <f t="shared" si="1"/>
        <v>173.73</v>
      </c>
      <c r="I3116" s="81">
        <f>IFERROR(__xludf.DUMMYFUNCTION("IF(G3116="""", """", ROUND(G3116 / MAX(FILTER($G$2:$G5067, $D$2:$D5067=$D3116)) * 100, 2))"),95.61)</f>
        <v>95.61</v>
      </c>
      <c r="J3116" s="81">
        <f>IFERROR(__xludf.DUMMYFUNCTION("IF(H3116="""", """", ROUND(H3116 / MAX(FILTER($H$2:$H5067, $D$2:$D5067=$D3116)) * 100, 2))"),53.58)</f>
        <v>53.58</v>
      </c>
      <c r="K3116" s="2"/>
      <c r="L3116" s="49"/>
      <c r="M3116" s="49"/>
      <c r="N3116" s="49"/>
      <c r="O3116" s="49" t="str">
        <f t="shared" si="2"/>
        <v/>
      </c>
      <c r="P3116" s="49" t="str">
        <f t="shared" si="3"/>
        <v/>
      </c>
      <c r="Q3116" s="84"/>
      <c r="R3116" s="84"/>
      <c r="S3116" s="84"/>
      <c r="T3116" s="84"/>
      <c r="U3116" s="84"/>
      <c r="V3116" s="84"/>
      <c r="W3116" s="84"/>
      <c r="X3116" s="84"/>
      <c r="Y3116" s="84"/>
      <c r="Z3116" s="84"/>
      <c r="AA3116" s="84"/>
      <c r="AB3116" s="84"/>
    </row>
    <row r="3117">
      <c r="A3117" s="69">
        <v>207.0</v>
      </c>
      <c r="B3117" s="69">
        <v>336.0</v>
      </c>
      <c r="C3117" s="86" t="s">
        <v>668</v>
      </c>
      <c r="D3117" s="86" t="s">
        <v>669</v>
      </c>
      <c r="E3117" s="86" t="s">
        <v>670</v>
      </c>
      <c r="F3117" s="69">
        <v>5000.0</v>
      </c>
      <c r="G3117" s="69">
        <v>28.27</v>
      </c>
      <c r="H3117" s="68">
        <f t="shared" si="1"/>
        <v>197.36</v>
      </c>
      <c r="I3117" s="81">
        <f>IFERROR(__xludf.DUMMYFUNCTION("IF(G3117="""", """", ROUND(G3117 / MAX(FILTER($G$2:$G5067, $D$2:$D5067=$D3117)) * 100, 2))"),97.75)</f>
        <v>97.75</v>
      </c>
      <c r="J3117" s="81">
        <f>IFERROR(__xludf.DUMMYFUNCTION("IF(H3117="""", """", ROUND(H3117 / MAX(FILTER($H$2:$H5067, $D$2:$D5067=$D3117)) * 100, 2))"),60.87)</f>
        <v>60.87</v>
      </c>
      <c r="K3117" s="2"/>
      <c r="L3117" s="48"/>
      <c r="M3117" s="48"/>
      <c r="N3117" s="48"/>
      <c r="O3117" s="48" t="str">
        <f t="shared" si="2"/>
        <v/>
      </c>
      <c r="P3117" s="48" t="str">
        <f t="shared" si="3"/>
        <v/>
      </c>
      <c r="Q3117" s="84"/>
      <c r="R3117" s="84"/>
      <c r="S3117" s="84"/>
      <c r="T3117" s="84"/>
      <c r="U3117" s="84"/>
      <c r="V3117" s="84"/>
      <c r="W3117" s="84"/>
      <c r="X3117" s="84"/>
      <c r="Y3117" s="84"/>
      <c r="Z3117" s="84"/>
      <c r="AA3117" s="84"/>
      <c r="AB3117" s="84"/>
    </row>
    <row r="3118">
      <c r="A3118" s="63">
        <v>207.0</v>
      </c>
      <c r="B3118" s="63">
        <v>336.0</v>
      </c>
      <c r="C3118" s="64" t="s">
        <v>668</v>
      </c>
      <c r="D3118" s="64" t="s">
        <v>669</v>
      </c>
      <c r="E3118" s="64" t="s">
        <v>670</v>
      </c>
      <c r="F3118" s="63">
        <v>5600.0</v>
      </c>
      <c r="G3118" s="63">
        <v>28.6</v>
      </c>
      <c r="H3118" s="66">
        <f t="shared" si="1"/>
        <v>223.62</v>
      </c>
      <c r="I3118" s="81">
        <f>IFERROR(__xludf.DUMMYFUNCTION("IF(G3118="""", """", ROUND(G3118 / MAX(FILTER($G$2:$G5067, $D$2:$D5067=$D3118)) * 100, 2))"),98.89)</f>
        <v>98.89</v>
      </c>
      <c r="J3118" s="81">
        <f>IFERROR(__xludf.DUMMYFUNCTION("IF(H3118="""", """", ROUND(H3118 / MAX(FILTER($H$2:$H5067, $D$2:$D5067=$D3118)) * 100, 2))"),68.97)</f>
        <v>68.97</v>
      </c>
      <c r="K3118" s="2"/>
      <c r="L3118" s="49"/>
      <c r="M3118" s="49"/>
      <c r="N3118" s="49"/>
      <c r="O3118" s="49" t="str">
        <f t="shared" si="2"/>
        <v/>
      </c>
      <c r="P3118" s="49" t="str">
        <f t="shared" si="3"/>
        <v/>
      </c>
      <c r="Q3118" s="84"/>
      <c r="R3118" s="84"/>
      <c r="S3118" s="84"/>
      <c r="T3118" s="84"/>
      <c r="U3118" s="84"/>
      <c r="V3118" s="84"/>
      <c r="W3118" s="84"/>
      <c r="X3118" s="84"/>
      <c r="Y3118" s="84"/>
      <c r="Z3118" s="84"/>
      <c r="AA3118" s="84"/>
      <c r="AB3118" s="84"/>
    </row>
    <row r="3119">
      <c r="A3119" s="69">
        <v>207.0</v>
      </c>
      <c r="B3119" s="69">
        <v>336.0</v>
      </c>
      <c r="C3119" s="86" t="s">
        <v>668</v>
      </c>
      <c r="D3119" s="86" t="s">
        <v>669</v>
      </c>
      <c r="E3119" s="86" t="s">
        <v>670</v>
      </c>
      <c r="F3119" s="69">
        <v>6000.0</v>
      </c>
      <c r="G3119" s="69">
        <v>28.77</v>
      </c>
      <c r="H3119" s="68">
        <f t="shared" si="1"/>
        <v>241.02</v>
      </c>
      <c r="I3119" s="81">
        <f>IFERROR(__xludf.DUMMYFUNCTION("IF(G3119="""", """", ROUND(G3119 / MAX(FILTER($G$2:$G5067, $D$2:$D5067=$D3119)) * 100, 2))"),99.48)</f>
        <v>99.48</v>
      </c>
      <c r="J3119" s="81">
        <f>IFERROR(__xludf.DUMMYFUNCTION("IF(H3119="""", """", ROUND(H3119 / MAX(FILTER($H$2:$H5067, $D$2:$D5067=$D3119)) * 100, 2))"),74.33)</f>
        <v>74.33</v>
      </c>
      <c r="K3119" s="2"/>
      <c r="L3119" s="48"/>
      <c r="M3119" s="48"/>
      <c r="N3119" s="48"/>
      <c r="O3119" s="48" t="str">
        <f t="shared" si="2"/>
        <v/>
      </c>
      <c r="P3119" s="48" t="str">
        <f t="shared" si="3"/>
        <v/>
      </c>
      <c r="Q3119" s="84"/>
      <c r="R3119" s="84"/>
      <c r="S3119" s="84"/>
      <c r="T3119" s="84"/>
      <c r="U3119" s="84"/>
      <c r="V3119" s="84"/>
      <c r="W3119" s="84"/>
      <c r="X3119" s="84"/>
      <c r="Y3119" s="84"/>
      <c r="Z3119" s="84"/>
      <c r="AA3119" s="84"/>
      <c r="AB3119" s="84"/>
    </row>
    <row r="3120">
      <c r="A3120" s="63">
        <v>207.0</v>
      </c>
      <c r="B3120" s="63">
        <v>336.0</v>
      </c>
      <c r="C3120" s="64" t="s">
        <v>668</v>
      </c>
      <c r="D3120" s="64" t="s">
        <v>669</v>
      </c>
      <c r="E3120" s="64" t="s">
        <v>670</v>
      </c>
      <c r="F3120" s="63">
        <v>6500.0</v>
      </c>
      <c r="G3120" s="63">
        <v>28.72</v>
      </c>
      <c r="H3120" s="66">
        <f t="shared" si="1"/>
        <v>260.65</v>
      </c>
      <c r="I3120" s="81">
        <f>IFERROR(__xludf.DUMMYFUNCTION("IF(G3120="""", """", ROUND(G3120 / MAX(FILTER($G$2:$G5067, $D$2:$D5067=$D3120)) * 100, 2))"),99.31)</f>
        <v>99.31</v>
      </c>
      <c r="J3120" s="81">
        <f>IFERROR(__xludf.DUMMYFUNCTION("IF(H3120="""", """", ROUND(H3120 / MAX(FILTER($H$2:$H5067, $D$2:$D5067=$D3120)) * 100, 2))"),80.39)</f>
        <v>80.39</v>
      </c>
      <c r="K3120" s="2"/>
      <c r="L3120" s="49"/>
      <c r="M3120" s="49"/>
      <c r="N3120" s="49"/>
      <c r="O3120" s="49" t="str">
        <f t="shared" si="2"/>
        <v/>
      </c>
      <c r="P3120" s="49" t="str">
        <f t="shared" si="3"/>
        <v/>
      </c>
      <c r="Q3120" s="84"/>
      <c r="R3120" s="84"/>
      <c r="S3120" s="84"/>
      <c r="T3120" s="84"/>
      <c r="U3120" s="84"/>
      <c r="V3120" s="84"/>
      <c r="W3120" s="84"/>
      <c r="X3120" s="84"/>
      <c r="Y3120" s="84"/>
      <c r="Z3120" s="84"/>
      <c r="AA3120" s="84"/>
      <c r="AB3120" s="84"/>
    </row>
    <row r="3121">
      <c r="A3121" s="69">
        <v>207.0</v>
      </c>
      <c r="B3121" s="69">
        <v>336.0</v>
      </c>
      <c r="C3121" s="86" t="s">
        <v>668</v>
      </c>
      <c r="D3121" s="86" t="s">
        <v>669</v>
      </c>
      <c r="E3121" s="86" t="s">
        <v>670</v>
      </c>
      <c r="F3121" s="69">
        <v>7000.0</v>
      </c>
      <c r="G3121" s="69">
        <v>28.77</v>
      </c>
      <c r="H3121" s="68">
        <f t="shared" si="1"/>
        <v>281.19</v>
      </c>
      <c r="I3121" s="81">
        <f>IFERROR(__xludf.DUMMYFUNCTION("IF(G3121="""", """", ROUND(G3121 / MAX(FILTER($G$2:$G5067, $D$2:$D5067=$D3121)) * 100, 2))"),99.48)</f>
        <v>99.48</v>
      </c>
      <c r="J3121" s="81">
        <f>IFERROR(__xludf.DUMMYFUNCTION("IF(H3121="""", """", ROUND(H3121 / MAX(FILTER($H$2:$H5067, $D$2:$D5067=$D3121)) * 100, 2))"),86.72)</f>
        <v>86.72</v>
      </c>
      <c r="K3121" s="2"/>
      <c r="L3121" s="48"/>
      <c r="M3121" s="48"/>
      <c r="N3121" s="48"/>
      <c r="O3121" s="48" t="str">
        <f t="shared" si="2"/>
        <v/>
      </c>
      <c r="P3121" s="48" t="str">
        <f t="shared" si="3"/>
        <v/>
      </c>
      <c r="Q3121" s="84"/>
      <c r="R3121" s="84"/>
      <c r="S3121" s="84"/>
      <c r="T3121" s="84"/>
      <c r="U3121" s="84"/>
      <c r="V3121" s="84"/>
      <c r="W3121" s="84"/>
      <c r="X3121" s="84"/>
      <c r="Y3121" s="84"/>
      <c r="Z3121" s="84"/>
      <c r="AA3121" s="84"/>
      <c r="AB3121" s="84"/>
    </row>
    <row r="3122">
      <c r="A3122" s="63">
        <v>207.0</v>
      </c>
      <c r="B3122" s="63">
        <v>336.0</v>
      </c>
      <c r="C3122" s="64" t="s">
        <v>668</v>
      </c>
      <c r="D3122" s="64" t="s">
        <v>669</v>
      </c>
      <c r="E3122" s="64" t="s">
        <v>670</v>
      </c>
      <c r="F3122" s="63">
        <v>7500.0</v>
      </c>
      <c r="G3122" s="63">
        <v>28.92</v>
      </c>
      <c r="H3122" s="66">
        <f t="shared" si="1"/>
        <v>302.85</v>
      </c>
      <c r="I3122" s="81">
        <f>IFERROR(__xludf.DUMMYFUNCTION("IF(G3122="""", """", ROUND(G3122 / MAX(FILTER($G$2:$G5067, $D$2:$D5067=$D3122)) * 100, 2))"),100.0)</f>
        <v>100</v>
      </c>
      <c r="J3122" s="81">
        <f>IFERROR(__xludf.DUMMYFUNCTION("IF(H3122="""", """", ROUND(H3122 / MAX(FILTER($H$2:$H5067, $D$2:$D5067=$D3122)) * 100, 2))"),93.4)</f>
        <v>93.4</v>
      </c>
      <c r="K3122" s="2"/>
      <c r="L3122" s="49"/>
      <c r="M3122" s="49"/>
      <c r="N3122" s="49"/>
      <c r="O3122" s="49" t="str">
        <f t="shared" si="2"/>
        <v/>
      </c>
      <c r="P3122" s="49" t="str">
        <f t="shared" si="3"/>
        <v/>
      </c>
      <c r="Q3122" s="84"/>
      <c r="R3122" s="84"/>
      <c r="S3122" s="84"/>
      <c r="T3122" s="84"/>
      <c r="U3122" s="84"/>
      <c r="V3122" s="84"/>
      <c r="W3122" s="84"/>
      <c r="X3122" s="84"/>
      <c r="Y3122" s="84"/>
      <c r="Z3122" s="84"/>
      <c r="AA3122" s="84"/>
      <c r="AB3122" s="84"/>
    </row>
    <row r="3123">
      <c r="A3123" s="69">
        <v>207.0</v>
      </c>
      <c r="B3123" s="69">
        <v>336.0</v>
      </c>
      <c r="C3123" s="86" t="s">
        <v>668</v>
      </c>
      <c r="D3123" s="86" t="s">
        <v>669</v>
      </c>
      <c r="E3123" s="86" t="s">
        <v>670</v>
      </c>
      <c r="F3123" s="69">
        <v>8000.0</v>
      </c>
      <c r="G3123" s="69">
        <v>28.4</v>
      </c>
      <c r="H3123" s="68">
        <f t="shared" si="1"/>
        <v>317.23</v>
      </c>
      <c r="I3123" s="81">
        <f>IFERROR(__xludf.DUMMYFUNCTION("IF(G3123="""", """", ROUND(G3123 / MAX(FILTER($G$2:$G5067, $D$2:$D5067=$D3123)) * 100, 2))"),98.2)</f>
        <v>98.2</v>
      </c>
      <c r="J3123" s="81">
        <f>IFERROR(__xludf.DUMMYFUNCTION("IF(H3123="""", """", ROUND(H3123 / MAX(FILTER($H$2:$H5067, $D$2:$D5067=$D3123)) * 100, 2))"),97.84)</f>
        <v>97.84</v>
      </c>
      <c r="K3123" s="2"/>
      <c r="L3123" s="48"/>
      <c r="M3123" s="48"/>
      <c r="N3123" s="48"/>
      <c r="O3123" s="48" t="str">
        <f t="shared" si="2"/>
        <v/>
      </c>
      <c r="P3123" s="48" t="str">
        <f t="shared" si="3"/>
        <v/>
      </c>
      <c r="Q3123" s="84"/>
      <c r="R3123" s="84"/>
      <c r="S3123" s="84"/>
      <c r="T3123" s="84"/>
      <c r="U3123" s="84"/>
      <c r="V3123" s="84"/>
      <c r="W3123" s="84"/>
      <c r="X3123" s="84"/>
      <c r="Y3123" s="84"/>
      <c r="Z3123" s="84"/>
      <c r="AA3123" s="84"/>
      <c r="AB3123" s="84"/>
    </row>
    <row r="3124">
      <c r="A3124" s="63">
        <v>207.0</v>
      </c>
      <c r="B3124" s="63">
        <v>336.0</v>
      </c>
      <c r="C3124" s="64" t="s">
        <v>668</v>
      </c>
      <c r="D3124" s="64" t="s">
        <v>669</v>
      </c>
      <c r="E3124" s="64" t="s">
        <v>670</v>
      </c>
      <c r="F3124" s="63">
        <v>8500.0</v>
      </c>
      <c r="G3124" s="63">
        <v>27.32</v>
      </c>
      <c r="H3124" s="66">
        <f t="shared" si="1"/>
        <v>324.24</v>
      </c>
      <c r="I3124" s="81">
        <f>IFERROR(__xludf.DUMMYFUNCTION("IF(G3124="""", """", ROUND(G3124 / MAX(FILTER($G$2:$G5067, $D$2:$D5067=$D3124)) * 100, 2))"),94.47)</f>
        <v>94.47</v>
      </c>
      <c r="J3124" s="81">
        <f>IFERROR(__xludf.DUMMYFUNCTION("IF(H3124="""", """", ROUND(H3124 / MAX(FILTER($H$2:$H5067, $D$2:$D5067=$D3124)) * 100, 2))"),100.0)</f>
        <v>100</v>
      </c>
      <c r="K3124" s="2"/>
      <c r="L3124" s="49"/>
      <c r="M3124" s="49"/>
      <c r="N3124" s="49"/>
      <c r="O3124" s="49" t="str">
        <f t="shared" si="2"/>
        <v/>
      </c>
      <c r="P3124" s="49" t="str">
        <f t="shared" si="3"/>
        <v/>
      </c>
      <c r="Q3124" s="84"/>
      <c r="R3124" s="84"/>
      <c r="S3124" s="84"/>
      <c r="T3124" s="84"/>
      <c r="U3124" s="84"/>
      <c r="V3124" s="84"/>
      <c r="W3124" s="84"/>
      <c r="X3124" s="84"/>
      <c r="Y3124" s="84"/>
      <c r="Z3124" s="84"/>
      <c r="AA3124" s="84"/>
      <c r="AB3124" s="84"/>
    </row>
    <row r="3125">
      <c r="A3125" s="69">
        <v>207.0</v>
      </c>
      <c r="B3125" s="69">
        <v>336.0</v>
      </c>
      <c r="C3125" s="86" t="s">
        <v>668</v>
      </c>
      <c r="D3125" s="86" t="s">
        <v>669</v>
      </c>
      <c r="E3125" s="86" t="s">
        <v>670</v>
      </c>
      <c r="F3125" s="69">
        <v>9000.0</v>
      </c>
      <c r="G3125" s="69">
        <v>25.5</v>
      </c>
      <c r="H3125" s="68">
        <f t="shared" si="1"/>
        <v>320.44</v>
      </c>
      <c r="I3125" s="81">
        <f>IFERROR(__xludf.DUMMYFUNCTION("IF(G3125="""", """", ROUND(G3125 / MAX(FILTER($G$2:$G5067, $D$2:$D5067=$D3125)) * 100, 2))"),88.17)</f>
        <v>88.17</v>
      </c>
      <c r="J3125" s="81">
        <f>IFERROR(__xludf.DUMMYFUNCTION("IF(H3125="""", """", ROUND(H3125 / MAX(FILTER($H$2:$H5067, $D$2:$D5067=$D3125)) * 100, 2))"),98.83)</f>
        <v>98.83</v>
      </c>
      <c r="K3125" s="2"/>
      <c r="L3125" s="48"/>
      <c r="M3125" s="48"/>
      <c r="N3125" s="48"/>
      <c r="O3125" s="48" t="str">
        <f t="shared" si="2"/>
        <v/>
      </c>
      <c r="P3125" s="48" t="str">
        <f t="shared" si="3"/>
        <v/>
      </c>
      <c r="Q3125" s="84"/>
      <c r="R3125" s="84"/>
      <c r="S3125" s="84"/>
      <c r="T3125" s="84"/>
      <c r="U3125" s="84"/>
      <c r="V3125" s="84"/>
      <c r="W3125" s="84"/>
      <c r="X3125" s="84"/>
      <c r="Y3125" s="84"/>
      <c r="Z3125" s="84"/>
      <c r="AA3125" s="84"/>
      <c r="AB3125" s="84"/>
    </row>
    <row r="3126">
      <c r="A3126" s="63">
        <v>207.0</v>
      </c>
      <c r="B3126" s="63">
        <v>336.0</v>
      </c>
      <c r="C3126" s="64" t="s">
        <v>668</v>
      </c>
      <c r="D3126" s="64" t="s">
        <v>669</v>
      </c>
      <c r="E3126" s="64" t="s">
        <v>670</v>
      </c>
      <c r="F3126" s="63">
        <v>9500.0</v>
      </c>
      <c r="G3126" s="63">
        <v>22.2</v>
      </c>
      <c r="H3126" s="66">
        <f t="shared" si="1"/>
        <v>294.47</v>
      </c>
      <c r="I3126" s="81">
        <f>IFERROR(__xludf.DUMMYFUNCTION("IF(G3126="""", """", ROUND(G3126 / MAX(FILTER($G$2:$G5067, $D$2:$D5067=$D3126)) * 100, 2))"),76.76)</f>
        <v>76.76</v>
      </c>
      <c r="J3126" s="81">
        <f>IFERROR(__xludf.DUMMYFUNCTION("IF(H3126="""", """", ROUND(H3126 / MAX(FILTER($H$2:$H5067, $D$2:$D5067=$D3126)) * 100, 2))"),90.82)</f>
        <v>90.82</v>
      </c>
      <c r="K3126" s="2"/>
      <c r="L3126" s="49"/>
      <c r="M3126" s="49"/>
      <c r="N3126" s="49"/>
      <c r="O3126" s="49" t="str">
        <f t="shared" si="2"/>
        <v/>
      </c>
      <c r="P3126" s="49" t="str">
        <f t="shared" si="3"/>
        <v/>
      </c>
      <c r="Q3126" s="84"/>
      <c r="R3126" s="84"/>
      <c r="S3126" s="84"/>
      <c r="T3126" s="84"/>
      <c r="U3126" s="84"/>
      <c r="V3126" s="84"/>
      <c r="W3126" s="84"/>
      <c r="X3126" s="84"/>
      <c r="Y3126" s="84"/>
      <c r="Z3126" s="84"/>
      <c r="AA3126" s="84"/>
      <c r="AB3126" s="84"/>
    </row>
    <row r="3127">
      <c r="A3127" s="69">
        <v>207.0</v>
      </c>
      <c r="B3127" s="69">
        <v>336.0</v>
      </c>
      <c r="C3127" s="86" t="s">
        <v>668</v>
      </c>
      <c r="D3127" s="86" t="s">
        <v>669</v>
      </c>
      <c r="E3127" s="86" t="s">
        <v>670</v>
      </c>
      <c r="F3127" s="69">
        <v>10000.0</v>
      </c>
      <c r="G3127" s="69">
        <v>17.4</v>
      </c>
      <c r="H3127" s="68">
        <f t="shared" si="1"/>
        <v>242.95</v>
      </c>
      <c r="I3127" s="81">
        <f>IFERROR(__xludf.DUMMYFUNCTION("IF(G3127="""", """", ROUND(G3127 / MAX(FILTER($G$2:$G5067, $D$2:$D5067=$D3127)) * 100, 2))"),60.17)</f>
        <v>60.17</v>
      </c>
      <c r="J3127" s="81">
        <f>IFERROR(__xludf.DUMMYFUNCTION("IF(H3127="""", """", ROUND(H3127 / MAX(FILTER($H$2:$H5067, $D$2:$D5067=$D3127)) * 100, 2))"),74.93)</f>
        <v>74.93</v>
      </c>
      <c r="K3127" s="2"/>
      <c r="L3127" s="48"/>
      <c r="M3127" s="48"/>
      <c r="N3127" s="48"/>
      <c r="O3127" s="48" t="str">
        <f t="shared" si="2"/>
        <v/>
      </c>
      <c r="P3127" s="48" t="str">
        <f t="shared" si="3"/>
        <v/>
      </c>
      <c r="Q3127" s="84"/>
      <c r="R3127" s="84"/>
      <c r="S3127" s="84"/>
      <c r="T3127" s="84"/>
      <c r="U3127" s="84"/>
      <c r="V3127" s="84"/>
      <c r="W3127" s="84"/>
      <c r="X3127" s="84"/>
      <c r="Y3127" s="84"/>
      <c r="Z3127" s="84"/>
      <c r="AA3127" s="84"/>
      <c r="AB3127" s="84"/>
    </row>
    <row r="3128">
      <c r="A3128" s="63">
        <v>208.0</v>
      </c>
      <c r="B3128" s="63">
        <v>337.0</v>
      </c>
      <c r="C3128" s="64" t="s">
        <v>671</v>
      </c>
      <c r="D3128" s="64" t="s">
        <v>672</v>
      </c>
      <c r="E3128" s="64" t="s">
        <v>673</v>
      </c>
      <c r="F3128" s="63">
        <v>500.0</v>
      </c>
      <c r="G3128" s="63">
        <v>18.8</v>
      </c>
      <c r="H3128" s="66">
        <f t="shared" si="1"/>
        <v>13.12</v>
      </c>
      <c r="I3128" s="81">
        <f>IFERROR(__xludf.DUMMYFUNCTION("IF(G3128="""", """", ROUND(G3128 / MAX(FILTER($G$2:$G5067, $D$2:$D5067=$D3128)) * 100, 2))"),48.21)</f>
        <v>48.21</v>
      </c>
      <c r="J3128" s="81">
        <f>IFERROR(__xludf.DUMMYFUNCTION("IF(H3128="""", """", ROUND(H3128 / MAX(FILTER($H$2:$H5067, $D$2:$D5067=$D3128)) * 100, 2))"),2.82)</f>
        <v>2.82</v>
      </c>
      <c r="K3128" s="2"/>
      <c r="L3128" s="49"/>
      <c r="M3128" s="49"/>
      <c r="N3128" s="49"/>
      <c r="O3128" s="49" t="str">
        <f t="shared" si="2"/>
        <v/>
      </c>
      <c r="P3128" s="49" t="str">
        <f t="shared" si="3"/>
        <v/>
      </c>
      <c r="Q3128" s="84"/>
      <c r="R3128" s="84"/>
      <c r="S3128" s="84"/>
      <c r="T3128" s="84"/>
      <c r="U3128" s="84"/>
      <c r="V3128" s="84"/>
      <c r="W3128" s="84"/>
      <c r="X3128" s="84"/>
      <c r="Y3128" s="84"/>
      <c r="Z3128" s="84"/>
      <c r="AA3128" s="84"/>
      <c r="AB3128" s="84"/>
    </row>
    <row r="3129">
      <c r="A3129" s="69">
        <v>208.0</v>
      </c>
      <c r="B3129" s="69">
        <v>337.0</v>
      </c>
      <c r="C3129" s="86" t="s">
        <v>671</v>
      </c>
      <c r="D3129" s="86" t="s">
        <v>672</v>
      </c>
      <c r="E3129" s="86" t="s">
        <v>673</v>
      </c>
      <c r="F3129" s="69">
        <v>1000.0</v>
      </c>
      <c r="G3129" s="69">
        <v>21.0</v>
      </c>
      <c r="H3129" s="68">
        <f t="shared" si="1"/>
        <v>29.32</v>
      </c>
      <c r="I3129" s="81">
        <f>IFERROR(__xludf.DUMMYFUNCTION("IF(G3129="""", """", ROUND(G3129 / MAX(FILTER($G$2:$G5067, $D$2:$D5067=$D3129)) * 100, 2))"),53.85)</f>
        <v>53.85</v>
      </c>
      <c r="J3129" s="81">
        <f>IFERROR(__xludf.DUMMYFUNCTION("IF(H3129="""", """", ROUND(H3129 / MAX(FILTER($H$2:$H5067, $D$2:$D5067=$D3129)) * 100, 2))"),6.31)</f>
        <v>6.31</v>
      </c>
      <c r="K3129" s="2"/>
      <c r="L3129" s="48"/>
      <c r="M3129" s="48"/>
      <c r="N3129" s="48"/>
      <c r="O3129" s="48" t="str">
        <f t="shared" si="2"/>
        <v/>
      </c>
      <c r="P3129" s="48" t="str">
        <f t="shared" si="3"/>
        <v/>
      </c>
      <c r="Q3129" s="84"/>
      <c r="R3129" s="84"/>
      <c r="S3129" s="84"/>
      <c r="T3129" s="84"/>
      <c r="U3129" s="84"/>
      <c r="V3129" s="84"/>
      <c r="W3129" s="84"/>
      <c r="X3129" s="84"/>
      <c r="Y3129" s="84"/>
      <c r="Z3129" s="84"/>
      <c r="AA3129" s="84"/>
      <c r="AB3129" s="84"/>
    </row>
    <row r="3130">
      <c r="A3130" s="63">
        <v>208.0</v>
      </c>
      <c r="B3130" s="63">
        <v>337.0</v>
      </c>
      <c r="C3130" s="64" t="s">
        <v>671</v>
      </c>
      <c r="D3130" s="64" t="s">
        <v>672</v>
      </c>
      <c r="E3130" s="64" t="s">
        <v>673</v>
      </c>
      <c r="F3130" s="63">
        <v>1500.0</v>
      </c>
      <c r="G3130" s="63">
        <v>23.2</v>
      </c>
      <c r="H3130" s="66">
        <f t="shared" si="1"/>
        <v>48.59</v>
      </c>
      <c r="I3130" s="81">
        <f>IFERROR(__xludf.DUMMYFUNCTION("IF(G3130="""", """", ROUND(G3130 / MAX(FILTER($G$2:$G5067, $D$2:$D5067=$D3130)) * 100, 2))"),59.49)</f>
        <v>59.49</v>
      </c>
      <c r="J3130" s="81">
        <f>IFERROR(__xludf.DUMMYFUNCTION("IF(H3130="""", """", ROUND(H3130 / MAX(FILTER($H$2:$H5067, $D$2:$D5067=$D3130)) * 100, 2))"),10.45)</f>
        <v>10.45</v>
      </c>
      <c r="K3130" s="2"/>
      <c r="L3130" s="49"/>
      <c r="M3130" s="49"/>
      <c r="N3130" s="49"/>
      <c r="O3130" s="49" t="str">
        <f t="shared" si="2"/>
        <v/>
      </c>
      <c r="P3130" s="49" t="str">
        <f t="shared" si="3"/>
        <v/>
      </c>
      <c r="Q3130" s="84"/>
      <c r="R3130" s="84"/>
      <c r="S3130" s="84"/>
      <c r="T3130" s="84"/>
      <c r="U3130" s="84"/>
      <c r="V3130" s="84"/>
      <c r="W3130" s="84"/>
      <c r="X3130" s="84"/>
      <c r="Y3130" s="84"/>
      <c r="Z3130" s="84"/>
      <c r="AA3130" s="84"/>
      <c r="AB3130" s="84"/>
    </row>
    <row r="3131">
      <c r="A3131" s="69">
        <v>208.0</v>
      </c>
      <c r="B3131" s="69">
        <v>337.0</v>
      </c>
      <c r="C3131" s="86" t="s">
        <v>671</v>
      </c>
      <c r="D3131" s="86" t="s">
        <v>672</v>
      </c>
      <c r="E3131" s="86" t="s">
        <v>673</v>
      </c>
      <c r="F3131" s="69">
        <v>2000.0</v>
      </c>
      <c r="G3131" s="69">
        <v>25.6</v>
      </c>
      <c r="H3131" s="68">
        <f t="shared" si="1"/>
        <v>71.49</v>
      </c>
      <c r="I3131" s="81">
        <f>IFERROR(__xludf.DUMMYFUNCTION("IF(G3131="""", """", ROUND(G3131 / MAX(FILTER($G$2:$G5067, $D$2:$D5067=$D3131)) * 100, 2))"),65.64)</f>
        <v>65.64</v>
      </c>
      <c r="J3131" s="81">
        <f>IFERROR(__xludf.DUMMYFUNCTION("IF(H3131="""", """", ROUND(H3131 / MAX(FILTER($H$2:$H5067, $D$2:$D5067=$D3131)) * 100, 2))"),15.38)</f>
        <v>15.38</v>
      </c>
      <c r="K3131" s="2"/>
      <c r="L3131" s="48"/>
      <c r="M3131" s="48"/>
      <c r="N3131" s="48"/>
      <c r="O3131" s="48" t="str">
        <f t="shared" si="2"/>
        <v/>
      </c>
      <c r="P3131" s="48" t="str">
        <f t="shared" si="3"/>
        <v/>
      </c>
      <c r="Q3131" s="84"/>
      <c r="R3131" s="84"/>
      <c r="S3131" s="84"/>
      <c r="T3131" s="84"/>
      <c r="U3131" s="84"/>
      <c r="V3131" s="84"/>
      <c r="W3131" s="84"/>
      <c r="X3131" s="84"/>
      <c r="Y3131" s="84"/>
      <c r="Z3131" s="84"/>
      <c r="AA3131" s="84"/>
      <c r="AB3131" s="84"/>
    </row>
    <row r="3132">
      <c r="A3132" s="63">
        <v>208.0</v>
      </c>
      <c r="B3132" s="63">
        <v>337.0</v>
      </c>
      <c r="C3132" s="64" t="s">
        <v>671</v>
      </c>
      <c r="D3132" s="64" t="s">
        <v>672</v>
      </c>
      <c r="E3132" s="64" t="s">
        <v>673</v>
      </c>
      <c r="F3132" s="63">
        <v>2500.0</v>
      </c>
      <c r="G3132" s="63">
        <v>27.6</v>
      </c>
      <c r="H3132" s="66">
        <f t="shared" si="1"/>
        <v>96.34</v>
      </c>
      <c r="I3132" s="81">
        <f>IFERROR(__xludf.DUMMYFUNCTION("IF(G3132="""", """", ROUND(G3132 / MAX(FILTER($G$2:$G5067, $D$2:$D5067=$D3132)) * 100, 2))"),70.77)</f>
        <v>70.77</v>
      </c>
      <c r="J3132" s="81">
        <f>IFERROR(__xludf.DUMMYFUNCTION("IF(H3132="""", """", ROUND(H3132 / MAX(FILTER($H$2:$H5067, $D$2:$D5067=$D3132)) * 100, 2))"),20.72)</f>
        <v>20.72</v>
      </c>
      <c r="K3132" s="2"/>
      <c r="L3132" s="49"/>
      <c r="M3132" s="49"/>
      <c r="N3132" s="49"/>
      <c r="O3132" s="49" t="str">
        <f t="shared" si="2"/>
        <v/>
      </c>
      <c r="P3132" s="49" t="str">
        <f t="shared" si="3"/>
        <v/>
      </c>
      <c r="Q3132" s="84"/>
      <c r="R3132" s="84"/>
      <c r="S3132" s="84"/>
      <c r="T3132" s="84"/>
      <c r="U3132" s="84"/>
      <c r="V3132" s="84"/>
      <c r="W3132" s="84"/>
      <c r="X3132" s="84"/>
      <c r="Y3132" s="84"/>
      <c r="Z3132" s="84"/>
      <c r="AA3132" s="84"/>
      <c r="AB3132" s="84"/>
    </row>
    <row r="3133">
      <c r="A3133" s="69">
        <v>208.0</v>
      </c>
      <c r="B3133" s="69">
        <v>337.0</v>
      </c>
      <c r="C3133" s="86" t="s">
        <v>671</v>
      </c>
      <c r="D3133" s="86" t="s">
        <v>672</v>
      </c>
      <c r="E3133" s="86" t="s">
        <v>673</v>
      </c>
      <c r="F3133" s="69">
        <v>3000.0</v>
      </c>
      <c r="G3133" s="69">
        <v>29.5</v>
      </c>
      <c r="H3133" s="68">
        <f t="shared" si="1"/>
        <v>123.57</v>
      </c>
      <c r="I3133" s="81">
        <f>IFERROR(__xludf.DUMMYFUNCTION("IF(G3133="""", """", ROUND(G3133 / MAX(FILTER($G$2:$G5067, $D$2:$D5067=$D3133)) * 100, 2))"),75.64)</f>
        <v>75.64</v>
      </c>
      <c r="J3133" s="81">
        <f>IFERROR(__xludf.DUMMYFUNCTION("IF(H3133="""", """", ROUND(H3133 / MAX(FILTER($H$2:$H5067, $D$2:$D5067=$D3133)) * 100, 2))"),26.58)</f>
        <v>26.58</v>
      </c>
      <c r="K3133" s="2"/>
      <c r="L3133" s="48"/>
      <c r="M3133" s="48"/>
      <c r="N3133" s="48"/>
      <c r="O3133" s="48" t="str">
        <f t="shared" si="2"/>
        <v/>
      </c>
      <c r="P3133" s="48" t="str">
        <f t="shared" si="3"/>
        <v/>
      </c>
      <c r="Q3133" s="84"/>
      <c r="R3133" s="84"/>
      <c r="S3133" s="84"/>
      <c r="T3133" s="84"/>
      <c r="U3133" s="84"/>
      <c r="V3133" s="84"/>
      <c r="W3133" s="84"/>
      <c r="X3133" s="84"/>
      <c r="Y3133" s="84"/>
      <c r="Z3133" s="84"/>
      <c r="AA3133" s="84"/>
      <c r="AB3133" s="84"/>
    </row>
    <row r="3134">
      <c r="A3134" s="63">
        <v>208.0</v>
      </c>
      <c r="B3134" s="63">
        <v>337.0</v>
      </c>
      <c r="C3134" s="64" t="s">
        <v>671</v>
      </c>
      <c r="D3134" s="64" t="s">
        <v>672</v>
      </c>
      <c r="E3134" s="64" t="s">
        <v>673</v>
      </c>
      <c r="F3134" s="63">
        <v>3500.0</v>
      </c>
      <c r="G3134" s="63">
        <v>31.7</v>
      </c>
      <c r="H3134" s="66">
        <f t="shared" si="1"/>
        <v>154.91</v>
      </c>
      <c r="I3134" s="81">
        <f>IFERROR(__xludf.DUMMYFUNCTION("IF(G3134="""", """", ROUND(G3134 / MAX(FILTER($G$2:$G5067, $D$2:$D5067=$D3134)) * 100, 2))"),81.28)</f>
        <v>81.28</v>
      </c>
      <c r="J3134" s="81">
        <f>IFERROR(__xludf.DUMMYFUNCTION("IF(H3134="""", """", ROUND(H3134 / MAX(FILTER($H$2:$H5067, $D$2:$D5067=$D3134)) * 100, 2))"),33.32)</f>
        <v>33.32</v>
      </c>
      <c r="K3134" s="2"/>
      <c r="L3134" s="49"/>
      <c r="M3134" s="49"/>
      <c r="N3134" s="49"/>
      <c r="O3134" s="49" t="str">
        <f t="shared" si="2"/>
        <v/>
      </c>
      <c r="P3134" s="49" t="str">
        <f t="shared" si="3"/>
        <v/>
      </c>
      <c r="Q3134" s="84"/>
      <c r="R3134" s="84"/>
      <c r="S3134" s="84"/>
      <c r="T3134" s="84"/>
      <c r="U3134" s="84"/>
      <c r="V3134" s="84"/>
      <c r="W3134" s="84"/>
      <c r="X3134" s="84"/>
      <c r="Y3134" s="84"/>
      <c r="Z3134" s="84"/>
      <c r="AA3134" s="84"/>
      <c r="AB3134" s="84"/>
    </row>
    <row r="3135">
      <c r="A3135" s="69">
        <v>208.0</v>
      </c>
      <c r="B3135" s="69">
        <v>337.0</v>
      </c>
      <c r="C3135" s="86" t="s">
        <v>671</v>
      </c>
      <c r="D3135" s="86" t="s">
        <v>672</v>
      </c>
      <c r="E3135" s="86" t="s">
        <v>673</v>
      </c>
      <c r="F3135" s="69">
        <v>4000.0</v>
      </c>
      <c r="G3135" s="69">
        <v>33.7</v>
      </c>
      <c r="H3135" s="68">
        <f t="shared" si="1"/>
        <v>188.22</v>
      </c>
      <c r="I3135" s="81">
        <f>IFERROR(__xludf.DUMMYFUNCTION("IF(G3135="""", """", ROUND(G3135 / MAX(FILTER($G$2:$G5067, $D$2:$D5067=$D3135)) * 100, 2))"),86.41)</f>
        <v>86.41</v>
      </c>
      <c r="J3135" s="81">
        <f>IFERROR(__xludf.DUMMYFUNCTION("IF(H3135="""", """", ROUND(H3135 / MAX(FILTER($H$2:$H5067, $D$2:$D5067=$D3135)) * 100, 2))"),40.48)</f>
        <v>40.48</v>
      </c>
      <c r="K3135" s="2"/>
      <c r="L3135" s="48"/>
      <c r="M3135" s="48"/>
      <c r="N3135" s="48"/>
      <c r="O3135" s="48" t="str">
        <f t="shared" si="2"/>
        <v/>
      </c>
      <c r="P3135" s="48" t="str">
        <f t="shared" si="3"/>
        <v/>
      </c>
      <c r="Q3135" s="84"/>
      <c r="R3135" s="84"/>
      <c r="S3135" s="84"/>
      <c r="T3135" s="84"/>
      <c r="U3135" s="84"/>
      <c r="V3135" s="84"/>
      <c r="W3135" s="84"/>
      <c r="X3135" s="84"/>
      <c r="Y3135" s="84"/>
      <c r="Z3135" s="84"/>
      <c r="AA3135" s="84"/>
      <c r="AB3135" s="84"/>
    </row>
    <row r="3136">
      <c r="A3136" s="63">
        <v>208.0</v>
      </c>
      <c r="B3136" s="63">
        <v>337.0</v>
      </c>
      <c r="C3136" s="64" t="s">
        <v>671</v>
      </c>
      <c r="D3136" s="64" t="s">
        <v>672</v>
      </c>
      <c r="E3136" s="64" t="s">
        <v>673</v>
      </c>
      <c r="F3136" s="63">
        <v>4500.0</v>
      </c>
      <c r="G3136" s="63">
        <v>35.5</v>
      </c>
      <c r="H3136" s="66">
        <f t="shared" si="1"/>
        <v>223.05</v>
      </c>
      <c r="I3136" s="81">
        <f>IFERROR(__xludf.DUMMYFUNCTION("IF(G3136="""", """", ROUND(G3136 / MAX(FILTER($G$2:$G5067, $D$2:$D5067=$D3136)) * 100, 2))"),91.03)</f>
        <v>91.03</v>
      </c>
      <c r="J3136" s="81">
        <f>IFERROR(__xludf.DUMMYFUNCTION("IF(H3136="""", """", ROUND(H3136 / MAX(FILTER($H$2:$H5067, $D$2:$D5067=$D3136)) * 100, 2))"),47.97)</f>
        <v>47.97</v>
      </c>
      <c r="K3136" s="2"/>
      <c r="L3136" s="49"/>
      <c r="M3136" s="49"/>
      <c r="N3136" s="49"/>
      <c r="O3136" s="49" t="str">
        <f t="shared" si="2"/>
        <v/>
      </c>
      <c r="P3136" s="49" t="str">
        <f t="shared" si="3"/>
        <v/>
      </c>
      <c r="Q3136" s="84"/>
      <c r="R3136" s="84"/>
      <c r="S3136" s="84"/>
      <c r="T3136" s="84"/>
      <c r="U3136" s="84"/>
      <c r="V3136" s="84"/>
      <c r="W3136" s="84"/>
      <c r="X3136" s="84"/>
      <c r="Y3136" s="84"/>
      <c r="Z3136" s="84"/>
      <c r="AA3136" s="84"/>
      <c r="AB3136" s="84"/>
    </row>
    <row r="3137">
      <c r="A3137" s="69">
        <v>208.0</v>
      </c>
      <c r="B3137" s="69">
        <v>337.0</v>
      </c>
      <c r="C3137" s="86" t="s">
        <v>671</v>
      </c>
      <c r="D3137" s="86" t="s">
        <v>672</v>
      </c>
      <c r="E3137" s="86" t="s">
        <v>673</v>
      </c>
      <c r="F3137" s="69">
        <v>5000.0</v>
      </c>
      <c r="G3137" s="69">
        <v>36.8</v>
      </c>
      <c r="H3137" s="68">
        <f t="shared" si="1"/>
        <v>256.91</v>
      </c>
      <c r="I3137" s="81">
        <f>IFERROR(__xludf.DUMMYFUNCTION("IF(G3137="""", """", ROUND(G3137 / MAX(FILTER($G$2:$G5067, $D$2:$D5067=$D3137)) * 100, 2))"),94.36)</f>
        <v>94.36</v>
      </c>
      <c r="J3137" s="81">
        <f>IFERROR(__xludf.DUMMYFUNCTION("IF(H3137="""", """", ROUND(H3137 / MAX(FILTER($H$2:$H5067, $D$2:$D5067=$D3137)) * 100, 2))"),55.26)</f>
        <v>55.26</v>
      </c>
      <c r="K3137" s="2"/>
      <c r="L3137" s="48"/>
      <c r="M3137" s="48"/>
      <c r="N3137" s="48"/>
      <c r="O3137" s="48" t="str">
        <f t="shared" si="2"/>
        <v/>
      </c>
      <c r="P3137" s="48" t="str">
        <f t="shared" si="3"/>
        <v/>
      </c>
      <c r="Q3137" s="84"/>
      <c r="R3137" s="84"/>
      <c r="S3137" s="84"/>
      <c r="T3137" s="84"/>
      <c r="U3137" s="84"/>
      <c r="V3137" s="84"/>
      <c r="W3137" s="84"/>
      <c r="X3137" s="84"/>
      <c r="Y3137" s="84"/>
      <c r="Z3137" s="84"/>
      <c r="AA3137" s="84"/>
      <c r="AB3137" s="84"/>
    </row>
    <row r="3138">
      <c r="A3138" s="63">
        <v>208.0</v>
      </c>
      <c r="B3138" s="63">
        <v>337.0</v>
      </c>
      <c r="C3138" s="64" t="s">
        <v>671</v>
      </c>
      <c r="D3138" s="64" t="s">
        <v>672</v>
      </c>
      <c r="E3138" s="64" t="s">
        <v>673</v>
      </c>
      <c r="F3138" s="63">
        <v>5500.0</v>
      </c>
      <c r="G3138" s="63">
        <v>37.7</v>
      </c>
      <c r="H3138" s="66">
        <f t="shared" si="1"/>
        <v>289.51</v>
      </c>
      <c r="I3138" s="81">
        <f>IFERROR(__xludf.DUMMYFUNCTION("IF(G3138="""", """", ROUND(G3138 / MAX(FILTER($G$2:$G5067, $D$2:$D5067=$D3138)) * 100, 2))"),96.67)</f>
        <v>96.67</v>
      </c>
      <c r="J3138" s="81">
        <f>IFERROR(__xludf.DUMMYFUNCTION("IF(H3138="""", """", ROUND(H3138 / MAX(FILTER($H$2:$H5067, $D$2:$D5067=$D3138)) * 100, 2))"),62.27)</f>
        <v>62.27</v>
      </c>
      <c r="K3138" s="2"/>
      <c r="L3138" s="49"/>
      <c r="M3138" s="49"/>
      <c r="N3138" s="49"/>
      <c r="O3138" s="49" t="str">
        <f t="shared" si="2"/>
        <v/>
      </c>
      <c r="P3138" s="49" t="str">
        <f t="shared" si="3"/>
        <v/>
      </c>
      <c r="Q3138" s="84"/>
      <c r="R3138" s="84"/>
      <c r="S3138" s="84"/>
      <c r="T3138" s="84"/>
      <c r="U3138" s="84"/>
      <c r="V3138" s="84"/>
      <c r="W3138" s="84"/>
      <c r="X3138" s="84"/>
      <c r="Y3138" s="84"/>
      <c r="Z3138" s="84"/>
      <c r="AA3138" s="84"/>
      <c r="AB3138" s="84"/>
    </row>
    <row r="3139">
      <c r="A3139" s="69">
        <v>208.0</v>
      </c>
      <c r="B3139" s="69">
        <v>337.0</v>
      </c>
      <c r="C3139" s="86" t="s">
        <v>671</v>
      </c>
      <c r="D3139" s="86" t="s">
        <v>672</v>
      </c>
      <c r="E3139" s="86" t="s">
        <v>673</v>
      </c>
      <c r="F3139" s="69">
        <v>6000.0</v>
      </c>
      <c r="G3139" s="69">
        <v>38.4</v>
      </c>
      <c r="H3139" s="68">
        <f t="shared" si="1"/>
        <v>321.7</v>
      </c>
      <c r="I3139" s="81">
        <f>IFERROR(__xludf.DUMMYFUNCTION("IF(G3139="""", """", ROUND(G3139 / MAX(FILTER($G$2:$G5067, $D$2:$D5067=$D3139)) * 100, 2))"),98.46)</f>
        <v>98.46</v>
      </c>
      <c r="J3139" s="81">
        <f>IFERROR(__xludf.DUMMYFUNCTION("IF(H3139="""", """", ROUND(H3139 / MAX(FILTER($H$2:$H5067, $D$2:$D5067=$D3139)) * 100, 2))"),69.19)</f>
        <v>69.19</v>
      </c>
      <c r="K3139" s="2"/>
      <c r="L3139" s="48"/>
      <c r="M3139" s="48"/>
      <c r="N3139" s="48"/>
      <c r="O3139" s="48" t="str">
        <f t="shared" si="2"/>
        <v/>
      </c>
      <c r="P3139" s="48" t="str">
        <f t="shared" si="3"/>
        <v/>
      </c>
      <c r="Q3139" s="84"/>
      <c r="R3139" s="84"/>
      <c r="S3139" s="84"/>
      <c r="T3139" s="84"/>
      <c r="U3139" s="84"/>
      <c r="V3139" s="84"/>
      <c r="W3139" s="84"/>
      <c r="X3139" s="84"/>
      <c r="Y3139" s="84"/>
      <c r="Z3139" s="84"/>
      <c r="AA3139" s="84"/>
      <c r="AB3139" s="84"/>
    </row>
    <row r="3140">
      <c r="A3140" s="63">
        <v>208.0</v>
      </c>
      <c r="B3140" s="63">
        <v>337.0</v>
      </c>
      <c r="C3140" s="64" t="s">
        <v>671</v>
      </c>
      <c r="D3140" s="64" t="s">
        <v>672</v>
      </c>
      <c r="E3140" s="64" t="s">
        <v>673</v>
      </c>
      <c r="F3140" s="63">
        <v>6500.0</v>
      </c>
      <c r="G3140" s="63">
        <v>38.8</v>
      </c>
      <c r="H3140" s="66">
        <f t="shared" si="1"/>
        <v>352.14</v>
      </c>
      <c r="I3140" s="81">
        <f>IFERROR(__xludf.DUMMYFUNCTION("IF(G3140="""", """", ROUND(G3140 / MAX(FILTER($G$2:$G5067, $D$2:$D5067=$D3140)) * 100, 2))"),99.49)</f>
        <v>99.49</v>
      </c>
      <c r="J3140" s="81">
        <f>IFERROR(__xludf.DUMMYFUNCTION("IF(H3140="""", """", ROUND(H3140 / MAX(FILTER($H$2:$H5067, $D$2:$D5067=$D3140)) * 100, 2))"),75.74)</f>
        <v>75.74</v>
      </c>
      <c r="K3140" s="2"/>
      <c r="L3140" s="49"/>
      <c r="M3140" s="49"/>
      <c r="N3140" s="49"/>
      <c r="O3140" s="49" t="str">
        <f t="shared" si="2"/>
        <v/>
      </c>
      <c r="P3140" s="49" t="str">
        <f t="shared" si="3"/>
        <v/>
      </c>
      <c r="Q3140" s="84"/>
      <c r="R3140" s="84"/>
      <c r="S3140" s="84"/>
      <c r="T3140" s="84"/>
      <c r="U3140" s="84"/>
      <c r="V3140" s="84"/>
      <c r="W3140" s="84"/>
      <c r="X3140" s="84"/>
      <c r="Y3140" s="84"/>
      <c r="Z3140" s="84"/>
      <c r="AA3140" s="84"/>
      <c r="AB3140" s="84"/>
    </row>
    <row r="3141">
      <c r="A3141" s="69">
        <v>208.0</v>
      </c>
      <c r="B3141" s="69">
        <v>337.0</v>
      </c>
      <c r="C3141" s="86" t="s">
        <v>671</v>
      </c>
      <c r="D3141" s="86" t="s">
        <v>672</v>
      </c>
      <c r="E3141" s="86" t="s">
        <v>673</v>
      </c>
      <c r="F3141" s="69">
        <v>7000.0</v>
      </c>
      <c r="G3141" s="69">
        <v>39.0</v>
      </c>
      <c r="H3141" s="68">
        <f t="shared" si="1"/>
        <v>381.18</v>
      </c>
      <c r="I3141" s="81">
        <f>IFERROR(__xludf.DUMMYFUNCTION("IF(G3141="""", """", ROUND(G3141 / MAX(FILTER($G$2:$G5067, $D$2:$D5067=$D3141)) * 100, 2))"),100.0)</f>
        <v>100</v>
      </c>
      <c r="J3141" s="81">
        <f>IFERROR(__xludf.DUMMYFUNCTION("IF(H3141="""", """", ROUND(H3141 / MAX(FILTER($H$2:$H5067, $D$2:$D5067=$D3141)) * 100, 2))"),81.98)</f>
        <v>81.98</v>
      </c>
      <c r="K3141" s="2"/>
      <c r="L3141" s="48"/>
      <c r="M3141" s="48"/>
      <c r="N3141" s="48"/>
      <c r="O3141" s="48" t="str">
        <f t="shared" si="2"/>
        <v/>
      </c>
      <c r="P3141" s="48" t="str">
        <f t="shared" si="3"/>
        <v/>
      </c>
      <c r="Q3141" s="84"/>
      <c r="R3141" s="84"/>
      <c r="S3141" s="84"/>
      <c r="T3141" s="84"/>
      <c r="U3141" s="84"/>
      <c r="V3141" s="84"/>
      <c r="W3141" s="84"/>
      <c r="X3141" s="84"/>
      <c r="Y3141" s="84"/>
      <c r="Z3141" s="84"/>
      <c r="AA3141" s="84"/>
      <c r="AB3141" s="84"/>
    </row>
    <row r="3142">
      <c r="A3142" s="63">
        <v>208.0</v>
      </c>
      <c r="B3142" s="63">
        <v>337.0</v>
      </c>
      <c r="C3142" s="64" t="s">
        <v>671</v>
      </c>
      <c r="D3142" s="64" t="s">
        <v>672</v>
      </c>
      <c r="E3142" s="64" t="s">
        <v>673</v>
      </c>
      <c r="F3142" s="63">
        <v>7500.0</v>
      </c>
      <c r="G3142" s="63">
        <v>38.7</v>
      </c>
      <c r="H3142" s="66">
        <f t="shared" si="1"/>
        <v>405.26</v>
      </c>
      <c r="I3142" s="81">
        <f>IFERROR(__xludf.DUMMYFUNCTION("IF(G3142="""", """", ROUND(G3142 / MAX(FILTER($G$2:$G5067, $D$2:$D5067=$D3142)) * 100, 2))"),99.23)</f>
        <v>99.23</v>
      </c>
      <c r="J3142" s="81">
        <f>IFERROR(__xludf.DUMMYFUNCTION("IF(H3142="""", """", ROUND(H3142 / MAX(FILTER($H$2:$H5067, $D$2:$D5067=$D3142)) * 100, 2))"),87.16)</f>
        <v>87.16</v>
      </c>
      <c r="K3142" s="2"/>
      <c r="L3142" s="49"/>
      <c r="M3142" s="49"/>
      <c r="N3142" s="49"/>
      <c r="O3142" s="49" t="str">
        <f t="shared" si="2"/>
        <v/>
      </c>
      <c r="P3142" s="49" t="str">
        <f t="shared" si="3"/>
        <v/>
      </c>
      <c r="Q3142" s="84"/>
      <c r="R3142" s="84"/>
      <c r="S3142" s="84"/>
      <c r="T3142" s="84"/>
      <c r="U3142" s="84"/>
      <c r="V3142" s="84"/>
      <c r="W3142" s="84"/>
      <c r="X3142" s="84"/>
      <c r="Y3142" s="84"/>
      <c r="Z3142" s="84"/>
      <c r="AA3142" s="84"/>
      <c r="AB3142" s="84"/>
    </row>
    <row r="3143">
      <c r="A3143" s="69">
        <v>208.0</v>
      </c>
      <c r="B3143" s="69">
        <v>337.0</v>
      </c>
      <c r="C3143" s="86" t="s">
        <v>671</v>
      </c>
      <c r="D3143" s="86" t="s">
        <v>672</v>
      </c>
      <c r="E3143" s="86" t="s">
        <v>673</v>
      </c>
      <c r="F3143" s="69">
        <v>8000.0</v>
      </c>
      <c r="G3143" s="69">
        <v>38.1</v>
      </c>
      <c r="H3143" s="68">
        <f t="shared" si="1"/>
        <v>425.58</v>
      </c>
      <c r="I3143" s="81">
        <f>IFERROR(__xludf.DUMMYFUNCTION("IF(G3143="""", """", ROUND(G3143 / MAX(FILTER($G$2:$G5067, $D$2:$D5067=$D3143)) * 100, 2))"),97.69)</f>
        <v>97.69</v>
      </c>
      <c r="J3143" s="81">
        <f>IFERROR(__xludf.DUMMYFUNCTION("IF(H3143="""", """", ROUND(H3143 / MAX(FILTER($H$2:$H5067, $D$2:$D5067=$D3143)) * 100, 2))"),91.53)</f>
        <v>91.53</v>
      </c>
      <c r="K3143" s="2"/>
      <c r="L3143" s="48"/>
      <c r="M3143" s="48"/>
      <c r="N3143" s="48"/>
      <c r="O3143" s="48" t="str">
        <f t="shared" si="2"/>
        <v/>
      </c>
      <c r="P3143" s="48" t="str">
        <f t="shared" si="3"/>
        <v/>
      </c>
      <c r="Q3143" s="84"/>
      <c r="R3143" s="84"/>
      <c r="S3143" s="84"/>
      <c r="T3143" s="84"/>
      <c r="U3143" s="84"/>
      <c r="V3143" s="84"/>
      <c r="W3143" s="84"/>
      <c r="X3143" s="84"/>
      <c r="Y3143" s="84"/>
      <c r="Z3143" s="84"/>
      <c r="AA3143" s="84"/>
      <c r="AB3143" s="84"/>
    </row>
    <row r="3144">
      <c r="A3144" s="63">
        <v>208.0</v>
      </c>
      <c r="B3144" s="63">
        <v>337.0</v>
      </c>
      <c r="C3144" s="64" t="s">
        <v>671</v>
      </c>
      <c r="D3144" s="64" t="s">
        <v>672</v>
      </c>
      <c r="E3144" s="64" t="s">
        <v>673</v>
      </c>
      <c r="F3144" s="63">
        <v>8500.0</v>
      </c>
      <c r="G3144" s="63">
        <v>37.7</v>
      </c>
      <c r="H3144" s="66">
        <f t="shared" si="1"/>
        <v>447.43</v>
      </c>
      <c r="I3144" s="81">
        <f>IFERROR(__xludf.DUMMYFUNCTION("IF(G3144="""", """", ROUND(G3144 / MAX(FILTER($G$2:$G5067, $D$2:$D5067=$D3144)) * 100, 2))"),96.67)</f>
        <v>96.67</v>
      </c>
      <c r="J3144" s="81">
        <f>IFERROR(__xludf.DUMMYFUNCTION("IF(H3144="""", """", ROUND(H3144 / MAX(FILTER($H$2:$H5067, $D$2:$D5067=$D3144)) * 100, 2))"),96.23)</f>
        <v>96.23</v>
      </c>
      <c r="K3144" s="2"/>
      <c r="L3144" s="49"/>
      <c r="M3144" s="49"/>
      <c r="N3144" s="49"/>
      <c r="O3144" s="49" t="str">
        <f t="shared" si="2"/>
        <v/>
      </c>
      <c r="P3144" s="49" t="str">
        <f t="shared" si="3"/>
        <v/>
      </c>
      <c r="Q3144" s="84"/>
      <c r="R3144" s="84"/>
      <c r="S3144" s="84"/>
      <c r="T3144" s="84"/>
      <c r="U3144" s="84"/>
      <c r="V3144" s="84"/>
      <c r="W3144" s="84"/>
      <c r="X3144" s="84"/>
      <c r="Y3144" s="84"/>
      <c r="Z3144" s="84"/>
      <c r="AA3144" s="84"/>
      <c r="AB3144" s="84"/>
    </row>
    <row r="3145">
      <c r="A3145" s="69">
        <v>208.0</v>
      </c>
      <c r="B3145" s="69">
        <v>337.0</v>
      </c>
      <c r="C3145" s="86" t="s">
        <v>671</v>
      </c>
      <c r="D3145" s="86" t="s">
        <v>672</v>
      </c>
      <c r="E3145" s="86" t="s">
        <v>673</v>
      </c>
      <c r="F3145" s="69">
        <v>9000.0</v>
      </c>
      <c r="G3145" s="69">
        <v>37.0</v>
      </c>
      <c r="H3145" s="68">
        <f t="shared" si="1"/>
        <v>464.95</v>
      </c>
      <c r="I3145" s="81">
        <f>IFERROR(__xludf.DUMMYFUNCTION("IF(G3145="""", """", ROUND(G3145 / MAX(FILTER($G$2:$G5067, $D$2:$D5067=$D3145)) * 100, 2))"),94.87)</f>
        <v>94.87</v>
      </c>
      <c r="J3145" s="81">
        <f>IFERROR(__xludf.DUMMYFUNCTION("IF(H3145="""", """", ROUND(H3145 / MAX(FILTER($H$2:$H5067, $D$2:$D5067=$D3145)) * 100, 2))"),100.0)</f>
        <v>100</v>
      </c>
      <c r="K3145" s="2"/>
      <c r="L3145" s="48"/>
      <c r="M3145" s="48"/>
      <c r="N3145" s="48"/>
      <c r="O3145" s="48" t="str">
        <f t="shared" si="2"/>
        <v/>
      </c>
      <c r="P3145" s="48" t="str">
        <f t="shared" si="3"/>
        <v/>
      </c>
      <c r="Q3145" s="84"/>
      <c r="R3145" s="84"/>
      <c r="S3145" s="84"/>
      <c r="T3145" s="84"/>
      <c r="U3145" s="84"/>
      <c r="V3145" s="84"/>
      <c r="W3145" s="84"/>
      <c r="X3145" s="84"/>
      <c r="Y3145" s="84"/>
      <c r="Z3145" s="84"/>
      <c r="AA3145" s="84"/>
      <c r="AB3145" s="84"/>
    </row>
    <row r="3146">
      <c r="A3146" s="63">
        <v>208.0</v>
      </c>
      <c r="B3146" s="63">
        <v>337.0</v>
      </c>
      <c r="C3146" s="64" t="s">
        <v>671</v>
      </c>
      <c r="D3146" s="64" t="s">
        <v>672</v>
      </c>
      <c r="E3146" s="64" t="s">
        <v>673</v>
      </c>
      <c r="F3146" s="63">
        <v>9500.0</v>
      </c>
      <c r="G3146" s="63">
        <v>34.7</v>
      </c>
      <c r="H3146" s="66">
        <f t="shared" si="1"/>
        <v>460.28</v>
      </c>
      <c r="I3146" s="81">
        <f>IFERROR(__xludf.DUMMYFUNCTION("IF(G3146="""", """", ROUND(G3146 / MAX(FILTER($G$2:$G5067, $D$2:$D5067=$D3146)) * 100, 2))"),88.97)</f>
        <v>88.97</v>
      </c>
      <c r="J3146" s="81">
        <f>IFERROR(__xludf.DUMMYFUNCTION("IF(H3146="""", """", ROUND(H3146 / MAX(FILTER($H$2:$H5067, $D$2:$D5067=$D3146)) * 100, 2))"),99.0)</f>
        <v>99</v>
      </c>
      <c r="K3146" s="2"/>
      <c r="L3146" s="49"/>
      <c r="M3146" s="49"/>
      <c r="N3146" s="49"/>
      <c r="O3146" s="49" t="str">
        <f t="shared" si="2"/>
        <v/>
      </c>
      <c r="P3146" s="49" t="str">
        <f t="shared" si="3"/>
        <v/>
      </c>
      <c r="Q3146" s="84"/>
      <c r="R3146" s="84"/>
      <c r="S3146" s="84"/>
      <c r="T3146" s="84"/>
      <c r="U3146" s="84"/>
      <c r="V3146" s="84"/>
      <c r="W3146" s="84"/>
      <c r="X3146" s="84"/>
      <c r="Y3146" s="84"/>
      <c r="Z3146" s="84"/>
      <c r="AA3146" s="84"/>
      <c r="AB3146" s="84"/>
    </row>
    <row r="3147">
      <c r="A3147" s="69">
        <v>208.0</v>
      </c>
      <c r="B3147" s="69">
        <v>337.0</v>
      </c>
      <c r="C3147" s="86" t="s">
        <v>671</v>
      </c>
      <c r="D3147" s="86" t="s">
        <v>672</v>
      </c>
      <c r="E3147" s="86" t="s">
        <v>673</v>
      </c>
      <c r="F3147" s="69">
        <v>10000.0</v>
      </c>
      <c r="G3147" s="69">
        <v>30.2</v>
      </c>
      <c r="H3147" s="68">
        <f t="shared" si="1"/>
        <v>421.67</v>
      </c>
      <c r="I3147" s="81">
        <f>IFERROR(__xludf.DUMMYFUNCTION("IF(G3147="""", """", ROUND(G3147 / MAX(FILTER($G$2:$G5067, $D$2:$D5067=$D3147)) * 100, 2))"),77.44)</f>
        <v>77.44</v>
      </c>
      <c r="J3147" s="81">
        <f>IFERROR(__xludf.DUMMYFUNCTION("IF(H3147="""", """", ROUND(H3147 / MAX(FILTER($H$2:$H5067, $D$2:$D5067=$D3147)) * 100, 2))"),90.69)</f>
        <v>90.69</v>
      </c>
      <c r="K3147" s="2"/>
      <c r="L3147" s="48"/>
      <c r="M3147" s="48"/>
      <c r="N3147" s="48"/>
      <c r="O3147" s="48" t="str">
        <f t="shared" si="2"/>
        <v/>
      </c>
      <c r="P3147" s="48" t="str">
        <f t="shared" si="3"/>
        <v/>
      </c>
      <c r="Q3147" s="84"/>
      <c r="R3147" s="84"/>
      <c r="S3147" s="84"/>
      <c r="T3147" s="84"/>
      <c r="U3147" s="84"/>
      <c r="V3147" s="84"/>
      <c r="W3147" s="84"/>
      <c r="X3147" s="84"/>
      <c r="Y3147" s="84"/>
      <c r="Z3147" s="84"/>
      <c r="AA3147" s="84"/>
      <c r="AB3147" s="84"/>
    </row>
    <row r="3148">
      <c r="A3148" s="63">
        <v>209.0</v>
      </c>
      <c r="B3148" s="63">
        <v>338.0</v>
      </c>
      <c r="C3148" s="64" t="s">
        <v>674</v>
      </c>
      <c r="D3148" s="64" t="s">
        <v>675</v>
      </c>
      <c r="E3148" s="64" t="s">
        <v>676</v>
      </c>
      <c r="F3148" s="63">
        <v>500.0</v>
      </c>
      <c r="G3148" s="63">
        <v>16.2</v>
      </c>
      <c r="H3148" s="66">
        <f t="shared" si="1"/>
        <v>11.31</v>
      </c>
      <c r="I3148" s="81">
        <f>IFERROR(__xludf.DUMMYFUNCTION("IF(G3148="""", """", ROUND(G3148 / MAX(FILTER($G$2:$G5067, $D$2:$D5067=$D3148)) * 100, 2))"),66.18)</f>
        <v>66.18</v>
      </c>
      <c r="J3148" s="81">
        <f>IFERROR(__xludf.DUMMYFUNCTION("IF(H3148="""", """", ROUND(H3148 / MAX(FILTER($H$2:$H5067, $D$2:$D5067=$D3148)) * 100, 2))"),4.82)</f>
        <v>4.82</v>
      </c>
      <c r="K3148" s="2"/>
      <c r="L3148" s="49"/>
      <c r="M3148" s="49"/>
      <c r="N3148" s="49"/>
      <c r="O3148" s="49" t="str">
        <f t="shared" si="2"/>
        <v/>
      </c>
      <c r="P3148" s="49" t="str">
        <f t="shared" si="3"/>
        <v/>
      </c>
      <c r="Q3148" s="84"/>
      <c r="R3148" s="84"/>
      <c r="S3148" s="84"/>
      <c r="T3148" s="84"/>
      <c r="U3148" s="84"/>
      <c r="V3148" s="84"/>
      <c r="W3148" s="84"/>
      <c r="X3148" s="84"/>
      <c r="Y3148" s="84"/>
      <c r="Z3148" s="84"/>
      <c r="AA3148" s="84"/>
      <c r="AB3148" s="84"/>
    </row>
    <row r="3149">
      <c r="A3149" s="69">
        <v>209.0</v>
      </c>
      <c r="B3149" s="69">
        <v>338.0</v>
      </c>
      <c r="C3149" s="86" t="s">
        <v>674</v>
      </c>
      <c r="D3149" s="86" t="s">
        <v>675</v>
      </c>
      <c r="E3149" s="86" t="s">
        <v>676</v>
      </c>
      <c r="F3149" s="69">
        <v>1000.0</v>
      </c>
      <c r="G3149" s="69">
        <v>18.08</v>
      </c>
      <c r="H3149" s="68">
        <f t="shared" si="1"/>
        <v>25.24</v>
      </c>
      <c r="I3149" s="81">
        <f>IFERROR(__xludf.DUMMYFUNCTION("IF(G3149="""", """", ROUND(G3149 / MAX(FILTER($G$2:$G5067, $D$2:$D5067=$D3149)) * 100, 2))"),73.86)</f>
        <v>73.86</v>
      </c>
      <c r="J3149" s="81">
        <f>IFERROR(__xludf.DUMMYFUNCTION("IF(H3149="""", """", ROUND(H3149 / MAX(FILTER($H$2:$H5067, $D$2:$D5067=$D3149)) * 100, 2))"),10.76)</f>
        <v>10.76</v>
      </c>
      <c r="K3149" s="2"/>
      <c r="L3149" s="48"/>
      <c r="M3149" s="48"/>
      <c r="N3149" s="48"/>
      <c r="O3149" s="48" t="str">
        <f t="shared" si="2"/>
        <v/>
      </c>
      <c r="P3149" s="48" t="str">
        <f t="shared" si="3"/>
        <v/>
      </c>
      <c r="Q3149" s="84"/>
      <c r="R3149" s="84"/>
      <c r="S3149" s="84"/>
      <c r="T3149" s="84"/>
      <c r="U3149" s="84"/>
      <c r="V3149" s="84"/>
      <c r="W3149" s="84"/>
      <c r="X3149" s="84"/>
      <c r="Y3149" s="84"/>
      <c r="Z3149" s="84"/>
      <c r="AA3149" s="84"/>
      <c r="AB3149" s="84"/>
    </row>
    <row r="3150">
      <c r="A3150" s="63">
        <v>209.0</v>
      </c>
      <c r="B3150" s="63">
        <v>338.0</v>
      </c>
      <c r="C3150" s="64" t="s">
        <v>674</v>
      </c>
      <c r="D3150" s="64" t="s">
        <v>675</v>
      </c>
      <c r="E3150" s="64" t="s">
        <v>676</v>
      </c>
      <c r="F3150" s="63">
        <v>1500.0</v>
      </c>
      <c r="G3150" s="63">
        <v>19.35</v>
      </c>
      <c r="H3150" s="66">
        <f t="shared" si="1"/>
        <v>40.53</v>
      </c>
      <c r="I3150" s="81">
        <f>IFERROR(__xludf.DUMMYFUNCTION("IF(G3150="""", """", ROUND(G3150 / MAX(FILTER($G$2:$G5067, $D$2:$D5067=$D3150)) * 100, 2))"),79.04)</f>
        <v>79.04</v>
      </c>
      <c r="J3150" s="81">
        <f>IFERROR(__xludf.DUMMYFUNCTION("IF(H3150="""", """", ROUND(H3150 / MAX(FILTER($H$2:$H5067, $D$2:$D5067=$D3150)) * 100, 2))"),17.28)</f>
        <v>17.28</v>
      </c>
      <c r="K3150" s="2"/>
      <c r="L3150" s="49"/>
      <c r="M3150" s="49"/>
      <c r="N3150" s="49"/>
      <c r="O3150" s="49" t="str">
        <f t="shared" si="2"/>
        <v/>
      </c>
      <c r="P3150" s="49" t="str">
        <f t="shared" si="3"/>
        <v/>
      </c>
      <c r="Q3150" s="84"/>
      <c r="R3150" s="84"/>
      <c r="S3150" s="84"/>
      <c r="T3150" s="84"/>
      <c r="U3150" s="84"/>
      <c r="V3150" s="84"/>
      <c r="W3150" s="84"/>
      <c r="X3150" s="84"/>
      <c r="Y3150" s="84"/>
      <c r="Z3150" s="84"/>
      <c r="AA3150" s="84"/>
      <c r="AB3150" s="84"/>
    </row>
    <row r="3151">
      <c r="A3151" s="69">
        <v>209.0</v>
      </c>
      <c r="B3151" s="69">
        <v>338.0</v>
      </c>
      <c r="C3151" s="86" t="s">
        <v>674</v>
      </c>
      <c r="D3151" s="86" t="s">
        <v>675</v>
      </c>
      <c r="E3151" s="86" t="s">
        <v>676</v>
      </c>
      <c r="F3151" s="69">
        <v>2000.0</v>
      </c>
      <c r="G3151" s="69">
        <v>20.63</v>
      </c>
      <c r="H3151" s="68">
        <f t="shared" si="1"/>
        <v>57.61</v>
      </c>
      <c r="I3151" s="81">
        <f>IFERROR(__xludf.DUMMYFUNCTION("IF(G3151="""", """", ROUND(G3151 / MAX(FILTER($G$2:$G5067, $D$2:$D5067=$D3151)) * 100, 2))"),84.27)</f>
        <v>84.27</v>
      </c>
      <c r="J3151" s="81">
        <f>IFERROR(__xludf.DUMMYFUNCTION("IF(H3151="""", """", ROUND(H3151 / MAX(FILTER($H$2:$H5067, $D$2:$D5067=$D3151)) * 100, 2))"),24.56)</f>
        <v>24.56</v>
      </c>
      <c r="K3151" s="2"/>
      <c r="L3151" s="48"/>
      <c r="M3151" s="48"/>
      <c r="N3151" s="48"/>
      <c r="O3151" s="48" t="str">
        <f t="shared" si="2"/>
        <v/>
      </c>
      <c r="P3151" s="48" t="str">
        <f t="shared" si="3"/>
        <v/>
      </c>
      <c r="Q3151" s="84"/>
      <c r="R3151" s="84"/>
      <c r="S3151" s="84"/>
      <c r="T3151" s="84"/>
      <c r="U3151" s="84"/>
      <c r="V3151" s="84"/>
      <c r="W3151" s="84"/>
      <c r="X3151" s="84"/>
      <c r="Y3151" s="84"/>
      <c r="Z3151" s="84"/>
      <c r="AA3151" s="84"/>
      <c r="AB3151" s="84"/>
    </row>
    <row r="3152">
      <c r="A3152" s="63">
        <v>209.0</v>
      </c>
      <c r="B3152" s="63">
        <v>338.0</v>
      </c>
      <c r="C3152" s="64" t="s">
        <v>674</v>
      </c>
      <c r="D3152" s="64" t="s">
        <v>675</v>
      </c>
      <c r="E3152" s="64" t="s">
        <v>676</v>
      </c>
      <c r="F3152" s="63">
        <v>2500.0</v>
      </c>
      <c r="G3152" s="63">
        <v>21.67</v>
      </c>
      <c r="H3152" s="66">
        <f t="shared" si="1"/>
        <v>75.64</v>
      </c>
      <c r="I3152" s="81">
        <f>IFERROR(__xludf.DUMMYFUNCTION("IF(G3152="""", """", ROUND(G3152 / MAX(FILTER($G$2:$G5067, $D$2:$D5067=$D3152)) * 100, 2))"),88.52)</f>
        <v>88.52</v>
      </c>
      <c r="J3152" s="81">
        <f>IFERROR(__xludf.DUMMYFUNCTION("IF(H3152="""", """", ROUND(H3152 / MAX(FILTER($H$2:$H5067, $D$2:$D5067=$D3152)) * 100, 2))"),32.25)</f>
        <v>32.25</v>
      </c>
      <c r="K3152" s="2"/>
      <c r="L3152" s="49"/>
      <c r="M3152" s="49"/>
      <c r="N3152" s="49"/>
      <c r="O3152" s="49" t="str">
        <f t="shared" si="2"/>
        <v/>
      </c>
      <c r="P3152" s="49" t="str">
        <f t="shared" si="3"/>
        <v/>
      </c>
      <c r="Q3152" s="84"/>
      <c r="R3152" s="84"/>
      <c r="S3152" s="84"/>
      <c r="T3152" s="84"/>
      <c r="U3152" s="84"/>
      <c r="V3152" s="84"/>
      <c r="W3152" s="84"/>
      <c r="X3152" s="84"/>
      <c r="Y3152" s="84"/>
      <c r="Z3152" s="84"/>
      <c r="AA3152" s="84"/>
      <c r="AB3152" s="84"/>
    </row>
    <row r="3153">
      <c r="A3153" s="69">
        <v>209.0</v>
      </c>
      <c r="B3153" s="69">
        <v>338.0</v>
      </c>
      <c r="C3153" s="86" t="s">
        <v>674</v>
      </c>
      <c r="D3153" s="86" t="s">
        <v>675</v>
      </c>
      <c r="E3153" s="86" t="s">
        <v>676</v>
      </c>
      <c r="F3153" s="69">
        <v>3000.0</v>
      </c>
      <c r="G3153" s="69">
        <v>22.58</v>
      </c>
      <c r="H3153" s="68">
        <f t="shared" si="1"/>
        <v>94.58</v>
      </c>
      <c r="I3153" s="81">
        <f>IFERROR(__xludf.DUMMYFUNCTION("IF(G3153="""", """", ROUND(G3153 / MAX(FILTER($G$2:$G5067, $D$2:$D5067=$D3153)) * 100, 2))"),92.24)</f>
        <v>92.24</v>
      </c>
      <c r="J3153" s="81">
        <f>IFERROR(__xludf.DUMMYFUNCTION("IF(H3153="""", """", ROUND(H3153 / MAX(FILTER($H$2:$H5067, $D$2:$D5067=$D3153)) * 100, 2))"),40.32)</f>
        <v>40.32</v>
      </c>
      <c r="K3153" s="2"/>
      <c r="L3153" s="48"/>
      <c r="M3153" s="48"/>
      <c r="N3153" s="48"/>
      <c r="O3153" s="48" t="str">
        <f t="shared" si="2"/>
        <v/>
      </c>
      <c r="P3153" s="48" t="str">
        <f t="shared" si="3"/>
        <v/>
      </c>
      <c r="Q3153" s="84"/>
      <c r="R3153" s="84"/>
      <c r="S3153" s="84"/>
      <c r="T3153" s="84"/>
      <c r="U3153" s="84"/>
      <c r="V3153" s="84"/>
      <c r="W3153" s="84"/>
      <c r="X3153" s="84"/>
      <c r="Y3153" s="84"/>
      <c r="Z3153" s="84"/>
      <c r="AA3153" s="84"/>
      <c r="AB3153" s="84"/>
    </row>
    <row r="3154">
      <c r="A3154" s="63">
        <v>209.0</v>
      </c>
      <c r="B3154" s="63">
        <v>338.0</v>
      </c>
      <c r="C3154" s="64" t="s">
        <v>674</v>
      </c>
      <c r="D3154" s="64" t="s">
        <v>675</v>
      </c>
      <c r="E3154" s="64" t="s">
        <v>676</v>
      </c>
      <c r="F3154" s="63">
        <v>3500.0</v>
      </c>
      <c r="G3154" s="63">
        <v>23.33</v>
      </c>
      <c r="H3154" s="66">
        <f t="shared" si="1"/>
        <v>114.01</v>
      </c>
      <c r="I3154" s="81">
        <f>IFERROR(__xludf.DUMMYFUNCTION("IF(G3154="""", """", ROUND(G3154 / MAX(FILTER($G$2:$G5067, $D$2:$D5067=$D3154)) * 100, 2))"),95.3)</f>
        <v>95.3</v>
      </c>
      <c r="J3154" s="81">
        <f>IFERROR(__xludf.DUMMYFUNCTION("IF(H3154="""", """", ROUND(H3154 / MAX(FILTER($H$2:$H5067, $D$2:$D5067=$D3154)) * 100, 2))"),48.6)</f>
        <v>48.6</v>
      </c>
      <c r="K3154" s="2"/>
      <c r="L3154" s="49"/>
      <c r="M3154" s="49"/>
      <c r="N3154" s="49"/>
      <c r="O3154" s="49" t="str">
        <f t="shared" si="2"/>
        <v/>
      </c>
      <c r="P3154" s="49" t="str">
        <f t="shared" si="3"/>
        <v/>
      </c>
      <c r="Q3154" s="84"/>
      <c r="R3154" s="84"/>
      <c r="S3154" s="84"/>
      <c r="T3154" s="84"/>
      <c r="U3154" s="84"/>
      <c r="V3154" s="84"/>
      <c r="W3154" s="84"/>
      <c r="X3154" s="84"/>
      <c r="Y3154" s="84"/>
      <c r="Z3154" s="84"/>
      <c r="AA3154" s="84"/>
      <c r="AB3154" s="84"/>
    </row>
    <row r="3155">
      <c r="A3155" s="69">
        <v>209.0</v>
      </c>
      <c r="B3155" s="69">
        <v>338.0</v>
      </c>
      <c r="C3155" s="86" t="s">
        <v>674</v>
      </c>
      <c r="D3155" s="86" t="s">
        <v>675</v>
      </c>
      <c r="E3155" s="86" t="s">
        <v>676</v>
      </c>
      <c r="F3155" s="69">
        <v>4000.0</v>
      </c>
      <c r="G3155" s="69">
        <v>24.0</v>
      </c>
      <c r="H3155" s="68">
        <f t="shared" si="1"/>
        <v>134.04</v>
      </c>
      <c r="I3155" s="81">
        <f>IFERROR(__xludf.DUMMYFUNCTION("IF(G3155="""", """", ROUND(G3155 / MAX(FILTER($G$2:$G5067, $D$2:$D5067=$D3155)) * 100, 2))"),98.04)</f>
        <v>98.04</v>
      </c>
      <c r="J3155" s="81">
        <f>IFERROR(__xludf.DUMMYFUNCTION("IF(H3155="""", """", ROUND(H3155 / MAX(FILTER($H$2:$H5067, $D$2:$D5067=$D3155)) * 100, 2))"),57.14)</f>
        <v>57.14</v>
      </c>
      <c r="K3155" s="2"/>
      <c r="L3155" s="48"/>
      <c r="M3155" s="48"/>
      <c r="N3155" s="48"/>
      <c r="O3155" s="48" t="str">
        <f t="shared" si="2"/>
        <v/>
      </c>
      <c r="P3155" s="48" t="str">
        <f t="shared" si="3"/>
        <v/>
      </c>
      <c r="Q3155" s="84"/>
      <c r="R3155" s="84"/>
      <c r="S3155" s="84"/>
      <c r="T3155" s="84"/>
      <c r="U3155" s="84"/>
      <c r="V3155" s="84"/>
      <c r="W3155" s="84"/>
      <c r="X3155" s="84"/>
      <c r="Y3155" s="84"/>
      <c r="Z3155" s="84"/>
      <c r="AA3155" s="84"/>
      <c r="AB3155" s="84"/>
    </row>
    <row r="3156">
      <c r="A3156" s="63">
        <v>209.0</v>
      </c>
      <c r="B3156" s="63">
        <v>338.0</v>
      </c>
      <c r="C3156" s="64" t="s">
        <v>674</v>
      </c>
      <c r="D3156" s="64" t="s">
        <v>675</v>
      </c>
      <c r="E3156" s="64" t="s">
        <v>676</v>
      </c>
      <c r="F3156" s="63">
        <v>4750.0</v>
      </c>
      <c r="G3156" s="63">
        <v>24.48</v>
      </c>
      <c r="H3156" s="66">
        <f t="shared" si="1"/>
        <v>162.36</v>
      </c>
      <c r="I3156" s="81">
        <f>IFERROR(__xludf.DUMMYFUNCTION("IF(G3156="""", """", ROUND(G3156 / MAX(FILTER($G$2:$G5067, $D$2:$D5067=$D3156)) * 100, 2))"),100.0)</f>
        <v>100</v>
      </c>
      <c r="J3156" s="81">
        <f>IFERROR(__xludf.DUMMYFUNCTION("IF(H3156="""", """", ROUND(H3156 / MAX(FILTER($H$2:$H5067, $D$2:$D5067=$D3156)) * 100, 2))"),69.22)</f>
        <v>69.22</v>
      </c>
      <c r="K3156" s="2"/>
      <c r="L3156" s="49"/>
      <c r="M3156" s="49"/>
      <c r="N3156" s="49"/>
      <c r="O3156" s="49" t="str">
        <f t="shared" si="2"/>
        <v/>
      </c>
      <c r="P3156" s="49" t="str">
        <f t="shared" si="3"/>
        <v/>
      </c>
      <c r="Q3156" s="84"/>
      <c r="R3156" s="84"/>
      <c r="S3156" s="84"/>
      <c r="T3156" s="84"/>
      <c r="U3156" s="84"/>
      <c r="V3156" s="84"/>
      <c r="W3156" s="84"/>
      <c r="X3156" s="84"/>
      <c r="Y3156" s="84"/>
      <c r="Z3156" s="84"/>
      <c r="AA3156" s="84"/>
      <c r="AB3156" s="84"/>
    </row>
    <row r="3157">
      <c r="A3157" s="69">
        <v>209.0</v>
      </c>
      <c r="B3157" s="69">
        <v>338.0</v>
      </c>
      <c r="C3157" s="86" t="s">
        <v>674</v>
      </c>
      <c r="D3157" s="86" t="s">
        <v>675</v>
      </c>
      <c r="E3157" s="86" t="s">
        <v>676</v>
      </c>
      <c r="F3157" s="69">
        <v>5000.0</v>
      </c>
      <c r="G3157" s="69">
        <v>24.38</v>
      </c>
      <c r="H3157" s="68">
        <f t="shared" si="1"/>
        <v>170.2</v>
      </c>
      <c r="I3157" s="81">
        <f>IFERROR(__xludf.DUMMYFUNCTION("IF(G3157="""", """", ROUND(G3157 / MAX(FILTER($G$2:$G5067, $D$2:$D5067=$D3157)) * 100, 2))"),99.59)</f>
        <v>99.59</v>
      </c>
      <c r="J3157" s="81">
        <f>IFERROR(__xludf.DUMMYFUNCTION("IF(H3157="""", """", ROUND(H3157 / MAX(FILTER($H$2:$H5067, $D$2:$D5067=$D3157)) * 100, 2))"),72.56)</f>
        <v>72.56</v>
      </c>
      <c r="K3157" s="2"/>
      <c r="L3157" s="48"/>
      <c r="M3157" s="48"/>
      <c r="N3157" s="48"/>
      <c r="O3157" s="48" t="str">
        <f t="shared" si="2"/>
        <v/>
      </c>
      <c r="P3157" s="48" t="str">
        <f t="shared" si="3"/>
        <v/>
      </c>
      <c r="Q3157" s="84"/>
      <c r="R3157" s="84"/>
      <c r="S3157" s="84"/>
      <c r="T3157" s="84"/>
      <c r="U3157" s="84"/>
      <c r="V3157" s="84"/>
      <c r="W3157" s="84"/>
      <c r="X3157" s="84"/>
      <c r="Y3157" s="84"/>
      <c r="Z3157" s="84"/>
      <c r="AA3157" s="84"/>
      <c r="AB3157" s="84"/>
    </row>
    <row r="3158">
      <c r="A3158" s="63">
        <v>209.0</v>
      </c>
      <c r="B3158" s="63">
        <v>338.0</v>
      </c>
      <c r="C3158" s="64" t="s">
        <v>674</v>
      </c>
      <c r="D3158" s="64" t="s">
        <v>675</v>
      </c>
      <c r="E3158" s="64" t="s">
        <v>676</v>
      </c>
      <c r="F3158" s="63">
        <v>5500.0</v>
      </c>
      <c r="G3158" s="63">
        <v>24.3</v>
      </c>
      <c r="H3158" s="66">
        <f t="shared" si="1"/>
        <v>186.61</v>
      </c>
      <c r="I3158" s="81">
        <f>IFERROR(__xludf.DUMMYFUNCTION("IF(G3158="""", """", ROUND(G3158 / MAX(FILTER($G$2:$G5067, $D$2:$D5067=$D3158)) * 100, 2))"),99.26)</f>
        <v>99.26</v>
      </c>
      <c r="J3158" s="81">
        <f>IFERROR(__xludf.DUMMYFUNCTION("IF(H3158="""", """", ROUND(H3158 / MAX(FILTER($H$2:$H5067, $D$2:$D5067=$D3158)) * 100, 2))"),79.55)</f>
        <v>79.55</v>
      </c>
      <c r="K3158" s="2"/>
      <c r="L3158" s="49"/>
      <c r="M3158" s="49"/>
      <c r="N3158" s="49"/>
      <c r="O3158" s="49" t="str">
        <f t="shared" si="2"/>
        <v/>
      </c>
      <c r="P3158" s="49" t="str">
        <f t="shared" si="3"/>
        <v/>
      </c>
      <c r="Q3158" s="84"/>
      <c r="R3158" s="84"/>
      <c r="S3158" s="84"/>
      <c r="T3158" s="84"/>
      <c r="U3158" s="84"/>
      <c r="V3158" s="84"/>
      <c r="W3158" s="84"/>
      <c r="X3158" s="84"/>
      <c r="Y3158" s="84"/>
      <c r="Z3158" s="84"/>
      <c r="AA3158" s="84"/>
      <c r="AB3158" s="84"/>
    </row>
    <row r="3159">
      <c r="A3159" s="69">
        <v>209.0</v>
      </c>
      <c r="B3159" s="69">
        <v>338.0</v>
      </c>
      <c r="C3159" s="86" t="s">
        <v>674</v>
      </c>
      <c r="D3159" s="86" t="s">
        <v>675</v>
      </c>
      <c r="E3159" s="86" t="s">
        <v>676</v>
      </c>
      <c r="F3159" s="69">
        <v>6000.0</v>
      </c>
      <c r="G3159" s="69">
        <v>24.15</v>
      </c>
      <c r="H3159" s="68">
        <f t="shared" si="1"/>
        <v>202.32</v>
      </c>
      <c r="I3159" s="81">
        <f>IFERROR(__xludf.DUMMYFUNCTION("IF(G3159="""", """", ROUND(G3159 / MAX(FILTER($G$2:$G5067, $D$2:$D5067=$D3159)) * 100, 2))"),98.65)</f>
        <v>98.65</v>
      </c>
      <c r="J3159" s="81">
        <f>IFERROR(__xludf.DUMMYFUNCTION("IF(H3159="""", """", ROUND(H3159 / MAX(FILTER($H$2:$H5067, $D$2:$D5067=$D3159)) * 100, 2))"),86.25)</f>
        <v>86.25</v>
      </c>
      <c r="K3159" s="2"/>
      <c r="L3159" s="48"/>
      <c r="M3159" s="48"/>
      <c r="N3159" s="48"/>
      <c r="O3159" s="48" t="str">
        <f t="shared" si="2"/>
        <v/>
      </c>
      <c r="P3159" s="48" t="str">
        <f t="shared" si="3"/>
        <v/>
      </c>
      <c r="Q3159" s="84"/>
      <c r="R3159" s="84"/>
      <c r="S3159" s="84"/>
      <c r="T3159" s="84"/>
      <c r="U3159" s="84"/>
      <c r="V3159" s="84"/>
      <c r="W3159" s="84"/>
      <c r="X3159" s="84"/>
      <c r="Y3159" s="84"/>
      <c r="Z3159" s="84"/>
      <c r="AA3159" s="84"/>
      <c r="AB3159" s="84"/>
    </row>
    <row r="3160">
      <c r="A3160" s="63">
        <v>209.0</v>
      </c>
      <c r="B3160" s="63">
        <v>338.0</v>
      </c>
      <c r="C3160" s="64" t="s">
        <v>674</v>
      </c>
      <c r="D3160" s="64" t="s">
        <v>675</v>
      </c>
      <c r="E3160" s="64" t="s">
        <v>676</v>
      </c>
      <c r="F3160" s="63">
        <v>6500.0</v>
      </c>
      <c r="G3160" s="63">
        <v>24.15</v>
      </c>
      <c r="H3160" s="66">
        <f t="shared" si="1"/>
        <v>219.18</v>
      </c>
      <c r="I3160" s="81">
        <f>IFERROR(__xludf.DUMMYFUNCTION("IF(G3160="""", """", ROUND(G3160 / MAX(FILTER($G$2:$G5067, $D$2:$D5067=$D3160)) * 100, 2))"),98.65)</f>
        <v>98.65</v>
      </c>
      <c r="J3160" s="81">
        <f>IFERROR(__xludf.DUMMYFUNCTION("IF(H3160="""", """", ROUND(H3160 / MAX(FILTER($H$2:$H5067, $D$2:$D5067=$D3160)) * 100, 2))"),93.44)</f>
        <v>93.44</v>
      </c>
      <c r="K3160" s="2"/>
      <c r="L3160" s="49"/>
      <c r="M3160" s="49"/>
      <c r="N3160" s="49"/>
      <c r="O3160" s="49" t="str">
        <f t="shared" si="2"/>
        <v/>
      </c>
      <c r="P3160" s="49" t="str">
        <f t="shared" si="3"/>
        <v/>
      </c>
      <c r="Q3160" s="84"/>
      <c r="R3160" s="84"/>
      <c r="S3160" s="84"/>
      <c r="T3160" s="84"/>
      <c r="U3160" s="84"/>
      <c r="V3160" s="84"/>
      <c r="W3160" s="84"/>
      <c r="X3160" s="84"/>
      <c r="Y3160" s="84"/>
      <c r="Z3160" s="84"/>
      <c r="AA3160" s="84"/>
      <c r="AB3160" s="84"/>
    </row>
    <row r="3161">
      <c r="A3161" s="69">
        <v>209.0</v>
      </c>
      <c r="B3161" s="69">
        <v>338.0</v>
      </c>
      <c r="C3161" s="86" t="s">
        <v>674</v>
      </c>
      <c r="D3161" s="86" t="s">
        <v>675</v>
      </c>
      <c r="E3161" s="86" t="s">
        <v>676</v>
      </c>
      <c r="F3161" s="69">
        <v>7000.0</v>
      </c>
      <c r="G3161" s="69">
        <v>24.0</v>
      </c>
      <c r="H3161" s="68">
        <f t="shared" si="1"/>
        <v>234.57</v>
      </c>
      <c r="I3161" s="81">
        <f>IFERROR(__xludf.DUMMYFUNCTION("IF(G3161="""", """", ROUND(G3161 / MAX(FILTER($G$2:$G5067, $D$2:$D5067=$D3161)) * 100, 2))"),98.04)</f>
        <v>98.04</v>
      </c>
      <c r="J3161" s="81">
        <f>IFERROR(__xludf.DUMMYFUNCTION("IF(H3161="""", """", ROUND(H3161 / MAX(FILTER($H$2:$H5067, $D$2:$D5067=$D3161)) * 100, 2))"),100.0)</f>
        <v>100</v>
      </c>
      <c r="K3161" s="2"/>
      <c r="L3161" s="48"/>
      <c r="M3161" s="48"/>
      <c r="N3161" s="48"/>
      <c r="O3161" s="48" t="str">
        <f t="shared" si="2"/>
        <v/>
      </c>
      <c r="P3161" s="48" t="str">
        <f t="shared" si="3"/>
        <v/>
      </c>
      <c r="Q3161" s="84"/>
      <c r="R3161" s="84"/>
      <c r="S3161" s="84"/>
      <c r="T3161" s="84"/>
      <c r="U3161" s="84"/>
      <c r="V3161" s="84"/>
      <c r="W3161" s="84"/>
      <c r="X3161" s="84"/>
      <c r="Y3161" s="84"/>
      <c r="Z3161" s="84"/>
      <c r="AA3161" s="84"/>
      <c r="AB3161" s="84"/>
    </row>
    <row r="3162">
      <c r="A3162" s="63">
        <v>209.0</v>
      </c>
      <c r="B3162" s="63">
        <v>338.0</v>
      </c>
      <c r="C3162" s="64" t="s">
        <v>674</v>
      </c>
      <c r="D3162" s="64" t="s">
        <v>675</v>
      </c>
      <c r="E3162" s="64" t="s">
        <v>676</v>
      </c>
      <c r="F3162" s="63">
        <v>7500.0</v>
      </c>
      <c r="G3162" s="63">
        <v>21.9</v>
      </c>
      <c r="H3162" s="66">
        <f t="shared" si="1"/>
        <v>229.34</v>
      </c>
      <c r="I3162" s="81">
        <f>IFERROR(__xludf.DUMMYFUNCTION("IF(G3162="""", """", ROUND(G3162 / MAX(FILTER($G$2:$G5067, $D$2:$D5067=$D3162)) * 100, 2))"),89.46)</f>
        <v>89.46</v>
      </c>
      <c r="J3162" s="81">
        <f>IFERROR(__xludf.DUMMYFUNCTION("IF(H3162="""", """", ROUND(H3162 / MAX(FILTER($H$2:$H5067, $D$2:$D5067=$D3162)) * 100, 2))"),97.77)</f>
        <v>97.77</v>
      </c>
      <c r="K3162" s="2"/>
      <c r="L3162" s="49"/>
      <c r="M3162" s="49"/>
      <c r="N3162" s="49"/>
      <c r="O3162" s="49" t="str">
        <f t="shared" si="2"/>
        <v/>
      </c>
      <c r="P3162" s="49" t="str">
        <f t="shared" si="3"/>
        <v/>
      </c>
      <c r="Q3162" s="84"/>
      <c r="R3162" s="84"/>
      <c r="S3162" s="84"/>
      <c r="T3162" s="84"/>
      <c r="U3162" s="84"/>
      <c r="V3162" s="84"/>
      <c r="W3162" s="84"/>
      <c r="X3162" s="84"/>
      <c r="Y3162" s="84"/>
      <c r="Z3162" s="84"/>
      <c r="AA3162" s="84"/>
      <c r="AB3162" s="84"/>
    </row>
    <row r="3163">
      <c r="A3163" s="69">
        <v>209.0</v>
      </c>
      <c r="B3163" s="69">
        <v>338.0</v>
      </c>
      <c r="C3163" s="86" t="s">
        <v>674</v>
      </c>
      <c r="D3163" s="86" t="s">
        <v>675</v>
      </c>
      <c r="E3163" s="86" t="s">
        <v>676</v>
      </c>
      <c r="F3163" s="69">
        <v>8000.0</v>
      </c>
      <c r="G3163" s="69">
        <v>18.23</v>
      </c>
      <c r="H3163" s="68">
        <f t="shared" si="1"/>
        <v>203.63</v>
      </c>
      <c r="I3163" s="81">
        <f>IFERROR(__xludf.DUMMYFUNCTION("IF(G3163="""", """", ROUND(G3163 / MAX(FILTER($G$2:$G5067, $D$2:$D5067=$D3163)) * 100, 2))"),74.47)</f>
        <v>74.47</v>
      </c>
      <c r="J3163" s="81">
        <f>IFERROR(__xludf.DUMMYFUNCTION("IF(H3163="""", """", ROUND(H3163 / MAX(FILTER($H$2:$H5067, $D$2:$D5067=$D3163)) * 100, 2))"),86.81)</f>
        <v>86.81</v>
      </c>
      <c r="K3163" s="2"/>
      <c r="L3163" s="48"/>
      <c r="M3163" s="48"/>
      <c r="N3163" s="48"/>
      <c r="O3163" s="48" t="str">
        <f t="shared" si="2"/>
        <v/>
      </c>
      <c r="P3163" s="48" t="str">
        <f t="shared" si="3"/>
        <v/>
      </c>
      <c r="Q3163" s="84"/>
      <c r="R3163" s="84"/>
      <c r="S3163" s="84"/>
      <c r="T3163" s="84"/>
      <c r="U3163" s="84"/>
      <c r="V3163" s="84"/>
      <c r="W3163" s="84"/>
      <c r="X3163" s="84"/>
      <c r="Y3163" s="84"/>
      <c r="Z3163" s="84"/>
      <c r="AA3163" s="84"/>
      <c r="AB3163" s="84"/>
    </row>
    <row r="3164">
      <c r="A3164" s="63">
        <v>210.0</v>
      </c>
      <c r="B3164" s="63">
        <v>353.0</v>
      </c>
      <c r="C3164" s="64" t="s">
        <v>677</v>
      </c>
      <c r="D3164" s="64" t="s">
        <v>678</v>
      </c>
      <c r="E3164" s="64" t="s">
        <v>679</v>
      </c>
      <c r="F3164" s="63">
        <v>500.0</v>
      </c>
      <c r="G3164" s="63">
        <v>26.38</v>
      </c>
      <c r="H3164" s="66">
        <f t="shared" si="1"/>
        <v>18.42</v>
      </c>
      <c r="I3164" s="81">
        <f>IFERROR(__xludf.DUMMYFUNCTION("IF(G3164="""", """", ROUND(G3164 / MAX(FILTER($G$2:$G5067, $D$2:$D5067=$D3164)) * 100, 2))"),60.64)</f>
        <v>60.64</v>
      </c>
      <c r="J3164" s="81">
        <f>IFERROR(__xludf.DUMMYFUNCTION("IF(H3164="""", """", ROUND(H3164 / MAX(FILTER($H$2:$H5067, $D$2:$D5067=$D3164)) * 100, 2))"),6.11)</f>
        <v>6.11</v>
      </c>
      <c r="K3164" s="2"/>
      <c r="L3164" s="49"/>
      <c r="M3164" s="49"/>
      <c r="N3164" s="49"/>
      <c r="O3164" s="49" t="str">
        <f t="shared" si="2"/>
        <v/>
      </c>
      <c r="P3164" s="49" t="str">
        <f t="shared" si="3"/>
        <v/>
      </c>
      <c r="Q3164" s="84"/>
      <c r="R3164" s="84"/>
      <c r="S3164" s="84"/>
      <c r="T3164" s="84"/>
      <c r="U3164" s="84"/>
      <c r="V3164" s="84"/>
      <c r="W3164" s="84"/>
      <c r="X3164" s="84"/>
      <c r="Y3164" s="84"/>
      <c r="Z3164" s="84"/>
      <c r="AA3164" s="84"/>
      <c r="AB3164" s="84"/>
    </row>
    <row r="3165">
      <c r="A3165" s="69">
        <v>210.0</v>
      </c>
      <c r="B3165" s="69">
        <v>353.0</v>
      </c>
      <c r="C3165" s="86" t="s">
        <v>677</v>
      </c>
      <c r="D3165" s="86" t="s">
        <v>678</v>
      </c>
      <c r="E3165" s="86" t="s">
        <v>679</v>
      </c>
      <c r="F3165" s="69">
        <v>1000.0</v>
      </c>
      <c r="G3165" s="69">
        <v>30.63</v>
      </c>
      <c r="H3165" s="68">
        <f t="shared" si="1"/>
        <v>42.77</v>
      </c>
      <c r="I3165" s="81">
        <f>IFERROR(__xludf.DUMMYFUNCTION("IF(G3165="""", """", ROUND(G3165 / MAX(FILTER($G$2:$G5067, $D$2:$D5067=$D3165)) * 100, 2))"),70.41)</f>
        <v>70.41</v>
      </c>
      <c r="J3165" s="81">
        <f>IFERROR(__xludf.DUMMYFUNCTION("IF(H3165="""", """", ROUND(H3165 / MAX(FILTER($H$2:$H5067, $D$2:$D5067=$D3165)) * 100, 2))"),14.18)</f>
        <v>14.18</v>
      </c>
      <c r="K3165" s="2"/>
      <c r="L3165" s="48"/>
      <c r="M3165" s="48"/>
      <c r="N3165" s="48"/>
      <c r="O3165" s="48" t="str">
        <f t="shared" si="2"/>
        <v/>
      </c>
      <c r="P3165" s="48" t="str">
        <f t="shared" si="3"/>
        <v/>
      </c>
      <c r="Q3165" s="84"/>
      <c r="R3165" s="84"/>
      <c r="S3165" s="84"/>
      <c r="T3165" s="84"/>
      <c r="U3165" s="84"/>
      <c r="V3165" s="84"/>
      <c r="W3165" s="84"/>
      <c r="X3165" s="84"/>
      <c r="Y3165" s="84"/>
      <c r="Z3165" s="84"/>
      <c r="AA3165" s="84"/>
      <c r="AB3165" s="84"/>
    </row>
    <row r="3166">
      <c r="A3166" s="63">
        <v>210.0</v>
      </c>
      <c r="B3166" s="63">
        <v>353.0</v>
      </c>
      <c r="C3166" s="64" t="s">
        <v>677</v>
      </c>
      <c r="D3166" s="64" t="s">
        <v>678</v>
      </c>
      <c r="E3166" s="64" t="s">
        <v>679</v>
      </c>
      <c r="F3166" s="63">
        <v>1500.0</v>
      </c>
      <c r="G3166" s="63">
        <v>33.5</v>
      </c>
      <c r="H3166" s="66">
        <f t="shared" si="1"/>
        <v>70.16</v>
      </c>
      <c r="I3166" s="81">
        <f>IFERROR(__xludf.DUMMYFUNCTION("IF(G3166="""", """", ROUND(G3166 / MAX(FILTER($G$2:$G5067, $D$2:$D5067=$D3166)) * 100, 2))"),77.01)</f>
        <v>77.01</v>
      </c>
      <c r="J3166" s="81">
        <f>IFERROR(__xludf.DUMMYFUNCTION("IF(H3166="""", """", ROUND(H3166 / MAX(FILTER($H$2:$H5067, $D$2:$D5067=$D3166)) * 100, 2))"),23.26)</f>
        <v>23.26</v>
      </c>
      <c r="K3166" s="2"/>
      <c r="L3166" s="49"/>
      <c r="M3166" s="49"/>
      <c r="N3166" s="49"/>
      <c r="O3166" s="49" t="str">
        <f t="shared" si="2"/>
        <v/>
      </c>
      <c r="P3166" s="49" t="str">
        <f t="shared" si="3"/>
        <v/>
      </c>
      <c r="Q3166" s="84"/>
      <c r="R3166" s="84"/>
      <c r="S3166" s="84"/>
      <c r="T3166" s="84"/>
      <c r="U3166" s="84"/>
      <c r="V3166" s="84"/>
      <c r="W3166" s="84"/>
      <c r="X3166" s="84"/>
      <c r="Y3166" s="84"/>
      <c r="Z3166" s="84"/>
      <c r="AA3166" s="84"/>
      <c r="AB3166" s="84"/>
    </row>
    <row r="3167">
      <c r="A3167" s="69">
        <v>210.0</v>
      </c>
      <c r="B3167" s="69">
        <v>353.0</v>
      </c>
      <c r="C3167" s="86" t="s">
        <v>677</v>
      </c>
      <c r="D3167" s="86" t="s">
        <v>678</v>
      </c>
      <c r="E3167" s="86" t="s">
        <v>679</v>
      </c>
      <c r="F3167" s="69">
        <v>2000.0</v>
      </c>
      <c r="G3167" s="69">
        <v>36.0</v>
      </c>
      <c r="H3167" s="68">
        <f t="shared" si="1"/>
        <v>100.53</v>
      </c>
      <c r="I3167" s="81">
        <f>IFERROR(__xludf.DUMMYFUNCTION("IF(G3167="""", """", ROUND(G3167 / MAX(FILTER($G$2:$G5067, $D$2:$D5067=$D3167)) * 100, 2))"),82.76)</f>
        <v>82.76</v>
      </c>
      <c r="J3167" s="81">
        <f>IFERROR(__xludf.DUMMYFUNCTION("IF(H3167="""", """", ROUND(H3167 / MAX(FILTER($H$2:$H5067, $D$2:$D5067=$D3167)) * 100, 2))"),33.33)</f>
        <v>33.33</v>
      </c>
      <c r="K3167" s="2"/>
      <c r="L3167" s="48"/>
      <c r="M3167" s="48"/>
      <c r="N3167" s="48"/>
      <c r="O3167" s="48" t="str">
        <f t="shared" si="2"/>
        <v/>
      </c>
      <c r="P3167" s="48" t="str">
        <f t="shared" si="3"/>
        <v/>
      </c>
      <c r="Q3167" s="84"/>
      <c r="R3167" s="84"/>
      <c r="S3167" s="84"/>
      <c r="T3167" s="84"/>
      <c r="U3167" s="84"/>
      <c r="V3167" s="84"/>
      <c r="W3167" s="84"/>
      <c r="X3167" s="84"/>
      <c r="Y3167" s="84"/>
      <c r="Z3167" s="84"/>
      <c r="AA3167" s="84"/>
      <c r="AB3167" s="84"/>
    </row>
    <row r="3168">
      <c r="A3168" s="63">
        <v>210.0</v>
      </c>
      <c r="B3168" s="63">
        <v>353.0</v>
      </c>
      <c r="C3168" s="64" t="s">
        <v>677</v>
      </c>
      <c r="D3168" s="64" t="s">
        <v>678</v>
      </c>
      <c r="E3168" s="64" t="s">
        <v>679</v>
      </c>
      <c r="F3168" s="63">
        <v>2500.0</v>
      </c>
      <c r="G3168" s="63">
        <v>37.88</v>
      </c>
      <c r="H3168" s="66">
        <f t="shared" si="1"/>
        <v>132.23</v>
      </c>
      <c r="I3168" s="81">
        <f>IFERROR(__xludf.DUMMYFUNCTION("IF(G3168="""", """", ROUND(G3168 / MAX(FILTER($G$2:$G5067, $D$2:$D5067=$D3168)) * 100, 2))"),87.08)</f>
        <v>87.08</v>
      </c>
      <c r="J3168" s="81">
        <f>IFERROR(__xludf.DUMMYFUNCTION("IF(H3168="""", """", ROUND(H3168 / MAX(FILTER($H$2:$H5067, $D$2:$D5067=$D3168)) * 100, 2))"),43.84)</f>
        <v>43.84</v>
      </c>
      <c r="K3168" s="2"/>
      <c r="L3168" s="49"/>
      <c r="M3168" s="49"/>
      <c r="N3168" s="49"/>
      <c r="O3168" s="49" t="str">
        <f t="shared" si="2"/>
        <v/>
      </c>
      <c r="P3168" s="49" t="str">
        <f t="shared" si="3"/>
        <v/>
      </c>
      <c r="Q3168" s="84"/>
      <c r="R3168" s="84"/>
      <c r="S3168" s="84"/>
      <c r="T3168" s="84"/>
      <c r="U3168" s="84"/>
      <c r="V3168" s="84"/>
      <c r="W3168" s="84"/>
      <c r="X3168" s="84"/>
      <c r="Y3168" s="84"/>
      <c r="Z3168" s="84"/>
      <c r="AA3168" s="84"/>
      <c r="AB3168" s="84"/>
    </row>
    <row r="3169">
      <c r="A3169" s="69">
        <v>210.0</v>
      </c>
      <c r="B3169" s="69">
        <v>353.0</v>
      </c>
      <c r="C3169" s="86" t="s">
        <v>677</v>
      </c>
      <c r="D3169" s="86" t="s">
        <v>678</v>
      </c>
      <c r="E3169" s="86" t="s">
        <v>679</v>
      </c>
      <c r="F3169" s="69">
        <v>3000.0</v>
      </c>
      <c r="G3169" s="69">
        <v>39.63</v>
      </c>
      <c r="H3169" s="68">
        <f t="shared" si="1"/>
        <v>166</v>
      </c>
      <c r="I3169" s="81">
        <f>IFERROR(__xludf.DUMMYFUNCTION("IF(G3169="""", """", ROUND(G3169 / MAX(FILTER($G$2:$G5067, $D$2:$D5067=$D3169)) * 100, 2))"),91.1)</f>
        <v>91.1</v>
      </c>
      <c r="J3169" s="81">
        <f>IFERROR(__xludf.DUMMYFUNCTION("IF(H3169="""", """", ROUND(H3169 / MAX(FILTER($H$2:$H5067, $D$2:$D5067=$D3169)) * 100, 2))"),55.04)</f>
        <v>55.04</v>
      </c>
      <c r="K3169" s="2"/>
      <c r="L3169" s="48"/>
      <c r="M3169" s="48"/>
      <c r="N3169" s="48"/>
      <c r="O3169" s="48" t="str">
        <f t="shared" si="2"/>
        <v/>
      </c>
      <c r="P3169" s="48" t="str">
        <f t="shared" si="3"/>
        <v/>
      </c>
      <c r="Q3169" s="84"/>
      <c r="R3169" s="84"/>
      <c r="S3169" s="84"/>
      <c r="T3169" s="84"/>
      <c r="U3169" s="84"/>
      <c r="V3169" s="84"/>
      <c r="W3169" s="84"/>
      <c r="X3169" s="84"/>
      <c r="Y3169" s="84"/>
      <c r="Z3169" s="84"/>
      <c r="AA3169" s="84"/>
      <c r="AB3169" s="84"/>
    </row>
    <row r="3170">
      <c r="A3170" s="63">
        <v>210.0</v>
      </c>
      <c r="B3170" s="63">
        <v>353.0</v>
      </c>
      <c r="C3170" s="64" t="s">
        <v>677</v>
      </c>
      <c r="D3170" s="64" t="s">
        <v>678</v>
      </c>
      <c r="E3170" s="64" t="s">
        <v>679</v>
      </c>
      <c r="F3170" s="63">
        <v>3500.0</v>
      </c>
      <c r="G3170" s="63">
        <v>41.25</v>
      </c>
      <c r="H3170" s="66">
        <f t="shared" si="1"/>
        <v>201.58</v>
      </c>
      <c r="I3170" s="81">
        <f>IFERROR(__xludf.DUMMYFUNCTION("IF(G3170="""", """", ROUND(G3170 / MAX(FILTER($G$2:$G5067, $D$2:$D5067=$D3170)) * 100, 2))"),94.83)</f>
        <v>94.83</v>
      </c>
      <c r="J3170" s="81">
        <f>IFERROR(__xludf.DUMMYFUNCTION("IF(H3170="""", """", ROUND(H3170 / MAX(FILTER($H$2:$H5067, $D$2:$D5067=$D3170)) * 100, 2))"),66.84)</f>
        <v>66.84</v>
      </c>
      <c r="K3170" s="2"/>
      <c r="L3170" s="49"/>
      <c r="M3170" s="49"/>
      <c r="N3170" s="49"/>
      <c r="O3170" s="49" t="str">
        <f t="shared" si="2"/>
        <v/>
      </c>
      <c r="P3170" s="49" t="str">
        <f t="shared" si="3"/>
        <v/>
      </c>
      <c r="Q3170" s="84"/>
      <c r="R3170" s="84"/>
      <c r="S3170" s="84"/>
      <c r="T3170" s="84"/>
      <c r="U3170" s="84"/>
      <c r="V3170" s="84"/>
      <c r="W3170" s="84"/>
      <c r="X3170" s="84"/>
      <c r="Y3170" s="84"/>
      <c r="Z3170" s="84"/>
      <c r="AA3170" s="84"/>
      <c r="AB3170" s="84"/>
    </row>
    <row r="3171">
      <c r="A3171" s="69">
        <v>210.0</v>
      </c>
      <c r="B3171" s="69">
        <v>353.0</v>
      </c>
      <c r="C3171" s="86" t="s">
        <v>677</v>
      </c>
      <c r="D3171" s="86" t="s">
        <v>678</v>
      </c>
      <c r="E3171" s="86" t="s">
        <v>679</v>
      </c>
      <c r="F3171" s="69">
        <v>4000.0</v>
      </c>
      <c r="G3171" s="69">
        <v>42.75</v>
      </c>
      <c r="H3171" s="68">
        <f t="shared" si="1"/>
        <v>238.76</v>
      </c>
      <c r="I3171" s="81">
        <f>IFERROR(__xludf.DUMMYFUNCTION("IF(G3171="""", """", ROUND(G3171 / MAX(FILTER($G$2:$G5067, $D$2:$D5067=$D3171)) * 100, 2))"),98.28)</f>
        <v>98.28</v>
      </c>
      <c r="J3171" s="81">
        <f>IFERROR(__xludf.DUMMYFUNCTION("IF(H3171="""", """", ROUND(H3171 / MAX(FILTER($H$2:$H5067, $D$2:$D5067=$D3171)) * 100, 2))"),79.17)</f>
        <v>79.17</v>
      </c>
      <c r="K3171" s="2"/>
      <c r="L3171" s="48"/>
      <c r="M3171" s="48"/>
      <c r="N3171" s="48"/>
      <c r="O3171" s="48" t="str">
        <f t="shared" si="2"/>
        <v/>
      </c>
      <c r="P3171" s="48" t="str">
        <f t="shared" si="3"/>
        <v/>
      </c>
      <c r="Q3171" s="84"/>
      <c r="R3171" s="84"/>
      <c r="S3171" s="84"/>
      <c r="T3171" s="84"/>
      <c r="U3171" s="84"/>
      <c r="V3171" s="84"/>
      <c r="W3171" s="84"/>
      <c r="X3171" s="84"/>
      <c r="Y3171" s="84"/>
      <c r="Z3171" s="84"/>
      <c r="AA3171" s="84"/>
      <c r="AB3171" s="84"/>
    </row>
    <row r="3172">
      <c r="A3172" s="63">
        <v>210.0</v>
      </c>
      <c r="B3172" s="63">
        <v>353.0</v>
      </c>
      <c r="C3172" s="64" t="s">
        <v>677</v>
      </c>
      <c r="D3172" s="64" t="s">
        <v>678</v>
      </c>
      <c r="E3172" s="64" t="s">
        <v>679</v>
      </c>
      <c r="F3172" s="63">
        <v>4500.0</v>
      </c>
      <c r="G3172" s="63">
        <v>43.5</v>
      </c>
      <c r="H3172" s="66">
        <f t="shared" si="1"/>
        <v>273.32</v>
      </c>
      <c r="I3172" s="81">
        <f>IFERROR(__xludf.DUMMYFUNCTION("IF(G3172="""", """", ROUND(G3172 / MAX(FILTER($G$2:$G5067, $D$2:$D5067=$D3172)) * 100, 2))"),100.0)</f>
        <v>100</v>
      </c>
      <c r="J3172" s="81">
        <f>IFERROR(__xludf.DUMMYFUNCTION("IF(H3172="""", """", ROUND(H3172 / MAX(FILTER($H$2:$H5067, $D$2:$D5067=$D3172)) * 100, 2))"),90.63)</f>
        <v>90.63</v>
      </c>
      <c r="K3172" s="2"/>
      <c r="L3172" s="49"/>
      <c r="M3172" s="49"/>
      <c r="N3172" s="49"/>
      <c r="O3172" s="49" t="str">
        <f t="shared" si="2"/>
        <v/>
      </c>
      <c r="P3172" s="49" t="str">
        <f t="shared" si="3"/>
        <v/>
      </c>
      <c r="Q3172" s="84"/>
      <c r="R3172" s="84"/>
      <c r="S3172" s="84"/>
      <c r="T3172" s="84"/>
      <c r="U3172" s="84"/>
      <c r="V3172" s="84"/>
      <c r="W3172" s="84"/>
      <c r="X3172" s="84"/>
      <c r="Y3172" s="84"/>
      <c r="Z3172" s="84"/>
      <c r="AA3172" s="84"/>
      <c r="AB3172" s="84"/>
    </row>
    <row r="3173">
      <c r="A3173" s="69">
        <v>210.0</v>
      </c>
      <c r="B3173" s="69">
        <v>353.0</v>
      </c>
      <c r="C3173" s="86" t="s">
        <v>677</v>
      </c>
      <c r="D3173" s="86" t="s">
        <v>678</v>
      </c>
      <c r="E3173" s="86" t="s">
        <v>679</v>
      </c>
      <c r="F3173" s="69">
        <v>5000.0</v>
      </c>
      <c r="G3173" s="69">
        <v>41.25</v>
      </c>
      <c r="H3173" s="68">
        <f t="shared" si="1"/>
        <v>287.98</v>
      </c>
      <c r="I3173" s="81">
        <f>IFERROR(__xludf.DUMMYFUNCTION("IF(G3173="""", """", ROUND(G3173 / MAX(FILTER($G$2:$G5067, $D$2:$D5067=$D3173)) * 100, 2))"),94.83)</f>
        <v>94.83</v>
      </c>
      <c r="J3173" s="81">
        <f>IFERROR(__xludf.DUMMYFUNCTION("IF(H3173="""", """", ROUND(H3173 / MAX(FILTER($H$2:$H5067, $D$2:$D5067=$D3173)) * 100, 2))"),95.49)</f>
        <v>95.49</v>
      </c>
      <c r="K3173" s="2"/>
      <c r="L3173" s="48"/>
      <c r="M3173" s="48"/>
      <c r="N3173" s="48"/>
      <c r="O3173" s="48" t="str">
        <f t="shared" si="2"/>
        <v/>
      </c>
      <c r="P3173" s="48" t="str">
        <f t="shared" si="3"/>
        <v/>
      </c>
      <c r="Q3173" s="84"/>
      <c r="R3173" s="84"/>
      <c r="S3173" s="84"/>
      <c r="T3173" s="84"/>
      <c r="U3173" s="84"/>
      <c r="V3173" s="84"/>
      <c r="W3173" s="84"/>
      <c r="X3173" s="84"/>
      <c r="Y3173" s="84"/>
      <c r="Z3173" s="84"/>
      <c r="AA3173" s="84"/>
      <c r="AB3173" s="84"/>
    </row>
    <row r="3174">
      <c r="A3174" s="63">
        <v>210.0</v>
      </c>
      <c r="B3174" s="63">
        <v>353.0</v>
      </c>
      <c r="C3174" s="64" t="s">
        <v>677</v>
      </c>
      <c r="D3174" s="64" t="s">
        <v>678</v>
      </c>
      <c r="E3174" s="64" t="s">
        <v>679</v>
      </c>
      <c r="F3174" s="63">
        <v>5500.0</v>
      </c>
      <c r="G3174" s="63">
        <v>38.63</v>
      </c>
      <c r="H3174" s="66">
        <f t="shared" si="1"/>
        <v>296.66</v>
      </c>
      <c r="I3174" s="81">
        <f>IFERROR(__xludf.DUMMYFUNCTION("IF(G3174="""", """", ROUND(G3174 / MAX(FILTER($G$2:$G5067, $D$2:$D5067=$D3174)) * 100, 2))"),88.8)</f>
        <v>88.8</v>
      </c>
      <c r="J3174" s="81">
        <f>IFERROR(__xludf.DUMMYFUNCTION("IF(H3174="""", """", ROUND(H3174 / MAX(FILTER($H$2:$H5067, $D$2:$D5067=$D3174)) * 100, 2))"),98.37)</f>
        <v>98.37</v>
      </c>
      <c r="K3174" s="2"/>
      <c r="L3174" s="49"/>
      <c r="M3174" s="49"/>
      <c r="N3174" s="49"/>
      <c r="O3174" s="49" t="str">
        <f t="shared" si="2"/>
        <v/>
      </c>
      <c r="P3174" s="49" t="str">
        <f t="shared" si="3"/>
        <v/>
      </c>
      <c r="Q3174" s="84"/>
      <c r="R3174" s="84"/>
      <c r="S3174" s="84"/>
      <c r="T3174" s="84"/>
      <c r="U3174" s="84"/>
      <c r="V3174" s="84"/>
      <c r="W3174" s="84"/>
      <c r="X3174" s="84"/>
      <c r="Y3174" s="84"/>
      <c r="Z3174" s="84"/>
      <c r="AA3174" s="84"/>
      <c r="AB3174" s="84"/>
    </row>
    <row r="3175">
      <c r="A3175" s="69">
        <v>210.0</v>
      </c>
      <c r="B3175" s="69">
        <v>353.0</v>
      </c>
      <c r="C3175" s="86" t="s">
        <v>677</v>
      </c>
      <c r="D3175" s="86" t="s">
        <v>678</v>
      </c>
      <c r="E3175" s="86" t="s">
        <v>679</v>
      </c>
      <c r="F3175" s="69">
        <v>6000.0</v>
      </c>
      <c r="G3175" s="69">
        <v>36.0</v>
      </c>
      <c r="H3175" s="68">
        <f t="shared" si="1"/>
        <v>301.59</v>
      </c>
      <c r="I3175" s="81">
        <f>IFERROR(__xludf.DUMMYFUNCTION("IF(G3175="""", """", ROUND(G3175 / MAX(FILTER($G$2:$G5067, $D$2:$D5067=$D3175)) * 100, 2))"),82.76)</f>
        <v>82.76</v>
      </c>
      <c r="J3175" s="81">
        <f>IFERROR(__xludf.DUMMYFUNCTION("IF(H3175="""", """", ROUND(H3175 / MAX(FILTER($H$2:$H5067, $D$2:$D5067=$D3175)) * 100, 2))"),100.0)</f>
        <v>100</v>
      </c>
      <c r="K3175" s="2"/>
      <c r="L3175" s="48"/>
      <c r="M3175" s="48"/>
      <c r="N3175" s="48"/>
      <c r="O3175" s="48" t="str">
        <f t="shared" si="2"/>
        <v/>
      </c>
      <c r="P3175" s="48" t="str">
        <f t="shared" si="3"/>
        <v/>
      </c>
      <c r="Q3175" s="84"/>
      <c r="R3175" s="84"/>
      <c r="S3175" s="84"/>
      <c r="T3175" s="84"/>
      <c r="U3175" s="84"/>
      <c r="V3175" s="84"/>
      <c r="W3175" s="84"/>
      <c r="X3175" s="84"/>
      <c r="Y3175" s="84"/>
      <c r="Z3175" s="84"/>
      <c r="AA3175" s="84"/>
      <c r="AB3175" s="84"/>
    </row>
    <row r="3176">
      <c r="A3176" s="63">
        <v>210.0</v>
      </c>
      <c r="B3176" s="63">
        <v>353.0</v>
      </c>
      <c r="C3176" s="64" t="s">
        <v>677</v>
      </c>
      <c r="D3176" s="64" t="s">
        <v>678</v>
      </c>
      <c r="E3176" s="64" t="s">
        <v>679</v>
      </c>
      <c r="F3176" s="63">
        <v>6500.0</v>
      </c>
      <c r="G3176" s="63">
        <v>30.5</v>
      </c>
      <c r="H3176" s="66">
        <f t="shared" si="1"/>
        <v>276.81</v>
      </c>
      <c r="I3176" s="81">
        <f>IFERROR(__xludf.DUMMYFUNCTION("IF(G3176="""", """", ROUND(G3176 / MAX(FILTER($G$2:$G5067, $D$2:$D5067=$D3176)) * 100, 2))"),70.11)</f>
        <v>70.11</v>
      </c>
      <c r="J3176" s="81">
        <f>IFERROR(__xludf.DUMMYFUNCTION("IF(H3176="""", """", ROUND(H3176 / MAX(FILTER($H$2:$H5067, $D$2:$D5067=$D3176)) * 100, 2))"),91.78)</f>
        <v>91.78</v>
      </c>
      <c r="K3176" s="2"/>
      <c r="L3176" s="49"/>
      <c r="M3176" s="49"/>
      <c r="N3176" s="49"/>
      <c r="O3176" s="49" t="str">
        <f t="shared" si="2"/>
        <v/>
      </c>
      <c r="P3176" s="49" t="str">
        <f t="shared" si="3"/>
        <v/>
      </c>
      <c r="Q3176" s="84"/>
      <c r="R3176" s="84"/>
      <c r="S3176" s="84"/>
      <c r="T3176" s="84"/>
      <c r="U3176" s="84"/>
      <c r="V3176" s="84"/>
      <c r="W3176" s="84"/>
      <c r="X3176" s="84"/>
      <c r="Y3176" s="84"/>
      <c r="Z3176" s="84"/>
      <c r="AA3176" s="84"/>
      <c r="AB3176" s="84"/>
    </row>
    <row r="3177">
      <c r="A3177" s="69">
        <v>211.0</v>
      </c>
      <c r="B3177" s="69">
        <v>354.0</v>
      </c>
      <c r="C3177" s="86" t="s">
        <v>680</v>
      </c>
      <c r="D3177" s="86" t="s">
        <v>681</v>
      </c>
      <c r="E3177" s="86" t="s">
        <v>682</v>
      </c>
      <c r="F3177" s="69">
        <v>500.0</v>
      </c>
      <c r="G3177" s="69">
        <v>21.0</v>
      </c>
      <c r="H3177" s="68">
        <f t="shared" si="1"/>
        <v>14.66</v>
      </c>
      <c r="I3177" s="81">
        <f>IFERROR(__xludf.DUMMYFUNCTION("IF(G3177="""", """", ROUND(G3177 / MAX(FILTER($G$2:$G5067, $D$2:$D5067=$D3177)) * 100, 2))"),29.75)</f>
        <v>29.75</v>
      </c>
      <c r="J3177" s="81">
        <f>IFERROR(__xludf.DUMMYFUNCTION("IF(H3177="""", """", ROUND(H3177 / MAX(FILTER($H$2:$H5067, $D$2:$D5067=$D3177)) * 100, 2))"),2.38)</f>
        <v>2.38</v>
      </c>
      <c r="K3177" s="2"/>
      <c r="L3177" s="48"/>
      <c r="M3177" s="48"/>
      <c r="N3177" s="48"/>
      <c r="O3177" s="48" t="str">
        <f t="shared" si="2"/>
        <v/>
      </c>
      <c r="P3177" s="48" t="str">
        <f t="shared" si="3"/>
        <v/>
      </c>
      <c r="Q3177" s="84"/>
      <c r="R3177" s="84"/>
      <c r="S3177" s="84"/>
      <c r="T3177" s="84"/>
      <c r="U3177" s="84"/>
      <c r="V3177" s="84"/>
      <c r="W3177" s="84"/>
      <c r="X3177" s="84"/>
      <c r="Y3177" s="84"/>
      <c r="Z3177" s="84"/>
      <c r="AA3177" s="84"/>
      <c r="AB3177" s="84"/>
    </row>
    <row r="3178">
      <c r="A3178" s="63">
        <v>211.0</v>
      </c>
      <c r="B3178" s="63">
        <v>354.0</v>
      </c>
      <c r="C3178" s="64" t="s">
        <v>680</v>
      </c>
      <c r="D3178" s="64" t="s">
        <v>681</v>
      </c>
      <c r="E3178" s="64" t="s">
        <v>682</v>
      </c>
      <c r="F3178" s="63">
        <v>1000.0</v>
      </c>
      <c r="G3178" s="63">
        <v>24.0</v>
      </c>
      <c r="H3178" s="66">
        <f t="shared" si="1"/>
        <v>33.51</v>
      </c>
      <c r="I3178" s="81">
        <f>IFERROR(__xludf.DUMMYFUNCTION("IF(G3178="""", """", ROUND(G3178 / MAX(FILTER($G$2:$G5067, $D$2:$D5067=$D3178)) * 100, 2))"),33.99)</f>
        <v>33.99</v>
      </c>
      <c r="J3178" s="81">
        <f>IFERROR(__xludf.DUMMYFUNCTION("IF(H3178="""", """", ROUND(H3178 / MAX(FILTER($H$2:$H5067, $D$2:$D5067=$D3178)) * 100, 2))"),5.45)</f>
        <v>5.45</v>
      </c>
      <c r="K3178" s="2"/>
      <c r="L3178" s="49"/>
      <c r="M3178" s="49"/>
      <c r="N3178" s="49"/>
      <c r="O3178" s="49" t="str">
        <f t="shared" si="2"/>
        <v/>
      </c>
      <c r="P3178" s="49" t="str">
        <f t="shared" si="3"/>
        <v/>
      </c>
      <c r="Q3178" s="84"/>
      <c r="R3178" s="84"/>
      <c r="S3178" s="84"/>
      <c r="T3178" s="84"/>
      <c r="U3178" s="84"/>
      <c r="V3178" s="84"/>
      <c r="W3178" s="84"/>
      <c r="X3178" s="84"/>
      <c r="Y3178" s="84"/>
      <c r="Z3178" s="84"/>
      <c r="AA3178" s="84"/>
      <c r="AB3178" s="84"/>
    </row>
    <row r="3179">
      <c r="A3179" s="69">
        <v>211.0</v>
      </c>
      <c r="B3179" s="69">
        <v>354.0</v>
      </c>
      <c r="C3179" s="86" t="s">
        <v>680</v>
      </c>
      <c r="D3179" s="86" t="s">
        <v>681</v>
      </c>
      <c r="E3179" s="86" t="s">
        <v>682</v>
      </c>
      <c r="F3179" s="69">
        <v>1500.0</v>
      </c>
      <c r="G3179" s="69">
        <v>30.0</v>
      </c>
      <c r="H3179" s="68">
        <f t="shared" si="1"/>
        <v>62.83</v>
      </c>
      <c r="I3179" s="81">
        <f>IFERROR(__xludf.DUMMYFUNCTION("IF(G3179="""", """", ROUND(G3179 / MAX(FILTER($G$2:$G5067, $D$2:$D5067=$D3179)) * 100, 2))"),42.49)</f>
        <v>42.49</v>
      </c>
      <c r="J3179" s="81">
        <f>IFERROR(__xludf.DUMMYFUNCTION("IF(H3179="""", """", ROUND(H3179 / MAX(FILTER($H$2:$H5067, $D$2:$D5067=$D3179)) * 100, 2))"),10.21)</f>
        <v>10.21</v>
      </c>
      <c r="K3179" s="2"/>
      <c r="L3179" s="48"/>
      <c r="M3179" s="48"/>
      <c r="N3179" s="48"/>
      <c r="O3179" s="48" t="str">
        <f t="shared" si="2"/>
        <v/>
      </c>
      <c r="P3179" s="48" t="str">
        <f t="shared" si="3"/>
        <v/>
      </c>
      <c r="Q3179" s="84"/>
      <c r="R3179" s="84"/>
      <c r="S3179" s="84"/>
      <c r="T3179" s="84"/>
      <c r="U3179" s="84"/>
      <c r="V3179" s="84"/>
      <c r="W3179" s="84"/>
      <c r="X3179" s="84"/>
      <c r="Y3179" s="84"/>
      <c r="Z3179" s="84"/>
      <c r="AA3179" s="84"/>
      <c r="AB3179" s="84"/>
    </row>
    <row r="3180">
      <c r="A3180" s="63">
        <v>211.0</v>
      </c>
      <c r="B3180" s="63">
        <v>354.0</v>
      </c>
      <c r="C3180" s="64" t="s">
        <v>680</v>
      </c>
      <c r="D3180" s="64" t="s">
        <v>681</v>
      </c>
      <c r="E3180" s="64" t="s">
        <v>682</v>
      </c>
      <c r="F3180" s="63">
        <v>2000.0</v>
      </c>
      <c r="G3180" s="63">
        <v>37.2</v>
      </c>
      <c r="H3180" s="66">
        <f t="shared" si="1"/>
        <v>103.88</v>
      </c>
      <c r="I3180" s="81">
        <f>IFERROR(__xludf.DUMMYFUNCTION("IF(G3180="""", """", ROUND(G3180 / MAX(FILTER($G$2:$G5067, $D$2:$D5067=$D3180)) * 100, 2))"),52.69)</f>
        <v>52.69</v>
      </c>
      <c r="J3180" s="81">
        <f>IFERROR(__xludf.DUMMYFUNCTION("IF(H3180="""", """", ROUND(H3180 / MAX(FILTER($H$2:$H5067, $D$2:$D5067=$D3180)) * 100, 2))"),16.88)</f>
        <v>16.88</v>
      </c>
      <c r="K3180" s="2"/>
      <c r="L3180" s="49"/>
      <c r="M3180" s="49"/>
      <c r="N3180" s="49"/>
      <c r="O3180" s="49" t="str">
        <f t="shared" si="2"/>
        <v/>
      </c>
      <c r="P3180" s="49" t="str">
        <f t="shared" si="3"/>
        <v/>
      </c>
      <c r="Q3180" s="84"/>
      <c r="R3180" s="84"/>
      <c r="S3180" s="84"/>
      <c r="T3180" s="84"/>
      <c r="U3180" s="84"/>
      <c r="V3180" s="84"/>
      <c r="W3180" s="84"/>
      <c r="X3180" s="84"/>
      <c r="Y3180" s="84"/>
      <c r="Z3180" s="84"/>
      <c r="AA3180" s="84"/>
      <c r="AB3180" s="84"/>
    </row>
    <row r="3181">
      <c r="A3181" s="69">
        <v>211.0</v>
      </c>
      <c r="B3181" s="69">
        <v>354.0</v>
      </c>
      <c r="C3181" s="86" t="s">
        <v>680</v>
      </c>
      <c r="D3181" s="86" t="s">
        <v>681</v>
      </c>
      <c r="E3181" s="86" t="s">
        <v>682</v>
      </c>
      <c r="F3181" s="69">
        <v>2500.0</v>
      </c>
      <c r="G3181" s="69">
        <v>49.2</v>
      </c>
      <c r="H3181" s="68">
        <f t="shared" si="1"/>
        <v>171.74</v>
      </c>
      <c r="I3181" s="81">
        <f>IFERROR(__xludf.DUMMYFUNCTION("IF(G3181="""", """", ROUND(G3181 / MAX(FILTER($G$2:$G5067, $D$2:$D5067=$D3181)) * 100, 2))"),69.69)</f>
        <v>69.69</v>
      </c>
      <c r="J3181" s="81">
        <f>IFERROR(__xludf.DUMMYFUNCTION("IF(H3181="""", """", ROUND(H3181 / MAX(FILTER($H$2:$H5067, $D$2:$D5067=$D3181)) * 100, 2))"),27.91)</f>
        <v>27.91</v>
      </c>
      <c r="K3181" s="2"/>
      <c r="L3181" s="48"/>
      <c r="M3181" s="48"/>
      <c r="N3181" s="48"/>
      <c r="O3181" s="48" t="str">
        <f t="shared" si="2"/>
        <v/>
      </c>
      <c r="P3181" s="48" t="str">
        <f t="shared" si="3"/>
        <v/>
      </c>
      <c r="Q3181" s="84"/>
      <c r="R3181" s="84"/>
      <c r="S3181" s="84"/>
      <c r="T3181" s="84"/>
      <c r="U3181" s="84"/>
      <c r="V3181" s="84"/>
      <c r="W3181" s="84"/>
      <c r="X3181" s="84"/>
      <c r="Y3181" s="84"/>
      <c r="Z3181" s="84"/>
      <c r="AA3181" s="84"/>
      <c r="AB3181" s="84"/>
    </row>
    <row r="3182">
      <c r="A3182" s="63">
        <v>211.0</v>
      </c>
      <c r="B3182" s="63">
        <v>354.0</v>
      </c>
      <c r="C3182" s="64" t="s">
        <v>680</v>
      </c>
      <c r="D3182" s="64" t="s">
        <v>681</v>
      </c>
      <c r="E3182" s="64" t="s">
        <v>682</v>
      </c>
      <c r="F3182" s="63">
        <v>3000.0</v>
      </c>
      <c r="G3182" s="63">
        <v>60.6</v>
      </c>
      <c r="H3182" s="66">
        <f t="shared" si="1"/>
        <v>253.84</v>
      </c>
      <c r="I3182" s="81">
        <f>IFERROR(__xludf.DUMMYFUNCTION("IF(G3182="""", """", ROUND(G3182 / MAX(FILTER($G$2:$G5067, $D$2:$D5067=$D3182)) * 100, 2))"),85.84)</f>
        <v>85.84</v>
      </c>
      <c r="J3182" s="81">
        <f>IFERROR(__xludf.DUMMYFUNCTION("IF(H3182="""", """", ROUND(H3182 / MAX(FILTER($H$2:$H5067, $D$2:$D5067=$D3182)) * 100, 2))"),41.25)</f>
        <v>41.25</v>
      </c>
      <c r="K3182" s="2"/>
      <c r="L3182" s="49"/>
      <c r="M3182" s="49"/>
      <c r="N3182" s="49"/>
      <c r="O3182" s="49" t="str">
        <f t="shared" si="2"/>
        <v/>
      </c>
      <c r="P3182" s="49" t="str">
        <f t="shared" si="3"/>
        <v/>
      </c>
      <c r="Q3182" s="84"/>
      <c r="R3182" s="84"/>
      <c r="S3182" s="84"/>
      <c r="T3182" s="84"/>
      <c r="U3182" s="84"/>
      <c r="V3182" s="84"/>
      <c r="W3182" s="84"/>
      <c r="X3182" s="84"/>
      <c r="Y3182" s="84"/>
      <c r="Z3182" s="84"/>
      <c r="AA3182" s="84"/>
      <c r="AB3182" s="84"/>
    </row>
    <row r="3183">
      <c r="A3183" s="69">
        <v>211.0</v>
      </c>
      <c r="B3183" s="69">
        <v>354.0</v>
      </c>
      <c r="C3183" s="86" t="s">
        <v>680</v>
      </c>
      <c r="D3183" s="86" t="s">
        <v>681</v>
      </c>
      <c r="E3183" s="86" t="s">
        <v>682</v>
      </c>
      <c r="F3183" s="69">
        <v>3500.0</v>
      </c>
      <c r="G3183" s="69">
        <v>63.8</v>
      </c>
      <c r="H3183" s="68">
        <f t="shared" si="1"/>
        <v>311.78</v>
      </c>
      <c r="I3183" s="81">
        <f>IFERROR(__xludf.DUMMYFUNCTION("IF(G3183="""", """", ROUND(G3183 / MAX(FILTER($G$2:$G5067, $D$2:$D5067=$D3183)) * 100, 2))"),90.37)</f>
        <v>90.37</v>
      </c>
      <c r="J3183" s="81">
        <f>IFERROR(__xludf.DUMMYFUNCTION("IF(H3183="""", """", ROUND(H3183 / MAX(FILTER($H$2:$H5067, $D$2:$D5067=$D3183)) * 100, 2))"),50.67)</f>
        <v>50.67</v>
      </c>
      <c r="K3183" s="2"/>
      <c r="L3183" s="48"/>
      <c r="M3183" s="48"/>
      <c r="N3183" s="48"/>
      <c r="O3183" s="48" t="str">
        <f t="shared" si="2"/>
        <v/>
      </c>
      <c r="P3183" s="48" t="str">
        <f t="shared" si="3"/>
        <v/>
      </c>
      <c r="Q3183" s="84"/>
      <c r="R3183" s="84"/>
      <c r="S3183" s="84"/>
      <c r="T3183" s="84"/>
      <c r="U3183" s="84"/>
      <c r="V3183" s="84"/>
      <c r="W3183" s="84"/>
      <c r="X3183" s="84"/>
      <c r="Y3183" s="84"/>
      <c r="Z3183" s="84"/>
      <c r="AA3183" s="84"/>
      <c r="AB3183" s="84"/>
    </row>
    <row r="3184">
      <c r="A3184" s="63">
        <v>211.0</v>
      </c>
      <c r="B3184" s="63">
        <v>354.0</v>
      </c>
      <c r="C3184" s="64" t="s">
        <v>680</v>
      </c>
      <c r="D3184" s="64" t="s">
        <v>681</v>
      </c>
      <c r="E3184" s="64" t="s">
        <v>682</v>
      </c>
      <c r="F3184" s="63">
        <v>4000.0</v>
      </c>
      <c r="G3184" s="63">
        <v>66.4</v>
      </c>
      <c r="H3184" s="66">
        <f t="shared" si="1"/>
        <v>370.85</v>
      </c>
      <c r="I3184" s="81">
        <f>IFERROR(__xludf.DUMMYFUNCTION("IF(G3184="""", """", ROUND(G3184 / MAX(FILTER($G$2:$G5067, $D$2:$D5067=$D3184)) * 100, 2))"),94.05)</f>
        <v>94.05</v>
      </c>
      <c r="J3184" s="81">
        <f>IFERROR(__xludf.DUMMYFUNCTION("IF(H3184="""", """", ROUND(H3184 / MAX(FILTER($H$2:$H5067, $D$2:$D5067=$D3184)) * 100, 2))"),60.27)</f>
        <v>60.27</v>
      </c>
      <c r="K3184" s="2"/>
      <c r="L3184" s="49"/>
      <c r="M3184" s="49"/>
      <c r="N3184" s="49"/>
      <c r="O3184" s="49" t="str">
        <f t="shared" si="2"/>
        <v/>
      </c>
      <c r="P3184" s="49" t="str">
        <f t="shared" si="3"/>
        <v/>
      </c>
      <c r="Q3184" s="84"/>
      <c r="R3184" s="84"/>
      <c r="S3184" s="84"/>
      <c r="T3184" s="84"/>
      <c r="U3184" s="84"/>
      <c r="V3184" s="84"/>
      <c r="W3184" s="84"/>
      <c r="X3184" s="84"/>
      <c r="Y3184" s="84"/>
      <c r="Z3184" s="84"/>
      <c r="AA3184" s="84"/>
      <c r="AB3184" s="84"/>
    </row>
    <row r="3185">
      <c r="A3185" s="69">
        <v>211.0</v>
      </c>
      <c r="B3185" s="69">
        <v>354.0</v>
      </c>
      <c r="C3185" s="86" t="s">
        <v>680</v>
      </c>
      <c r="D3185" s="86" t="s">
        <v>681</v>
      </c>
      <c r="E3185" s="86" t="s">
        <v>682</v>
      </c>
      <c r="F3185" s="69">
        <v>4500.0</v>
      </c>
      <c r="G3185" s="69">
        <v>68.2</v>
      </c>
      <c r="H3185" s="68">
        <f t="shared" si="1"/>
        <v>428.51</v>
      </c>
      <c r="I3185" s="81">
        <f>IFERROR(__xludf.DUMMYFUNCTION("IF(G3185="""", """", ROUND(G3185 / MAX(FILTER($G$2:$G5067, $D$2:$D5067=$D3185)) * 100, 2))"),96.6)</f>
        <v>96.6</v>
      </c>
      <c r="J3185" s="81">
        <f>IFERROR(__xludf.DUMMYFUNCTION("IF(H3185="""", """", ROUND(H3185 / MAX(FILTER($H$2:$H5067, $D$2:$D5067=$D3185)) * 100, 2))"),69.64)</f>
        <v>69.64</v>
      </c>
      <c r="K3185" s="2"/>
      <c r="L3185" s="48"/>
      <c r="M3185" s="48"/>
      <c r="N3185" s="48"/>
      <c r="O3185" s="48" t="str">
        <f t="shared" si="2"/>
        <v/>
      </c>
      <c r="P3185" s="48" t="str">
        <f t="shared" si="3"/>
        <v/>
      </c>
      <c r="Q3185" s="84"/>
      <c r="R3185" s="84"/>
      <c r="S3185" s="84"/>
      <c r="T3185" s="84"/>
      <c r="U3185" s="84"/>
      <c r="V3185" s="84"/>
      <c r="W3185" s="84"/>
      <c r="X3185" s="84"/>
      <c r="Y3185" s="84"/>
      <c r="Z3185" s="84"/>
      <c r="AA3185" s="84"/>
      <c r="AB3185" s="84"/>
    </row>
    <row r="3186">
      <c r="A3186" s="63">
        <v>211.0</v>
      </c>
      <c r="B3186" s="63">
        <v>354.0</v>
      </c>
      <c r="C3186" s="64" t="s">
        <v>680</v>
      </c>
      <c r="D3186" s="64" t="s">
        <v>681</v>
      </c>
      <c r="E3186" s="64" t="s">
        <v>682</v>
      </c>
      <c r="F3186" s="63">
        <v>5000.0</v>
      </c>
      <c r="G3186" s="63">
        <v>70.0</v>
      </c>
      <c r="H3186" s="66">
        <f t="shared" si="1"/>
        <v>488.69</v>
      </c>
      <c r="I3186" s="81">
        <f>IFERROR(__xludf.DUMMYFUNCTION("IF(G3186="""", """", ROUND(G3186 / MAX(FILTER($G$2:$G5067, $D$2:$D5067=$D3186)) * 100, 2))"),99.15)</f>
        <v>99.15</v>
      </c>
      <c r="J3186" s="81">
        <f>IFERROR(__xludf.DUMMYFUNCTION("IF(H3186="""", """", ROUND(H3186 / MAX(FILTER($H$2:$H5067, $D$2:$D5067=$D3186)) * 100, 2))"),79.42)</f>
        <v>79.42</v>
      </c>
      <c r="K3186" s="2"/>
      <c r="L3186" s="49"/>
      <c r="M3186" s="49"/>
      <c r="N3186" s="49"/>
      <c r="O3186" s="49" t="str">
        <f t="shared" si="2"/>
        <v/>
      </c>
      <c r="P3186" s="49" t="str">
        <f t="shared" si="3"/>
        <v/>
      </c>
      <c r="Q3186" s="84"/>
      <c r="R3186" s="84"/>
      <c r="S3186" s="84"/>
      <c r="T3186" s="84"/>
      <c r="U3186" s="84"/>
      <c r="V3186" s="84"/>
      <c r="W3186" s="84"/>
      <c r="X3186" s="84"/>
      <c r="Y3186" s="84"/>
      <c r="Z3186" s="84"/>
      <c r="AA3186" s="84"/>
      <c r="AB3186" s="84"/>
    </row>
    <row r="3187">
      <c r="A3187" s="69">
        <v>211.0</v>
      </c>
      <c r="B3187" s="69">
        <v>354.0</v>
      </c>
      <c r="C3187" s="86" t="s">
        <v>680</v>
      </c>
      <c r="D3187" s="86" t="s">
        <v>681</v>
      </c>
      <c r="E3187" s="86" t="s">
        <v>682</v>
      </c>
      <c r="F3187" s="69">
        <v>5500.0</v>
      </c>
      <c r="G3187" s="69">
        <v>70.6</v>
      </c>
      <c r="H3187" s="68">
        <f t="shared" si="1"/>
        <v>542.17</v>
      </c>
      <c r="I3187" s="81">
        <f>IFERROR(__xludf.DUMMYFUNCTION("IF(G3187="""", """", ROUND(G3187 / MAX(FILTER($G$2:$G5067, $D$2:$D5067=$D3187)) * 100, 2))"),100.0)</f>
        <v>100</v>
      </c>
      <c r="J3187" s="81">
        <f>IFERROR(__xludf.DUMMYFUNCTION("IF(H3187="""", """", ROUND(H3187 / MAX(FILTER($H$2:$H5067, $D$2:$D5067=$D3187)) * 100, 2))"),88.11)</f>
        <v>88.11</v>
      </c>
      <c r="K3187" s="2"/>
      <c r="L3187" s="48"/>
      <c r="M3187" s="48"/>
      <c r="N3187" s="48"/>
      <c r="O3187" s="48" t="str">
        <f t="shared" si="2"/>
        <v/>
      </c>
      <c r="P3187" s="48" t="str">
        <f t="shared" si="3"/>
        <v/>
      </c>
      <c r="Q3187" s="84"/>
      <c r="R3187" s="84"/>
      <c r="S3187" s="84"/>
      <c r="T3187" s="84"/>
      <c r="U3187" s="84"/>
      <c r="V3187" s="84"/>
      <c r="W3187" s="84"/>
      <c r="X3187" s="84"/>
      <c r="Y3187" s="84"/>
      <c r="Z3187" s="84"/>
      <c r="AA3187" s="84"/>
      <c r="AB3187" s="84"/>
    </row>
    <row r="3188">
      <c r="A3188" s="63">
        <v>211.0</v>
      </c>
      <c r="B3188" s="63">
        <v>354.0</v>
      </c>
      <c r="C3188" s="64" t="s">
        <v>680</v>
      </c>
      <c r="D3188" s="64" t="s">
        <v>681</v>
      </c>
      <c r="E3188" s="64" t="s">
        <v>682</v>
      </c>
      <c r="F3188" s="63">
        <v>6000.0</v>
      </c>
      <c r="G3188" s="63">
        <v>69.8</v>
      </c>
      <c r="H3188" s="66">
        <f t="shared" si="1"/>
        <v>584.75</v>
      </c>
      <c r="I3188" s="81">
        <f>IFERROR(__xludf.DUMMYFUNCTION("IF(G3188="""", """", ROUND(G3188 / MAX(FILTER($G$2:$G5067, $D$2:$D5067=$D3188)) * 100, 2))"),98.87)</f>
        <v>98.87</v>
      </c>
      <c r="J3188" s="81">
        <f>IFERROR(__xludf.DUMMYFUNCTION("IF(H3188="""", """", ROUND(H3188 / MAX(FILTER($H$2:$H5067, $D$2:$D5067=$D3188)) * 100, 2))"),95.03)</f>
        <v>95.03</v>
      </c>
      <c r="K3188" s="2"/>
      <c r="L3188" s="49"/>
      <c r="M3188" s="49"/>
      <c r="N3188" s="49"/>
      <c r="O3188" s="49" t="str">
        <f t="shared" si="2"/>
        <v/>
      </c>
      <c r="P3188" s="49" t="str">
        <f t="shared" si="3"/>
        <v/>
      </c>
      <c r="Q3188" s="84"/>
      <c r="R3188" s="84"/>
      <c r="S3188" s="84"/>
      <c r="T3188" s="84"/>
      <c r="U3188" s="84"/>
      <c r="V3188" s="84"/>
      <c r="W3188" s="84"/>
      <c r="X3188" s="84"/>
      <c r="Y3188" s="84"/>
      <c r="Z3188" s="84"/>
      <c r="AA3188" s="84"/>
      <c r="AB3188" s="84"/>
    </row>
    <row r="3189">
      <c r="A3189" s="69">
        <v>211.0</v>
      </c>
      <c r="B3189" s="69">
        <v>354.0</v>
      </c>
      <c r="C3189" s="86" t="s">
        <v>680</v>
      </c>
      <c r="D3189" s="86" t="s">
        <v>681</v>
      </c>
      <c r="E3189" s="86" t="s">
        <v>682</v>
      </c>
      <c r="F3189" s="69">
        <v>6500.0</v>
      </c>
      <c r="G3189" s="69">
        <v>67.8</v>
      </c>
      <c r="H3189" s="68">
        <f t="shared" si="1"/>
        <v>615.33</v>
      </c>
      <c r="I3189" s="81">
        <f>IFERROR(__xludf.DUMMYFUNCTION("IF(G3189="""", """", ROUND(G3189 / MAX(FILTER($G$2:$G5067, $D$2:$D5067=$D3189)) * 100, 2))"),96.03)</f>
        <v>96.03</v>
      </c>
      <c r="J3189" s="81">
        <f>IFERROR(__xludf.DUMMYFUNCTION("IF(H3189="""", """", ROUND(H3189 / MAX(FILTER($H$2:$H5067, $D$2:$D5067=$D3189)) * 100, 2))"),100.0)</f>
        <v>100</v>
      </c>
      <c r="K3189" s="2"/>
      <c r="L3189" s="48"/>
      <c r="M3189" s="48"/>
      <c r="N3189" s="48"/>
      <c r="O3189" s="48" t="str">
        <f t="shared" si="2"/>
        <v/>
      </c>
      <c r="P3189" s="48" t="str">
        <f t="shared" si="3"/>
        <v/>
      </c>
      <c r="Q3189" s="84"/>
      <c r="R3189" s="84"/>
      <c r="S3189" s="84"/>
      <c r="T3189" s="84"/>
      <c r="U3189" s="84"/>
      <c r="V3189" s="84"/>
      <c r="W3189" s="84"/>
      <c r="X3189" s="84"/>
      <c r="Y3189" s="84"/>
      <c r="Z3189" s="84"/>
      <c r="AA3189" s="84"/>
      <c r="AB3189" s="84"/>
    </row>
    <row r="3190">
      <c r="A3190" s="63">
        <v>211.0</v>
      </c>
      <c r="B3190" s="63">
        <v>354.0</v>
      </c>
      <c r="C3190" s="64" t="s">
        <v>680</v>
      </c>
      <c r="D3190" s="64" t="s">
        <v>681</v>
      </c>
      <c r="E3190" s="64" t="s">
        <v>682</v>
      </c>
      <c r="F3190" s="63">
        <v>7000.0</v>
      </c>
      <c r="G3190" s="63">
        <v>62.6</v>
      </c>
      <c r="H3190" s="66">
        <f t="shared" si="1"/>
        <v>611.84</v>
      </c>
      <c r="I3190" s="81">
        <f>IFERROR(__xludf.DUMMYFUNCTION("IF(G3190="""", """", ROUND(G3190 / MAX(FILTER($G$2:$G5067, $D$2:$D5067=$D3190)) * 100, 2))"),88.67)</f>
        <v>88.67</v>
      </c>
      <c r="J3190" s="81">
        <f>IFERROR(__xludf.DUMMYFUNCTION("IF(H3190="""", """", ROUND(H3190 / MAX(FILTER($H$2:$H5067, $D$2:$D5067=$D3190)) * 100, 2))"),99.43)</f>
        <v>99.43</v>
      </c>
      <c r="K3190" s="2"/>
      <c r="L3190" s="49"/>
      <c r="M3190" s="49"/>
      <c r="N3190" s="49"/>
      <c r="O3190" s="49" t="str">
        <f t="shared" si="2"/>
        <v/>
      </c>
      <c r="P3190" s="49" t="str">
        <f t="shared" si="3"/>
        <v/>
      </c>
      <c r="Q3190" s="84"/>
      <c r="R3190" s="84"/>
      <c r="S3190" s="84"/>
      <c r="T3190" s="84"/>
      <c r="U3190" s="84"/>
      <c r="V3190" s="84"/>
      <c r="W3190" s="84"/>
      <c r="X3190" s="84"/>
      <c r="Y3190" s="84"/>
      <c r="Z3190" s="84"/>
      <c r="AA3190" s="84"/>
      <c r="AB3190" s="84"/>
    </row>
    <row r="3191">
      <c r="A3191" s="69">
        <v>211.0</v>
      </c>
      <c r="B3191" s="69">
        <v>354.0</v>
      </c>
      <c r="C3191" s="86" t="s">
        <v>680</v>
      </c>
      <c r="D3191" s="86" t="s">
        <v>681</v>
      </c>
      <c r="E3191" s="86" t="s">
        <v>682</v>
      </c>
      <c r="F3191" s="69">
        <v>7200.0</v>
      </c>
      <c r="G3191" s="69">
        <v>58.6</v>
      </c>
      <c r="H3191" s="68">
        <f t="shared" si="1"/>
        <v>589.11</v>
      </c>
      <c r="I3191" s="81">
        <f>IFERROR(__xludf.DUMMYFUNCTION("IF(G3191="""", """", ROUND(G3191 / MAX(FILTER($G$2:$G5067, $D$2:$D5067=$D3191)) * 100, 2))"),83.0)</f>
        <v>83</v>
      </c>
      <c r="J3191" s="81">
        <f>IFERROR(__xludf.DUMMYFUNCTION("IF(H3191="""", """", ROUND(H3191 / MAX(FILTER($H$2:$H5067, $D$2:$D5067=$D3191)) * 100, 2))"),95.74)</f>
        <v>95.74</v>
      </c>
      <c r="K3191" s="2"/>
      <c r="L3191" s="48"/>
      <c r="M3191" s="48"/>
      <c r="N3191" s="48"/>
      <c r="O3191" s="48" t="str">
        <f t="shared" si="2"/>
        <v/>
      </c>
      <c r="P3191" s="48" t="str">
        <f t="shared" si="3"/>
        <v/>
      </c>
      <c r="Q3191" s="84"/>
      <c r="R3191" s="84"/>
      <c r="S3191" s="84"/>
      <c r="T3191" s="84"/>
      <c r="U3191" s="84"/>
      <c r="V3191" s="84"/>
      <c r="W3191" s="84"/>
      <c r="X3191" s="84"/>
      <c r="Y3191" s="84"/>
      <c r="Z3191" s="84"/>
      <c r="AA3191" s="84"/>
      <c r="AB3191" s="84"/>
    </row>
    <row r="3192">
      <c r="A3192" s="63">
        <v>211.0</v>
      </c>
      <c r="B3192" s="63">
        <v>354.0</v>
      </c>
      <c r="C3192" s="64" t="s">
        <v>680</v>
      </c>
      <c r="D3192" s="64" t="s">
        <v>681</v>
      </c>
      <c r="E3192" s="64" t="s">
        <v>682</v>
      </c>
      <c r="F3192" s="63">
        <v>7800.0</v>
      </c>
      <c r="G3192" s="63">
        <v>47.0</v>
      </c>
      <c r="H3192" s="66">
        <f t="shared" si="1"/>
        <v>511.87</v>
      </c>
      <c r="I3192" s="81">
        <f>IFERROR(__xludf.DUMMYFUNCTION("IF(G3192="""", """", ROUND(G3192 / MAX(FILTER($G$2:$G5067, $D$2:$D5067=$D3192)) * 100, 2))"),66.57)</f>
        <v>66.57</v>
      </c>
      <c r="J3192" s="81">
        <f>IFERROR(__xludf.DUMMYFUNCTION("IF(H3192="""", """", ROUND(H3192 / MAX(FILTER($H$2:$H5067, $D$2:$D5067=$D3192)) * 100, 2))"),83.19)</f>
        <v>83.19</v>
      </c>
      <c r="K3192" s="2"/>
      <c r="L3192" s="49"/>
      <c r="M3192" s="49"/>
      <c r="N3192" s="49"/>
      <c r="O3192" s="49" t="str">
        <f t="shared" si="2"/>
        <v/>
      </c>
      <c r="P3192" s="49" t="str">
        <f t="shared" si="3"/>
        <v/>
      </c>
      <c r="Q3192" s="84"/>
      <c r="R3192" s="84"/>
      <c r="S3192" s="84"/>
      <c r="T3192" s="84"/>
      <c r="U3192" s="84"/>
      <c r="V3192" s="84"/>
      <c r="W3192" s="84"/>
      <c r="X3192" s="84"/>
      <c r="Y3192" s="84"/>
      <c r="Z3192" s="84"/>
      <c r="AA3192" s="84"/>
      <c r="AB3192" s="84"/>
    </row>
    <row r="3193">
      <c r="A3193" s="69">
        <v>211.0</v>
      </c>
      <c r="B3193" s="69">
        <v>354.0</v>
      </c>
      <c r="C3193" s="86" t="s">
        <v>680</v>
      </c>
      <c r="D3193" s="86" t="s">
        <v>681</v>
      </c>
      <c r="E3193" s="86" t="s">
        <v>682</v>
      </c>
      <c r="F3193" s="69">
        <v>8500.0</v>
      </c>
      <c r="G3193" s="69">
        <v>31.6</v>
      </c>
      <c r="H3193" s="68">
        <f t="shared" si="1"/>
        <v>375.03</v>
      </c>
      <c r="I3193" s="81">
        <f>IFERROR(__xludf.DUMMYFUNCTION("IF(G3193="""", """", ROUND(G3193 / MAX(FILTER($G$2:$G5067, $D$2:$D5067=$D3193)) * 100, 2))"),44.76)</f>
        <v>44.76</v>
      </c>
      <c r="J3193" s="81">
        <f>IFERROR(__xludf.DUMMYFUNCTION("IF(H3193="""", """", ROUND(H3193 / MAX(FILTER($H$2:$H5067, $D$2:$D5067=$D3193)) * 100, 2))"),60.95)</f>
        <v>60.95</v>
      </c>
      <c r="K3193" s="2"/>
      <c r="L3193" s="48"/>
      <c r="M3193" s="48"/>
      <c r="N3193" s="48"/>
      <c r="O3193" s="48" t="str">
        <f t="shared" si="2"/>
        <v/>
      </c>
      <c r="P3193" s="48" t="str">
        <f t="shared" si="3"/>
        <v/>
      </c>
      <c r="Q3193" s="84"/>
      <c r="R3193" s="84"/>
      <c r="S3193" s="84"/>
      <c r="T3193" s="84"/>
      <c r="U3193" s="84"/>
      <c r="V3193" s="84"/>
      <c r="W3193" s="84"/>
      <c r="X3193" s="84"/>
      <c r="Y3193" s="84"/>
      <c r="Z3193" s="84"/>
      <c r="AA3193" s="84"/>
      <c r="AB3193" s="84"/>
    </row>
    <row r="3194">
      <c r="A3194" s="89"/>
      <c r="B3194" s="89"/>
      <c r="C3194" s="89"/>
      <c r="D3194" s="89"/>
      <c r="E3194" s="89"/>
      <c r="F3194" s="89"/>
      <c r="G3194" s="89"/>
      <c r="H3194" s="2"/>
      <c r="I3194" s="90"/>
      <c r="J3194" s="90"/>
      <c r="K3194" s="2"/>
      <c r="L3194" s="49"/>
      <c r="M3194" s="49"/>
      <c r="N3194" s="49"/>
      <c r="O3194" s="49" t="str">
        <f t="shared" si="2"/>
        <v/>
      </c>
      <c r="P3194" s="49" t="str">
        <f t="shared" si="3"/>
        <v/>
      </c>
      <c r="Q3194" s="84"/>
      <c r="R3194" s="84"/>
      <c r="S3194" s="84"/>
      <c r="T3194" s="84"/>
      <c r="U3194" s="84"/>
      <c r="V3194" s="84"/>
      <c r="W3194" s="84"/>
      <c r="X3194" s="84"/>
      <c r="Y3194" s="84"/>
      <c r="Z3194" s="84"/>
      <c r="AA3194" s="84"/>
      <c r="AB3194" s="84"/>
    </row>
    <row r="3195">
      <c r="A3195" s="89"/>
      <c r="B3195" s="89"/>
      <c r="C3195" s="89"/>
      <c r="D3195" s="89"/>
      <c r="E3195" s="89"/>
      <c r="F3195" s="89"/>
      <c r="G3195" s="89"/>
      <c r="H3195" s="2"/>
      <c r="I3195" s="90"/>
      <c r="J3195" s="90"/>
      <c r="K3195" s="2"/>
      <c r="L3195" s="48"/>
      <c r="M3195" s="48"/>
      <c r="N3195" s="48"/>
      <c r="O3195" s="48" t="str">
        <f t="shared" si="2"/>
        <v/>
      </c>
      <c r="P3195" s="48" t="str">
        <f t="shared" si="3"/>
        <v/>
      </c>
      <c r="Q3195" s="84"/>
      <c r="R3195" s="84"/>
      <c r="S3195" s="84"/>
      <c r="T3195" s="84"/>
      <c r="U3195" s="84"/>
      <c r="V3195" s="84"/>
      <c r="W3195" s="84"/>
      <c r="X3195" s="84"/>
      <c r="Y3195" s="84"/>
      <c r="Z3195" s="84"/>
      <c r="AA3195" s="84"/>
      <c r="AB3195" s="84"/>
    </row>
    <row r="3196">
      <c r="A3196" s="89"/>
      <c r="B3196" s="89"/>
      <c r="C3196" s="89"/>
      <c r="D3196" s="89"/>
      <c r="E3196" s="89"/>
      <c r="F3196" s="89"/>
      <c r="G3196" s="89"/>
      <c r="H3196" s="2"/>
      <c r="I3196" s="90"/>
      <c r="J3196" s="90"/>
      <c r="K3196" s="2"/>
      <c r="L3196" s="49"/>
      <c r="M3196" s="49"/>
      <c r="N3196" s="49"/>
      <c r="O3196" s="49" t="str">
        <f t="shared" si="2"/>
        <v/>
      </c>
      <c r="P3196" s="49" t="str">
        <f t="shared" si="3"/>
        <v/>
      </c>
      <c r="Q3196" s="84"/>
      <c r="R3196" s="84"/>
      <c r="S3196" s="84"/>
      <c r="T3196" s="84"/>
      <c r="U3196" s="84"/>
      <c r="V3196" s="84"/>
      <c r="W3196" s="84"/>
      <c r="X3196" s="84"/>
      <c r="Y3196" s="84"/>
      <c r="Z3196" s="84"/>
      <c r="AA3196" s="84"/>
      <c r="AB3196" s="84"/>
    </row>
    <row r="3197">
      <c r="A3197" s="89"/>
      <c r="B3197" s="89"/>
      <c r="C3197" s="89"/>
      <c r="D3197" s="89"/>
      <c r="E3197" s="89"/>
      <c r="F3197" s="89"/>
      <c r="G3197" s="89"/>
      <c r="H3197" s="2"/>
      <c r="I3197" s="90"/>
      <c r="J3197" s="90"/>
      <c r="K3197" s="2"/>
      <c r="L3197" s="48"/>
      <c r="M3197" s="48"/>
      <c r="N3197" s="48"/>
      <c r="O3197" s="48" t="str">
        <f t="shared" si="2"/>
        <v/>
      </c>
      <c r="P3197" s="48" t="str">
        <f t="shared" si="3"/>
        <v/>
      </c>
      <c r="Q3197" s="84"/>
      <c r="R3197" s="84"/>
      <c r="S3197" s="84"/>
      <c r="T3197" s="84"/>
      <c r="U3197" s="84"/>
      <c r="V3197" s="84"/>
      <c r="W3197" s="84"/>
      <c r="X3197" s="84"/>
      <c r="Y3197" s="84"/>
      <c r="Z3197" s="84"/>
      <c r="AA3197" s="84"/>
      <c r="AB3197" s="84"/>
    </row>
    <row r="3198">
      <c r="A3198" s="89"/>
      <c r="B3198" s="89"/>
      <c r="C3198" s="89"/>
      <c r="D3198" s="89"/>
      <c r="E3198" s="89"/>
      <c r="F3198" s="89"/>
      <c r="G3198" s="89"/>
      <c r="H3198" s="2"/>
      <c r="I3198" s="90"/>
      <c r="J3198" s="90"/>
      <c r="K3198" s="2"/>
      <c r="L3198" s="49"/>
      <c r="M3198" s="49"/>
      <c r="N3198" s="49"/>
      <c r="O3198" s="49" t="str">
        <f t="shared" si="2"/>
        <v/>
      </c>
      <c r="P3198" s="49" t="str">
        <f t="shared" si="3"/>
        <v/>
      </c>
      <c r="Q3198" s="84"/>
      <c r="R3198" s="84"/>
      <c r="S3198" s="84"/>
      <c r="T3198" s="84"/>
      <c r="U3198" s="84"/>
      <c r="V3198" s="84"/>
      <c r="W3198" s="84"/>
      <c r="X3198" s="84"/>
      <c r="Y3198" s="84"/>
      <c r="Z3198" s="84"/>
      <c r="AA3198" s="84"/>
      <c r="AB3198" s="84"/>
    </row>
    <row r="3199">
      <c r="A3199" s="89"/>
      <c r="B3199" s="89"/>
      <c r="C3199" s="89"/>
      <c r="D3199" s="89"/>
      <c r="E3199" s="89"/>
      <c r="F3199" s="89"/>
      <c r="G3199" s="89"/>
      <c r="H3199" s="2"/>
      <c r="I3199" s="90"/>
      <c r="J3199" s="90"/>
      <c r="K3199" s="2"/>
      <c r="L3199" s="48"/>
      <c r="M3199" s="48"/>
      <c r="N3199" s="48"/>
      <c r="O3199" s="48" t="str">
        <f t="shared" si="2"/>
        <v/>
      </c>
      <c r="P3199" s="48" t="str">
        <f t="shared" si="3"/>
        <v/>
      </c>
      <c r="Q3199" s="84"/>
      <c r="R3199" s="84"/>
      <c r="S3199" s="84"/>
      <c r="T3199" s="84"/>
      <c r="U3199" s="84"/>
      <c r="V3199" s="84"/>
      <c r="W3199" s="84"/>
      <c r="X3199" s="84"/>
      <c r="Y3199" s="84"/>
      <c r="Z3199" s="84"/>
      <c r="AA3199" s="84"/>
      <c r="AB3199" s="84"/>
    </row>
    <row r="3200">
      <c r="A3200" s="89"/>
      <c r="B3200" s="89"/>
      <c r="C3200" s="89"/>
      <c r="D3200" s="89"/>
      <c r="E3200" s="89"/>
      <c r="F3200" s="89"/>
      <c r="G3200" s="89"/>
      <c r="H3200" s="2"/>
      <c r="I3200" s="90"/>
      <c r="J3200" s="90"/>
      <c r="K3200" s="2"/>
      <c r="L3200" s="49"/>
      <c r="M3200" s="49"/>
      <c r="N3200" s="49"/>
      <c r="O3200" s="49" t="str">
        <f t="shared" si="2"/>
        <v/>
      </c>
      <c r="P3200" s="49" t="str">
        <f t="shared" si="3"/>
        <v/>
      </c>
      <c r="Q3200" s="84"/>
      <c r="R3200" s="84"/>
      <c r="S3200" s="84"/>
      <c r="T3200" s="84"/>
      <c r="U3200" s="84"/>
      <c r="V3200" s="84"/>
      <c r="W3200" s="84"/>
      <c r="X3200" s="84"/>
      <c r="Y3200" s="84"/>
      <c r="Z3200" s="84"/>
      <c r="AA3200" s="84"/>
      <c r="AB3200" s="84"/>
    </row>
    <row r="3201">
      <c r="A3201" s="89"/>
      <c r="B3201" s="89"/>
      <c r="C3201" s="89"/>
      <c r="D3201" s="89"/>
      <c r="E3201" s="89"/>
      <c r="F3201" s="89"/>
      <c r="G3201" s="89"/>
      <c r="H3201" s="2"/>
      <c r="I3201" s="90"/>
      <c r="J3201" s="90"/>
      <c r="K3201" s="2"/>
      <c r="L3201" s="48"/>
      <c r="M3201" s="48"/>
      <c r="N3201" s="48"/>
      <c r="O3201" s="48" t="str">
        <f t="shared" si="2"/>
        <v/>
      </c>
      <c r="P3201" s="48" t="str">
        <f t="shared" si="3"/>
        <v/>
      </c>
      <c r="Q3201" s="84"/>
      <c r="R3201" s="84"/>
      <c r="S3201" s="84"/>
      <c r="T3201" s="84"/>
      <c r="U3201" s="84"/>
      <c r="V3201" s="84"/>
      <c r="W3201" s="84"/>
      <c r="X3201" s="84"/>
      <c r="Y3201" s="84"/>
      <c r="Z3201" s="84"/>
      <c r="AA3201" s="84"/>
      <c r="AB3201" s="84"/>
    </row>
    <row r="3202">
      <c r="A3202" s="89"/>
      <c r="B3202" s="89"/>
      <c r="C3202" s="89"/>
      <c r="D3202" s="89"/>
      <c r="E3202" s="89"/>
      <c r="F3202" s="89"/>
      <c r="G3202" s="89"/>
      <c r="H3202" s="2"/>
      <c r="I3202" s="90"/>
      <c r="J3202" s="90"/>
      <c r="K3202" s="2"/>
      <c r="L3202" s="49"/>
      <c r="M3202" s="49"/>
      <c r="N3202" s="49"/>
      <c r="O3202" s="49" t="str">
        <f t="shared" si="2"/>
        <v/>
      </c>
      <c r="P3202" s="49" t="str">
        <f t="shared" si="3"/>
        <v/>
      </c>
      <c r="Q3202" s="84"/>
      <c r="R3202" s="84"/>
      <c r="S3202" s="84"/>
      <c r="T3202" s="84"/>
      <c r="U3202" s="84"/>
      <c r="V3202" s="84"/>
      <c r="W3202" s="84"/>
      <c r="X3202" s="84"/>
      <c r="Y3202" s="84"/>
      <c r="Z3202" s="84"/>
      <c r="AA3202" s="84"/>
      <c r="AB3202" s="84"/>
    </row>
    <row r="3203">
      <c r="A3203" s="89"/>
      <c r="B3203" s="89"/>
      <c r="C3203" s="89"/>
      <c r="D3203" s="89"/>
      <c r="E3203" s="89"/>
      <c r="F3203" s="89"/>
      <c r="G3203" s="89"/>
      <c r="H3203" s="2"/>
      <c r="I3203" s="90"/>
      <c r="J3203" s="90"/>
      <c r="K3203" s="2"/>
      <c r="L3203" s="48"/>
      <c r="M3203" s="48"/>
      <c r="N3203" s="48"/>
      <c r="O3203" s="48" t="str">
        <f t="shared" si="2"/>
        <v/>
      </c>
      <c r="P3203" s="48" t="str">
        <f t="shared" si="3"/>
        <v/>
      </c>
      <c r="Q3203" s="84"/>
      <c r="R3203" s="84"/>
      <c r="S3203" s="84"/>
      <c r="T3203" s="84"/>
      <c r="U3203" s="84"/>
      <c r="V3203" s="84"/>
      <c r="W3203" s="84"/>
      <c r="X3203" s="84"/>
      <c r="Y3203" s="84"/>
      <c r="Z3203" s="84"/>
      <c r="AA3203" s="84"/>
      <c r="AB3203" s="84"/>
    </row>
    <row r="3204">
      <c r="A3204" s="89"/>
      <c r="B3204" s="89"/>
      <c r="C3204" s="89"/>
      <c r="D3204" s="89"/>
      <c r="E3204" s="89"/>
      <c r="F3204" s="89"/>
      <c r="G3204" s="89"/>
      <c r="H3204" s="2"/>
      <c r="I3204" s="90"/>
      <c r="J3204" s="90"/>
      <c r="K3204" s="2"/>
      <c r="L3204" s="49"/>
      <c r="M3204" s="49"/>
      <c r="N3204" s="49"/>
      <c r="O3204" s="49" t="str">
        <f t="shared" si="2"/>
        <v/>
      </c>
      <c r="P3204" s="49" t="str">
        <f t="shared" si="3"/>
        <v/>
      </c>
      <c r="Q3204" s="84"/>
      <c r="R3204" s="84"/>
      <c r="S3204" s="84"/>
      <c r="T3204" s="84"/>
      <c r="U3204" s="84"/>
      <c r="V3204" s="84"/>
      <c r="W3204" s="84"/>
      <c r="X3204" s="84"/>
      <c r="Y3204" s="84"/>
      <c r="Z3204" s="84"/>
      <c r="AA3204" s="84"/>
      <c r="AB3204" s="84"/>
    </row>
    <row r="3205">
      <c r="A3205" s="89"/>
      <c r="B3205" s="89"/>
      <c r="C3205" s="89"/>
      <c r="D3205" s="89"/>
      <c r="E3205" s="89"/>
      <c r="F3205" s="89"/>
      <c r="G3205" s="89"/>
      <c r="H3205" s="2"/>
      <c r="I3205" s="90"/>
      <c r="J3205" s="90"/>
      <c r="K3205" s="2"/>
      <c r="L3205" s="48"/>
      <c r="M3205" s="48"/>
      <c r="N3205" s="48"/>
      <c r="O3205" s="48" t="str">
        <f t="shared" si="2"/>
        <v/>
      </c>
      <c r="P3205" s="48" t="str">
        <f t="shared" si="3"/>
        <v/>
      </c>
      <c r="Q3205" s="84"/>
      <c r="R3205" s="84"/>
      <c r="S3205" s="84"/>
      <c r="T3205" s="84"/>
      <c r="U3205" s="84"/>
      <c r="V3205" s="84"/>
      <c r="W3205" s="84"/>
      <c r="X3205" s="84"/>
      <c r="Y3205" s="84"/>
      <c r="Z3205" s="84"/>
      <c r="AA3205" s="84"/>
      <c r="AB3205" s="84"/>
    </row>
    <row r="3206">
      <c r="A3206" s="89"/>
      <c r="B3206" s="89"/>
      <c r="C3206" s="89"/>
      <c r="D3206" s="89"/>
      <c r="E3206" s="89"/>
      <c r="F3206" s="89"/>
      <c r="G3206" s="89"/>
      <c r="H3206" s="2"/>
      <c r="I3206" s="90"/>
      <c r="J3206" s="90"/>
      <c r="K3206" s="2"/>
      <c r="L3206" s="49"/>
      <c r="M3206" s="49"/>
      <c r="N3206" s="49"/>
      <c r="O3206" s="49" t="str">
        <f t="shared" si="2"/>
        <v/>
      </c>
      <c r="P3206" s="49" t="str">
        <f t="shared" si="3"/>
        <v/>
      </c>
      <c r="Q3206" s="84"/>
      <c r="R3206" s="84"/>
      <c r="S3206" s="84"/>
      <c r="T3206" s="84"/>
      <c r="U3206" s="84"/>
      <c r="V3206" s="84"/>
      <c r="W3206" s="84"/>
      <c r="X3206" s="84"/>
      <c r="Y3206" s="84"/>
      <c r="Z3206" s="84"/>
      <c r="AA3206" s="84"/>
      <c r="AB3206" s="84"/>
    </row>
    <row r="3207">
      <c r="A3207" s="89"/>
      <c r="B3207" s="89"/>
      <c r="C3207" s="89"/>
      <c r="D3207" s="89"/>
      <c r="E3207" s="89"/>
      <c r="F3207" s="89"/>
      <c r="G3207" s="89"/>
      <c r="H3207" s="2"/>
      <c r="I3207" s="90"/>
      <c r="J3207" s="90"/>
      <c r="K3207" s="2"/>
      <c r="L3207" s="48"/>
      <c r="M3207" s="48"/>
      <c r="N3207" s="48"/>
      <c r="O3207" s="48" t="str">
        <f t="shared" si="2"/>
        <v/>
      </c>
      <c r="P3207" s="48" t="str">
        <f t="shared" si="3"/>
        <v/>
      </c>
      <c r="Q3207" s="84"/>
      <c r="R3207" s="84"/>
      <c r="S3207" s="84"/>
      <c r="T3207" s="84"/>
      <c r="U3207" s="84"/>
      <c r="V3207" s="84"/>
      <c r="W3207" s="84"/>
      <c r="X3207" s="84"/>
      <c r="Y3207" s="84"/>
      <c r="Z3207" s="84"/>
      <c r="AA3207" s="84"/>
      <c r="AB3207" s="84"/>
    </row>
    <row r="3208">
      <c r="A3208" s="89"/>
      <c r="B3208" s="89"/>
      <c r="C3208" s="89"/>
      <c r="D3208" s="89"/>
      <c r="E3208" s="89"/>
      <c r="F3208" s="89"/>
      <c r="G3208" s="89"/>
      <c r="H3208" s="2"/>
      <c r="I3208" s="90"/>
      <c r="J3208" s="90"/>
      <c r="K3208" s="2"/>
      <c r="L3208" s="49"/>
      <c r="M3208" s="49"/>
      <c r="N3208" s="49"/>
      <c r="O3208" s="49" t="str">
        <f t="shared" si="2"/>
        <v/>
      </c>
      <c r="P3208" s="49" t="str">
        <f t="shared" si="3"/>
        <v/>
      </c>
      <c r="Q3208" s="84"/>
      <c r="R3208" s="84"/>
      <c r="S3208" s="84"/>
      <c r="T3208" s="84"/>
      <c r="U3208" s="84"/>
      <c r="V3208" s="84"/>
      <c r="W3208" s="84"/>
      <c r="X3208" s="84"/>
      <c r="Y3208" s="84"/>
      <c r="Z3208" s="84"/>
      <c r="AA3208" s="84"/>
      <c r="AB3208" s="84"/>
    </row>
    <row r="3209">
      <c r="A3209" s="89"/>
      <c r="B3209" s="89"/>
      <c r="C3209" s="89"/>
      <c r="D3209" s="89"/>
      <c r="E3209" s="89"/>
      <c r="F3209" s="89"/>
      <c r="G3209" s="89"/>
      <c r="H3209" s="2"/>
      <c r="I3209" s="90"/>
      <c r="J3209" s="90"/>
      <c r="K3209" s="2"/>
      <c r="L3209" s="48"/>
      <c r="M3209" s="48"/>
      <c r="N3209" s="48"/>
      <c r="O3209" s="48" t="str">
        <f t="shared" si="2"/>
        <v/>
      </c>
      <c r="P3209" s="48" t="str">
        <f t="shared" si="3"/>
        <v/>
      </c>
      <c r="Q3209" s="84"/>
      <c r="R3209" s="84"/>
      <c r="S3209" s="84"/>
      <c r="T3209" s="84"/>
      <c r="U3209" s="84"/>
      <c r="V3209" s="84"/>
      <c r="W3209" s="84"/>
      <c r="X3209" s="84"/>
      <c r="Y3209" s="84"/>
      <c r="Z3209" s="84"/>
      <c r="AA3209" s="84"/>
      <c r="AB3209" s="84"/>
    </row>
    <row r="3210">
      <c r="A3210" s="89"/>
      <c r="B3210" s="89"/>
      <c r="C3210" s="89"/>
      <c r="D3210" s="89"/>
      <c r="E3210" s="89"/>
      <c r="F3210" s="89"/>
      <c r="G3210" s="89"/>
      <c r="H3210" s="2"/>
      <c r="I3210" s="90"/>
      <c r="J3210" s="90"/>
      <c r="K3210" s="2"/>
      <c r="L3210" s="49"/>
      <c r="M3210" s="49"/>
      <c r="N3210" s="49"/>
      <c r="O3210" s="49" t="str">
        <f t="shared" si="2"/>
        <v/>
      </c>
      <c r="P3210" s="49" t="str">
        <f t="shared" si="3"/>
        <v/>
      </c>
      <c r="Q3210" s="84"/>
      <c r="R3210" s="84"/>
      <c r="S3210" s="84"/>
      <c r="T3210" s="84"/>
      <c r="U3210" s="84"/>
      <c r="V3210" s="84"/>
      <c r="W3210" s="84"/>
      <c r="X3210" s="84"/>
      <c r="Y3210" s="84"/>
      <c r="Z3210" s="84"/>
      <c r="AA3210" s="84"/>
      <c r="AB3210" s="84"/>
    </row>
    <row r="3211">
      <c r="A3211" s="89"/>
      <c r="B3211" s="89"/>
      <c r="C3211" s="89"/>
      <c r="D3211" s="89"/>
      <c r="E3211" s="89"/>
      <c r="F3211" s="89"/>
      <c r="G3211" s="89"/>
      <c r="H3211" s="2"/>
      <c r="I3211" s="90"/>
      <c r="J3211" s="90"/>
      <c r="K3211" s="2"/>
      <c r="L3211" s="48"/>
      <c r="M3211" s="48"/>
      <c r="N3211" s="48"/>
      <c r="O3211" s="48" t="str">
        <f t="shared" si="2"/>
        <v/>
      </c>
      <c r="P3211" s="48" t="str">
        <f t="shared" si="3"/>
        <v/>
      </c>
      <c r="Q3211" s="84"/>
      <c r="R3211" s="84"/>
      <c r="S3211" s="84"/>
      <c r="T3211" s="84"/>
      <c r="U3211" s="84"/>
      <c r="V3211" s="84"/>
      <c r="W3211" s="84"/>
      <c r="X3211" s="84"/>
      <c r="Y3211" s="84"/>
      <c r="Z3211" s="84"/>
      <c r="AA3211" s="84"/>
      <c r="AB3211" s="84"/>
    </row>
    <row r="3212">
      <c r="A3212" s="89"/>
      <c r="B3212" s="89"/>
      <c r="C3212" s="89"/>
      <c r="D3212" s="89"/>
      <c r="E3212" s="89"/>
      <c r="F3212" s="89"/>
      <c r="G3212" s="89"/>
      <c r="H3212" s="2"/>
      <c r="I3212" s="90"/>
      <c r="J3212" s="90"/>
      <c r="K3212" s="2"/>
      <c r="L3212" s="49"/>
      <c r="M3212" s="49"/>
      <c r="N3212" s="49"/>
      <c r="O3212" s="49" t="str">
        <f t="shared" si="2"/>
        <v/>
      </c>
      <c r="P3212" s="49" t="str">
        <f t="shared" si="3"/>
        <v/>
      </c>
      <c r="Q3212" s="84"/>
      <c r="R3212" s="84"/>
      <c r="S3212" s="84"/>
      <c r="T3212" s="84"/>
      <c r="U3212" s="84"/>
      <c r="V3212" s="84"/>
      <c r="W3212" s="84"/>
      <c r="X3212" s="84"/>
      <c r="Y3212" s="84"/>
      <c r="Z3212" s="84"/>
      <c r="AA3212" s="84"/>
      <c r="AB3212" s="84"/>
    </row>
    <row r="3213">
      <c r="A3213" s="89"/>
      <c r="B3213" s="89"/>
      <c r="C3213" s="89"/>
      <c r="D3213" s="89"/>
      <c r="E3213" s="89"/>
      <c r="F3213" s="89"/>
      <c r="G3213" s="89"/>
      <c r="H3213" s="2"/>
      <c r="I3213" s="90"/>
      <c r="J3213" s="90"/>
      <c r="K3213" s="2"/>
      <c r="L3213" s="48"/>
      <c r="M3213" s="48"/>
      <c r="N3213" s="48"/>
      <c r="O3213" s="48" t="str">
        <f t="shared" si="2"/>
        <v/>
      </c>
      <c r="P3213" s="48" t="str">
        <f t="shared" si="3"/>
        <v/>
      </c>
      <c r="Q3213" s="84"/>
      <c r="R3213" s="84"/>
      <c r="S3213" s="84"/>
      <c r="T3213" s="84"/>
      <c r="U3213" s="84"/>
      <c r="V3213" s="84"/>
      <c r="W3213" s="84"/>
      <c r="X3213" s="84"/>
      <c r="Y3213" s="84"/>
      <c r="Z3213" s="84"/>
      <c r="AA3213" s="84"/>
      <c r="AB3213" s="84"/>
    </row>
    <row r="3214">
      <c r="A3214" s="89"/>
      <c r="B3214" s="89"/>
      <c r="C3214" s="89"/>
      <c r="D3214" s="89"/>
      <c r="E3214" s="89"/>
      <c r="F3214" s="89"/>
      <c r="G3214" s="89"/>
      <c r="H3214" s="2"/>
      <c r="I3214" s="90"/>
      <c r="J3214" s="90"/>
      <c r="K3214" s="2"/>
      <c r="L3214" s="49"/>
      <c r="M3214" s="49"/>
      <c r="N3214" s="49"/>
      <c r="O3214" s="49" t="str">
        <f t="shared" si="2"/>
        <v/>
      </c>
      <c r="P3214" s="49" t="str">
        <f t="shared" si="3"/>
        <v/>
      </c>
      <c r="Q3214" s="84"/>
      <c r="R3214" s="84"/>
      <c r="S3214" s="84"/>
      <c r="T3214" s="84"/>
      <c r="U3214" s="84"/>
      <c r="V3214" s="84"/>
      <c r="W3214" s="84"/>
      <c r="X3214" s="84"/>
      <c r="Y3214" s="84"/>
      <c r="Z3214" s="84"/>
      <c r="AA3214" s="84"/>
      <c r="AB3214" s="84"/>
    </row>
    <row r="3215">
      <c r="A3215" s="89"/>
      <c r="B3215" s="89"/>
      <c r="C3215" s="89"/>
      <c r="D3215" s="89"/>
      <c r="E3215" s="89"/>
      <c r="F3215" s="89"/>
      <c r="G3215" s="89"/>
      <c r="H3215" s="2"/>
      <c r="I3215" s="90"/>
      <c r="J3215" s="90"/>
      <c r="K3215" s="2"/>
      <c r="L3215" s="48"/>
      <c r="M3215" s="48"/>
      <c r="N3215" s="48"/>
      <c r="O3215" s="48" t="str">
        <f t="shared" si="2"/>
        <v/>
      </c>
      <c r="P3215" s="48" t="str">
        <f t="shared" si="3"/>
        <v/>
      </c>
      <c r="Q3215" s="84"/>
      <c r="R3215" s="84"/>
      <c r="S3215" s="84"/>
      <c r="T3215" s="84"/>
      <c r="U3215" s="84"/>
      <c r="V3215" s="84"/>
      <c r="W3215" s="84"/>
      <c r="X3215" s="84"/>
      <c r="Y3215" s="84"/>
      <c r="Z3215" s="84"/>
      <c r="AA3215" s="84"/>
      <c r="AB3215" s="84"/>
    </row>
    <row r="3216">
      <c r="A3216" s="89"/>
      <c r="B3216" s="89"/>
      <c r="C3216" s="89"/>
      <c r="D3216" s="89"/>
      <c r="E3216" s="89"/>
      <c r="F3216" s="89"/>
      <c r="G3216" s="89"/>
      <c r="H3216" s="2"/>
      <c r="I3216" s="90"/>
      <c r="J3216" s="90"/>
      <c r="K3216" s="2"/>
      <c r="L3216" s="49"/>
      <c r="M3216" s="49"/>
      <c r="N3216" s="49"/>
      <c r="O3216" s="49" t="str">
        <f t="shared" si="2"/>
        <v/>
      </c>
      <c r="P3216" s="49" t="str">
        <f t="shared" si="3"/>
        <v/>
      </c>
      <c r="Q3216" s="84"/>
      <c r="R3216" s="84"/>
      <c r="S3216" s="84"/>
      <c r="T3216" s="84"/>
      <c r="U3216" s="84"/>
      <c r="V3216" s="84"/>
      <c r="W3216" s="84"/>
      <c r="X3216" s="84"/>
      <c r="Y3216" s="84"/>
      <c r="Z3216" s="84"/>
      <c r="AA3216" s="84"/>
      <c r="AB3216" s="84"/>
    </row>
    <row r="3217">
      <c r="A3217" s="89"/>
      <c r="B3217" s="89"/>
      <c r="C3217" s="89"/>
      <c r="D3217" s="89"/>
      <c r="E3217" s="89"/>
      <c r="F3217" s="89"/>
      <c r="G3217" s="89"/>
      <c r="H3217" s="2"/>
      <c r="I3217" s="90"/>
      <c r="J3217" s="90"/>
      <c r="K3217" s="2"/>
      <c r="L3217" s="48"/>
      <c r="M3217" s="48"/>
      <c r="N3217" s="48"/>
      <c r="O3217" s="48" t="str">
        <f t="shared" si="2"/>
        <v/>
      </c>
      <c r="P3217" s="48" t="str">
        <f t="shared" si="3"/>
        <v/>
      </c>
      <c r="Q3217" s="84"/>
      <c r="R3217" s="84"/>
      <c r="S3217" s="84"/>
      <c r="T3217" s="84"/>
      <c r="U3217" s="84"/>
      <c r="V3217" s="84"/>
      <c r="W3217" s="84"/>
      <c r="X3217" s="84"/>
      <c r="Y3217" s="84"/>
      <c r="Z3217" s="84"/>
      <c r="AA3217" s="84"/>
      <c r="AB3217" s="84"/>
    </row>
    <row r="3218">
      <c r="A3218" s="89"/>
      <c r="B3218" s="89"/>
      <c r="C3218" s="89"/>
      <c r="D3218" s="89"/>
      <c r="E3218" s="89"/>
      <c r="F3218" s="89"/>
      <c r="G3218" s="89"/>
      <c r="H3218" s="2"/>
      <c r="I3218" s="90"/>
      <c r="J3218" s="90"/>
      <c r="K3218" s="2"/>
      <c r="L3218" s="49"/>
      <c r="M3218" s="49"/>
      <c r="N3218" s="49"/>
      <c r="O3218" s="49" t="str">
        <f t="shared" si="2"/>
        <v/>
      </c>
      <c r="P3218" s="49" t="str">
        <f t="shared" si="3"/>
        <v/>
      </c>
      <c r="Q3218" s="84"/>
      <c r="R3218" s="84"/>
      <c r="S3218" s="84"/>
      <c r="T3218" s="84"/>
      <c r="U3218" s="84"/>
      <c r="V3218" s="84"/>
      <c r="W3218" s="84"/>
      <c r="X3218" s="84"/>
      <c r="Y3218" s="84"/>
      <c r="Z3218" s="84"/>
      <c r="AA3218" s="84"/>
      <c r="AB3218" s="84"/>
    </row>
    <row r="3219">
      <c r="A3219" s="89"/>
      <c r="B3219" s="89"/>
      <c r="C3219" s="89"/>
      <c r="D3219" s="89"/>
      <c r="E3219" s="89"/>
      <c r="F3219" s="89"/>
      <c r="G3219" s="89"/>
      <c r="H3219" s="2"/>
      <c r="I3219" s="90"/>
      <c r="J3219" s="90"/>
      <c r="K3219" s="2"/>
      <c r="L3219" s="48"/>
      <c r="M3219" s="48"/>
      <c r="N3219" s="48"/>
      <c r="O3219" s="48" t="str">
        <f t="shared" si="2"/>
        <v/>
      </c>
      <c r="P3219" s="48" t="str">
        <f t="shared" si="3"/>
        <v/>
      </c>
      <c r="Q3219" s="84"/>
      <c r="R3219" s="84"/>
      <c r="S3219" s="84"/>
      <c r="T3219" s="84"/>
      <c r="U3219" s="84"/>
      <c r="V3219" s="84"/>
      <c r="W3219" s="84"/>
      <c r="X3219" s="84"/>
      <c r="Y3219" s="84"/>
      <c r="Z3219" s="84"/>
      <c r="AA3219" s="84"/>
      <c r="AB3219" s="84"/>
    </row>
    <row r="3220">
      <c r="A3220" s="89"/>
      <c r="B3220" s="89"/>
      <c r="C3220" s="89"/>
      <c r="D3220" s="89"/>
      <c r="E3220" s="89"/>
      <c r="F3220" s="89"/>
      <c r="G3220" s="89"/>
      <c r="H3220" s="2"/>
      <c r="I3220" s="90"/>
      <c r="J3220" s="90"/>
      <c r="K3220" s="2"/>
      <c r="L3220" s="49"/>
      <c r="M3220" s="49"/>
      <c r="N3220" s="49"/>
      <c r="O3220" s="49" t="str">
        <f t="shared" si="2"/>
        <v/>
      </c>
      <c r="P3220" s="49" t="str">
        <f t="shared" si="3"/>
        <v/>
      </c>
      <c r="Q3220" s="84"/>
      <c r="R3220" s="84"/>
      <c r="S3220" s="84"/>
      <c r="T3220" s="84"/>
      <c r="U3220" s="84"/>
      <c r="V3220" s="84"/>
      <c r="W3220" s="84"/>
      <c r="X3220" s="84"/>
      <c r="Y3220" s="84"/>
      <c r="Z3220" s="84"/>
      <c r="AA3220" s="84"/>
      <c r="AB3220" s="84"/>
    </row>
    <row r="3221">
      <c r="A3221" s="89"/>
      <c r="B3221" s="89"/>
      <c r="C3221" s="89"/>
      <c r="D3221" s="89"/>
      <c r="E3221" s="89"/>
      <c r="F3221" s="89"/>
      <c r="G3221" s="89"/>
      <c r="H3221" s="2"/>
      <c r="I3221" s="90"/>
      <c r="J3221" s="90"/>
      <c r="K3221" s="2"/>
      <c r="L3221" s="48"/>
      <c r="M3221" s="48"/>
      <c r="N3221" s="48"/>
      <c r="O3221" s="48" t="str">
        <f t="shared" si="2"/>
        <v/>
      </c>
      <c r="P3221" s="48" t="str">
        <f t="shared" si="3"/>
        <v/>
      </c>
      <c r="Q3221" s="84"/>
      <c r="R3221" s="84"/>
      <c r="S3221" s="84"/>
      <c r="T3221" s="84"/>
      <c r="U3221" s="84"/>
      <c r="V3221" s="84"/>
      <c r="W3221" s="84"/>
      <c r="X3221" s="84"/>
      <c r="Y3221" s="84"/>
      <c r="Z3221" s="84"/>
      <c r="AA3221" s="84"/>
      <c r="AB3221" s="84"/>
    </row>
    <row r="3222">
      <c r="A3222" s="89"/>
      <c r="B3222" s="89"/>
      <c r="C3222" s="89"/>
      <c r="D3222" s="89"/>
      <c r="E3222" s="89"/>
      <c r="F3222" s="89"/>
      <c r="G3222" s="89"/>
      <c r="H3222" s="2"/>
      <c r="I3222" s="90"/>
      <c r="J3222" s="90"/>
      <c r="K3222" s="2"/>
      <c r="L3222" s="49"/>
      <c r="M3222" s="49"/>
      <c r="N3222" s="49"/>
      <c r="O3222" s="49" t="str">
        <f t="shared" si="2"/>
        <v/>
      </c>
      <c r="P3222" s="49" t="str">
        <f t="shared" si="3"/>
        <v/>
      </c>
      <c r="Q3222" s="84"/>
      <c r="R3222" s="84"/>
      <c r="S3222" s="84"/>
      <c r="T3222" s="84"/>
      <c r="U3222" s="84"/>
      <c r="V3222" s="84"/>
      <c r="W3222" s="84"/>
      <c r="X3222" s="84"/>
      <c r="Y3222" s="84"/>
      <c r="Z3222" s="84"/>
      <c r="AA3222" s="84"/>
      <c r="AB3222" s="84"/>
    </row>
    <row r="3223">
      <c r="A3223" s="89"/>
      <c r="B3223" s="89"/>
      <c r="C3223" s="89"/>
      <c r="D3223" s="89"/>
      <c r="E3223" s="89"/>
      <c r="F3223" s="89"/>
      <c r="G3223" s="89"/>
      <c r="H3223" s="2"/>
      <c r="I3223" s="90"/>
      <c r="J3223" s="90"/>
      <c r="K3223" s="2"/>
      <c r="L3223" s="48"/>
      <c r="M3223" s="48"/>
      <c r="N3223" s="48"/>
      <c r="O3223" s="48" t="str">
        <f t="shared" si="2"/>
        <v/>
      </c>
      <c r="P3223" s="48" t="str">
        <f t="shared" si="3"/>
        <v/>
      </c>
      <c r="Q3223" s="84"/>
      <c r="R3223" s="84"/>
      <c r="S3223" s="84"/>
      <c r="T3223" s="84"/>
      <c r="U3223" s="84"/>
      <c r="V3223" s="84"/>
      <c r="W3223" s="84"/>
      <c r="X3223" s="84"/>
      <c r="Y3223" s="84"/>
      <c r="Z3223" s="84"/>
      <c r="AA3223" s="84"/>
      <c r="AB3223" s="84"/>
    </row>
    <row r="3224">
      <c r="A3224" s="89"/>
      <c r="B3224" s="89"/>
      <c r="C3224" s="89"/>
      <c r="D3224" s="89"/>
      <c r="E3224" s="89"/>
      <c r="F3224" s="89"/>
      <c r="G3224" s="89"/>
      <c r="H3224" s="2"/>
      <c r="I3224" s="90"/>
      <c r="J3224" s="90"/>
      <c r="K3224" s="2"/>
      <c r="L3224" s="49"/>
      <c r="M3224" s="49"/>
      <c r="N3224" s="49"/>
      <c r="O3224" s="49" t="str">
        <f t="shared" si="2"/>
        <v/>
      </c>
      <c r="P3224" s="49" t="str">
        <f t="shared" si="3"/>
        <v/>
      </c>
      <c r="Q3224" s="84"/>
      <c r="R3224" s="84"/>
      <c r="S3224" s="84"/>
      <c r="T3224" s="84"/>
      <c r="U3224" s="84"/>
      <c r="V3224" s="84"/>
      <c r="W3224" s="84"/>
      <c r="X3224" s="84"/>
      <c r="Y3224" s="84"/>
      <c r="Z3224" s="84"/>
      <c r="AA3224" s="84"/>
      <c r="AB3224" s="84"/>
    </row>
    <row r="3225">
      <c r="A3225" s="89"/>
      <c r="B3225" s="89"/>
      <c r="C3225" s="89"/>
      <c r="D3225" s="89"/>
      <c r="E3225" s="89"/>
      <c r="F3225" s="89"/>
      <c r="G3225" s="89"/>
      <c r="H3225" s="2"/>
      <c r="I3225" s="90"/>
      <c r="J3225" s="90"/>
      <c r="K3225" s="2"/>
      <c r="L3225" s="48"/>
      <c r="M3225" s="48"/>
      <c r="N3225" s="48"/>
      <c r="O3225" s="48" t="str">
        <f t="shared" si="2"/>
        <v/>
      </c>
      <c r="P3225" s="48" t="str">
        <f t="shared" si="3"/>
        <v/>
      </c>
      <c r="Q3225" s="84"/>
      <c r="R3225" s="84"/>
      <c r="S3225" s="84"/>
      <c r="T3225" s="84"/>
      <c r="U3225" s="84"/>
      <c r="V3225" s="84"/>
      <c r="W3225" s="84"/>
      <c r="X3225" s="84"/>
      <c r="Y3225" s="84"/>
      <c r="Z3225" s="84"/>
      <c r="AA3225" s="84"/>
      <c r="AB3225" s="84"/>
    </row>
    <row r="3226">
      <c r="A3226" s="89"/>
      <c r="B3226" s="89"/>
      <c r="C3226" s="89"/>
      <c r="D3226" s="89"/>
      <c r="E3226" s="89"/>
      <c r="F3226" s="89"/>
      <c r="G3226" s="89"/>
      <c r="H3226" s="2"/>
      <c r="I3226" s="90"/>
      <c r="J3226" s="90"/>
      <c r="K3226" s="2"/>
      <c r="L3226" s="49"/>
      <c r="M3226" s="49"/>
      <c r="N3226" s="49"/>
      <c r="O3226" s="49" t="str">
        <f t="shared" si="2"/>
        <v/>
      </c>
      <c r="P3226" s="49" t="str">
        <f t="shared" si="3"/>
        <v/>
      </c>
      <c r="Q3226" s="84"/>
      <c r="R3226" s="84"/>
      <c r="S3226" s="84"/>
      <c r="T3226" s="84"/>
      <c r="U3226" s="84"/>
      <c r="V3226" s="84"/>
      <c r="W3226" s="84"/>
      <c r="X3226" s="84"/>
      <c r="Y3226" s="84"/>
      <c r="Z3226" s="84"/>
      <c r="AA3226" s="84"/>
      <c r="AB3226" s="84"/>
    </row>
    <row r="3227">
      <c r="A3227" s="89"/>
      <c r="B3227" s="89"/>
      <c r="C3227" s="89"/>
      <c r="D3227" s="89"/>
      <c r="E3227" s="89"/>
      <c r="F3227" s="89"/>
      <c r="G3227" s="89"/>
      <c r="H3227" s="2"/>
      <c r="I3227" s="90"/>
      <c r="J3227" s="90"/>
      <c r="K3227" s="2"/>
      <c r="L3227" s="48"/>
      <c r="M3227" s="48"/>
      <c r="N3227" s="48"/>
      <c r="O3227" s="48" t="str">
        <f t="shared" si="2"/>
        <v/>
      </c>
      <c r="P3227" s="48" t="str">
        <f t="shared" si="3"/>
        <v/>
      </c>
      <c r="Q3227" s="84"/>
      <c r="R3227" s="84"/>
      <c r="S3227" s="84"/>
      <c r="T3227" s="84"/>
      <c r="U3227" s="84"/>
      <c r="V3227" s="84"/>
      <c r="W3227" s="84"/>
      <c r="X3227" s="84"/>
      <c r="Y3227" s="84"/>
      <c r="Z3227" s="84"/>
      <c r="AA3227" s="84"/>
      <c r="AB3227" s="84"/>
    </row>
    <row r="3228">
      <c r="A3228" s="89"/>
      <c r="B3228" s="89"/>
      <c r="C3228" s="89"/>
      <c r="D3228" s="89"/>
      <c r="E3228" s="89"/>
      <c r="F3228" s="89"/>
      <c r="G3228" s="89"/>
      <c r="H3228" s="2"/>
      <c r="I3228" s="90"/>
      <c r="J3228" s="90"/>
      <c r="K3228" s="2"/>
      <c r="L3228" s="49"/>
      <c r="M3228" s="49"/>
      <c r="N3228" s="49"/>
      <c r="O3228" s="49" t="str">
        <f t="shared" si="2"/>
        <v/>
      </c>
      <c r="P3228" s="49" t="str">
        <f t="shared" si="3"/>
        <v/>
      </c>
      <c r="Q3228" s="84"/>
      <c r="R3228" s="84"/>
      <c r="S3228" s="84"/>
      <c r="T3228" s="84"/>
      <c r="U3228" s="84"/>
      <c r="V3228" s="84"/>
      <c r="W3228" s="84"/>
      <c r="X3228" s="84"/>
      <c r="Y3228" s="84"/>
      <c r="Z3228" s="84"/>
      <c r="AA3228" s="84"/>
      <c r="AB3228" s="84"/>
    </row>
    <row r="3229">
      <c r="A3229" s="89"/>
      <c r="B3229" s="89"/>
      <c r="C3229" s="89"/>
      <c r="D3229" s="89"/>
      <c r="E3229" s="89"/>
      <c r="F3229" s="89"/>
      <c r="G3229" s="89"/>
      <c r="H3229" s="2"/>
      <c r="I3229" s="90"/>
      <c r="J3229" s="90"/>
      <c r="K3229" s="2"/>
      <c r="L3229" s="48"/>
      <c r="M3229" s="48"/>
      <c r="N3229" s="48"/>
      <c r="O3229" s="48" t="str">
        <f t="shared" si="2"/>
        <v/>
      </c>
      <c r="P3229" s="48" t="str">
        <f t="shared" si="3"/>
        <v/>
      </c>
      <c r="Q3229" s="84"/>
      <c r="R3229" s="84"/>
      <c r="S3229" s="84"/>
      <c r="T3229" s="84"/>
      <c r="U3229" s="84"/>
      <c r="V3229" s="84"/>
      <c r="W3229" s="84"/>
      <c r="X3229" s="84"/>
      <c r="Y3229" s="84"/>
      <c r="Z3229" s="84"/>
      <c r="AA3229" s="84"/>
      <c r="AB3229" s="84"/>
    </row>
    <row r="3230">
      <c r="A3230" s="89"/>
      <c r="B3230" s="89"/>
      <c r="C3230" s="89"/>
      <c r="D3230" s="89"/>
      <c r="E3230" s="89"/>
      <c r="F3230" s="89"/>
      <c r="G3230" s="89"/>
      <c r="H3230" s="2"/>
      <c r="I3230" s="90"/>
      <c r="J3230" s="90"/>
      <c r="K3230" s="2"/>
      <c r="L3230" s="49"/>
      <c r="M3230" s="49"/>
      <c r="N3230" s="49"/>
      <c r="O3230" s="49" t="str">
        <f t="shared" si="2"/>
        <v/>
      </c>
      <c r="P3230" s="49" t="str">
        <f t="shared" si="3"/>
        <v/>
      </c>
      <c r="Q3230" s="84"/>
      <c r="R3230" s="84"/>
      <c r="S3230" s="84"/>
      <c r="T3230" s="84"/>
      <c r="U3230" s="84"/>
      <c r="V3230" s="84"/>
      <c r="W3230" s="84"/>
      <c r="X3230" s="84"/>
      <c r="Y3230" s="84"/>
      <c r="Z3230" s="84"/>
      <c r="AA3230" s="84"/>
      <c r="AB3230" s="84"/>
    </row>
    <row r="3231">
      <c r="A3231" s="89"/>
      <c r="B3231" s="89"/>
      <c r="C3231" s="89"/>
      <c r="D3231" s="89"/>
      <c r="E3231" s="89"/>
      <c r="F3231" s="89"/>
      <c r="G3231" s="89"/>
      <c r="H3231" s="2"/>
      <c r="I3231" s="90"/>
      <c r="J3231" s="90"/>
      <c r="K3231" s="2"/>
      <c r="L3231" s="48"/>
      <c r="M3231" s="48"/>
      <c r="N3231" s="48"/>
      <c r="O3231" s="48" t="str">
        <f t="shared" si="2"/>
        <v/>
      </c>
      <c r="P3231" s="48" t="str">
        <f t="shared" si="3"/>
        <v/>
      </c>
      <c r="Q3231" s="84"/>
      <c r="R3231" s="84"/>
      <c r="S3231" s="84"/>
      <c r="T3231" s="84"/>
      <c r="U3231" s="84"/>
      <c r="V3231" s="84"/>
      <c r="W3231" s="84"/>
      <c r="X3231" s="84"/>
      <c r="Y3231" s="84"/>
      <c r="Z3231" s="84"/>
      <c r="AA3231" s="84"/>
      <c r="AB3231" s="84"/>
    </row>
    <row r="3232">
      <c r="A3232" s="89"/>
      <c r="B3232" s="89"/>
      <c r="C3232" s="89"/>
      <c r="D3232" s="89"/>
      <c r="E3232" s="89"/>
      <c r="F3232" s="89"/>
      <c r="G3232" s="89"/>
      <c r="H3232" s="2"/>
      <c r="I3232" s="90"/>
      <c r="J3232" s="90"/>
      <c r="K3232" s="2"/>
      <c r="L3232" s="49"/>
      <c r="M3232" s="49"/>
      <c r="N3232" s="49"/>
      <c r="O3232" s="49" t="str">
        <f t="shared" si="2"/>
        <v/>
      </c>
      <c r="P3232" s="49" t="str">
        <f t="shared" si="3"/>
        <v/>
      </c>
      <c r="Q3232" s="84"/>
      <c r="R3232" s="84"/>
      <c r="S3232" s="84"/>
      <c r="T3232" s="84"/>
      <c r="U3232" s="84"/>
      <c r="V3232" s="84"/>
      <c r="W3232" s="84"/>
      <c r="X3232" s="84"/>
      <c r="Y3232" s="84"/>
      <c r="Z3232" s="84"/>
      <c r="AA3232" s="84"/>
      <c r="AB3232" s="84"/>
    </row>
    <row r="3233">
      <c r="A3233" s="89"/>
      <c r="B3233" s="89"/>
      <c r="C3233" s="89"/>
      <c r="D3233" s="89"/>
      <c r="E3233" s="89"/>
      <c r="F3233" s="89"/>
      <c r="G3233" s="89"/>
      <c r="H3233" s="2"/>
      <c r="I3233" s="90"/>
      <c r="J3233" s="90"/>
      <c r="K3233" s="2"/>
      <c r="L3233" s="48"/>
      <c r="M3233" s="48"/>
      <c r="N3233" s="48"/>
      <c r="O3233" s="48" t="str">
        <f t="shared" si="2"/>
        <v/>
      </c>
      <c r="P3233" s="48" t="str">
        <f t="shared" si="3"/>
        <v/>
      </c>
      <c r="Q3233" s="84"/>
      <c r="R3233" s="84"/>
      <c r="S3233" s="84"/>
      <c r="T3233" s="84"/>
      <c r="U3233" s="84"/>
      <c r="V3233" s="84"/>
      <c r="W3233" s="84"/>
      <c r="X3233" s="84"/>
      <c r="Y3233" s="84"/>
      <c r="Z3233" s="84"/>
      <c r="AA3233" s="84"/>
      <c r="AB3233" s="84"/>
    </row>
    <row r="3234">
      <c r="A3234" s="89"/>
      <c r="B3234" s="89"/>
      <c r="C3234" s="89"/>
      <c r="D3234" s="89"/>
      <c r="E3234" s="89"/>
      <c r="F3234" s="89"/>
      <c r="G3234" s="89"/>
      <c r="H3234" s="2"/>
      <c r="I3234" s="90"/>
      <c r="J3234" s="90"/>
      <c r="K3234" s="2"/>
      <c r="L3234" s="49"/>
      <c r="M3234" s="49"/>
      <c r="N3234" s="49"/>
      <c r="O3234" s="49" t="str">
        <f t="shared" si="2"/>
        <v/>
      </c>
      <c r="P3234" s="49" t="str">
        <f t="shared" si="3"/>
        <v/>
      </c>
      <c r="Q3234" s="84"/>
      <c r="R3234" s="84"/>
      <c r="S3234" s="84"/>
      <c r="T3234" s="84"/>
      <c r="U3234" s="84"/>
      <c r="V3234" s="84"/>
      <c r="W3234" s="84"/>
      <c r="X3234" s="84"/>
      <c r="Y3234" s="84"/>
      <c r="Z3234" s="84"/>
      <c r="AA3234" s="84"/>
      <c r="AB3234" s="84"/>
    </row>
    <row r="3235">
      <c r="A3235" s="89"/>
      <c r="B3235" s="89"/>
      <c r="C3235" s="89"/>
      <c r="D3235" s="89"/>
      <c r="E3235" s="89"/>
      <c r="F3235" s="89"/>
      <c r="G3235" s="89"/>
      <c r="H3235" s="2"/>
      <c r="I3235" s="90"/>
      <c r="J3235" s="90"/>
      <c r="K3235" s="2"/>
      <c r="L3235" s="48"/>
      <c r="M3235" s="48"/>
      <c r="N3235" s="48"/>
      <c r="O3235" s="48" t="str">
        <f t="shared" si="2"/>
        <v/>
      </c>
      <c r="P3235" s="48" t="str">
        <f t="shared" si="3"/>
        <v/>
      </c>
      <c r="Q3235" s="84"/>
      <c r="R3235" s="84"/>
      <c r="S3235" s="84"/>
      <c r="T3235" s="84"/>
      <c r="U3235" s="84"/>
      <c r="V3235" s="84"/>
      <c r="W3235" s="84"/>
      <c r="X3235" s="84"/>
      <c r="Y3235" s="84"/>
      <c r="Z3235" s="84"/>
      <c r="AA3235" s="84"/>
      <c r="AB3235" s="84"/>
    </row>
    <row r="3236">
      <c r="A3236" s="89"/>
      <c r="B3236" s="89"/>
      <c r="C3236" s="89"/>
      <c r="D3236" s="89"/>
      <c r="E3236" s="89"/>
      <c r="F3236" s="89"/>
      <c r="G3236" s="89"/>
      <c r="H3236" s="2"/>
      <c r="I3236" s="90"/>
      <c r="J3236" s="90"/>
      <c r="K3236" s="2"/>
      <c r="L3236" s="49"/>
      <c r="M3236" s="49"/>
      <c r="N3236" s="49"/>
      <c r="O3236" s="49" t="str">
        <f t="shared" si="2"/>
        <v/>
      </c>
      <c r="P3236" s="49" t="str">
        <f t="shared" si="3"/>
        <v/>
      </c>
      <c r="Q3236" s="84"/>
      <c r="R3236" s="84"/>
      <c r="S3236" s="84"/>
      <c r="T3236" s="84"/>
      <c r="U3236" s="84"/>
      <c r="V3236" s="84"/>
      <c r="W3236" s="84"/>
      <c r="X3236" s="84"/>
      <c r="Y3236" s="84"/>
      <c r="Z3236" s="84"/>
      <c r="AA3236" s="84"/>
      <c r="AB3236" s="84"/>
    </row>
    <row r="3237">
      <c r="A3237" s="89"/>
      <c r="B3237" s="89"/>
      <c r="C3237" s="89"/>
      <c r="D3237" s="89"/>
      <c r="E3237" s="89"/>
      <c r="F3237" s="89"/>
      <c r="G3237" s="89"/>
      <c r="H3237" s="2"/>
      <c r="I3237" s="90"/>
      <c r="J3237" s="90"/>
      <c r="K3237" s="2"/>
      <c r="L3237" s="48"/>
      <c r="M3237" s="48"/>
      <c r="N3237" s="48"/>
      <c r="O3237" s="48" t="str">
        <f t="shared" si="2"/>
        <v/>
      </c>
      <c r="P3237" s="48" t="str">
        <f t="shared" si="3"/>
        <v/>
      </c>
      <c r="Q3237" s="84"/>
      <c r="R3237" s="84"/>
      <c r="S3237" s="84"/>
      <c r="T3237" s="84"/>
      <c r="U3237" s="84"/>
      <c r="V3237" s="84"/>
      <c r="W3237" s="84"/>
      <c r="X3237" s="84"/>
      <c r="Y3237" s="84"/>
      <c r="Z3237" s="84"/>
      <c r="AA3237" s="84"/>
      <c r="AB3237" s="84"/>
    </row>
    <row r="3238">
      <c r="A3238" s="89"/>
      <c r="B3238" s="89"/>
      <c r="C3238" s="89"/>
      <c r="D3238" s="89"/>
      <c r="E3238" s="89"/>
      <c r="F3238" s="89"/>
      <c r="G3238" s="89"/>
      <c r="H3238" s="2"/>
      <c r="I3238" s="90"/>
      <c r="J3238" s="90"/>
      <c r="K3238" s="2"/>
      <c r="L3238" s="49"/>
      <c r="M3238" s="49"/>
      <c r="N3238" s="49"/>
      <c r="O3238" s="49" t="str">
        <f t="shared" si="2"/>
        <v/>
      </c>
      <c r="P3238" s="49" t="str">
        <f t="shared" si="3"/>
        <v/>
      </c>
      <c r="Q3238" s="84"/>
      <c r="R3238" s="84"/>
      <c r="S3238" s="84"/>
      <c r="T3238" s="84"/>
      <c r="U3238" s="84"/>
      <c r="V3238" s="84"/>
      <c r="W3238" s="84"/>
      <c r="X3238" s="84"/>
      <c r="Y3238" s="84"/>
      <c r="Z3238" s="84"/>
      <c r="AA3238" s="84"/>
      <c r="AB3238" s="84"/>
    </row>
    <row r="3239">
      <c r="A3239" s="89"/>
      <c r="B3239" s="89"/>
      <c r="C3239" s="89"/>
      <c r="D3239" s="89"/>
      <c r="E3239" s="89"/>
      <c r="F3239" s="89"/>
      <c r="G3239" s="89"/>
      <c r="H3239" s="2"/>
      <c r="I3239" s="90"/>
      <c r="J3239" s="90"/>
      <c r="K3239" s="2"/>
      <c r="L3239" s="48"/>
      <c r="M3239" s="48"/>
      <c r="N3239" s="48"/>
      <c r="O3239" s="48" t="str">
        <f t="shared" si="2"/>
        <v/>
      </c>
      <c r="P3239" s="48" t="str">
        <f t="shared" si="3"/>
        <v/>
      </c>
      <c r="Q3239" s="84"/>
      <c r="R3239" s="84"/>
      <c r="S3239" s="84"/>
      <c r="T3239" s="84"/>
      <c r="U3239" s="84"/>
      <c r="V3239" s="84"/>
      <c r="W3239" s="84"/>
      <c r="X3239" s="84"/>
      <c r="Y3239" s="84"/>
      <c r="Z3239" s="84"/>
      <c r="AA3239" s="84"/>
      <c r="AB3239" s="84"/>
    </row>
    <row r="3240">
      <c r="A3240" s="89"/>
      <c r="B3240" s="89"/>
      <c r="C3240" s="89"/>
      <c r="D3240" s="89"/>
      <c r="E3240" s="89"/>
      <c r="F3240" s="89"/>
      <c r="G3240" s="89"/>
      <c r="H3240" s="2"/>
      <c r="I3240" s="90"/>
      <c r="J3240" s="90"/>
      <c r="K3240" s="2"/>
      <c r="L3240" s="49"/>
      <c r="M3240" s="49"/>
      <c r="N3240" s="49"/>
      <c r="O3240" s="49" t="str">
        <f t="shared" si="2"/>
        <v/>
      </c>
      <c r="P3240" s="49" t="str">
        <f t="shared" si="3"/>
        <v/>
      </c>
      <c r="Q3240" s="84"/>
      <c r="R3240" s="84"/>
      <c r="S3240" s="84"/>
      <c r="T3240" s="84"/>
      <c r="U3240" s="84"/>
      <c r="V3240" s="84"/>
      <c r="W3240" s="84"/>
      <c r="X3240" s="84"/>
      <c r="Y3240" s="84"/>
      <c r="Z3240" s="84"/>
      <c r="AA3240" s="84"/>
      <c r="AB3240" s="84"/>
    </row>
    <row r="3241">
      <c r="A3241" s="89"/>
      <c r="B3241" s="89"/>
      <c r="C3241" s="89"/>
      <c r="D3241" s="89"/>
      <c r="E3241" s="89"/>
      <c r="F3241" s="89"/>
      <c r="G3241" s="89"/>
      <c r="H3241" s="2"/>
      <c r="I3241" s="90"/>
      <c r="J3241" s="90"/>
      <c r="K3241" s="2"/>
      <c r="L3241" s="48"/>
      <c r="M3241" s="48"/>
      <c r="N3241" s="48"/>
      <c r="O3241" s="48" t="str">
        <f t="shared" si="2"/>
        <v/>
      </c>
      <c r="P3241" s="48" t="str">
        <f t="shared" si="3"/>
        <v/>
      </c>
      <c r="Q3241" s="84"/>
      <c r="R3241" s="84"/>
      <c r="S3241" s="84"/>
      <c r="T3241" s="84"/>
      <c r="U3241" s="84"/>
      <c r="V3241" s="84"/>
      <c r="W3241" s="84"/>
      <c r="X3241" s="84"/>
      <c r="Y3241" s="84"/>
      <c r="Z3241" s="84"/>
      <c r="AA3241" s="84"/>
      <c r="AB3241" s="84"/>
    </row>
    <row r="3242">
      <c r="A3242" s="89"/>
      <c r="B3242" s="89"/>
      <c r="C3242" s="89"/>
      <c r="D3242" s="89"/>
      <c r="E3242" s="89"/>
      <c r="F3242" s="89"/>
      <c r="G3242" s="89"/>
      <c r="H3242" s="2"/>
      <c r="I3242" s="90"/>
      <c r="J3242" s="90"/>
      <c r="K3242" s="2"/>
      <c r="L3242" s="49"/>
      <c r="M3242" s="49"/>
      <c r="N3242" s="49"/>
      <c r="O3242" s="49" t="str">
        <f t="shared" si="2"/>
        <v/>
      </c>
      <c r="P3242" s="49" t="str">
        <f t="shared" si="3"/>
        <v/>
      </c>
      <c r="Q3242" s="84"/>
      <c r="R3242" s="84"/>
      <c r="S3242" s="84"/>
      <c r="T3242" s="84"/>
      <c r="U3242" s="84"/>
      <c r="V3242" s="84"/>
      <c r="W3242" s="84"/>
      <c r="X3242" s="84"/>
      <c r="Y3242" s="84"/>
      <c r="Z3242" s="84"/>
      <c r="AA3242" s="84"/>
      <c r="AB3242" s="84"/>
    </row>
    <row r="3243">
      <c r="A3243" s="89"/>
      <c r="B3243" s="89"/>
      <c r="C3243" s="89"/>
      <c r="D3243" s="89"/>
      <c r="E3243" s="89"/>
      <c r="F3243" s="89"/>
      <c r="G3243" s="89"/>
      <c r="H3243" s="2"/>
      <c r="I3243" s="90"/>
      <c r="J3243" s="90"/>
      <c r="K3243" s="2"/>
      <c r="L3243" s="48"/>
      <c r="M3243" s="48"/>
      <c r="N3243" s="48"/>
      <c r="O3243" s="48" t="str">
        <f t="shared" si="2"/>
        <v/>
      </c>
      <c r="P3243" s="48" t="str">
        <f t="shared" si="3"/>
        <v/>
      </c>
      <c r="Q3243" s="84"/>
      <c r="R3243" s="84"/>
      <c r="S3243" s="84"/>
      <c r="T3243" s="84"/>
      <c r="U3243" s="84"/>
      <c r="V3243" s="84"/>
      <c r="W3243" s="84"/>
      <c r="X3243" s="84"/>
      <c r="Y3243" s="84"/>
      <c r="Z3243" s="84"/>
      <c r="AA3243" s="84"/>
      <c r="AB3243" s="84"/>
    </row>
    <row r="3244">
      <c r="A3244" s="89"/>
      <c r="B3244" s="89"/>
      <c r="C3244" s="89"/>
      <c r="D3244" s="89"/>
      <c r="E3244" s="89"/>
      <c r="F3244" s="89"/>
      <c r="G3244" s="89"/>
      <c r="H3244" s="2"/>
      <c r="I3244" s="90"/>
      <c r="J3244" s="90"/>
      <c r="K3244" s="2"/>
      <c r="L3244" s="49"/>
      <c r="M3244" s="49"/>
      <c r="N3244" s="49"/>
      <c r="O3244" s="49" t="str">
        <f t="shared" si="2"/>
        <v/>
      </c>
      <c r="P3244" s="49" t="str">
        <f t="shared" si="3"/>
        <v/>
      </c>
      <c r="Q3244" s="84"/>
      <c r="R3244" s="84"/>
      <c r="S3244" s="84"/>
      <c r="T3244" s="84"/>
      <c r="U3244" s="84"/>
      <c r="V3244" s="84"/>
      <c r="W3244" s="84"/>
      <c r="X3244" s="84"/>
      <c r="Y3244" s="84"/>
      <c r="Z3244" s="84"/>
      <c r="AA3244" s="84"/>
      <c r="AB3244" s="84"/>
    </row>
    <row r="3245">
      <c r="A3245" s="89"/>
      <c r="B3245" s="89"/>
      <c r="C3245" s="89"/>
      <c r="D3245" s="89"/>
      <c r="E3245" s="89"/>
      <c r="F3245" s="89"/>
      <c r="G3245" s="89"/>
      <c r="H3245" s="2"/>
      <c r="I3245" s="90"/>
      <c r="J3245" s="90"/>
      <c r="K3245" s="2"/>
      <c r="L3245" s="48"/>
      <c r="M3245" s="48"/>
      <c r="N3245" s="48"/>
      <c r="O3245" s="48" t="str">
        <f t="shared" si="2"/>
        <v/>
      </c>
      <c r="P3245" s="48" t="str">
        <f t="shared" si="3"/>
        <v/>
      </c>
      <c r="Q3245" s="84"/>
      <c r="R3245" s="84"/>
      <c r="S3245" s="84"/>
      <c r="T3245" s="84"/>
      <c r="U3245" s="84"/>
      <c r="V3245" s="84"/>
      <c r="W3245" s="84"/>
      <c r="X3245" s="84"/>
      <c r="Y3245" s="84"/>
      <c r="Z3245" s="84"/>
      <c r="AA3245" s="84"/>
      <c r="AB3245" s="84"/>
    </row>
    <row r="3246">
      <c r="A3246" s="89"/>
      <c r="B3246" s="89"/>
      <c r="C3246" s="89"/>
      <c r="D3246" s="89"/>
      <c r="E3246" s="89"/>
      <c r="F3246" s="89"/>
      <c r="G3246" s="89"/>
      <c r="H3246" s="2"/>
      <c r="I3246" s="90"/>
      <c r="J3246" s="90"/>
      <c r="K3246" s="2"/>
      <c r="L3246" s="49"/>
      <c r="M3246" s="49"/>
      <c r="N3246" s="49"/>
      <c r="O3246" s="49" t="str">
        <f t="shared" si="2"/>
        <v/>
      </c>
      <c r="P3246" s="49" t="str">
        <f t="shared" si="3"/>
        <v/>
      </c>
      <c r="Q3246" s="84"/>
      <c r="R3246" s="84"/>
      <c r="S3246" s="84"/>
      <c r="T3246" s="84"/>
      <c r="U3246" s="84"/>
      <c r="V3246" s="84"/>
      <c r="W3246" s="84"/>
      <c r="X3246" s="84"/>
      <c r="Y3246" s="84"/>
      <c r="Z3246" s="84"/>
      <c r="AA3246" s="84"/>
      <c r="AB3246" s="84"/>
    </row>
    <row r="3247">
      <c r="A3247" s="89"/>
      <c r="B3247" s="89"/>
      <c r="C3247" s="89"/>
      <c r="D3247" s="89"/>
      <c r="E3247" s="89"/>
      <c r="F3247" s="89"/>
      <c r="G3247" s="89"/>
      <c r="H3247" s="2"/>
      <c r="I3247" s="90"/>
      <c r="J3247" s="90"/>
      <c r="K3247" s="2"/>
      <c r="L3247" s="48"/>
      <c r="M3247" s="48"/>
      <c r="N3247" s="48"/>
      <c r="O3247" s="48" t="str">
        <f t="shared" si="2"/>
        <v/>
      </c>
      <c r="P3247" s="48" t="str">
        <f t="shared" si="3"/>
        <v/>
      </c>
      <c r="Q3247" s="84"/>
      <c r="R3247" s="84"/>
      <c r="S3247" s="84"/>
      <c r="T3247" s="84"/>
      <c r="U3247" s="84"/>
      <c r="V3247" s="84"/>
      <c r="W3247" s="84"/>
      <c r="X3247" s="84"/>
      <c r="Y3247" s="84"/>
      <c r="Z3247" s="84"/>
      <c r="AA3247" s="84"/>
      <c r="AB3247" s="84"/>
    </row>
    <row r="3248">
      <c r="A3248" s="89"/>
      <c r="B3248" s="89"/>
      <c r="C3248" s="89"/>
      <c r="D3248" s="89"/>
      <c r="E3248" s="89"/>
      <c r="F3248" s="89"/>
      <c r="G3248" s="89"/>
      <c r="H3248" s="2"/>
      <c r="I3248" s="90"/>
      <c r="J3248" s="90"/>
      <c r="K3248" s="2"/>
      <c r="L3248" s="49"/>
      <c r="M3248" s="49"/>
      <c r="N3248" s="49"/>
      <c r="O3248" s="49" t="str">
        <f t="shared" si="2"/>
        <v/>
      </c>
      <c r="P3248" s="49" t="str">
        <f t="shared" si="3"/>
        <v/>
      </c>
      <c r="Q3248" s="84"/>
      <c r="R3248" s="84"/>
      <c r="S3248" s="84"/>
      <c r="T3248" s="84"/>
      <c r="U3248" s="84"/>
      <c r="V3248" s="84"/>
      <c r="W3248" s="84"/>
      <c r="X3248" s="84"/>
      <c r="Y3248" s="84"/>
      <c r="Z3248" s="84"/>
      <c r="AA3248" s="84"/>
      <c r="AB3248" s="84"/>
    </row>
    <row r="3249">
      <c r="A3249" s="89"/>
      <c r="B3249" s="89"/>
      <c r="C3249" s="89"/>
      <c r="D3249" s="89"/>
      <c r="E3249" s="89"/>
      <c r="F3249" s="89"/>
      <c r="G3249" s="89"/>
      <c r="H3249" s="2"/>
      <c r="I3249" s="90"/>
      <c r="J3249" s="90"/>
      <c r="K3249" s="2"/>
      <c r="L3249" s="48"/>
      <c r="M3249" s="48"/>
      <c r="N3249" s="48"/>
      <c r="O3249" s="48" t="str">
        <f t="shared" si="2"/>
        <v/>
      </c>
      <c r="P3249" s="48" t="str">
        <f t="shared" si="3"/>
        <v/>
      </c>
      <c r="Q3249" s="84"/>
      <c r="R3249" s="84"/>
      <c r="S3249" s="84"/>
      <c r="T3249" s="84"/>
      <c r="U3249" s="84"/>
      <c r="V3249" s="84"/>
      <c r="W3249" s="84"/>
      <c r="X3249" s="84"/>
      <c r="Y3249" s="84"/>
      <c r="Z3249" s="84"/>
      <c r="AA3249" s="84"/>
      <c r="AB3249" s="84"/>
    </row>
    <row r="3250">
      <c r="A3250" s="89"/>
      <c r="B3250" s="89"/>
      <c r="C3250" s="89"/>
      <c r="D3250" s="89"/>
      <c r="E3250" s="89"/>
      <c r="F3250" s="89"/>
      <c r="G3250" s="89"/>
      <c r="H3250" s="2"/>
      <c r="I3250" s="90"/>
      <c r="J3250" s="90"/>
      <c r="K3250" s="2"/>
      <c r="L3250" s="49"/>
      <c r="M3250" s="49"/>
      <c r="N3250" s="49"/>
      <c r="O3250" s="49" t="str">
        <f t="shared" si="2"/>
        <v/>
      </c>
      <c r="P3250" s="49" t="str">
        <f t="shared" si="3"/>
        <v/>
      </c>
      <c r="Q3250" s="84"/>
      <c r="R3250" s="84"/>
      <c r="S3250" s="84"/>
      <c r="T3250" s="84"/>
      <c r="U3250" s="84"/>
      <c r="V3250" s="84"/>
      <c r="W3250" s="84"/>
      <c r="X3250" s="84"/>
      <c r="Y3250" s="84"/>
      <c r="Z3250" s="84"/>
      <c r="AA3250" s="84"/>
      <c r="AB3250" s="84"/>
    </row>
    <row r="3251">
      <c r="A3251" s="89"/>
      <c r="B3251" s="89"/>
      <c r="C3251" s="89"/>
      <c r="D3251" s="89"/>
      <c r="E3251" s="89"/>
      <c r="F3251" s="89"/>
      <c r="G3251" s="89"/>
      <c r="H3251" s="2"/>
      <c r="I3251" s="90"/>
      <c r="J3251" s="90"/>
      <c r="K3251" s="2"/>
      <c r="L3251" s="48"/>
      <c r="M3251" s="48"/>
      <c r="N3251" s="48"/>
      <c r="O3251" s="48" t="str">
        <f t="shared" si="2"/>
        <v/>
      </c>
      <c r="P3251" s="48" t="str">
        <f t="shared" si="3"/>
        <v/>
      </c>
      <c r="Q3251" s="84"/>
      <c r="R3251" s="84"/>
      <c r="S3251" s="84"/>
      <c r="T3251" s="84"/>
      <c r="U3251" s="84"/>
      <c r="V3251" s="84"/>
      <c r="W3251" s="84"/>
      <c r="X3251" s="84"/>
      <c r="Y3251" s="84"/>
      <c r="Z3251" s="84"/>
      <c r="AA3251" s="84"/>
      <c r="AB3251" s="84"/>
    </row>
    <row r="3252">
      <c r="A3252" s="89"/>
      <c r="B3252" s="89"/>
      <c r="C3252" s="89"/>
      <c r="D3252" s="89"/>
      <c r="E3252" s="89"/>
      <c r="F3252" s="89"/>
      <c r="G3252" s="89"/>
      <c r="H3252" s="2"/>
      <c r="I3252" s="90"/>
      <c r="J3252" s="90"/>
      <c r="K3252" s="2"/>
      <c r="L3252" s="49"/>
      <c r="M3252" s="49"/>
      <c r="N3252" s="49"/>
      <c r="O3252" s="49" t="str">
        <f t="shared" si="2"/>
        <v/>
      </c>
      <c r="P3252" s="49" t="str">
        <f t="shared" si="3"/>
        <v/>
      </c>
      <c r="Q3252" s="84"/>
      <c r="R3252" s="84"/>
      <c r="S3252" s="84"/>
      <c r="T3252" s="84"/>
      <c r="U3252" s="84"/>
      <c r="V3252" s="84"/>
      <c r="W3252" s="84"/>
      <c r="X3252" s="84"/>
      <c r="Y3252" s="84"/>
      <c r="Z3252" s="84"/>
      <c r="AA3252" s="84"/>
      <c r="AB3252" s="84"/>
    </row>
    <row r="3253">
      <c r="A3253" s="89"/>
      <c r="B3253" s="89"/>
      <c r="C3253" s="89"/>
      <c r="D3253" s="89"/>
      <c r="E3253" s="89"/>
      <c r="F3253" s="89"/>
      <c r="G3253" s="89"/>
      <c r="H3253" s="2"/>
      <c r="I3253" s="90"/>
      <c r="J3253" s="90"/>
      <c r="K3253" s="2"/>
      <c r="L3253" s="48"/>
      <c r="M3253" s="48"/>
      <c r="N3253" s="48"/>
      <c r="O3253" s="48" t="str">
        <f t="shared" si="2"/>
        <v/>
      </c>
      <c r="P3253" s="48" t="str">
        <f t="shared" si="3"/>
        <v/>
      </c>
      <c r="Q3253" s="84"/>
      <c r="R3253" s="84"/>
      <c r="S3253" s="84"/>
      <c r="T3253" s="84"/>
      <c r="U3253" s="84"/>
      <c r="V3253" s="84"/>
      <c r="W3253" s="84"/>
      <c r="X3253" s="84"/>
      <c r="Y3253" s="84"/>
      <c r="Z3253" s="84"/>
      <c r="AA3253" s="84"/>
      <c r="AB3253" s="84"/>
    </row>
    <row r="3254">
      <c r="A3254" s="89"/>
      <c r="B3254" s="89"/>
      <c r="C3254" s="89"/>
      <c r="D3254" s="89"/>
      <c r="E3254" s="89"/>
      <c r="F3254" s="89"/>
      <c r="G3254" s="89"/>
      <c r="H3254" s="2"/>
      <c r="I3254" s="90"/>
      <c r="J3254" s="90"/>
      <c r="K3254" s="2"/>
      <c r="L3254" s="49"/>
      <c r="M3254" s="49"/>
      <c r="N3254" s="49"/>
      <c r="O3254" s="49" t="str">
        <f t="shared" si="2"/>
        <v/>
      </c>
      <c r="P3254" s="49" t="str">
        <f t="shared" si="3"/>
        <v/>
      </c>
      <c r="Q3254" s="84"/>
      <c r="R3254" s="84"/>
      <c r="S3254" s="84"/>
      <c r="T3254" s="84"/>
      <c r="U3254" s="84"/>
      <c r="V3254" s="84"/>
      <c r="W3254" s="84"/>
      <c r="X3254" s="84"/>
      <c r="Y3254" s="84"/>
      <c r="Z3254" s="84"/>
      <c r="AA3254" s="84"/>
      <c r="AB3254" s="84"/>
    </row>
    <row r="3255">
      <c r="A3255" s="89"/>
      <c r="B3255" s="89"/>
      <c r="C3255" s="89"/>
      <c r="D3255" s="89"/>
      <c r="E3255" s="89"/>
      <c r="F3255" s="89"/>
      <c r="G3255" s="89"/>
      <c r="H3255" s="2"/>
      <c r="I3255" s="90"/>
      <c r="J3255" s="90"/>
      <c r="K3255" s="2"/>
      <c r="L3255" s="48"/>
      <c r="M3255" s="48"/>
      <c r="N3255" s="48"/>
      <c r="O3255" s="48" t="str">
        <f t="shared" si="2"/>
        <v/>
      </c>
      <c r="P3255" s="48" t="str">
        <f t="shared" si="3"/>
        <v/>
      </c>
      <c r="Q3255" s="84"/>
      <c r="R3255" s="84"/>
      <c r="S3255" s="84"/>
      <c r="T3255" s="84"/>
      <c r="U3255" s="84"/>
      <c r="V3255" s="84"/>
      <c r="W3255" s="84"/>
      <c r="X3255" s="84"/>
      <c r="Y3255" s="84"/>
      <c r="Z3255" s="84"/>
      <c r="AA3255" s="84"/>
      <c r="AB3255" s="84"/>
    </row>
    <row r="3256">
      <c r="A3256" s="89"/>
      <c r="B3256" s="89"/>
      <c r="C3256" s="89"/>
      <c r="D3256" s="89"/>
      <c r="E3256" s="89"/>
      <c r="F3256" s="89"/>
      <c r="G3256" s="89"/>
      <c r="H3256" s="2"/>
      <c r="I3256" s="90"/>
      <c r="J3256" s="90"/>
      <c r="K3256" s="2"/>
      <c r="L3256" s="49"/>
      <c r="M3256" s="49"/>
      <c r="N3256" s="49"/>
      <c r="O3256" s="49" t="str">
        <f t="shared" si="2"/>
        <v/>
      </c>
      <c r="P3256" s="49" t="str">
        <f t="shared" si="3"/>
        <v/>
      </c>
      <c r="Q3256" s="84"/>
      <c r="R3256" s="84"/>
      <c r="S3256" s="84"/>
      <c r="T3256" s="84"/>
      <c r="U3256" s="84"/>
      <c r="V3256" s="84"/>
      <c r="W3256" s="84"/>
      <c r="X3256" s="84"/>
      <c r="Y3256" s="84"/>
      <c r="Z3256" s="84"/>
      <c r="AA3256" s="84"/>
      <c r="AB3256" s="84"/>
    </row>
    <row r="3257">
      <c r="A3257" s="89"/>
      <c r="B3257" s="89"/>
      <c r="C3257" s="89"/>
      <c r="D3257" s="89"/>
      <c r="E3257" s="89"/>
      <c r="F3257" s="89"/>
      <c r="G3257" s="89"/>
      <c r="H3257" s="2"/>
      <c r="I3257" s="90"/>
      <c r="J3257" s="90"/>
      <c r="K3257" s="2"/>
      <c r="L3257" s="48"/>
      <c r="M3257" s="48"/>
      <c r="N3257" s="48"/>
      <c r="O3257" s="48" t="str">
        <f t="shared" si="2"/>
        <v/>
      </c>
      <c r="P3257" s="48" t="str">
        <f t="shared" si="3"/>
        <v/>
      </c>
      <c r="Q3257" s="84"/>
      <c r="R3257" s="84"/>
      <c r="S3257" s="84"/>
      <c r="T3257" s="84"/>
      <c r="U3257" s="84"/>
      <c r="V3257" s="84"/>
      <c r="W3257" s="84"/>
      <c r="X3257" s="84"/>
      <c r="Y3257" s="84"/>
      <c r="Z3257" s="84"/>
      <c r="AA3257" s="84"/>
      <c r="AB3257" s="84"/>
    </row>
    <row r="3258">
      <c r="A3258" s="89"/>
      <c r="B3258" s="89"/>
      <c r="C3258" s="89"/>
      <c r="D3258" s="89"/>
      <c r="E3258" s="89"/>
      <c r="F3258" s="89"/>
      <c r="G3258" s="89"/>
      <c r="H3258" s="2"/>
      <c r="I3258" s="90"/>
      <c r="J3258" s="90"/>
      <c r="K3258" s="2"/>
      <c r="L3258" s="49"/>
      <c r="M3258" s="49"/>
      <c r="N3258" s="49"/>
      <c r="O3258" s="49" t="str">
        <f t="shared" si="2"/>
        <v/>
      </c>
      <c r="P3258" s="49" t="str">
        <f t="shared" si="3"/>
        <v/>
      </c>
      <c r="Q3258" s="84"/>
      <c r="R3258" s="84"/>
      <c r="S3258" s="84"/>
      <c r="T3258" s="84"/>
      <c r="U3258" s="84"/>
      <c r="V3258" s="84"/>
      <c r="W3258" s="84"/>
      <c r="X3258" s="84"/>
      <c r="Y3258" s="84"/>
      <c r="Z3258" s="84"/>
      <c r="AA3258" s="84"/>
      <c r="AB3258" s="84"/>
    </row>
    <row r="3259">
      <c r="A3259" s="89"/>
      <c r="B3259" s="89"/>
      <c r="C3259" s="89"/>
      <c r="D3259" s="89"/>
      <c r="E3259" s="89"/>
      <c r="F3259" s="89"/>
      <c r="G3259" s="89"/>
      <c r="H3259" s="2"/>
      <c r="I3259" s="90"/>
      <c r="J3259" s="90"/>
      <c r="K3259" s="2"/>
      <c r="L3259" s="48"/>
      <c r="M3259" s="48"/>
      <c r="N3259" s="48"/>
      <c r="O3259" s="48" t="str">
        <f t="shared" si="2"/>
        <v/>
      </c>
      <c r="P3259" s="48" t="str">
        <f t="shared" si="3"/>
        <v/>
      </c>
      <c r="Q3259" s="84"/>
      <c r="R3259" s="84"/>
      <c r="S3259" s="84"/>
      <c r="T3259" s="84"/>
      <c r="U3259" s="84"/>
      <c r="V3259" s="84"/>
      <c r="W3259" s="84"/>
      <c r="X3259" s="84"/>
      <c r="Y3259" s="84"/>
      <c r="Z3259" s="84"/>
      <c r="AA3259" s="84"/>
      <c r="AB3259" s="84"/>
    </row>
    <row r="3260">
      <c r="A3260" s="89"/>
      <c r="B3260" s="89"/>
      <c r="C3260" s="89"/>
      <c r="D3260" s="89"/>
      <c r="E3260" s="89"/>
      <c r="F3260" s="89"/>
      <c r="G3260" s="89"/>
      <c r="H3260" s="2"/>
      <c r="I3260" s="90"/>
      <c r="J3260" s="90"/>
      <c r="K3260" s="2"/>
      <c r="L3260" s="49"/>
      <c r="M3260" s="49"/>
      <c r="N3260" s="49"/>
      <c r="O3260" s="49" t="str">
        <f t="shared" si="2"/>
        <v/>
      </c>
      <c r="P3260" s="49" t="str">
        <f t="shared" si="3"/>
        <v/>
      </c>
      <c r="Q3260" s="84"/>
      <c r="R3260" s="84"/>
      <c r="S3260" s="84"/>
      <c r="T3260" s="84"/>
      <c r="U3260" s="84"/>
      <c r="V3260" s="84"/>
      <c r="W3260" s="84"/>
      <c r="X3260" s="84"/>
      <c r="Y3260" s="84"/>
      <c r="Z3260" s="84"/>
      <c r="AA3260" s="84"/>
      <c r="AB3260" s="84"/>
    </row>
    <row r="3261">
      <c r="A3261" s="89"/>
      <c r="B3261" s="89"/>
      <c r="C3261" s="89"/>
      <c r="D3261" s="89"/>
      <c r="E3261" s="89"/>
      <c r="F3261" s="89"/>
      <c r="G3261" s="89"/>
      <c r="H3261" s="2"/>
      <c r="I3261" s="90"/>
      <c r="J3261" s="90"/>
      <c r="K3261" s="2"/>
      <c r="L3261" s="48"/>
      <c r="M3261" s="48"/>
      <c r="N3261" s="48"/>
      <c r="O3261" s="48" t="str">
        <f t="shared" si="2"/>
        <v/>
      </c>
      <c r="P3261" s="48" t="str">
        <f t="shared" si="3"/>
        <v/>
      </c>
      <c r="Q3261" s="84"/>
      <c r="R3261" s="84"/>
      <c r="S3261" s="84"/>
      <c r="T3261" s="84"/>
      <c r="U3261" s="84"/>
      <c r="V3261" s="84"/>
      <c r="W3261" s="84"/>
      <c r="X3261" s="84"/>
      <c r="Y3261" s="84"/>
      <c r="Z3261" s="84"/>
      <c r="AA3261" s="84"/>
      <c r="AB3261" s="84"/>
    </row>
    <row r="3262">
      <c r="A3262" s="89"/>
      <c r="B3262" s="89"/>
      <c r="C3262" s="89"/>
      <c r="D3262" s="89"/>
      <c r="E3262" s="89"/>
      <c r="F3262" s="89"/>
      <c r="G3262" s="89"/>
      <c r="H3262" s="2"/>
      <c r="I3262" s="90"/>
      <c r="J3262" s="90"/>
      <c r="K3262" s="2"/>
      <c r="L3262" s="49"/>
      <c r="M3262" s="49"/>
      <c r="N3262" s="49"/>
      <c r="O3262" s="49" t="str">
        <f t="shared" si="2"/>
        <v/>
      </c>
      <c r="P3262" s="49" t="str">
        <f t="shared" si="3"/>
        <v/>
      </c>
      <c r="Q3262" s="84"/>
      <c r="R3262" s="84"/>
      <c r="S3262" s="84"/>
      <c r="T3262" s="84"/>
      <c r="U3262" s="84"/>
      <c r="V3262" s="84"/>
      <c r="W3262" s="84"/>
      <c r="X3262" s="84"/>
      <c r="Y3262" s="84"/>
      <c r="Z3262" s="84"/>
      <c r="AA3262" s="84"/>
      <c r="AB3262" s="84"/>
    </row>
    <row r="3263">
      <c r="A3263" s="89"/>
      <c r="B3263" s="89"/>
      <c r="C3263" s="89"/>
      <c r="D3263" s="89"/>
      <c r="E3263" s="89"/>
      <c r="F3263" s="89"/>
      <c r="G3263" s="89"/>
      <c r="H3263" s="2"/>
      <c r="I3263" s="90"/>
      <c r="J3263" s="90"/>
      <c r="K3263" s="2"/>
      <c r="L3263" s="48"/>
      <c r="M3263" s="48"/>
      <c r="N3263" s="48"/>
      <c r="O3263" s="48" t="str">
        <f t="shared" si="2"/>
        <v/>
      </c>
      <c r="P3263" s="48" t="str">
        <f t="shared" si="3"/>
        <v/>
      </c>
      <c r="Q3263" s="84"/>
      <c r="R3263" s="84"/>
      <c r="S3263" s="84"/>
      <c r="T3263" s="84"/>
      <c r="U3263" s="84"/>
      <c r="V3263" s="84"/>
      <c r="W3263" s="84"/>
      <c r="X3263" s="84"/>
      <c r="Y3263" s="84"/>
      <c r="Z3263" s="84"/>
      <c r="AA3263" s="84"/>
      <c r="AB3263" s="84"/>
    </row>
    <row r="3264">
      <c r="A3264" s="89"/>
      <c r="B3264" s="89"/>
      <c r="C3264" s="89"/>
      <c r="D3264" s="89"/>
      <c r="E3264" s="89"/>
      <c r="F3264" s="89"/>
      <c r="G3264" s="89"/>
      <c r="H3264" s="2"/>
      <c r="I3264" s="90"/>
      <c r="J3264" s="90"/>
      <c r="K3264" s="2"/>
      <c r="L3264" s="49"/>
      <c r="M3264" s="49"/>
      <c r="N3264" s="49"/>
      <c r="O3264" s="49" t="str">
        <f t="shared" si="2"/>
        <v/>
      </c>
      <c r="P3264" s="49" t="str">
        <f t="shared" si="3"/>
        <v/>
      </c>
      <c r="Q3264" s="84"/>
      <c r="R3264" s="84"/>
      <c r="S3264" s="84"/>
      <c r="T3264" s="84"/>
      <c r="U3264" s="84"/>
      <c r="V3264" s="84"/>
      <c r="W3264" s="84"/>
      <c r="X3264" s="84"/>
      <c r="Y3264" s="84"/>
      <c r="Z3264" s="84"/>
      <c r="AA3264" s="84"/>
      <c r="AB3264" s="84"/>
    </row>
    <row r="3265">
      <c r="A3265" s="89"/>
      <c r="B3265" s="89"/>
      <c r="C3265" s="89"/>
      <c r="D3265" s="89"/>
      <c r="E3265" s="89"/>
      <c r="F3265" s="89"/>
      <c r="G3265" s="89"/>
      <c r="H3265" s="2"/>
      <c r="I3265" s="90"/>
      <c r="J3265" s="90"/>
      <c r="K3265" s="2"/>
      <c r="L3265" s="48"/>
      <c r="M3265" s="48"/>
      <c r="N3265" s="48"/>
      <c r="O3265" s="48" t="str">
        <f t="shared" si="2"/>
        <v/>
      </c>
      <c r="P3265" s="48" t="str">
        <f t="shared" si="3"/>
        <v/>
      </c>
      <c r="Q3265" s="84"/>
      <c r="R3265" s="84"/>
      <c r="S3265" s="84"/>
      <c r="T3265" s="84"/>
      <c r="U3265" s="84"/>
      <c r="V3265" s="84"/>
      <c r="W3265" s="84"/>
      <c r="X3265" s="84"/>
      <c r="Y3265" s="84"/>
      <c r="Z3265" s="84"/>
      <c r="AA3265" s="84"/>
      <c r="AB3265" s="84"/>
    </row>
    <row r="3266">
      <c r="A3266" s="89"/>
      <c r="B3266" s="89"/>
      <c r="C3266" s="89"/>
      <c r="D3266" s="89"/>
      <c r="E3266" s="89"/>
      <c r="F3266" s="89"/>
      <c r="G3266" s="89"/>
      <c r="H3266" s="2"/>
      <c r="I3266" s="90"/>
      <c r="J3266" s="90"/>
      <c r="K3266" s="2"/>
      <c r="L3266" s="49"/>
      <c r="M3266" s="49"/>
      <c r="N3266" s="49"/>
      <c r="O3266" s="49" t="str">
        <f t="shared" si="2"/>
        <v/>
      </c>
      <c r="P3266" s="49" t="str">
        <f t="shared" si="3"/>
        <v/>
      </c>
      <c r="Q3266" s="84"/>
      <c r="R3266" s="84"/>
      <c r="S3266" s="84"/>
      <c r="T3266" s="84"/>
      <c r="U3266" s="84"/>
      <c r="V3266" s="84"/>
      <c r="W3266" s="84"/>
      <c r="X3266" s="84"/>
      <c r="Y3266" s="84"/>
      <c r="Z3266" s="84"/>
      <c r="AA3266" s="84"/>
      <c r="AB3266" s="84"/>
    </row>
    <row r="3267">
      <c r="A3267" s="89"/>
      <c r="B3267" s="89"/>
      <c r="C3267" s="89"/>
      <c r="D3267" s="89"/>
      <c r="E3267" s="89"/>
      <c r="F3267" s="89"/>
      <c r="G3267" s="89"/>
      <c r="H3267" s="2"/>
      <c r="I3267" s="90"/>
      <c r="J3267" s="90"/>
      <c r="K3267" s="2"/>
      <c r="L3267" s="48"/>
      <c r="M3267" s="48"/>
      <c r="N3267" s="48"/>
      <c r="O3267" s="48" t="str">
        <f t="shared" si="2"/>
        <v/>
      </c>
      <c r="P3267" s="48" t="str">
        <f t="shared" si="3"/>
        <v/>
      </c>
      <c r="Q3267" s="84"/>
      <c r="R3267" s="84"/>
      <c r="S3267" s="84"/>
      <c r="T3267" s="84"/>
      <c r="U3267" s="84"/>
      <c r="V3267" s="84"/>
      <c r="W3267" s="84"/>
      <c r="X3267" s="84"/>
      <c r="Y3267" s="84"/>
      <c r="Z3267" s="84"/>
      <c r="AA3267" s="84"/>
      <c r="AB3267" s="84"/>
    </row>
    <row r="3268">
      <c r="A3268" s="89"/>
      <c r="B3268" s="89"/>
      <c r="C3268" s="89"/>
      <c r="D3268" s="89"/>
      <c r="E3268" s="89"/>
      <c r="F3268" s="89"/>
      <c r="G3268" s="89"/>
      <c r="H3268" s="2"/>
      <c r="I3268" s="90"/>
      <c r="J3268" s="90"/>
      <c r="K3268" s="2"/>
      <c r="L3268" s="49"/>
      <c r="M3268" s="49"/>
      <c r="N3268" s="49"/>
      <c r="O3268" s="49" t="str">
        <f t="shared" si="2"/>
        <v/>
      </c>
      <c r="P3268" s="49" t="str">
        <f t="shared" si="3"/>
        <v/>
      </c>
      <c r="Q3268" s="84"/>
      <c r="R3268" s="84"/>
      <c r="S3268" s="84"/>
      <c r="T3268" s="84"/>
      <c r="U3268" s="84"/>
      <c r="V3268" s="84"/>
      <c r="W3268" s="84"/>
      <c r="X3268" s="84"/>
      <c r="Y3268" s="84"/>
      <c r="Z3268" s="84"/>
      <c r="AA3268" s="84"/>
      <c r="AB3268" s="84"/>
    </row>
    <row r="3269">
      <c r="A3269" s="89"/>
      <c r="B3269" s="89"/>
      <c r="C3269" s="89"/>
      <c r="D3269" s="89"/>
      <c r="E3269" s="89"/>
      <c r="F3269" s="89"/>
      <c r="G3269" s="89"/>
      <c r="H3269" s="2"/>
      <c r="I3269" s="90"/>
      <c r="J3269" s="90"/>
      <c r="K3269" s="2"/>
      <c r="L3269" s="48"/>
      <c r="M3269" s="48"/>
      <c r="N3269" s="48"/>
      <c r="O3269" s="48" t="str">
        <f t="shared" si="2"/>
        <v/>
      </c>
      <c r="P3269" s="48" t="str">
        <f t="shared" si="3"/>
        <v/>
      </c>
      <c r="Q3269" s="84"/>
      <c r="R3269" s="84"/>
      <c r="S3269" s="84"/>
      <c r="T3269" s="84"/>
      <c r="U3269" s="84"/>
      <c r="V3269" s="84"/>
      <c r="W3269" s="84"/>
      <c r="X3269" s="84"/>
      <c r="Y3269" s="84"/>
      <c r="Z3269" s="84"/>
      <c r="AA3269" s="84"/>
      <c r="AB3269" s="84"/>
    </row>
    <row r="3270">
      <c r="A3270" s="89"/>
      <c r="B3270" s="89"/>
      <c r="C3270" s="89"/>
      <c r="D3270" s="89"/>
      <c r="E3270" s="89"/>
      <c r="F3270" s="89"/>
      <c r="G3270" s="89"/>
      <c r="H3270" s="2"/>
      <c r="I3270" s="90"/>
      <c r="J3270" s="90"/>
      <c r="K3270" s="2"/>
      <c r="L3270" s="49"/>
      <c r="M3270" s="49"/>
      <c r="N3270" s="49"/>
      <c r="O3270" s="49" t="str">
        <f t="shared" si="2"/>
        <v/>
      </c>
      <c r="P3270" s="49" t="str">
        <f t="shared" si="3"/>
        <v/>
      </c>
      <c r="Q3270" s="84"/>
      <c r="R3270" s="84"/>
      <c r="S3270" s="84"/>
      <c r="T3270" s="84"/>
      <c r="U3270" s="84"/>
      <c r="V3270" s="84"/>
      <c r="W3270" s="84"/>
      <c r="X3270" s="84"/>
      <c r="Y3270" s="84"/>
      <c r="Z3270" s="84"/>
      <c r="AA3270" s="84"/>
      <c r="AB3270" s="84"/>
    </row>
    <row r="3271">
      <c r="A3271" s="89"/>
      <c r="B3271" s="89"/>
      <c r="C3271" s="89"/>
      <c r="D3271" s="89"/>
      <c r="E3271" s="89"/>
      <c r="F3271" s="89"/>
      <c r="G3271" s="89"/>
      <c r="H3271" s="2"/>
      <c r="I3271" s="90"/>
      <c r="J3271" s="90"/>
      <c r="K3271" s="2"/>
      <c r="L3271" s="48"/>
      <c r="M3271" s="48"/>
      <c r="N3271" s="48"/>
      <c r="O3271" s="48" t="str">
        <f t="shared" si="2"/>
        <v/>
      </c>
      <c r="P3271" s="48" t="str">
        <f t="shared" si="3"/>
        <v/>
      </c>
      <c r="Q3271" s="84"/>
      <c r="R3271" s="84"/>
      <c r="S3271" s="84"/>
      <c r="T3271" s="84"/>
      <c r="U3271" s="84"/>
      <c r="V3271" s="84"/>
      <c r="W3271" s="84"/>
      <c r="X3271" s="84"/>
      <c r="Y3271" s="84"/>
      <c r="Z3271" s="84"/>
      <c r="AA3271" s="84"/>
      <c r="AB3271" s="84"/>
    </row>
    <row r="3272">
      <c r="A3272" s="89"/>
      <c r="B3272" s="89"/>
      <c r="C3272" s="89"/>
      <c r="D3272" s="89"/>
      <c r="E3272" s="89"/>
      <c r="F3272" s="89"/>
      <c r="G3272" s="89"/>
      <c r="H3272" s="2"/>
      <c r="I3272" s="90"/>
      <c r="J3272" s="90"/>
      <c r="K3272" s="2"/>
      <c r="L3272" s="49"/>
      <c r="M3272" s="49"/>
      <c r="N3272" s="49"/>
      <c r="O3272" s="49" t="str">
        <f t="shared" si="2"/>
        <v/>
      </c>
      <c r="P3272" s="49" t="str">
        <f t="shared" si="3"/>
        <v/>
      </c>
      <c r="Q3272" s="84"/>
      <c r="R3272" s="84"/>
      <c r="S3272" s="84"/>
      <c r="T3272" s="84"/>
      <c r="U3272" s="84"/>
      <c r="V3272" s="84"/>
      <c r="W3272" s="84"/>
      <c r="X3272" s="84"/>
      <c r="Y3272" s="84"/>
      <c r="Z3272" s="84"/>
      <c r="AA3272" s="84"/>
      <c r="AB3272" s="84"/>
    </row>
    <row r="3273">
      <c r="A3273" s="89"/>
      <c r="B3273" s="89"/>
      <c r="C3273" s="89"/>
      <c r="D3273" s="89"/>
      <c r="E3273" s="89"/>
      <c r="F3273" s="89"/>
      <c r="G3273" s="89"/>
      <c r="H3273" s="2"/>
      <c r="I3273" s="90"/>
      <c r="J3273" s="90"/>
      <c r="K3273" s="2"/>
      <c r="L3273" s="48"/>
      <c r="M3273" s="48"/>
      <c r="N3273" s="48"/>
      <c r="O3273" s="48" t="str">
        <f t="shared" si="2"/>
        <v/>
      </c>
      <c r="P3273" s="48" t="str">
        <f t="shared" si="3"/>
        <v/>
      </c>
      <c r="Q3273" s="84"/>
      <c r="R3273" s="84"/>
      <c r="S3273" s="84"/>
      <c r="T3273" s="84"/>
      <c r="U3273" s="84"/>
      <c r="V3273" s="84"/>
      <c r="W3273" s="84"/>
      <c r="X3273" s="84"/>
      <c r="Y3273" s="84"/>
      <c r="Z3273" s="84"/>
      <c r="AA3273" s="84"/>
      <c r="AB3273" s="84"/>
    </row>
    <row r="3274">
      <c r="A3274" s="89"/>
      <c r="B3274" s="89"/>
      <c r="C3274" s="89"/>
      <c r="D3274" s="89"/>
      <c r="E3274" s="89"/>
      <c r="F3274" s="89"/>
      <c r="G3274" s="89"/>
      <c r="H3274" s="2"/>
      <c r="I3274" s="90"/>
      <c r="J3274" s="90"/>
      <c r="K3274" s="2"/>
      <c r="L3274" s="49"/>
      <c r="M3274" s="49"/>
      <c r="N3274" s="49"/>
      <c r="O3274" s="49" t="str">
        <f t="shared" si="2"/>
        <v/>
      </c>
      <c r="P3274" s="49" t="str">
        <f t="shared" si="3"/>
        <v/>
      </c>
      <c r="Q3274" s="84"/>
      <c r="R3274" s="84"/>
      <c r="S3274" s="84"/>
      <c r="T3274" s="84"/>
      <c r="U3274" s="84"/>
      <c r="V3274" s="84"/>
      <c r="W3274" s="84"/>
      <c r="X3274" s="84"/>
      <c r="Y3274" s="84"/>
      <c r="Z3274" s="84"/>
      <c r="AA3274" s="84"/>
      <c r="AB3274" s="84"/>
    </row>
    <row r="3275">
      <c r="A3275" s="89"/>
      <c r="B3275" s="89"/>
      <c r="C3275" s="89"/>
      <c r="D3275" s="89"/>
      <c r="E3275" s="89"/>
      <c r="F3275" s="89"/>
      <c r="G3275" s="89"/>
      <c r="H3275" s="2"/>
      <c r="I3275" s="90"/>
      <c r="J3275" s="90"/>
      <c r="K3275" s="2"/>
      <c r="L3275" s="48"/>
      <c r="M3275" s="48"/>
      <c r="N3275" s="48"/>
      <c r="O3275" s="48" t="str">
        <f t="shared" si="2"/>
        <v/>
      </c>
      <c r="P3275" s="48" t="str">
        <f t="shared" si="3"/>
        <v/>
      </c>
      <c r="Q3275" s="84"/>
      <c r="R3275" s="84"/>
      <c r="S3275" s="84"/>
      <c r="T3275" s="84"/>
      <c r="U3275" s="84"/>
      <c r="V3275" s="84"/>
      <c r="W3275" s="84"/>
      <c r="X3275" s="84"/>
      <c r="Y3275" s="84"/>
      <c r="Z3275" s="84"/>
      <c r="AA3275" s="84"/>
      <c r="AB3275" s="84"/>
    </row>
    <row r="3276">
      <c r="A3276" s="89"/>
      <c r="B3276" s="89"/>
      <c r="C3276" s="89"/>
      <c r="D3276" s="89"/>
      <c r="E3276" s="89"/>
      <c r="F3276" s="89"/>
      <c r="G3276" s="89"/>
      <c r="H3276" s="2"/>
      <c r="I3276" s="90"/>
      <c r="J3276" s="90"/>
      <c r="K3276" s="2"/>
      <c r="L3276" s="49"/>
      <c r="M3276" s="49"/>
      <c r="N3276" s="49"/>
      <c r="O3276" s="49" t="str">
        <f t="shared" si="2"/>
        <v/>
      </c>
      <c r="P3276" s="49" t="str">
        <f t="shared" si="3"/>
        <v/>
      </c>
      <c r="Q3276" s="84"/>
      <c r="R3276" s="84"/>
      <c r="S3276" s="84"/>
      <c r="T3276" s="84"/>
      <c r="U3276" s="84"/>
      <c r="V3276" s="84"/>
      <c r="W3276" s="84"/>
      <c r="X3276" s="84"/>
      <c r="Y3276" s="84"/>
      <c r="Z3276" s="84"/>
      <c r="AA3276" s="84"/>
      <c r="AB3276" s="84"/>
    </row>
    <row r="3277">
      <c r="A3277" s="89"/>
      <c r="B3277" s="89"/>
      <c r="C3277" s="89"/>
      <c r="D3277" s="89"/>
      <c r="E3277" s="89"/>
      <c r="F3277" s="89"/>
      <c r="G3277" s="89"/>
      <c r="H3277" s="2"/>
      <c r="I3277" s="90"/>
      <c r="J3277" s="90"/>
      <c r="K3277" s="2"/>
      <c r="L3277" s="48"/>
      <c r="M3277" s="48"/>
      <c r="N3277" s="48"/>
      <c r="O3277" s="48" t="str">
        <f t="shared" si="2"/>
        <v/>
      </c>
      <c r="P3277" s="48" t="str">
        <f t="shared" si="3"/>
        <v/>
      </c>
      <c r="Q3277" s="84"/>
      <c r="R3277" s="84"/>
      <c r="S3277" s="84"/>
      <c r="T3277" s="84"/>
      <c r="U3277" s="84"/>
      <c r="V3277" s="84"/>
      <c r="W3277" s="84"/>
      <c r="X3277" s="84"/>
      <c r="Y3277" s="84"/>
      <c r="Z3277" s="84"/>
      <c r="AA3277" s="84"/>
      <c r="AB3277" s="84"/>
    </row>
    <row r="3278">
      <c r="A3278" s="89"/>
      <c r="B3278" s="89"/>
      <c r="C3278" s="89"/>
      <c r="D3278" s="89"/>
      <c r="E3278" s="89"/>
      <c r="F3278" s="89"/>
      <c r="G3278" s="89"/>
      <c r="H3278" s="2"/>
      <c r="I3278" s="90"/>
      <c r="J3278" s="90"/>
      <c r="K3278" s="2"/>
      <c r="L3278" s="49"/>
      <c r="M3278" s="49"/>
      <c r="N3278" s="49"/>
      <c r="O3278" s="49" t="str">
        <f t="shared" si="2"/>
        <v/>
      </c>
      <c r="P3278" s="49" t="str">
        <f t="shared" si="3"/>
        <v/>
      </c>
      <c r="Q3278" s="84"/>
      <c r="R3278" s="84"/>
      <c r="S3278" s="84"/>
      <c r="T3278" s="84"/>
      <c r="U3278" s="84"/>
      <c r="V3278" s="84"/>
      <c r="W3278" s="84"/>
      <c r="X3278" s="84"/>
      <c r="Y3278" s="84"/>
      <c r="Z3278" s="84"/>
      <c r="AA3278" s="84"/>
      <c r="AB3278" s="84"/>
    </row>
    <row r="3279">
      <c r="A3279" s="89"/>
      <c r="B3279" s="89"/>
      <c r="C3279" s="89"/>
      <c r="D3279" s="89"/>
      <c r="E3279" s="89"/>
      <c r="F3279" s="89"/>
      <c r="G3279" s="89"/>
      <c r="H3279" s="2"/>
      <c r="I3279" s="90"/>
      <c r="J3279" s="90"/>
      <c r="K3279" s="2"/>
      <c r="L3279" s="48"/>
      <c r="M3279" s="48"/>
      <c r="N3279" s="48"/>
      <c r="O3279" s="48" t="str">
        <f t="shared" si="2"/>
        <v/>
      </c>
      <c r="P3279" s="48" t="str">
        <f t="shared" si="3"/>
        <v/>
      </c>
      <c r="Q3279" s="84"/>
      <c r="R3279" s="84"/>
      <c r="S3279" s="84"/>
      <c r="T3279" s="84"/>
      <c r="U3279" s="84"/>
      <c r="V3279" s="84"/>
      <c r="W3279" s="84"/>
      <c r="X3279" s="84"/>
      <c r="Y3279" s="84"/>
      <c r="Z3279" s="84"/>
      <c r="AA3279" s="84"/>
      <c r="AB3279" s="84"/>
    </row>
    <row r="3280">
      <c r="A3280" s="89"/>
      <c r="B3280" s="89"/>
      <c r="C3280" s="89"/>
      <c r="D3280" s="89"/>
      <c r="E3280" s="89"/>
      <c r="F3280" s="89"/>
      <c r="G3280" s="89"/>
      <c r="H3280" s="2"/>
      <c r="I3280" s="90"/>
      <c r="J3280" s="90"/>
      <c r="K3280" s="2"/>
      <c r="L3280" s="49"/>
      <c r="M3280" s="49"/>
      <c r="N3280" s="49"/>
      <c r="O3280" s="49" t="str">
        <f t="shared" si="2"/>
        <v/>
      </c>
      <c r="P3280" s="49" t="str">
        <f t="shared" si="3"/>
        <v/>
      </c>
      <c r="Q3280" s="84"/>
      <c r="R3280" s="84"/>
      <c r="S3280" s="84"/>
      <c r="T3280" s="84"/>
      <c r="U3280" s="84"/>
      <c r="V3280" s="84"/>
      <c r="W3280" s="84"/>
      <c r="X3280" s="84"/>
      <c r="Y3280" s="84"/>
      <c r="Z3280" s="84"/>
      <c r="AA3280" s="84"/>
      <c r="AB3280" s="84"/>
    </row>
    <row r="3281">
      <c r="A3281" s="89"/>
      <c r="B3281" s="89"/>
      <c r="C3281" s="89"/>
      <c r="D3281" s="89"/>
      <c r="E3281" s="89"/>
      <c r="F3281" s="89"/>
      <c r="G3281" s="89"/>
      <c r="H3281" s="2"/>
      <c r="I3281" s="90"/>
      <c r="J3281" s="90"/>
      <c r="K3281" s="2"/>
      <c r="L3281" s="48"/>
      <c r="M3281" s="48"/>
      <c r="N3281" s="48"/>
      <c r="O3281" s="48" t="str">
        <f t="shared" si="2"/>
        <v/>
      </c>
      <c r="P3281" s="48" t="str">
        <f t="shared" si="3"/>
        <v/>
      </c>
      <c r="Q3281" s="84"/>
      <c r="R3281" s="84"/>
      <c r="S3281" s="84"/>
      <c r="T3281" s="84"/>
      <c r="U3281" s="84"/>
      <c r="V3281" s="84"/>
      <c r="W3281" s="84"/>
      <c r="X3281" s="84"/>
      <c r="Y3281" s="84"/>
      <c r="Z3281" s="84"/>
      <c r="AA3281" s="84"/>
      <c r="AB3281" s="84"/>
    </row>
    <row r="3282">
      <c r="A3282" s="89"/>
      <c r="B3282" s="89"/>
      <c r="C3282" s="89"/>
      <c r="D3282" s="89"/>
      <c r="E3282" s="89"/>
      <c r="F3282" s="89"/>
      <c r="G3282" s="89"/>
      <c r="H3282" s="2"/>
      <c r="I3282" s="90"/>
      <c r="J3282" s="90"/>
      <c r="K3282" s="2"/>
      <c r="L3282" s="49"/>
      <c r="M3282" s="49"/>
      <c r="N3282" s="49"/>
      <c r="O3282" s="49" t="str">
        <f t="shared" si="2"/>
        <v/>
      </c>
      <c r="P3282" s="49" t="str">
        <f t="shared" si="3"/>
        <v/>
      </c>
      <c r="Q3282" s="84"/>
      <c r="R3282" s="84"/>
      <c r="S3282" s="84"/>
      <c r="T3282" s="84"/>
      <c r="U3282" s="84"/>
      <c r="V3282" s="84"/>
      <c r="W3282" s="84"/>
      <c r="X3282" s="84"/>
      <c r="Y3282" s="84"/>
      <c r="Z3282" s="84"/>
      <c r="AA3282" s="84"/>
      <c r="AB3282" s="84"/>
    </row>
    <row r="3283">
      <c r="A3283" s="89"/>
      <c r="B3283" s="89"/>
      <c r="C3283" s="89"/>
      <c r="D3283" s="89"/>
      <c r="E3283" s="89"/>
      <c r="F3283" s="89"/>
      <c r="G3283" s="89"/>
      <c r="H3283" s="2"/>
      <c r="I3283" s="90"/>
      <c r="J3283" s="90"/>
      <c r="K3283" s="2"/>
      <c r="L3283" s="48"/>
      <c r="M3283" s="48"/>
      <c r="N3283" s="48"/>
      <c r="O3283" s="48" t="str">
        <f t="shared" si="2"/>
        <v/>
      </c>
      <c r="P3283" s="48" t="str">
        <f t="shared" si="3"/>
        <v/>
      </c>
      <c r="Q3283" s="84"/>
      <c r="R3283" s="84"/>
      <c r="S3283" s="84"/>
      <c r="T3283" s="84"/>
      <c r="U3283" s="84"/>
      <c r="V3283" s="84"/>
      <c r="W3283" s="84"/>
      <c r="X3283" s="84"/>
      <c r="Y3283" s="84"/>
      <c r="Z3283" s="84"/>
      <c r="AA3283" s="84"/>
      <c r="AB3283" s="84"/>
    </row>
    <row r="3284">
      <c r="A3284" s="89"/>
      <c r="B3284" s="89"/>
      <c r="C3284" s="89"/>
      <c r="D3284" s="89"/>
      <c r="E3284" s="89"/>
      <c r="F3284" s="89"/>
      <c r="G3284" s="89"/>
      <c r="H3284" s="2"/>
      <c r="I3284" s="90"/>
      <c r="J3284" s="90"/>
      <c r="K3284" s="2"/>
      <c r="L3284" s="49"/>
      <c r="M3284" s="49"/>
      <c r="N3284" s="49"/>
      <c r="O3284" s="49" t="str">
        <f t="shared" si="2"/>
        <v/>
      </c>
      <c r="P3284" s="49" t="str">
        <f t="shared" si="3"/>
        <v/>
      </c>
      <c r="Q3284" s="84"/>
      <c r="R3284" s="84"/>
      <c r="S3284" s="84"/>
      <c r="T3284" s="84"/>
      <c r="U3284" s="84"/>
      <c r="V3284" s="84"/>
      <c r="W3284" s="84"/>
      <c r="X3284" s="84"/>
      <c r="Y3284" s="84"/>
      <c r="Z3284" s="84"/>
      <c r="AA3284" s="84"/>
      <c r="AB3284" s="84"/>
    </row>
    <row r="3285">
      <c r="A3285" s="89"/>
      <c r="B3285" s="89"/>
      <c r="C3285" s="89"/>
      <c r="D3285" s="89"/>
      <c r="E3285" s="89"/>
      <c r="F3285" s="89"/>
      <c r="G3285" s="89"/>
      <c r="H3285" s="2"/>
      <c r="I3285" s="90"/>
      <c r="J3285" s="90"/>
      <c r="K3285" s="2"/>
      <c r="L3285" s="48"/>
      <c r="M3285" s="48"/>
      <c r="N3285" s="48"/>
      <c r="O3285" s="48" t="str">
        <f t="shared" si="2"/>
        <v/>
      </c>
      <c r="P3285" s="48" t="str">
        <f t="shared" si="3"/>
        <v/>
      </c>
      <c r="Q3285" s="84"/>
      <c r="R3285" s="84"/>
      <c r="S3285" s="84"/>
      <c r="T3285" s="84"/>
      <c r="U3285" s="84"/>
      <c r="V3285" s="84"/>
      <c r="W3285" s="84"/>
      <c r="X3285" s="84"/>
      <c r="Y3285" s="84"/>
      <c r="Z3285" s="84"/>
      <c r="AA3285" s="84"/>
      <c r="AB3285" s="84"/>
    </row>
    <row r="3286">
      <c r="A3286" s="89"/>
      <c r="B3286" s="89"/>
      <c r="C3286" s="89"/>
      <c r="D3286" s="89"/>
      <c r="E3286" s="89"/>
      <c r="F3286" s="89"/>
      <c r="G3286" s="89"/>
      <c r="H3286" s="2"/>
      <c r="I3286" s="90"/>
      <c r="J3286" s="90"/>
      <c r="K3286" s="2"/>
      <c r="L3286" s="49"/>
      <c r="M3286" s="49"/>
      <c r="N3286" s="49"/>
      <c r="O3286" s="49" t="str">
        <f t="shared" si="2"/>
        <v/>
      </c>
      <c r="P3286" s="49" t="str">
        <f t="shared" si="3"/>
        <v/>
      </c>
      <c r="Q3286" s="84"/>
      <c r="R3286" s="84"/>
      <c r="S3286" s="84"/>
      <c r="T3286" s="84"/>
      <c r="U3286" s="84"/>
      <c r="V3286" s="84"/>
      <c r="W3286" s="84"/>
      <c r="X3286" s="84"/>
      <c r="Y3286" s="84"/>
      <c r="Z3286" s="84"/>
      <c r="AA3286" s="84"/>
      <c r="AB3286" s="84"/>
    </row>
    <row r="3287">
      <c r="A3287" s="89"/>
      <c r="B3287" s="89"/>
      <c r="C3287" s="89"/>
      <c r="D3287" s="89"/>
      <c r="E3287" s="89"/>
      <c r="F3287" s="89"/>
      <c r="G3287" s="89"/>
      <c r="H3287" s="2"/>
      <c r="I3287" s="90"/>
      <c r="J3287" s="90"/>
      <c r="K3287" s="2"/>
      <c r="L3287" s="48"/>
      <c r="M3287" s="48"/>
      <c r="N3287" s="48"/>
      <c r="O3287" s="48" t="str">
        <f t="shared" si="2"/>
        <v/>
      </c>
      <c r="P3287" s="48" t="str">
        <f t="shared" si="3"/>
        <v/>
      </c>
      <c r="Q3287" s="84"/>
      <c r="R3287" s="84"/>
      <c r="S3287" s="84"/>
      <c r="T3287" s="84"/>
      <c r="U3287" s="84"/>
      <c r="V3287" s="84"/>
      <c r="W3287" s="84"/>
      <c r="X3287" s="84"/>
      <c r="Y3287" s="84"/>
      <c r="Z3287" s="84"/>
      <c r="AA3287" s="84"/>
      <c r="AB3287" s="84"/>
    </row>
    <row r="3288">
      <c r="A3288" s="89"/>
      <c r="B3288" s="89"/>
      <c r="C3288" s="89"/>
      <c r="D3288" s="89"/>
      <c r="E3288" s="89"/>
      <c r="F3288" s="89"/>
      <c r="G3288" s="89"/>
      <c r="H3288" s="2"/>
      <c r="I3288" s="90"/>
      <c r="J3288" s="90"/>
      <c r="K3288" s="2"/>
      <c r="L3288" s="49"/>
      <c r="M3288" s="49"/>
      <c r="N3288" s="49"/>
      <c r="O3288" s="49" t="str">
        <f t="shared" si="2"/>
        <v/>
      </c>
      <c r="P3288" s="49" t="str">
        <f t="shared" si="3"/>
        <v/>
      </c>
      <c r="Q3288" s="84"/>
      <c r="R3288" s="84"/>
      <c r="S3288" s="84"/>
      <c r="T3288" s="84"/>
      <c r="U3288" s="84"/>
      <c r="V3288" s="84"/>
      <c r="W3288" s="84"/>
      <c r="X3288" s="84"/>
      <c r="Y3288" s="84"/>
      <c r="Z3288" s="84"/>
      <c r="AA3288" s="84"/>
      <c r="AB3288" s="84"/>
    </row>
    <row r="3289">
      <c r="A3289" s="89"/>
      <c r="B3289" s="89"/>
      <c r="C3289" s="89"/>
      <c r="D3289" s="89"/>
      <c r="E3289" s="89"/>
      <c r="F3289" s="89"/>
      <c r="G3289" s="89"/>
      <c r="H3289" s="2"/>
      <c r="I3289" s="90"/>
      <c r="J3289" s="90"/>
      <c r="K3289" s="2"/>
      <c r="L3289" s="48"/>
      <c r="M3289" s="48"/>
      <c r="N3289" s="48"/>
      <c r="O3289" s="48" t="str">
        <f t="shared" si="2"/>
        <v/>
      </c>
      <c r="P3289" s="48" t="str">
        <f t="shared" si="3"/>
        <v/>
      </c>
      <c r="Q3289" s="84"/>
      <c r="R3289" s="84"/>
      <c r="S3289" s="84"/>
      <c r="T3289" s="84"/>
      <c r="U3289" s="84"/>
      <c r="V3289" s="84"/>
      <c r="W3289" s="84"/>
      <c r="X3289" s="84"/>
      <c r="Y3289" s="84"/>
      <c r="Z3289" s="84"/>
      <c r="AA3289" s="84"/>
      <c r="AB3289" s="84"/>
    </row>
    <row r="3290">
      <c r="A3290" s="89"/>
      <c r="B3290" s="89"/>
      <c r="C3290" s="89"/>
      <c r="D3290" s="89"/>
      <c r="E3290" s="89"/>
      <c r="F3290" s="89"/>
      <c r="G3290" s="89"/>
      <c r="H3290" s="2"/>
      <c r="I3290" s="90"/>
      <c r="J3290" s="90"/>
      <c r="K3290" s="2"/>
      <c r="L3290" s="49"/>
      <c r="M3290" s="49"/>
      <c r="N3290" s="49"/>
      <c r="O3290" s="49" t="str">
        <f t="shared" si="2"/>
        <v/>
      </c>
      <c r="P3290" s="49" t="str">
        <f t="shared" si="3"/>
        <v/>
      </c>
      <c r="Q3290" s="84"/>
      <c r="R3290" s="84"/>
      <c r="S3290" s="84"/>
      <c r="T3290" s="84"/>
      <c r="U3290" s="84"/>
      <c r="V3290" s="84"/>
      <c r="W3290" s="84"/>
      <c r="X3290" s="84"/>
      <c r="Y3290" s="84"/>
      <c r="Z3290" s="84"/>
      <c r="AA3290" s="84"/>
      <c r="AB3290" s="84"/>
    </row>
    <row r="3291">
      <c r="A3291" s="89"/>
      <c r="B3291" s="89"/>
      <c r="C3291" s="89"/>
      <c r="D3291" s="89"/>
      <c r="E3291" s="89"/>
      <c r="F3291" s="89"/>
      <c r="G3291" s="89"/>
      <c r="H3291" s="2"/>
      <c r="I3291" s="90"/>
      <c r="J3291" s="90"/>
      <c r="K3291" s="2"/>
      <c r="L3291" s="48"/>
      <c r="M3291" s="48"/>
      <c r="N3291" s="48"/>
      <c r="O3291" s="48" t="str">
        <f t="shared" si="2"/>
        <v/>
      </c>
      <c r="P3291" s="48" t="str">
        <f t="shared" si="3"/>
        <v/>
      </c>
      <c r="Q3291" s="84"/>
      <c r="R3291" s="84"/>
      <c r="S3291" s="84"/>
      <c r="T3291" s="84"/>
      <c r="U3291" s="84"/>
      <c r="V3291" s="84"/>
      <c r="W3291" s="84"/>
      <c r="X3291" s="84"/>
      <c r="Y3291" s="84"/>
      <c r="Z3291" s="84"/>
      <c r="AA3291" s="84"/>
      <c r="AB3291" s="84"/>
    </row>
    <row r="3292">
      <c r="A3292" s="89"/>
      <c r="B3292" s="89"/>
      <c r="C3292" s="89"/>
      <c r="D3292" s="89"/>
      <c r="E3292" s="89"/>
      <c r="F3292" s="89"/>
      <c r="G3292" s="89"/>
      <c r="H3292" s="2"/>
      <c r="I3292" s="90"/>
      <c r="J3292" s="90"/>
      <c r="K3292" s="2"/>
      <c r="L3292" s="49"/>
      <c r="M3292" s="49"/>
      <c r="N3292" s="49"/>
      <c r="O3292" s="49" t="str">
        <f t="shared" si="2"/>
        <v/>
      </c>
      <c r="P3292" s="49" t="str">
        <f t="shared" si="3"/>
        <v/>
      </c>
      <c r="Q3292" s="84"/>
      <c r="R3292" s="84"/>
      <c r="S3292" s="84"/>
      <c r="T3292" s="84"/>
      <c r="U3292" s="84"/>
      <c r="V3292" s="84"/>
      <c r="W3292" s="84"/>
      <c r="X3292" s="84"/>
      <c r="Y3292" s="84"/>
      <c r="Z3292" s="84"/>
      <c r="AA3292" s="84"/>
      <c r="AB3292" s="84"/>
    </row>
    <row r="3293">
      <c r="A3293" s="89"/>
      <c r="B3293" s="89"/>
      <c r="C3293" s="89"/>
      <c r="D3293" s="89"/>
      <c r="E3293" s="89"/>
      <c r="F3293" s="89"/>
      <c r="G3293" s="89"/>
      <c r="H3293" s="2"/>
      <c r="I3293" s="90"/>
      <c r="J3293" s="90"/>
      <c r="K3293" s="2"/>
      <c r="L3293" s="48"/>
      <c r="M3293" s="48"/>
      <c r="N3293" s="48"/>
      <c r="O3293" s="48" t="str">
        <f t="shared" si="2"/>
        <v/>
      </c>
      <c r="P3293" s="48" t="str">
        <f t="shared" si="3"/>
        <v/>
      </c>
      <c r="Q3293" s="84"/>
      <c r="R3293" s="84"/>
      <c r="S3293" s="84"/>
      <c r="T3293" s="84"/>
      <c r="U3293" s="84"/>
      <c r="V3293" s="84"/>
      <c r="W3293" s="84"/>
      <c r="X3293" s="84"/>
      <c r="Y3293" s="84"/>
      <c r="Z3293" s="84"/>
      <c r="AA3293" s="84"/>
      <c r="AB3293" s="84"/>
    </row>
    <row r="3294">
      <c r="A3294" s="89"/>
      <c r="B3294" s="89"/>
      <c r="C3294" s="89"/>
      <c r="D3294" s="89"/>
      <c r="E3294" s="89"/>
      <c r="F3294" s="89"/>
      <c r="G3294" s="89"/>
      <c r="H3294" s="2"/>
      <c r="I3294" s="90"/>
      <c r="J3294" s="90"/>
      <c r="K3294" s="2"/>
      <c r="L3294" s="49"/>
      <c r="M3294" s="49"/>
      <c r="N3294" s="49"/>
      <c r="O3294" s="49" t="str">
        <f t="shared" si="2"/>
        <v/>
      </c>
      <c r="P3294" s="49" t="str">
        <f t="shared" si="3"/>
        <v/>
      </c>
      <c r="Q3294" s="84"/>
      <c r="R3294" s="84"/>
      <c r="S3294" s="84"/>
      <c r="T3294" s="84"/>
      <c r="U3294" s="84"/>
      <c r="V3294" s="84"/>
      <c r="W3294" s="84"/>
      <c r="X3294" s="84"/>
      <c r="Y3294" s="84"/>
      <c r="Z3294" s="84"/>
      <c r="AA3294" s="84"/>
      <c r="AB3294" s="84"/>
    </row>
    <row r="3295">
      <c r="A3295" s="89"/>
      <c r="B3295" s="89"/>
      <c r="C3295" s="89"/>
      <c r="D3295" s="89"/>
      <c r="E3295" s="89"/>
      <c r="F3295" s="89"/>
      <c r="G3295" s="89"/>
      <c r="H3295" s="2"/>
      <c r="I3295" s="90"/>
      <c r="J3295" s="90"/>
      <c r="K3295" s="2"/>
      <c r="L3295" s="48"/>
      <c r="M3295" s="48"/>
      <c r="N3295" s="48"/>
      <c r="O3295" s="48" t="str">
        <f t="shared" si="2"/>
        <v/>
      </c>
      <c r="P3295" s="48" t="str">
        <f t="shared" si="3"/>
        <v/>
      </c>
      <c r="Q3295" s="84"/>
      <c r="R3295" s="84"/>
      <c r="S3295" s="84"/>
      <c r="T3295" s="84"/>
      <c r="U3295" s="84"/>
      <c r="V3295" s="84"/>
      <c r="W3295" s="84"/>
      <c r="X3295" s="84"/>
      <c r="Y3295" s="84"/>
      <c r="Z3295" s="84"/>
      <c r="AA3295" s="84"/>
      <c r="AB3295" s="84"/>
    </row>
    <row r="3296">
      <c r="A3296" s="89"/>
      <c r="B3296" s="89"/>
      <c r="C3296" s="89"/>
      <c r="D3296" s="89"/>
      <c r="E3296" s="89"/>
      <c r="F3296" s="89"/>
      <c r="G3296" s="89"/>
      <c r="H3296" s="2"/>
      <c r="I3296" s="90"/>
      <c r="J3296" s="90"/>
      <c r="K3296" s="2"/>
      <c r="L3296" s="49"/>
      <c r="M3296" s="49"/>
      <c r="N3296" s="49"/>
      <c r="O3296" s="49" t="str">
        <f t="shared" si="2"/>
        <v/>
      </c>
      <c r="P3296" s="49" t="str">
        <f t="shared" si="3"/>
        <v/>
      </c>
      <c r="Q3296" s="84"/>
      <c r="R3296" s="84"/>
      <c r="S3296" s="84"/>
      <c r="T3296" s="84"/>
      <c r="U3296" s="84"/>
      <c r="V3296" s="84"/>
      <c r="W3296" s="84"/>
      <c r="X3296" s="84"/>
      <c r="Y3296" s="84"/>
      <c r="Z3296" s="84"/>
      <c r="AA3296" s="84"/>
      <c r="AB3296" s="84"/>
    </row>
    <row r="3297">
      <c r="A3297" s="89"/>
      <c r="B3297" s="89"/>
      <c r="C3297" s="89"/>
      <c r="D3297" s="89"/>
      <c r="E3297" s="89"/>
      <c r="F3297" s="89"/>
      <c r="G3297" s="89"/>
      <c r="H3297" s="2"/>
      <c r="I3297" s="90"/>
      <c r="J3297" s="90"/>
      <c r="K3297" s="2"/>
      <c r="L3297" s="48"/>
      <c r="M3297" s="48"/>
      <c r="N3297" s="48"/>
      <c r="O3297" s="48" t="str">
        <f t="shared" si="2"/>
        <v/>
      </c>
      <c r="P3297" s="48" t="str">
        <f t="shared" si="3"/>
        <v/>
      </c>
      <c r="Q3297" s="84"/>
      <c r="R3297" s="84"/>
      <c r="S3297" s="84"/>
      <c r="T3297" s="84"/>
      <c r="U3297" s="84"/>
      <c r="V3297" s="84"/>
      <c r="W3297" s="84"/>
      <c r="X3297" s="84"/>
      <c r="Y3297" s="84"/>
      <c r="Z3297" s="84"/>
      <c r="AA3297" s="84"/>
      <c r="AB3297" s="84"/>
    </row>
    <row r="3298">
      <c r="A3298" s="89"/>
      <c r="B3298" s="89"/>
      <c r="C3298" s="89"/>
      <c r="D3298" s="89"/>
      <c r="E3298" s="89"/>
      <c r="F3298" s="89"/>
      <c r="G3298" s="89"/>
      <c r="H3298" s="2"/>
      <c r="I3298" s="90"/>
      <c r="J3298" s="90"/>
      <c r="K3298" s="2"/>
      <c r="L3298" s="49"/>
      <c r="M3298" s="49"/>
      <c r="N3298" s="49"/>
      <c r="O3298" s="49" t="str">
        <f t="shared" si="2"/>
        <v/>
      </c>
      <c r="P3298" s="49" t="str">
        <f t="shared" si="3"/>
        <v/>
      </c>
      <c r="Q3298" s="84"/>
      <c r="R3298" s="84"/>
      <c r="S3298" s="84"/>
      <c r="T3298" s="84"/>
      <c r="U3298" s="84"/>
      <c r="V3298" s="84"/>
      <c r="W3298" s="84"/>
      <c r="X3298" s="84"/>
      <c r="Y3298" s="84"/>
      <c r="Z3298" s="84"/>
      <c r="AA3298" s="84"/>
      <c r="AB3298" s="84"/>
    </row>
    <row r="3299">
      <c r="A3299" s="89"/>
      <c r="B3299" s="89"/>
      <c r="C3299" s="89"/>
      <c r="D3299" s="89"/>
      <c r="E3299" s="89"/>
      <c r="F3299" s="89"/>
      <c r="G3299" s="89"/>
      <c r="H3299" s="2"/>
      <c r="I3299" s="90"/>
      <c r="J3299" s="90"/>
      <c r="K3299" s="2"/>
      <c r="L3299" s="48"/>
      <c r="M3299" s="48"/>
      <c r="N3299" s="48"/>
      <c r="O3299" s="48" t="str">
        <f t="shared" si="2"/>
        <v/>
      </c>
      <c r="P3299" s="48" t="str">
        <f t="shared" si="3"/>
        <v/>
      </c>
      <c r="Q3299" s="84"/>
      <c r="R3299" s="84"/>
      <c r="S3299" s="84"/>
      <c r="T3299" s="84"/>
      <c r="U3299" s="84"/>
      <c r="V3299" s="84"/>
      <c r="W3299" s="84"/>
      <c r="X3299" s="84"/>
      <c r="Y3299" s="84"/>
      <c r="Z3299" s="84"/>
      <c r="AA3299" s="84"/>
      <c r="AB3299" s="84"/>
    </row>
    <row r="3300">
      <c r="A3300" s="89"/>
      <c r="B3300" s="89"/>
      <c r="C3300" s="89"/>
      <c r="D3300" s="89"/>
      <c r="E3300" s="89"/>
      <c r="F3300" s="89"/>
      <c r="G3300" s="89"/>
      <c r="H3300" s="2"/>
      <c r="I3300" s="90"/>
      <c r="J3300" s="90"/>
      <c r="K3300" s="2"/>
      <c r="L3300" s="49"/>
      <c r="M3300" s="49"/>
      <c r="N3300" s="49"/>
      <c r="O3300" s="49" t="str">
        <f t="shared" si="2"/>
        <v/>
      </c>
      <c r="P3300" s="49" t="str">
        <f t="shared" si="3"/>
        <v/>
      </c>
      <c r="Q3300" s="84"/>
      <c r="R3300" s="84"/>
      <c r="S3300" s="84"/>
      <c r="T3300" s="84"/>
      <c r="U3300" s="84"/>
      <c r="V3300" s="84"/>
      <c r="W3300" s="84"/>
      <c r="X3300" s="84"/>
      <c r="Y3300" s="84"/>
      <c r="Z3300" s="84"/>
      <c r="AA3300" s="84"/>
      <c r="AB3300" s="84"/>
    </row>
    <row r="3301">
      <c r="A3301" s="89"/>
      <c r="B3301" s="89"/>
      <c r="C3301" s="89"/>
      <c r="D3301" s="89"/>
      <c r="E3301" s="89"/>
      <c r="F3301" s="89"/>
      <c r="G3301" s="89"/>
      <c r="H3301" s="2"/>
      <c r="I3301" s="90"/>
      <c r="J3301" s="90"/>
      <c r="K3301" s="2"/>
      <c r="L3301" s="48"/>
      <c r="M3301" s="48"/>
      <c r="N3301" s="48"/>
      <c r="O3301" s="48" t="str">
        <f t="shared" si="2"/>
        <v/>
      </c>
      <c r="P3301" s="48" t="str">
        <f t="shared" si="3"/>
        <v/>
      </c>
      <c r="Q3301" s="84"/>
      <c r="R3301" s="84"/>
      <c r="S3301" s="84"/>
      <c r="T3301" s="84"/>
      <c r="U3301" s="84"/>
      <c r="V3301" s="84"/>
      <c r="W3301" s="84"/>
      <c r="X3301" s="84"/>
      <c r="Y3301" s="84"/>
      <c r="Z3301" s="84"/>
      <c r="AA3301" s="84"/>
      <c r="AB3301" s="84"/>
    </row>
    <row r="3302">
      <c r="A3302" s="89"/>
      <c r="B3302" s="89"/>
      <c r="C3302" s="89"/>
      <c r="D3302" s="89"/>
      <c r="E3302" s="89"/>
      <c r="F3302" s="89"/>
      <c r="G3302" s="89"/>
      <c r="H3302" s="2"/>
      <c r="I3302" s="90"/>
      <c r="J3302" s="90"/>
      <c r="K3302" s="2"/>
      <c r="L3302" s="49"/>
      <c r="M3302" s="49"/>
      <c r="N3302" s="49"/>
      <c r="O3302" s="49" t="str">
        <f t="shared" si="2"/>
        <v/>
      </c>
      <c r="P3302" s="49" t="str">
        <f t="shared" si="3"/>
        <v/>
      </c>
      <c r="Q3302" s="84"/>
      <c r="R3302" s="84"/>
      <c r="S3302" s="84"/>
      <c r="T3302" s="84"/>
      <c r="U3302" s="84"/>
      <c r="V3302" s="84"/>
      <c r="W3302" s="84"/>
      <c r="X3302" s="84"/>
      <c r="Y3302" s="84"/>
      <c r="Z3302" s="84"/>
      <c r="AA3302" s="84"/>
      <c r="AB3302" s="84"/>
    </row>
    <row r="3303">
      <c r="A3303" s="89"/>
      <c r="B3303" s="89"/>
      <c r="C3303" s="89"/>
      <c r="D3303" s="89"/>
      <c r="E3303" s="89"/>
      <c r="F3303" s="89"/>
      <c r="G3303" s="89"/>
      <c r="H3303" s="2"/>
      <c r="I3303" s="90"/>
      <c r="J3303" s="90"/>
      <c r="K3303" s="2"/>
      <c r="L3303" s="48"/>
      <c r="M3303" s="48"/>
      <c r="N3303" s="48"/>
      <c r="O3303" s="48" t="str">
        <f t="shared" si="2"/>
        <v/>
      </c>
      <c r="P3303" s="48" t="str">
        <f t="shared" si="3"/>
        <v/>
      </c>
      <c r="Q3303" s="84"/>
      <c r="R3303" s="84"/>
      <c r="S3303" s="84"/>
      <c r="T3303" s="84"/>
      <c r="U3303" s="84"/>
      <c r="V3303" s="84"/>
      <c r="W3303" s="84"/>
      <c r="X3303" s="84"/>
      <c r="Y3303" s="84"/>
      <c r="Z3303" s="84"/>
      <c r="AA3303" s="84"/>
      <c r="AB3303" s="84"/>
    </row>
    <row r="3304">
      <c r="A3304" s="89"/>
      <c r="B3304" s="89"/>
      <c r="C3304" s="89"/>
      <c r="D3304" s="89"/>
      <c r="E3304" s="89"/>
      <c r="F3304" s="89"/>
      <c r="G3304" s="89"/>
      <c r="H3304" s="2"/>
      <c r="I3304" s="90"/>
      <c r="J3304" s="90"/>
      <c r="K3304" s="2"/>
      <c r="L3304" s="49"/>
      <c r="M3304" s="49"/>
      <c r="N3304" s="49"/>
      <c r="O3304" s="49" t="str">
        <f t="shared" si="2"/>
        <v/>
      </c>
      <c r="P3304" s="49" t="str">
        <f t="shared" si="3"/>
        <v/>
      </c>
      <c r="Q3304" s="84"/>
      <c r="R3304" s="84"/>
      <c r="S3304" s="84"/>
      <c r="T3304" s="84"/>
      <c r="U3304" s="84"/>
      <c r="V3304" s="84"/>
      <c r="W3304" s="84"/>
      <c r="X3304" s="84"/>
      <c r="Y3304" s="84"/>
      <c r="Z3304" s="84"/>
      <c r="AA3304" s="84"/>
      <c r="AB3304" s="84"/>
    </row>
    <row r="3305">
      <c r="A3305" s="89"/>
      <c r="B3305" s="89"/>
      <c r="C3305" s="89"/>
      <c r="D3305" s="89"/>
      <c r="E3305" s="89"/>
      <c r="F3305" s="89"/>
      <c r="G3305" s="89"/>
      <c r="H3305" s="2"/>
      <c r="I3305" s="90"/>
      <c r="J3305" s="90"/>
      <c r="K3305" s="2"/>
      <c r="L3305" s="48"/>
      <c r="M3305" s="48"/>
      <c r="N3305" s="48"/>
      <c r="O3305" s="48" t="str">
        <f t="shared" si="2"/>
        <v/>
      </c>
      <c r="P3305" s="48" t="str">
        <f t="shared" si="3"/>
        <v/>
      </c>
      <c r="Q3305" s="84"/>
      <c r="R3305" s="84"/>
      <c r="S3305" s="84"/>
      <c r="T3305" s="84"/>
      <c r="U3305" s="84"/>
      <c r="V3305" s="84"/>
      <c r="W3305" s="84"/>
      <c r="X3305" s="84"/>
      <c r="Y3305" s="84"/>
      <c r="Z3305" s="84"/>
      <c r="AA3305" s="84"/>
      <c r="AB3305" s="84"/>
    </row>
    <row r="3306">
      <c r="A3306" s="89"/>
      <c r="B3306" s="89"/>
      <c r="C3306" s="89"/>
      <c r="D3306" s="89"/>
      <c r="E3306" s="89"/>
      <c r="F3306" s="89"/>
      <c r="G3306" s="89"/>
      <c r="H3306" s="2"/>
      <c r="I3306" s="90"/>
      <c r="J3306" s="90"/>
      <c r="K3306" s="2"/>
      <c r="L3306" s="49"/>
      <c r="M3306" s="49"/>
      <c r="N3306" s="49"/>
      <c r="O3306" s="49" t="str">
        <f t="shared" si="2"/>
        <v/>
      </c>
      <c r="P3306" s="49" t="str">
        <f t="shared" si="3"/>
        <v/>
      </c>
      <c r="Q3306" s="84"/>
      <c r="R3306" s="84"/>
      <c r="S3306" s="84"/>
      <c r="T3306" s="84"/>
      <c r="U3306" s="84"/>
      <c r="V3306" s="84"/>
      <c r="W3306" s="84"/>
      <c r="X3306" s="84"/>
      <c r="Y3306" s="84"/>
      <c r="Z3306" s="84"/>
      <c r="AA3306" s="84"/>
      <c r="AB3306" s="84"/>
    </row>
    <row r="3307">
      <c r="A3307" s="89"/>
      <c r="B3307" s="89"/>
      <c r="C3307" s="89"/>
      <c r="D3307" s="89"/>
      <c r="E3307" s="89"/>
      <c r="F3307" s="89"/>
      <c r="G3307" s="89"/>
      <c r="H3307" s="2"/>
      <c r="I3307" s="90"/>
      <c r="J3307" s="90"/>
      <c r="K3307" s="2"/>
      <c r="L3307" s="48"/>
      <c r="M3307" s="48"/>
      <c r="N3307" s="48"/>
      <c r="O3307" s="48" t="str">
        <f t="shared" si="2"/>
        <v/>
      </c>
      <c r="P3307" s="48" t="str">
        <f t="shared" si="3"/>
        <v/>
      </c>
      <c r="Q3307" s="84"/>
      <c r="R3307" s="84"/>
      <c r="S3307" s="84"/>
      <c r="T3307" s="84"/>
      <c r="U3307" s="84"/>
      <c r="V3307" s="84"/>
      <c r="W3307" s="84"/>
      <c r="X3307" s="84"/>
      <c r="Y3307" s="84"/>
      <c r="Z3307" s="84"/>
      <c r="AA3307" s="84"/>
      <c r="AB3307" s="84"/>
    </row>
    <row r="3308">
      <c r="A3308" s="89"/>
      <c r="B3308" s="89"/>
      <c r="C3308" s="89"/>
      <c r="D3308" s="89"/>
      <c r="E3308" s="89"/>
      <c r="F3308" s="89"/>
      <c r="G3308" s="89"/>
      <c r="H3308" s="2"/>
      <c r="I3308" s="90"/>
      <c r="J3308" s="90"/>
      <c r="K3308" s="2"/>
      <c r="L3308" s="49"/>
      <c r="M3308" s="49"/>
      <c r="N3308" s="49"/>
      <c r="O3308" s="49" t="str">
        <f t="shared" si="2"/>
        <v/>
      </c>
      <c r="P3308" s="49" t="str">
        <f t="shared" si="3"/>
        <v/>
      </c>
      <c r="Q3308" s="84"/>
      <c r="R3308" s="84"/>
      <c r="S3308" s="84"/>
      <c r="T3308" s="84"/>
      <c r="U3308" s="84"/>
      <c r="V3308" s="84"/>
      <c r="W3308" s="84"/>
      <c r="X3308" s="84"/>
      <c r="Y3308" s="84"/>
      <c r="Z3308" s="84"/>
      <c r="AA3308" s="84"/>
      <c r="AB3308" s="84"/>
    </row>
    <row r="3309">
      <c r="A3309" s="89"/>
      <c r="B3309" s="89"/>
      <c r="C3309" s="89"/>
      <c r="D3309" s="89"/>
      <c r="E3309" s="89"/>
      <c r="F3309" s="89"/>
      <c r="G3309" s="89"/>
      <c r="H3309" s="2"/>
      <c r="I3309" s="90"/>
      <c r="J3309" s="90"/>
      <c r="K3309" s="2"/>
      <c r="L3309" s="48"/>
      <c r="M3309" s="48"/>
      <c r="N3309" s="48"/>
      <c r="O3309" s="48" t="str">
        <f t="shared" si="2"/>
        <v/>
      </c>
      <c r="P3309" s="48" t="str">
        <f t="shared" si="3"/>
        <v/>
      </c>
      <c r="Q3309" s="84"/>
      <c r="R3309" s="84"/>
      <c r="S3309" s="84"/>
      <c r="T3309" s="84"/>
      <c r="U3309" s="84"/>
      <c r="V3309" s="84"/>
      <c r="W3309" s="84"/>
      <c r="X3309" s="84"/>
      <c r="Y3309" s="84"/>
      <c r="Z3309" s="84"/>
      <c r="AA3309" s="84"/>
      <c r="AB3309" s="84"/>
    </row>
    <row r="3310">
      <c r="A3310" s="89"/>
      <c r="B3310" s="89"/>
      <c r="C3310" s="89"/>
      <c r="D3310" s="89"/>
      <c r="E3310" s="89"/>
      <c r="F3310" s="89"/>
      <c r="G3310" s="89"/>
      <c r="H3310" s="2"/>
      <c r="I3310" s="90"/>
      <c r="J3310" s="90"/>
      <c r="K3310" s="2"/>
      <c r="L3310" s="49"/>
      <c r="M3310" s="49"/>
      <c r="N3310" s="49"/>
      <c r="O3310" s="49" t="str">
        <f t="shared" si="2"/>
        <v/>
      </c>
      <c r="P3310" s="49" t="str">
        <f t="shared" si="3"/>
        <v/>
      </c>
      <c r="Q3310" s="84"/>
      <c r="R3310" s="84"/>
      <c r="S3310" s="84"/>
      <c r="T3310" s="84"/>
      <c r="U3310" s="84"/>
      <c r="V3310" s="84"/>
      <c r="W3310" s="84"/>
      <c r="X3310" s="84"/>
      <c r="Y3310" s="84"/>
      <c r="Z3310" s="84"/>
      <c r="AA3310" s="84"/>
      <c r="AB3310" s="84"/>
    </row>
    <row r="3311">
      <c r="A3311" s="89"/>
      <c r="B3311" s="89"/>
      <c r="C3311" s="89"/>
      <c r="D3311" s="89"/>
      <c r="E3311" s="89"/>
      <c r="F3311" s="89"/>
      <c r="G3311" s="89"/>
      <c r="H3311" s="2"/>
      <c r="I3311" s="90"/>
      <c r="J3311" s="90"/>
      <c r="K3311" s="2"/>
      <c r="L3311" s="48"/>
      <c r="M3311" s="48"/>
      <c r="N3311" s="48"/>
      <c r="O3311" s="48" t="str">
        <f t="shared" si="2"/>
        <v/>
      </c>
      <c r="P3311" s="48" t="str">
        <f t="shared" si="3"/>
        <v/>
      </c>
      <c r="Q3311" s="84"/>
      <c r="R3311" s="84"/>
      <c r="S3311" s="84"/>
      <c r="T3311" s="84"/>
      <c r="U3311" s="84"/>
      <c r="V3311" s="84"/>
      <c r="W3311" s="84"/>
      <c r="X3311" s="84"/>
      <c r="Y3311" s="84"/>
      <c r="Z3311" s="84"/>
      <c r="AA3311" s="84"/>
      <c r="AB3311" s="84"/>
    </row>
    <row r="3312">
      <c r="A3312" s="89"/>
      <c r="B3312" s="89"/>
      <c r="C3312" s="89"/>
      <c r="D3312" s="89"/>
      <c r="E3312" s="89"/>
      <c r="F3312" s="89"/>
      <c r="G3312" s="89"/>
      <c r="H3312" s="2"/>
      <c r="I3312" s="90"/>
      <c r="J3312" s="90"/>
      <c r="K3312" s="2"/>
      <c r="L3312" s="49"/>
      <c r="M3312" s="49"/>
      <c r="N3312" s="49"/>
      <c r="O3312" s="49" t="str">
        <f t="shared" si="2"/>
        <v/>
      </c>
      <c r="P3312" s="49" t="str">
        <f t="shared" si="3"/>
        <v/>
      </c>
      <c r="Q3312" s="84"/>
      <c r="R3312" s="84"/>
      <c r="S3312" s="84"/>
      <c r="T3312" s="84"/>
      <c r="U3312" s="84"/>
      <c r="V3312" s="84"/>
      <c r="W3312" s="84"/>
      <c r="X3312" s="84"/>
      <c r="Y3312" s="84"/>
      <c r="Z3312" s="84"/>
      <c r="AA3312" s="84"/>
      <c r="AB3312" s="84"/>
    </row>
    <row r="3313">
      <c r="A3313" s="89"/>
      <c r="B3313" s="89"/>
      <c r="C3313" s="89"/>
      <c r="D3313" s="89"/>
      <c r="E3313" s="89"/>
      <c r="F3313" s="89"/>
      <c r="G3313" s="89"/>
      <c r="H3313" s="2"/>
      <c r="I3313" s="90"/>
      <c r="J3313" s="90"/>
      <c r="K3313" s="2"/>
      <c r="L3313" s="48"/>
      <c r="M3313" s="48"/>
      <c r="N3313" s="48"/>
      <c r="O3313" s="48" t="str">
        <f t="shared" si="2"/>
        <v/>
      </c>
      <c r="P3313" s="48" t="str">
        <f t="shared" si="3"/>
        <v/>
      </c>
      <c r="Q3313" s="84"/>
      <c r="R3313" s="84"/>
      <c r="S3313" s="84"/>
      <c r="T3313" s="84"/>
      <c r="U3313" s="84"/>
      <c r="V3313" s="84"/>
      <c r="W3313" s="84"/>
      <c r="X3313" s="84"/>
      <c r="Y3313" s="84"/>
      <c r="Z3313" s="84"/>
      <c r="AA3313" s="84"/>
      <c r="AB3313" s="84"/>
    </row>
    <row r="3314">
      <c r="A3314" s="89"/>
      <c r="B3314" s="89"/>
      <c r="C3314" s="89"/>
      <c r="D3314" s="89"/>
      <c r="E3314" s="89"/>
      <c r="F3314" s="89"/>
      <c r="G3314" s="89"/>
      <c r="H3314" s="2"/>
      <c r="I3314" s="90"/>
      <c r="J3314" s="90"/>
      <c r="K3314" s="2"/>
      <c r="L3314" s="49"/>
      <c r="M3314" s="49"/>
      <c r="N3314" s="49"/>
      <c r="O3314" s="49" t="str">
        <f t="shared" si="2"/>
        <v/>
      </c>
      <c r="P3314" s="49" t="str">
        <f t="shared" si="3"/>
        <v/>
      </c>
      <c r="Q3314" s="84"/>
      <c r="R3314" s="84"/>
      <c r="S3314" s="84"/>
      <c r="T3314" s="84"/>
      <c r="U3314" s="84"/>
      <c r="V3314" s="84"/>
      <c r="W3314" s="84"/>
      <c r="X3314" s="84"/>
      <c r="Y3314" s="84"/>
      <c r="Z3314" s="84"/>
      <c r="AA3314" s="84"/>
      <c r="AB3314" s="84"/>
    </row>
    <row r="3315">
      <c r="A3315" s="89"/>
      <c r="B3315" s="89"/>
      <c r="C3315" s="89"/>
      <c r="D3315" s="89"/>
      <c r="E3315" s="89"/>
      <c r="F3315" s="89"/>
      <c r="G3315" s="89"/>
      <c r="H3315" s="2"/>
      <c r="I3315" s="90"/>
      <c r="J3315" s="90"/>
      <c r="K3315" s="2"/>
      <c r="L3315" s="48"/>
      <c r="M3315" s="48"/>
      <c r="N3315" s="48"/>
      <c r="O3315" s="48" t="str">
        <f t="shared" si="2"/>
        <v/>
      </c>
      <c r="P3315" s="48" t="str">
        <f t="shared" si="3"/>
        <v/>
      </c>
      <c r="Q3315" s="84"/>
      <c r="R3315" s="84"/>
      <c r="S3315" s="84"/>
      <c r="T3315" s="84"/>
      <c r="U3315" s="84"/>
      <c r="V3315" s="84"/>
      <c r="W3315" s="84"/>
      <c r="X3315" s="84"/>
      <c r="Y3315" s="84"/>
      <c r="Z3315" s="84"/>
      <c r="AA3315" s="84"/>
      <c r="AB3315" s="84"/>
    </row>
    <row r="3316">
      <c r="A3316" s="89"/>
      <c r="B3316" s="89"/>
      <c r="C3316" s="89"/>
      <c r="D3316" s="89"/>
      <c r="E3316" s="89"/>
      <c r="F3316" s="89"/>
      <c r="G3316" s="89"/>
      <c r="H3316" s="2"/>
      <c r="I3316" s="90"/>
      <c r="J3316" s="90"/>
      <c r="K3316" s="2"/>
      <c r="L3316" s="49"/>
      <c r="M3316" s="49"/>
      <c r="N3316" s="49"/>
      <c r="O3316" s="49" t="str">
        <f t="shared" si="2"/>
        <v/>
      </c>
      <c r="P3316" s="49" t="str">
        <f t="shared" si="3"/>
        <v/>
      </c>
      <c r="Q3316" s="84"/>
      <c r="R3316" s="84"/>
      <c r="S3316" s="84"/>
      <c r="T3316" s="84"/>
      <c r="U3316" s="84"/>
      <c r="V3316" s="84"/>
      <c r="W3316" s="84"/>
      <c r="X3316" s="84"/>
      <c r="Y3316" s="84"/>
      <c r="Z3316" s="84"/>
      <c r="AA3316" s="84"/>
      <c r="AB3316" s="84"/>
    </row>
    <row r="3317">
      <c r="A3317" s="89"/>
      <c r="B3317" s="89"/>
      <c r="C3317" s="89"/>
      <c r="D3317" s="89"/>
      <c r="E3317" s="89"/>
      <c r="F3317" s="89"/>
      <c r="G3317" s="89"/>
      <c r="H3317" s="2"/>
      <c r="I3317" s="90"/>
      <c r="J3317" s="90"/>
      <c r="K3317" s="2"/>
      <c r="L3317" s="48"/>
      <c r="M3317" s="48"/>
      <c r="N3317" s="48"/>
      <c r="O3317" s="48" t="str">
        <f t="shared" si="2"/>
        <v/>
      </c>
      <c r="P3317" s="48" t="str">
        <f t="shared" si="3"/>
        <v/>
      </c>
      <c r="Q3317" s="84"/>
      <c r="R3317" s="84"/>
      <c r="S3317" s="84"/>
      <c r="T3317" s="84"/>
      <c r="U3317" s="84"/>
      <c r="V3317" s="84"/>
      <c r="W3317" s="84"/>
      <c r="X3317" s="84"/>
      <c r="Y3317" s="84"/>
      <c r="Z3317" s="84"/>
      <c r="AA3317" s="84"/>
      <c r="AB3317" s="84"/>
    </row>
    <row r="3318">
      <c r="A3318" s="89"/>
      <c r="B3318" s="89"/>
      <c r="C3318" s="89"/>
      <c r="D3318" s="89"/>
      <c r="E3318" s="89"/>
      <c r="F3318" s="89"/>
      <c r="G3318" s="89"/>
      <c r="H3318" s="2"/>
      <c r="I3318" s="90"/>
      <c r="J3318" s="90"/>
      <c r="K3318" s="2"/>
      <c r="L3318" s="49"/>
      <c r="M3318" s="49"/>
      <c r="N3318" s="49"/>
      <c r="O3318" s="49" t="str">
        <f t="shared" si="2"/>
        <v/>
      </c>
      <c r="P3318" s="49" t="str">
        <f t="shared" si="3"/>
        <v/>
      </c>
      <c r="Q3318" s="84"/>
      <c r="R3318" s="84"/>
      <c r="S3318" s="84"/>
      <c r="T3318" s="84"/>
      <c r="U3318" s="84"/>
      <c r="V3318" s="84"/>
      <c r="W3318" s="84"/>
      <c r="X3318" s="84"/>
      <c r="Y3318" s="84"/>
      <c r="Z3318" s="84"/>
      <c r="AA3318" s="84"/>
      <c r="AB3318" s="84"/>
    </row>
    <row r="3319">
      <c r="A3319" s="89"/>
      <c r="B3319" s="89"/>
      <c r="C3319" s="89"/>
      <c r="D3319" s="89"/>
      <c r="E3319" s="89"/>
      <c r="F3319" s="89"/>
      <c r="G3319" s="89"/>
      <c r="H3319" s="2"/>
      <c r="I3319" s="90"/>
      <c r="J3319" s="90"/>
      <c r="K3319" s="2"/>
      <c r="L3319" s="48"/>
      <c r="M3319" s="48"/>
      <c r="N3319" s="48"/>
      <c r="O3319" s="48" t="str">
        <f t="shared" si="2"/>
        <v/>
      </c>
      <c r="P3319" s="48" t="str">
        <f t="shared" si="3"/>
        <v/>
      </c>
      <c r="Q3319" s="84"/>
      <c r="R3319" s="84"/>
      <c r="S3319" s="84"/>
      <c r="T3319" s="84"/>
      <c r="U3319" s="84"/>
      <c r="V3319" s="84"/>
      <c r="W3319" s="84"/>
      <c r="X3319" s="84"/>
      <c r="Y3319" s="84"/>
      <c r="Z3319" s="84"/>
      <c r="AA3319" s="84"/>
      <c r="AB3319" s="84"/>
    </row>
    <row r="3320">
      <c r="A3320" s="89"/>
      <c r="B3320" s="89"/>
      <c r="C3320" s="89"/>
      <c r="D3320" s="89"/>
      <c r="E3320" s="89"/>
      <c r="F3320" s="89"/>
      <c r="G3320" s="89"/>
      <c r="H3320" s="2"/>
      <c r="I3320" s="90"/>
      <c r="J3320" s="90"/>
      <c r="K3320" s="2"/>
      <c r="L3320" s="49"/>
      <c r="M3320" s="49"/>
      <c r="N3320" s="49"/>
      <c r="O3320" s="49" t="str">
        <f t="shared" si="2"/>
        <v/>
      </c>
      <c r="P3320" s="49" t="str">
        <f t="shared" si="3"/>
        <v/>
      </c>
      <c r="Q3320" s="84"/>
      <c r="R3320" s="84"/>
      <c r="S3320" s="84"/>
      <c r="T3320" s="84"/>
      <c r="U3320" s="84"/>
      <c r="V3320" s="84"/>
      <c r="W3320" s="84"/>
      <c r="X3320" s="84"/>
      <c r="Y3320" s="84"/>
      <c r="Z3320" s="84"/>
      <c r="AA3320" s="84"/>
      <c r="AB3320" s="84"/>
    </row>
    <row r="3321">
      <c r="A3321" s="89"/>
      <c r="B3321" s="89"/>
      <c r="C3321" s="89"/>
      <c r="D3321" s="89"/>
      <c r="E3321" s="89"/>
      <c r="F3321" s="89"/>
      <c r="G3321" s="89"/>
      <c r="H3321" s="2"/>
      <c r="I3321" s="90"/>
      <c r="J3321" s="90"/>
      <c r="K3321" s="2"/>
      <c r="L3321" s="48"/>
      <c r="M3321" s="48"/>
      <c r="N3321" s="48"/>
      <c r="O3321" s="48" t="str">
        <f t="shared" si="2"/>
        <v/>
      </c>
      <c r="P3321" s="48" t="str">
        <f t="shared" si="3"/>
        <v/>
      </c>
      <c r="Q3321" s="84"/>
      <c r="R3321" s="84"/>
      <c r="S3321" s="84"/>
      <c r="T3321" s="84"/>
      <c r="U3321" s="84"/>
      <c r="V3321" s="84"/>
      <c r="W3321" s="84"/>
      <c r="X3321" s="84"/>
      <c r="Y3321" s="84"/>
      <c r="Z3321" s="84"/>
      <c r="AA3321" s="84"/>
      <c r="AB3321" s="84"/>
    </row>
    <row r="3322">
      <c r="A3322" s="89"/>
      <c r="B3322" s="89"/>
      <c r="C3322" s="89"/>
      <c r="D3322" s="89"/>
      <c r="E3322" s="89"/>
      <c r="F3322" s="89"/>
      <c r="G3322" s="89"/>
      <c r="H3322" s="2"/>
      <c r="I3322" s="90"/>
      <c r="J3322" s="90"/>
      <c r="K3322" s="2"/>
      <c r="L3322" s="49"/>
      <c r="M3322" s="49"/>
      <c r="N3322" s="49"/>
      <c r="O3322" s="49" t="str">
        <f t="shared" si="2"/>
        <v/>
      </c>
      <c r="P3322" s="49" t="str">
        <f t="shared" si="3"/>
        <v/>
      </c>
      <c r="Q3322" s="84"/>
      <c r="R3322" s="84"/>
      <c r="S3322" s="84"/>
      <c r="T3322" s="84"/>
      <c r="U3322" s="84"/>
      <c r="V3322" s="84"/>
      <c r="W3322" s="84"/>
      <c r="X3322" s="84"/>
      <c r="Y3322" s="84"/>
      <c r="Z3322" s="84"/>
      <c r="AA3322" s="84"/>
      <c r="AB3322" s="84"/>
    </row>
    <row r="3323">
      <c r="A3323" s="89"/>
      <c r="B3323" s="89"/>
      <c r="C3323" s="89"/>
      <c r="D3323" s="89"/>
      <c r="E3323" s="89"/>
      <c r="F3323" s="89"/>
      <c r="G3323" s="89"/>
      <c r="H3323" s="2"/>
      <c r="I3323" s="90"/>
      <c r="J3323" s="90"/>
      <c r="K3323" s="2"/>
      <c r="L3323" s="48"/>
      <c r="M3323" s="48"/>
      <c r="N3323" s="48"/>
      <c r="O3323" s="48" t="str">
        <f t="shared" si="2"/>
        <v/>
      </c>
      <c r="P3323" s="48" t="str">
        <f t="shared" si="3"/>
        <v/>
      </c>
      <c r="Q3323" s="84"/>
      <c r="R3323" s="84"/>
      <c r="S3323" s="84"/>
      <c r="T3323" s="84"/>
      <c r="U3323" s="84"/>
      <c r="V3323" s="84"/>
      <c r="W3323" s="84"/>
      <c r="X3323" s="84"/>
      <c r="Y3323" s="84"/>
      <c r="Z3323" s="84"/>
      <c r="AA3323" s="84"/>
      <c r="AB3323" s="84"/>
    </row>
    <row r="3324">
      <c r="A3324" s="89"/>
      <c r="B3324" s="89"/>
      <c r="C3324" s="89"/>
      <c r="D3324" s="89"/>
      <c r="E3324" s="89"/>
      <c r="F3324" s="89"/>
      <c r="G3324" s="89"/>
      <c r="H3324" s="2"/>
      <c r="I3324" s="90"/>
      <c r="J3324" s="90"/>
      <c r="K3324" s="2"/>
      <c r="L3324" s="49"/>
      <c r="M3324" s="49"/>
      <c r="N3324" s="49"/>
      <c r="O3324" s="49" t="str">
        <f t="shared" si="2"/>
        <v/>
      </c>
      <c r="P3324" s="49" t="str">
        <f t="shared" si="3"/>
        <v/>
      </c>
      <c r="Q3324" s="84"/>
      <c r="R3324" s="84"/>
      <c r="S3324" s="84"/>
      <c r="T3324" s="84"/>
      <c r="U3324" s="84"/>
      <c r="V3324" s="84"/>
      <c r="W3324" s="84"/>
      <c r="X3324" s="84"/>
      <c r="Y3324" s="84"/>
      <c r="Z3324" s="84"/>
      <c r="AA3324" s="84"/>
      <c r="AB3324" s="84"/>
    </row>
    <row r="3325">
      <c r="A3325" s="89"/>
      <c r="B3325" s="89"/>
      <c r="C3325" s="89"/>
      <c r="D3325" s="89"/>
      <c r="E3325" s="89"/>
      <c r="F3325" s="89"/>
      <c r="G3325" s="89"/>
      <c r="H3325" s="2"/>
      <c r="I3325" s="90"/>
      <c r="J3325" s="90"/>
      <c r="K3325" s="2"/>
      <c r="L3325" s="48"/>
      <c r="M3325" s="48"/>
      <c r="N3325" s="48"/>
      <c r="O3325" s="48" t="str">
        <f t="shared" si="2"/>
        <v/>
      </c>
      <c r="P3325" s="48" t="str">
        <f t="shared" si="3"/>
        <v/>
      </c>
      <c r="Q3325" s="84"/>
      <c r="R3325" s="84"/>
      <c r="S3325" s="84"/>
      <c r="T3325" s="84"/>
      <c r="U3325" s="84"/>
      <c r="V3325" s="84"/>
      <c r="W3325" s="84"/>
      <c r="X3325" s="84"/>
      <c r="Y3325" s="84"/>
      <c r="Z3325" s="84"/>
      <c r="AA3325" s="84"/>
      <c r="AB3325" s="84"/>
    </row>
    <row r="3326">
      <c r="A3326" s="89"/>
      <c r="B3326" s="89"/>
      <c r="C3326" s="89"/>
      <c r="D3326" s="89"/>
      <c r="E3326" s="89"/>
      <c r="F3326" s="89"/>
      <c r="G3326" s="89"/>
      <c r="H3326" s="2"/>
      <c r="I3326" s="90"/>
      <c r="J3326" s="90"/>
      <c r="K3326" s="2"/>
      <c r="L3326" s="49"/>
      <c r="M3326" s="49"/>
      <c r="N3326" s="49"/>
      <c r="O3326" s="49" t="str">
        <f t="shared" si="2"/>
        <v/>
      </c>
      <c r="P3326" s="49" t="str">
        <f t="shared" si="3"/>
        <v/>
      </c>
      <c r="Q3326" s="84"/>
      <c r="R3326" s="84"/>
      <c r="S3326" s="84"/>
      <c r="T3326" s="84"/>
      <c r="U3326" s="84"/>
      <c r="V3326" s="84"/>
      <c r="W3326" s="84"/>
      <c r="X3326" s="84"/>
      <c r="Y3326" s="84"/>
      <c r="Z3326" s="84"/>
      <c r="AA3326" s="84"/>
      <c r="AB3326" s="84"/>
    </row>
    <row r="3327">
      <c r="A3327" s="89"/>
      <c r="B3327" s="89"/>
      <c r="C3327" s="89"/>
      <c r="D3327" s="89"/>
      <c r="E3327" s="89"/>
      <c r="F3327" s="89"/>
      <c r="G3327" s="89"/>
      <c r="H3327" s="2"/>
      <c r="I3327" s="90"/>
      <c r="J3327" s="90"/>
      <c r="K3327" s="2"/>
      <c r="L3327" s="48"/>
      <c r="M3327" s="48"/>
      <c r="N3327" s="48"/>
      <c r="O3327" s="48" t="str">
        <f t="shared" si="2"/>
        <v/>
      </c>
      <c r="P3327" s="48" t="str">
        <f t="shared" si="3"/>
        <v/>
      </c>
      <c r="Q3327" s="84"/>
      <c r="R3327" s="84"/>
      <c r="S3327" s="84"/>
      <c r="T3327" s="84"/>
      <c r="U3327" s="84"/>
      <c r="V3327" s="84"/>
      <c r="W3327" s="84"/>
      <c r="X3327" s="84"/>
      <c r="Y3327" s="84"/>
      <c r="Z3327" s="84"/>
      <c r="AA3327" s="84"/>
      <c r="AB3327" s="84"/>
    </row>
    <row r="3328">
      <c r="A3328" s="89"/>
      <c r="B3328" s="89"/>
      <c r="C3328" s="89"/>
      <c r="D3328" s="89"/>
      <c r="E3328" s="89"/>
      <c r="F3328" s="89"/>
      <c r="G3328" s="89"/>
      <c r="H3328" s="2"/>
      <c r="I3328" s="90"/>
      <c r="J3328" s="90"/>
      <c r="K3328" s="2"/>
      <c r="L3328" s="49"/>
      <c r="M3328" s="49"/>
      <c r="N3328" s="49"/>
      <c r="O3328" s="49" t="str">
        <f t="shared" si="2"/>
        <v/>
      </c>
      <c r="P3328" s="49" t="str">
        <f t="shared" si="3"/>
        <v/>
      </c>
      <c r="Q3328" s="84"/>
      <c r="R3328" s="84"/>
      <c r="S3328" s="84"/>
      <c r="T3328" s="84"/>
      <c r="U3328" s="84"/>
      <c r="V3328" s="84"/>
      <c r="W3328" s="84"/>
      <c r="X3328" s="84"/>
      <c r="Y3328" s="84"/>
      <c r="Z3328" s="84"/>
      <c r="AA3328" s="84"/>
      <c r="AB3328" s="84"/>
    </row>
    <row r="3329">
      <c r="A3329" s="89"/>
      <c r="B3329" s="89"/>
      <c r="C3329" s="89"/>
      <c r="D3329" s="89"/>
      <c r="E3329" s="89"/>
      <c r="F3329" s="89"/>
      <c r="G3329" s="89"/>
      <c r="H3329" s="2"/>
      <c r="I3329" s="90"/>
      <c r="J3329" s="90"/>
      <c r="K3329" s="2"/>
      <c r="L3329" s="48"/>
      <c r="M3329" s="48"/>
      <c r="N3329" s="48"/>
      <c r="O3329" s="48" t="str">
        <f t="shared" si="2"/>
        <v/>
      </c>
      <c r="P3329" s="48" t="str">
        <f t="shared" si="3"/>
        <v/>
      </c>
      <c r="Q3329" s="84"/>
      <c r="R3329" s="84"/>
      <c r="S3329" s="84"/>
      <c r="T3329" s="84"/>
      <c r="U3329" s="84"/>
      <c r="V3329" s="84"/>
      <c r="W3329" s="84"/>
      <c r="X3329" s="84"/>
      <c r="Y3329" s="84"/>
      <c r="Z3329" s="84"/>
      <c r="AA3329" s="84"/>
      <c r="AB3329" s="84"/>
    </row>
    <row r="3330">
      <c r="A3330" s="89"/>
      <c r="B3330" s="89"/>
      <c r="C3330" s="89"/>
      <c r="D3330" s="89"/>
      <c r="E3330" s="89"/>
      <c r="F3330" s="89"/>
      <c r="G3330" s="89"/>
      <c r="H3330" s="2"/>
      <c r="I3330" s="90"/>
      <c r="J3330" s="90"/>
      <c r="K3330" s="2"/>
      <c r="L3330" s="49"/>
      <c r="M3330" s="49"/>
      <c r="N3330" s="49"/>
      <c r="O3330" s="49" t="str">
        <f t="shared" si="2"/>
        <v/>
      </c>
      <c r="P3330" s="49" t="str">
        <f t="shared" si="3"/>
        <v/>
      </c>
      <c r="Q3330" s="84"/>
      <c r="R3330" s="84"/>
      <c r="S3330" s="84"/>
      <c r="T3330" s="84"/>
      <c r="U3330" s="84"/>
      <c r="V3330" s="84"/>
      <c r="W3330" s="84"/>
      <c r="X3330" s="84"/>
      <c r="Y3330" s="84"/>
      <c r="Z3330" s="84"/>
      <c r="AA3330" s="84"/>
      <c r="AB3330" s="84"/>
    </row>
    <row r="3331">
      <c r="A3331" s="89"/>
      <c r="B3331" s="89"/>
      <c r="C3331" s="89"/>
      <c r="D3331" s="89"/>
      <c r="E3331" s="89"/>
      <c r="F3331" s="89"/>
      <c r="G3331" s="89"/>
      <c r="H3331" s="2"/>
      <c r="I3331" s="90"/>
      <c r="J3331" s="90"/>
      <c r="K3331" s="2"/>
      <c r="L3331" s="48"/>
      <c r="M3331" s="48"/>
      <c r="N3331" s="48"/>
      <c r="O3331" s="48" t="str">
        <f t="shared" si="2"/>
        <v/>
      </c>
      <c r="P3331" s="48" t="str">
        <f t="shared" si="3"/>
        <v/>
      </c>
      <c r="Q3331" s="84"/>
      <c r="R3331" s="84"/>
      <c r="S3331" s="84"/>
      <c r="T3331" s="84"/>
      <c r="U3331" s="84"/>
      <c r="V3331" s="84"/>
      <c r="W3331" s="84"/>
      <c r="X3331" s="84"/>
      <c r="Y3331" s="84"/>
      <c r="Z3331" s="84"/>
      <c r="AA3331" s="84"/>
      <c r="AB3331" s="84"/>
    </row>
    <row r="3332">
      <c r="A3332" s="89"/>
      <c r="B3332" s="89"/>
      <c r="C3332" s="89"/>
      <c r="D3332" s="89"/>
      <c r="E3332" s="89"/>
      <c r="F3332" s="89"/>
      <c r="G3332" s="89"/>
      <c r="H3332" s="2"/>
      <c r="I3332" s="90"/>
      <c r="J3332" s="90"/>
      <c r="K3332" s="2"/>
      <c r="L3332" s="49"/>
      <c r="M3332" s="49"/>
      <c r="N3332" s="49"/>
      <c r="O3332" s="49" t="str">
        <f t="shared" si="2"/>
        <v/>
      </c>
      <c r="P3332" s="49" t="str">
        <f t="shared" si="3"/>
        <v/>
      </c>
      <c r="Q3332" s="84"/>
      <c r="R3332" s="84"/>
      <c r="S3332" s="84"/>
      <c r="T3332" s="84"/>
      <c r="U3332" s="84"/>
      <c r="V3332" s="84"/>
      <c r="W3332" s="84"/>
      <c r="X3332" s="84"/>
      <c r="Y3332" s="84"/>
      <c r="Z3332" s="84"/>
      <c r="AA3332" s="84"/>
      <c r="AB3332" s="84"/>
    </row>
    <row r="3333">
      <c r="A3333" s="89"/>
      <c r="B3333" s="89"/>
      <c r="C3333" s="89"/>
      <c r="D3333" s="89"/>
      <c r="E3333" s="89"/>
      <c r="F3333" s="89"/>
      <c r="G3333" s="89"/>
      <c r="H3333" s="2"/>
      <c r="I3333" s="90"/>
      <c r="J3333" s="90"/>
      <c r="K3333" s="2"/>
      <c r="L3333" s="48"/>
      <c r="M3333" s="48"/>
      <c r="N3333" s="48"/>
      <c r="O3333" s="48" t="str">
        <f t="shared" si="2"/>
        <v/>
      </c>
      <c r="P3333" s="48" t="str">
        <f t="shared" si="3"/>
        <v/>
      </c>
      <c r="Q3333" s="84"/>
      <c r="R3333" s="84"/>
      <c r="S3333" s="84"/>
      <c r="T3333" s="84"/>
      <c r="U3333" s="84"/>
      <c r="V3333" s="84"/>
      <c r="W3333" s="84"/>
      <c r="X3333" s="84"/>
      <c r="Y3333" s="84"/>
      <c r="Z3333" s="84"/>
      <c r="AA3333" s="84"/>
      <c r="AB3333" s="84"/>
    </row>
    <row r="3334">
      <c r="A3334" s="89"/>
      <c r="B3334" s="89"/>
      <c r="C3334" s="89"/>
      <c r="D3334" s="89"/>
      <c r="E3334" s="89"/>
      <c r="F3334" s="89"/>
      <c r="G3334" s="89"/>
      <c r="H3334" s="2"/>
      <c r="I3334" s="90"/>
      <c r="J3334" s="90"/>
      <c r="K3334" s="2"/>
      <c r="L3334" s="49"/>
      <c r="M3334" s="49"/>
      <c r="N3334" s="49"/>
      <c r="O3334" s="49" t="str">
        <f t="shared" si="2"/>
        <v/>
      </c>
      <c r="P3334" s="49" t="str">
        <f t="shared" si="3"/>
        <v/>
      </c>
      <c r="Q3334" s="84"/>
      <c r="R3334" s="84"/>
      <c r="S3334" s="84"/>
      <c r="T3334" s="84"/>
      <c r="U3334" s="84"/>
      <c r="V3334" s="84"/>
      <c r="W3334" s="84"/>
      <c r="X3334" s="84"/>
      <c r="Y3334" s="84"/>
      <c r="Z3334" s="84"/>
      <c r="AA3334" s="84"/>
      <c r="AB3334" s="84"/>
    </row>
    <row r="3335">
      <c r="A3335" s="89"/>
      <c r="B3335" s="89"/>
      <c r="C3335" s="89"/>
      <c r="D3335" s="89"/>
      <c r="E3335" s="89"/>
      <c r="F3335" s="89"/>
      <c r="G3335" s="89"/>
      <c r="H3335" s="2"/>
      <c r="I3335" s="90"/>
      <c r="J3335" s="90"/>
      <c r="K3335" s="2"/>
      <c r="L3335" s="48"/>
      <c r="M3335" s="48"/>
      <c r="N3335" s="48"/>
      <c r="O3335" s="48" t="str">
        <f t="shared" si="2"/>
        <v/>
      </c>
      <c r="P3335" s="48" t="str">
        <f t="shared" si="3"/>
        <v/>
      </c>
      <c r="Q3335" s="84"/>
      <c r="R3335" s="84"/>
      <c r="S3335" s="84"/>
      <c r="T3335" s="84"/>
      <c r="U3335" s="84"/>
      <c r="V3335" s="84"/>
      <c r="W3335" s="84"/>
      <c r="X3335" s="84"/>
      <c r="Y3335" s="84"/>
      <c r="Z3335" s="84"/>
      <c r="AA3335" s="84"/>
      <c r="AB3335" s="84"/>
    </row>
    <row r="3336">
      <c r="A3336" s="89"/>
      <c r="B3336" s="89"/>
      <c r="C3336" s="89"/>
      <c r="D3336" s="89"/>
      <c r="E3336" s="89"/>
      <c r="F3336" s="89"/>
      <c r="G3336" s="89"/>
      <c r="H3336" s="2"/>
      <c r="I3336" s="90"/>
      <c r="J3336" s="90"/>
      <c r="K3336" s="2"/>
      <c r="L3336" s="49"/>
      <c r="M3336" s="49"/>
      <c r="N3336" s="49"/>
      <c r="O3336" s="49" t="str">
        <f t="shared" si="2"/>
        <v/>
      </c>
      <c r="P3336" s="49" t="str">
        <f t="shared" si="3"/>
        <v/>
      </c>
      <c r="Q3336" s="84"/>
      <c r="R3336" s="84"/>
      <c r="S3336" s="84"/>
      <c r="T3336" s="84"/>
      <c r="U3336" s="84"/>
      <c r="V3336" s="84"/>
      <c r="W3336" s="84"/>
      <c r="X3336" s="84"/>
      <c r="Y3336" s="84"/>
      <c r="Z3336" s="84"/>
      <c r="AA3336" s="84"/>
      <c r="AB3336" s="84"/>
    </row>
    <row r="3337">
      <c r="A3337" s="89"/>
      <c r="B3337" s="89"/>
      <c r="C3337" s="89"/>
      <c r="D3337" s="89"/>
      <c r="E3337" s="89"/>
      <c r="F3337" s="89"/>
      <c r="G3337" s="89"/>
      <c r="H3337" s="2"/>
      <c r="I3337" s="90"/>
      <c r="J3337" s="90"/>
      <c r="K3337" s="2"/>
      <c r="L3337" s="48"/>
      <c r="M3337" s="48"/>
      <c r="N3337" s="48"/>
      <c r="O3337" s="48" t="str">
        <f t="shared" si="2"/>
        <v/>
      </c>
      <c r="P3337" s="48" t="str">
        <f t="shared" si="3"/>
        <v/>
      </c>
      <c r="Q3337" s="84"/>
      <c r="R3337" s="84"/>
      <c r="S3337" s="84"/>
      <c r="T3337" s="84"/>
      <c r="U3337" s="84"/>
      <c r="V3337" s="84"/>
      <c r="W3337" s="84"/>
      <c r="X3337" s="84"/>
      <c r="Y3337" s="84"/>
      <c r="Z3337" s="84"/>
      <c r="AA3337" s="84"/>
      <c r="AB3337" s="84"/>
    </row>
    <row r="3338">
      <c r="A3338" s="89"/>
      <c r="B3338" s="89"/>
      <c r="C3338" s="89"/>
      <c r="D3338" s="89"/>
      <c r="E3338" s="89"/>
      <c r="F3338" s="89"/>
      <c r="G3338" s="89"/>
      <c r="H3338" s="2"/>
      <c r="I3338" s="90"/>
      <c r="J3338" s="90"/>
      <c r="K3338" s="2"/>
      <c r="L3338" s="49"/>
      <c r="M3338" s="49"/>
      <c r="N3338" s="49"/>
      <c r="O3338" s="49" t="str">
        <f t="shared" si="2"/>
        <v/>
      </c>
      <c r="P3338" s="49" t="str">
        <f t="shared" si="3"/>
        <v/>
      </c>
      <c r="Q3338" s="84"/>
      <c r="R3338" s="84"/>
      <c r="S3338" s="84"/>
      <c r="T3338" s="84"/>
      <c r="U3338" s="84"/>
      <c r="V3338" s="84"/>
      <c r="W3338" s="84"/>
      <c r="X3338" s="84"/>
      <c r="Y3338" s="84"/>
      <c r="Z3338" s="84"/>
      <c r="AA3338" s="84"/>
      <c r="AB3338" s="84"/>
    </row>
    <row r="3339">
      <c r="A3339" s="89"/>
      <c r="B3339" s="89"/>
      <c r="C3339" s="89"/>
      <c r="D3339" s="89"/>
      <c r="E3339" s="89"/>
      <c r="F3339" s="89"/>
      <c r="G3339" s="89"/>
      <c r="H3339" s="2"/>
      <c r="I3339" s="90"/>
      <c r="J3339" s="90"/>
      <c r="K3339" s="2"/>
      <c r="L3339" s="48"/>
      <c r="M3339" s="48"/>
      <c r="N3339" s="48"/>
      <c r="O3339" s="48" t="str">
        <f t="shared" si="2"/>
        <v/>
      </c>
      <c r="P3339" s="48" t="str">
        <f t="shared" si="3"/>
        <v/>
      </c>
      <c r="Q3339" s="84"/>
      <c r="R3339" s="84"/>
      <c r="S3339" s="84"/>
      <c r="T3339" s="84"/>
      <c r="U3339" s="84"/>
      <c r="V3339" s="84"/>
      <c r="W3339" s="84"/>
      <c r="X3339" s="84"/>
      <c r="Y3339" s="84"/>
      <c r="Z3339" s="84"/>
      <c r="AA3339" s="84"/>
      <c r="AB3339" s="84"/>
    </row>
    <row r="3340">
      <c r="A3340" s="89"/>
      <c r="B3340" s="89"/>
      <c r="C3340" s="89"/>
      <c r="D3340" s="89"/>
      <c r="E3340" s="89"/>
      <c r="F3340" s="89"/>
      <c r="G3340" s="89"/>
      <c r="H3340" s="2"/>
      <c r="I3340" s="90"/>
      <c r="J3340" s="90"/>
      <c r="K3340" s="2"/>
      <c r="L3340" s="49"/>
      <c r="M3340" s="49"/>
      <c r="N3340" s="49"/>
      <c r="O3340" s="49" t="str">
        <f t="shared" si="2"/>
        <v/>
      </c>
      <c r="P3340" s="49" t="str">
        <f t="shared" si="3"/>
        <v/>
      </c>
      <c r="Q3340" s="84"/>
      <c r="R3340" s="84"/>
      <c r="S3340" s="84"/>
      <c r="T3340" s="84"/>
      <c r="U3340" s="84"/>
      <c r="V3340" s="84"/>
      <c r="W3340" s="84"/>
      <c r="X3340" s="84"/>
      <c r="Y3340" s="84"/>
      <c r="Z3340" s="84"/>
      <c r="AA3340" s="84"/>
      <c r="AB3340" s="84"/>
    </row>
    <row r="3341">
      <c r="A3341" s="89"/>
      <c r="B3341" s="89"/>
      <c r="C3341" s="89"/>
      <c r="D3341" s="89"/>
      <c r="E3341" s="89"/>
      <c r="F3341" s="89"/>
      <c r="G3341" s="89"/>
      <c r="H3341" s="2"/>
      <c r="I3341" s="90"/>
      <c r="J3341" s="90"/>
      <c r="K3341" s="2"/>
      <c r="L3341" s="48"/>
      <c r="M3341" s="48"/>
      <c r="N3341" s="48"/>
      <c r="O3341" s="48" t="str">
        <f t="shared" si="2"/>
        <v/>
      </c>
      <c r="P3341" s="48" t="str">
        <f t="shared" si="3"/>
        <v/>
      </c>
      <c r="Q3341" s="84"/>
      <c r="R3341" s="84"/>
      <c r="S3341" s="84"/>
      <c r="T3341" s="84"/>
      <c r="U3341" s="84"/>
      <c r="V3341" s="84"/>
      <c r="W3341" s="84"/>
      <c r="X3341" s="84"/>
      <c r="Y3341" s="84"/>
      <c r="Z3341" s="84"/>
      <c r="AA3341" s="84"/>
      <c r="AB3341" s="84"/>
    </row>
    <row r="3342">
      <c r="A3342" s="89"/>
      <c r="B3342" s="89"/>
      <c r="C3342" s="89"/>
      <c r="D3342" s="89"/>
      <c r="E3342" s="89"/>
      <c r="F3342" s="89"/>
      <c r="G3342" s="89"/>
      <c r="H3342" s="2"/>
      <c r="I3342" s="90"/>
      <c r="J3342" s="90"/>
      <c r="K3342" s="2"/>
      <c r="L3342" s="49"/>
      <c r="M3342" s="49"/>
      <c r="N3342" s="49"/>
      <c r="O3342" s="49" t="str">
        <f t="shared" si="2"/>
        <v/>
      </c>
      <c r="P3342" s="49" t="str">
        <f t="shared" si="3"/>
        <v/>
      </c>
      <c r="Q3342" s="84"/>
      <c r="R3342" s="84"/>
      <c r="S3342" s="84"/>
      <c r="T3342" s="84"/>
      <c r="U3342" s="84"/>
      <c r="V3342" s="84"/>
      <c r="W3342" s="84"/>
      <c r="X3342" s="84"/>
      <c r="Y3342" s="84"/>
      <c r="Z3342" s="84"/>
      <c r="AA3342" s="84"/>
      <c r="AB3342" s="84"/>
    </row>
    <row r="3343">
      <c r="A3343" s="89"/>
      <c r="B3343" s="89"/>
      <c r="C3343" s="89"/>
      <c r="D3343" s="89"/>
      <c r="E3343" s="89"/>
      <c r="F3343" s="89"/>
      <c r="G3343" s="89"/>
      <c r="H3343" s="2"/>
      <c r="I3343" s="90"/>
      <c r="J3343" s="90"/>
      <c r="K3343" s="2"/>
      <c r="L3343" s="48"/>
      <c r="M3343" s="48"/>
      <c r="N3343" s="48"/>
      <c r="O3343" s="48" t="str">
        <f t="shared" si="2"/>
        <v/>
      </c>
      <c r="P3343" s="48" t="str">
        <f t="shared" si="3"/>
        <v/>
      </c>
      <c r="Q3343" s="84"/>
      <c r="R3343" s="84"/>
      <c r="S3343" s="84"/>
      <c r="T3343" s="84"/>
      <c r="U3343" s="84"/>
      <c r="V3343" s="84"/>
      <c r="W3343" s="84"/>
      <c r="X3343" s="84"/>
      <c r="Y3343" s="84"/>
      <c r="Z3343" s="84"/>
      <c r="AA3343" s="84"/>
      <c r="AB3343" s="84"/>
    </row>
    <row r="3344">
      <c r="A3344" s="89"/>
      <c r="B3344" s="89"/>
      <c r="C3344" s="89"/>
      <c r="D3344" s="89"/>
      <c r="E3344" s="89"/>
      <c r="F3344" s="89"/>
      <c r="G3344" s="89"/>
      <c r="H3344" s="2"/>
      <c r="I3344" s="90"/>
      <c r="J3344" s="90"/>
      <c r="K3344" s="2"/>
      <c r="L3344" s="49"/>
      <c r="M3344" s="49"/>
      <c r="N3344" s="49"/>
      <c r="O3344" s="49" t="str">
        <f t="shared" si="2"/>
        <v/>
      </c>
      <c r="P3344" s="49" t="str">
        <f t="shared" si="3"/>
        <v/>
      </c>
      <c r="Q3344" s="84"/>
      <c r="R3344" s="84"/>
      <c r="S3344" s="84"/>
      <c r="T3344" s="84"/>
      <c r="U3344" s="84"/>
      <c r="V3344" s="84"/>
      <c r="W3344" s="84"/>
      <c r="X3344" s="84"/>
      <c r="Y3344" s="84"/>
      <c r="Z3344" s="84"/>
      <c r="AA3344" s="84"/>
      <c r="AB3344" s="84"/>
    </row>
    <row r="3345">
      <c r="A3345" s="89"/>
      <c r="B3345" s="89"/>
      <c r="C3345" s="89"/>
      <c r="D3345" s="89"/>
      <c r="E3345" s="89"/>
      <c r="F3345" s="89"/>
      <c r="G3345" s="89"/>
      <c r="H3345" s="2"/>
      <c r="I3345" s="90"/>
      <c r="J3345" s="90"/>
      <c r="K3345" s="2"/>
      <c r="L3345" s="48"/>
      <c r="M3345" s="48"/>
      <c r="N3345" s="48"/>
      <c r="O3345" s="48" t="str">
        <f t="shared" si="2"/>
        <v/>
      </c>
      <c r="P3345" s="48" t="str">
        <f t="shared" si="3"/>
        <v/>
      </c>
      <c r="Q3345" s="84"/>
      <c r="R3345" s="84"/>
      <c r="S3345" s="84"/>
      <c r="T3345" s="84"/>
      <c r="U3345" s="84"/>
      <c r="V3345" s="84"/>
      <c r="W3345" s="84"/>
      <c r="X3345" s="84"/>
      <c r="Y3345" s="84"/>
      <c r="Z3345" s="84"/>
      <c r="AA3345" s="84"/>
      <c r="AB3345" s="84"/>
    </row>
    <row r="3346">
      <c r="A3346" s="89"/>
      <c r="B3346" s="89"/>
      <c r="C3346" s="89"/>
      <c r="D3346" s="89"/>
      <c r="E3346" s="89"/>
      <c r="F3346" s="89"/>
      <c r="G3346" s="89"/>
      <c r="H3346" s="2"/>
      <c r="I3346" s="90"/>
      <c r="J3346" s="90"/>
      <c r="K3346" s="2"/>
      <c r="L3346" s="49"/>
      <c r="M3346" s="49"/>
      <c r="N3346" s="49"/>
      <c r="O3346" s="49" t="str">
        <f t="shared" si="2"/>
        <v/>
      </c>
      <c r="P3346" s="49" t="str">
        <f t="shared" si="3"/>
        <v/>
      </c>
      <c r="Q3346" s="84"/>
      <c r="R3346" s="84"/>
      <c r="S3346" s="84"/>
      <c r="T3346" s="84"/>
      <c r="U3346" s="84"/>
      <c r="V3346" s="84"/>
      <c r="W3346" s="84"/>
      <c r="X3346" s="84"/>
      <c r="Y3346" s="84"/>
      <c r="Z3346" s="84"/>
      <c r="AA3346" s="84"/>
      <c r="AB3346" s="84"/>
    </row>
    <row r="3347">
      <c r="A3347" s="89"/>
      <c r="B3347" s="89"/>
      <c r="C3347" s="89"/>
      <c r="D3347" s="89"/>
      <c r="E3347" s="89"/>
      <c r="F3347" s="89"/>
      <c r="G3347" s="89"/>
      <c r="H3347" s="2"/>
      <c r="I3347" s="90"/>
      <c r="J3347" s="90"/>
      <c r="K3347" s="2"/>
      <c r="L3347" s="48"/>
      <c r="M3347" s="48"/>
      <c r="N3347" s="48"/>
      <c r="O3347" s="48" t="str">
        <f t="shared" si="2"/>
        <v/>
      </c>
      <c r="P3347" s="48" t="str">
        <f t="shared" si="3"/>
        <v/>
      </c>
      <c r="Q3347" s="84"/>
      <c r="R3347" s="84"/>
      <c r="S3347" s="84"/>
      <c r="T3347" s="84"/>
      <c r="U3347" s="84"/>
      <c r="V3347" s="84"/>
      <c r="W3347" s="84"/>
      <c r="X3347" s="84"/>
      <c r="Y3347" s="84"/>
      <c r="Z3347" s="84"/>
      <c r="AA3347" s="84"/>
      <c r="AB3347" s="84"/>
    </row>
    <row r="3348">
      <c r="A3348" s="89"/>
      <c r="B3348" s="89"/>
      <c r="C3348" s="89"/>
      <c r="D3348" s="89"/>
      <c r="E3348" s="89"/>
      <c r="F3348" s="89"/>
      <c r="G3348" s="89"/>
      <c r="H3348" s="2"/>
      <c r="I3348" s="90"/>
      <c r="J3348" s="90"/>
      <c r="K3348" s="2"/>
      <c r="L3348" s="49"/>
      <c r="M3348" s="49"/>
      <c r="N3348" s="49"/>
      <c r="O3348" s="49" t="str">
        <f t="shared" si="2"/>
        <v/>
      </c>
      <c r="P3348" s="49" t="str">
        <f t="shared" si="3"/>
        <v/>
      </c>
      <c r="Q3348" s="84"/>
      <c r="R3348" s="84"/>
      <c r="S3348" s="84"/>
      <c r="T3348" s="84"/>
      <c r="U3348" s="84"/>
      <c r="V3348" s="84"/>
      <c r="W3348" s="84"/>
      <c r="X3348" s="84"/>
      <c r="Y3348" s="84"/>
      <c r="Z3348" s="84"/>
      <c r="AA3348" s="84"/>
      <c r="AB3348" s="84"/>
    </row>
    <row r="3349">
      <c r="A3349" s="89"/>
      <c r="B3349" s="89"/>
      <c r="C3349" s="89"/>
      <c r="D3349" s="89"/>
      <c r="E3349" s="89"/>
      <c r="F3349" s="89"/>
      <c r="G3349" s="89"/>
      <c r="H3349" s="2"/>
      <c r="I3349" s="90"/>
      <c r="J3349" s="90"/>
      <c r="K3349" s="2"/>
      <c r="L3349" s="48"/>
      <c r="M3349" s="48"/>
      <c r="N3349" s="48"/>
      <c r="O3349" s="48" t="str">
        <f t="shared" si="2"/>
        <v/>
      </c>
      <c r="P3349" s="48" t="str">
        <f t="shared" si="3"/>
        <v/>
      </c>
      <c r="Q3349" s="84"/>
      <c r="R3349" s="84"/>
      <c r="S3349" s="84"/>
      <c r="T3349" s="84"/>
      <c r="U3349" s="84"/>
      <c r="V3349" s="84"/>
      <c r="W3349" s="84"/>
      <c r="X3349" s="84"/>
      <c r="Y3349" s="84"/>
      <c r="Z3349" s="84"/>
      <c r="AA3349" s="84"/>
      <c r="AB3349" s="84"/>
    </row>
    <row r="3350">
      <c r="A3350" s="89"/>
      <c r="B3350" s="89"/>
      <c r="C3350" s="89"/>
      <c r="D3350" s="89"/>
      <c r="E3350" s="89"/>
      <c r="F3350" s="89"/>
      <c r="G3350" s="89"/>
      <c r="H3350" s="2"/>
      <c r="I3350" s="90"/>
      <c r="J3350" s="90"/>
      <c r="K3350" s="2"/>
      <c r="L3350" s="49"/>
      <c r="M3350" s="49"/>
      <c r="N3350" s="49"/>
      <c r="O3350" s="49" t="str">
        <f t="shared" si="2"/>
        <v/>
      </c>
      <c r="P3350" s="49" t="str">
        <f t="shared" si="3"/>
        <v/>
      </c>
      <c r="Q3350" s="84"/>
      <c r="R3350" s="84"/>
      <c r="S3350" s="84"/>
      <c r="T3350" s="84"/>
      <c r="U3350" s="84"/>
      <c r="V3350" s="84"/>
      <c r="W3350" s="84"/>
      <c r="X3350" s="84"/>
      <c r="Y3350" s="84"/>
      <c r="Z3350" s="84"/>
      <c r="AA3350" s="84"/>
      <c r="AB3350" s="84"/>
    </row>
    <row r="3351">
      <c r="A3351" s="89"/>
      <c r="B3351" s="89"/>
      <c r="C3351" s="89"/>
      <c r="D3351" s="89"/>
      <c r="E3351" s="89"/>
      <c r="F3351" s="89"/>
      <c r="G3351" s="89"/>
      <c r="H3351" s="2"/>
      <c r="I3351" s="90"/>
      <c r="J3351" s="90"/>
      <c r="K3351" s="2"/>
      <c r="L3351" s="48"/>
      <c r="M3351" s="48"/>
      <c r="N3351" s="48"/>
      <c r="O3351" s="48" t="str">
        <f t="shared" si="2"/>
        <v/>
      </c>
      <c r="P3351" s="48" t="str">
        <f t="shared" si="3"/>
        <v/>
      </c>
      <c r="Q3351" s="84"/>
      <c r="R3351" s="84"/>
      <c r="S3351" s="84"/>
      <c r="T3351" s="84"/>
      <c r="U3351" s="84"/>
      <c r="V3351" s="84"/>
      <c r="W3351" s="84"/>
      <c r="X3351" s="84"/>
      <c r="Y3351" s="84"/>
      <c r="Z3351" s="84"/>
      <c r="AA3351" s="84"/>
      <c r="AB3351" s="84"/>
    </row>
    <row r="3352">
      <c r="A3352" s="89"/>
      <c r="B3352" s="89"/>
      <c r="C3352" s="89"/>
      <c r="D3352" s="89"/>
      <c r="E3352" s="89"/>
      <c r="F3352" s="89"/>
      <c r="G3352" s="89"/>
      <c r="H3352" s="2"/>
      <c r="I3352" s="90"/>
      <c r="J3352" s="90"/>
      <c r="K3352" s="2"/>
      <c r="L3352" s="49"/>
      <c r="M3352" s="49"/>
      <c r="N3352" s="49"/>
      <c r="O3352" s="49" t="str">
        <f t="shared" si="2"/>
        <v/>
      </c>
      <c r="P3352" s="49" t="str">
        <f t="shared" si="3"/>
        <v/>
      </c>
      <c r="Q3352" s="84"/>
      <c r="R3352" s="84"/>
      <c r="S3352" s="84"/>
      <c r="T3352" s="84"/>
      <c r="U3352" s="84"/>
      <c r="V3352" s="84"/>
      <c r="W3352" s="84"/>
      <c r="X3352" s="84"/>
      <c r="Y3352" s="84"/>
      <c r="Z3352" s="84"/>
      <c r="AA3352" s="84"/>
      <c r="AB3352" s="84"/>
    </row>
    <row r="3353">
      <c r="A3353" s="89"/>
      <c r="B3353" s="89"/>
      <c r="C3353" s="89"/>
      <c r="D3353" s="89"/>
      <c r="E3353" s="89"/>
      <c r="F3353" s="89"/>
      <c r="G3353" s="89"/>
      <c r="H3353" s="2"/>
      <c r="I3353" s="90"/>
      <c r="J3353" s="90"/>
      <c r="K3353" s="2"/>
      <c r="L3353" s="48"/>
      <c r="M3353" s="48"/>
      <c r="N3353" s="48"/>
      <c r="O3353" s="48" t="str">
        <f t="shared" si="2"/>
        <v/>
      </c>
      <c r="P3353" s="48" t="str">
        <f t="shared" si="3"/>
        <v/>
      </c>
      <c r="Q3353" s="84"/>
      <c r="R3353" s="84"/>
      <c r="S3353" s="84"/>
      <c r="T3353" s="84"/>
      <c r="U3353" s="84"/>
      <c r="V3353" s="84"/>
      <c r="W3353" s="84"/>
      <c r="X3353" s="84"/>
      <c r="Y3353" s="84"/>
      <c r="Z3353" s="84"/>
      <c r="AA3353" s="84"/>
      <c r="AB3353" s="84"/>
    </row>
    <row r="3354">
      <c r="A3354" s="89"/>
      <c r="B3354" s="89"/>
      <c r="C3354" s="89"/>
      <c r="D3354" s="89"/>
      <c r="E3354" s="89"/>
      <c r="F3354" s="89"/>
      <c r="G3354" s="89"/>
      <c r="H3354" s="2"/>
      <c r="I3354" s="90"/>
      <c r="J3354" s="90"/>
      <c r="K3354" s="2"/>
      <c r="L3354" s="49"/>
      <c r="M3354" s="49"/>
      <c r="N3354" s="49"/>
      <c r="O3354" s="49" t="str">
        <f t="shared" si="2"/>
        <v/>
      </c>
      <c r="P3354" s="49" t="str">
        <f t="shared" si="3"/>
        <v/>
      </c>
      <c r="Q3354" s="84"/>
      <c r="R3354" s="84"/>
      <c r="S3354" s="84"/>
      <c r="T3354" s="84"/>
      <c r="U3354" s="84"/>
      <c r="V3354" s="84"/>
      <c r="W3354" s="84"/>
      <c r="X3354" s="84"/>
      <c r="Y3354" s="84"/>
      <c r="Z3354" s="84"/>
      <c r="AA3354" s="84"/>
      <c r="AB3354" s="84"/>
    </row>
    <row r="3355">
      <c r="A3355" s="89"/>
      <c r="B3355" s="89"/>
      <c r="C3355" s="89"/>
      <c r="D3355" s="89"/>
      <c r="E3355" s="89"/>
      <c r="F3355" s="89"/>
      <c r="G3355" s="89"/>
      <c r="H3355" s="2"/>
      <c r="I3355" s="90"/>
      <c r="J3355" s="90"/>
      <c r="K3355" s="2"/>
      <c r="L3355" s="48"/>
      <c r="M3355" s="48"/>
      <c r="N3355" s="48"/>
      <c r="O3355" s="48" t="str">
        <f t="shared" si="2"/>
        <v/>
      </c>
      <c r="P3355" s="48" t="str">
        <f t="shared" si="3"/>
        <v/>
      </c>
      <c r="Q3355" s="84"/>
      <c r="R3355" s="84"/>
      <c r="S3355" s="84"/>
      <c r="T3355" s="84"/>
      <c r="U3355" s="84"/>
      <c r="V3355" s="84"/>
      <c r="W3355" s="84"/>
      <c r="X3355" s="84"/>
      <c r="Y3355" s="84"/>
      <c r="Z3355" s="84"/>
      <c r="AA3355" s="84"/>
      <c r="AB3355" s="84"/>
    </row>
    <row r="3356">
      <c r="A3356" s="89"/>
      <c r="B3356" s="89"/>
      <c r="C3356" s="89"/>
      <c r="D3356" s="89"/>
      <c r="E3356" s="89"/>
      <c r="F3356" s="89"/>
      <c r="G3356" s="89"/>
      <c r="H3356" s="2"/>
      <c r="I3356" s="90"/>
      <c r="J3356" s="90"/>
      <c r="K3356" s="2"/>
      <c r="L3356" s="49"/>
      <c r="M3356" s="49"/>
      <c r="N3356" s="49"/>
      <c r="O3356" s="49" t="str">
        <f t="shared" si="2"/>
        <v/>
      </c>
      <c r="P3356" s="49" t="str">
        <f t="shared" si="3"/>
        <v/>
      </c>
      <c r="Q3356" s="84"/>
      <c r="R3356" s="84"/>
      <c r="S3356" s="84"/>
      <c r="T3356" s="84"/>
      <c r="U3356" s="84"/>
      <c r="V3356" s="84"/>
      <c r="W3356" s="84"/>
      <c r="X3356" s="84"/>
      <c r="Y3356" s="84"/>
      <c r="Z3356" s="84"/>
      <c r="AA3356" s="84"/>
      <c r="AB3356" s="84"/>
    </row>
    <row r="3357">
      <c r="A3357" s="89"/>
      <c r="B3357" s="89"/>
      <c r="C3357" s="89"/>
      <c r="D3357" s="89"/>
      <c r="E3357" s="89"/>
      <c r="F3357" s="89"/>
      <c r="G3357" s="89"/>
      <c r="H3357" s="2"/>
      <c r="I3357" s="90"/>
      <c r="J3357" s="90"/>
      <c r="K3357" s="2"/>
      <c r="L3357" s="48"/>
      <c r="M3357" s="48"/>
      <c r="N3357" s="48"/>
      <c r="O3357" s="48" t="str">
        <f t="shared" si="2"/>
        <v/>
      </c>
      <c r="P3357" s="48" t="str">
        <f t="shared" si="3"/>
        <v/>
      </c>
      <c r="Q3357" s="84"/>
      <c r="R3357" s="84"/>
      <c r="S3357" s="84"/>
      <c r="T3357" s="84"/>
      <c r="U3357" s="84"/>
      <c r="V3357" s="84"/>
      <c r="W3357" s="84"/>
      <c r="X3357" s="84"/>
      <c r="Y3357" s="84"/>
      <c r="Z3357" s="84"/>
      <c r="AA3357" s="84"/>
      <c r="AB3357" s="84"/>
    </row>
    <row r="3358">
      <c r="A3358" s="89"/>
      <c r="B3358" s="89"/>
      <c r="C3358" s="89"/>
      <c r="D3358" s="89"/>
      <c r="E3358" s="89"/>
      <c r="F3358" s="89"/>
      <c r="G3358" s="89"/>
      <c r="H3358" s="2"/>
      <c r="I3358" s="90"/>
      <c r="J3358" s="90"/>
      <c r="K3358" s="2"/>
      <c r="L3358" s="49"/>
      <c r="M3358" s="49"/>
      <c r="N3358" s="49"/>
      <c r="O3358" s="49" t="str">
        <f t="shared" si="2"/>
        <v/>
      </c>
      <c r="P3358" s="49" t="str">
        <f t="shared" si="3"/>
        <v/>
      </c>
      <c r="Q3358" s="84"/>
      <c r="R3358" s="84"/>
      <c r="S3358" s="84"/>
      <c r="T3358" s="84"/>
      <c r="U3358" s="84"/>
      <c r="V3358" s="84"/>
      <c r="W3358" s="84"/>
      <c r="X3358" s="84"/>
      <c r="Y3358" s="84"/>
      <c r="Z3358" s="84"/>
      <c r="AA3358" s="84"/>
      <c r="AB3358" s="84"/>
    </row>
    <row r="3359">
      <c r="A3359" s="89"/>
      <c r="B3359" s="89"/>
      <c r="C3359" s="89"/>
      <c r="D3359" s="89"/>
      <c r="E3359" s="89"/>
      <c r="F3359" s="89"/>
      <c r="G3359" s="89"/>
      <c r="H3359" s="2"/>
      <c r="I3359" s="90"/>
      <c r="J3359" s="90"/>
      <c r="K3359" s="2"/>
      <c r="L3359" s="48"/>
      <c r="M3359" s="48"/>
      <c r="N3359" s="48"/>
      <c r="O3359" s="48" t="str">
        <f t="shared" si="2"/>
        <v/>
      </c>
      <c r="P3359" s="48" t="str">
        <f t="shared" si="3"/>
        <v/>
      </c>
      <c r="Q3359" s="84"/>
      <c r="R3359" s="84"/>
      <c r="S3359" s="84"/>
      <c r="T3359" s="84"/>
      <c r="U3359" s="84"/>
      <c r="V3359" s="84"/>
      <c r="W3359" s="84"/>
      <c r="X3359" s="84"/>
      <c r="Y3359" s="84"/>
      <c r="Z3359" s="84"/>
      <c r="AA3359" s="84"/>
      <c r="AB3359" s="84"/>
    </row>
    <row r="3360">
      <c r="A3360" s="89"/>
      <c r="B3360" s="89"/>
      <c r="C3360" s="89"/>
      <c r="D3360" s="89"/>
      <c r="E3360" s="89"/>
      <c r="F3360" s="89"/>
      <c r="G3360" s="89"/>
      <c r="H3360" s="2"/>
      <c r="I3360" s="90"/>
      <c r="J3360" s="90"/>
      <c r="K3360" s="2"/>
      <c r="L3360" s="49"/>
      <c r="M3360" s="49"/>
      <c r="N3360" s="49"/>
      <c r="O3360" s="49" t="str">
        <f t="shared" si="2"/>
        <v/>
      </c>
      <c r="P3360" s="49" t="str">
        <f t="shared" si="3"/>
        <v/>
      </c>
      <c r="Q3360" s="84"/>
      <c r="R3360" s="84"/>
      <c r="S3360" s="84"/>
      <c r="T3360" s="84"/>
      <c r="U3360" s="84"/>
      <c r="V3360" s="84"/>
      <c r="W3360" s="84"/>
      <c r="X3360" s="84"/>
      <c r="Y3360" s="84"/>
      <c r="Z3360" s="84"/>
      <c r="AA3360" s="84"/>
      <c r="AB3360" s="84"/>
    </row>
    <row r="3361">
      <c r="A3361" s="89"/>
      <c r="B3361" s="89"/>
      <c r="C3361" s="89"/>
      <c r="D3361" s="89"/>
      <c r="E3361" s="89"/>
      <c r="F3361" s="89"/>
      <c r="G3361" s="89"/>
      <c r="H3361" s="2"/>
      <c r="I3361" s="90"/>
      <c r="J3361" s="90"/>
      <c r="K3361" s="2"/>
      <c r="L3361" s="48"/>
      <c r="M3361" s="48"/>
      <c r="N3361" s="48"/>
      <c r="O3361" s="48" t="str">
        <f t="shared" si="2"/>
        <v/>
      </c>
      <c r="P3361" s="48" t="str">
        <f t="shared" si="3"/>
        <v/>
      </c>
      <c r="Q3361" s="84"/>
      <c r="R3361" s="84"/>
      <c r="S3361" s="84"/>
      <c r="T3361" s="84"/>
      <c r="U3361" s="84"/>
      <c r="V3361" s="84"/>
      <c r="W3361" s="84"/>
      <c r="X3361" s="84"/>
      <c r="Y3361" s="84"/>
      <c r="Z3361" s="84"/>
      <c r="AA3361" s="84"/>
      <c r="AB3361" s="84"/>
    </row>
    <row r="3362">
      <c r="A3362" s="89"/>
      <c r="B3362" s="89"/>
      <c r="C3362" s="89"/>
      <c r="D3362" s="89"/>
      <c r="E3362" s="89"/>
      <c r="F3362" s="89"/>
      <c r="G3362" s="89"/>
      <c r="H3362" s="2"/>
      <c r="I3362" s="90"/>
      <c r="J3362" s="90"/>
      <c r="K3362" s="2"/>
      <c r="L3362" s="49"/>
      <c r="M3362" s="49"/>
      <c r="N3362" s="49"/>
      <c r="O3362" s="49" t="str">
        <f t="shared" si="2"/>
        <v/>
      </c>
      <c r="P3362" s="49" t="str">
        <f t="shared" si="3"/>
        <v/>
      </c>
      <c r="Q3362" s="84"/>
      <c r="R3362" s="84"/>
      <c r="S3362" s="84"/>
      <c r="T3362" s="84"/>
      <c r="U3362" s="84"/>
      <c r="V3362" s="84"/>
      <c r="W3362" s="84"/>
      <c r="X3362" s="84"/>
      <c r="Y3362" s="84"/>
      <c r="Z3362" s="84"/>
      <c r="AA3362" s="84"/>
      <c r="AB3362" s="84"/>
    </row>
    <row r="3363">
      <c r="A3363" s="89"/>
      <c r="B3363" s="89"/>
      <c r="C3363" s="89"/>
      <c r="D3363" s="89"/>
      <c r="E3363" s="89"/>
      <c r="F3363" s="89"/>
      <c r="G3363" s="89"/>
      <c r="H3363" s="2"/>
      <c r="I3363" s="90"/>
      <c r="J3363" s="90"/>
      <c r="K3363" s="2"/>
      <c r="L3363" s="48"/>
      <c r="M3363" s="48"/>
      <c r="N3363" s="48"/>
      <c r="O3363" s="48" t="str">
        <f t="shared" si="2"/>
        <v/>
      </c>
      <c r="P3363" s="48" t="str">
        <f t="shared" si="3"/>
        <v/>
      </c>
      <c r="Q3363" s="84"/>
      <c r="R3363" s="84"/>
      <c r="S3363" s="84"/>
      <c r="T3363" s="84"/>
      <c r="U3363" s="84"/>
      <c r="V3363" s="84"/>
      <c r="W3363" s="84"/>
      <c r="X3363" s="84"/>
      <c r="Y3363" s="84"/>
      <c r="Z3363" s="84"/>
      <c r="AA3363" s="84"/>
      <c r="AB3363" s="84"/>
    </row>
    <row r="3364">
      <c r="A3364" s="89"/>
      <c r="B3364" s="89"/>
      <c r="C3364" s="89"/>
      <c r="D3364" s="89"/>
      <c r="E3364" s="89"/>
      <c r="F3364" s="89"/>
      <c r="G3364" s="89"/>
      <c r="H3364" s="2"/>
      <c r="I3364" s="90"/>
      <c r="J3364" s="90"/>
      <c r="K3364" s="2"/>
      <c r="L3364" s="49"/>
      <c r="M3364" s="49"/>
      <c r="N3364" s="49"/>
      <c r="O3364" s="49" t="str">
        <f t="shared" si="2"/>
        <v/>
      </c>
      <c r="P3364" s="49" t="str">
        <f t="shared" si="3"/>
        <v/>
      </c>
      <c r="Q3364" s="84"/>
      <c r="R3364" s="84"/>
      <c r="S3364" s="84"/>
      <c r="T3364" s="84"/>
      <c r="U3364" s="84"/>
      <c r="V3364" s="84"/>
      <c r="W3364" s="84"/>
      <c r="X3364" s="84"/>
      <c r="Y3364" s="84"/>
      <c r="Z3364" s="84"/>
      <c r="AA3364" s="84"/>
      <c r="AB3364" s="84"/>
    </row>
    <row r="3365">
      <c r="A3365" s="89"/>
      <c r="B3365" s="89"/>
      <c r="C3365" s="89"/>
      <c r="D3365" s="89"/>
      <c r="E3365" s="89"/>
      <c r="F3365" s="89"/>
      <c r="G3365" s="89"/>
      <c r="H3365" s="2"/>
      <c r="I3365" s="90"/>
      <c r="J3365" s="90"/>
      <c r="K3365" s="2"/>
      <c r="L3365" s="48"/>
      <c r="M3365" s="48"/>
      <c r="N3365" s="48"/>
      <c r="O3365" s="48" t="str">
        <f t="shared" si="2"/>
        <v/>
      </c>
      <c r="P3365" s="48" t="str">
        <f t="shared" si="3"/>
        <v/>
      </c>
      <c r="Q3365" s="84"/>
      <c r="R3365" s="84"/>
      <c r="S3365" s="84"/>
      <c r="T3365" s="84"/>
      <c r="U3365" s="84"/>
      <c r="V3365" s="84"/>
      <c r="W3365" s="84"/>
      <c r="X3365" s="84"/>
      <c r="Y3365" s="84"/>
      <c r="Z3365" s="84"/>
      <c r="AA3365" s="84"/>
      <c r="AB3365" s="84"/>
    </row>
    <row r="3366">
      <c r="A3366" s="89"/>
      <c r="B3366" s="89"/>
      <c r="C3366" s="89"/>
      <c r="D3366" s="89"/>
      <c r="E3366" s="89"/>
      <c r="F3366" s="89"/>
      <c r="G3366" s="89"/>
      <c r="H3366" s="2"/>
      <c r="I3366" s="90"/>
      <c r="J3366" s="90"/>
      <c r="K3366" s="2"/>
      <c r="L3366" s="49"/>
      <c r="M3366" s="49"/>
      <c r="N3366" s="49"/>
      <c r="O3366" s="49" t="str">
        <f t="shared" si="2"/>
        <v/>
      </c>
      <c r="P3366" s="49" t="str">
        <f t="shared" si="3"/>
        <v/>
      </c>
      <c r="Q3366" s="84"/>
      <c r="R3366" s="84"/>
      <c r="S3366" s="84"/>
      <c r="T3366" s="84"/>
      <c r="U3366" s="84"/>
      <c r="V3366" s="84"/>
      <c r="W3366" s="84"/>
      <c r="X3366" s="84"/>
      <c r="Y3366" s="84"/>
      <c r="Z3366" s="84"/>
      <c r="AA3366" s="84"/>
      <c r="AB3366" s="84"/>
    </row>
    <row r="3367">
      <c r="A3367" s="89"/>
      <c r="B3367" s="89"/>
      <c r="C3367" s="89"/>
      <c r="D3367" s="89"/>
      <c r="E3367" s="89"/>
      <c r="F3367" s="89"/>
      <c r="G3367" s="89"/>
      <c r="H3367" s="2"/>
      <c r="I3367" s="90"/>
      <c r="J3367" s="90"/>
      <c r="K3367" s="2"/>
      <c r="L3367" s="48"/>
      <c r="M3367" s="48"/>
      <c r="N3367" s="48"/>
      <c r="O3367" s="48" t="str">
        <f t="shared" si="2"/>
        <v/>
      </c>
      <c r="P3367" s="48" t="str">
        <f t="shared" si="3"/>
        <v/>
      </c>
      <c r="Q3367" s="84"/>
      <c r="R3367" s="84"/>
      <c r="S3367" s="84"/>
      <c r="T3367" s="84"/>
      <c r="U3367" s="84"/>
      <c r="V3367" s="84"/>
      <c r="W3367" s="84"/>
      <c r="X3367" s="84"/>
      <c r="Y3367" s="84"/>
      <c r="Z3367" s="84"/>
      <c r="AA3367" s="84"/>
      <c r="AB3367" s="84"/>
    </row>
    <row r="3368">
      <c r="A3368" s="89"/>
      <c r="B3368" s="89"/>
      <c r="C3368" s="89"/>
      <c r="D3368" s="89"/>
      <c r="E3368" s="89"/>
      <c r="F3368" s="89"/>
      <c r="G3368" s="89"/>
      <c r="H3368" s="2"/>
      <c r="I3368" s="90"/>
      <c r="J3368" s="90"/>
      <c r="K3368" s="2"/>
      <c r="L3368" s="49"/>
      <c r="M3368" s="49"/>
      <c r="N3368" s="49"/>
      <c r="O3368" s="49" t="str">
        <f t="shared" si="2"/>
        <v/>
      </c>
      <c r="P3368" s="49" t="str">
        <f t="shared" si="3"/>
        <v/>
      </c>
      <c r="Q3368" s="84"/>
      <c r="R3368" s="84"/>
      <c r="S3368" s="84"/>
      <c r="T3368" s="84"/>
      <c r="U3368" s="84"/>
      <c r="V3368" s="84"/>
      <c r="W3368" s="84"/>
      <c r="X3368" s="84"/>
      <c r="Y3368" s="84"/>
      <c r="Z3368" s="84"/>
      <c r="AA3368" s="84"/>
      <c r="AB3368" s="84"/>
    </row>
    <row r="3369">
      <c r="A3369" s="89"/>
      <c r="B3369" s="89"/>
      <c r="C3369" s="89"/>
      <c r="D3369" s="89"/>
      <c r="E3369" s="89"/>
      <c r="F3369" s="89"/>
      <c r="G3369" s="89"/>
      <c r="H3369" s="2"/>
      <c r="I3369" s="90"/>
      <c r="J3369" s="90"/>
      <c r="K3369" s="2"/>
      <c r="L3369" s="48"/>
      <c r="M3369" s="48"/>
      <c r="N3369" s="48"/>
      <c r="O3369" s="48" t="str">
        <f t="shared" si="2"/>
        <v/>
      </c>
      <c r="P3369" s="48" t="str">
        <f t="shared" si="3"/>
        <v/>
      </c>
      <c r="Q3369" s="84"/>
      <c r="R3369" s="84"/>
      <c r="S3369" s="84"/>
      <c r="T3369" s="84"/>
      <c r="U3369" s="84"/>
      <c r="V3369" s="84"/>
      <c r="W3369" s="84"/>
      <c r="X3369" s="84"/>
      <c r="Y3369" s="84"/>
      <c r="Z3369" s="84"/>
      <c r="AA3369" s="84"/>
      <c r="AB3369" s="84"/>
    </row>
    <row r="3370">
      <c r="A3370" s="89"/>
      <c r="B3370" s="89"/>
      <c r="C3370" s="89"/>
      <c r="D3370" s="89"/>
      <c r="E3370" s="89"/>
      <c r="F3370" s="89"/>
      <c r="G3370" s="89"/>
      <c r="H3370" s="2"/>
      <c r="I3370" s="90"/>
      <c r="J3370" s="90"/>
      <c r="K3370" s="2"/>
      <c r="L3370" s="49"/>
      <c r="M3370" s="49"/>
      <c r="N3370" s="49"/>
      <c r="O3370" s="49" t="str">
        <f t="shared" si="2"/>
        <v/>
      </c>
      <c r="P3370" s="49" t="str">
        <f t="shared" si="3"/>
        <v/>
      </c>
      <c r="Q3370" s="84"/>
      <c r="R3370" s="84"/>
      <c r="S3370" s="84"/>
      <c r="T3370" s="84"/>
      <c r="U3370" s="84"/>
      <c r="V3370" s="84"/>
      <c r="W3370" s="84"/>
      <c r="X3370" s="84"/>
      <c r="Y3370" s="84"/>
      <c r="Z3370" s="84"/>
      <c r="AA3370" s="84"/>
      <c r="AB3370" s="84"/>
    </row>
    <row r="3371">
      <c r="A3371" s="89"/>
      <c r="B3371" s="89"/>
      <c r="C3371" s="89"/>
      <c r="D3371" s="89"/>
      <c r="E3371" s="89"/>
      <c r="F3371" s="89"/>
      <c r="G3371" s="89"/>
      <c r="H3371" s="2"/>
      <c r="I3371" s="90"/>
      <c r="J3371" s="90"/>
      <c r="K3371" s="2"/>
      <c r="L3371" s="48"/>
      <c r="M3371" s="48"/>
      <c r="N3371" s="48"/>
      <c r="O3371" s="48" t="str">
        <f t="shared" si="2"/>
        <v/>
      </c>
      <c r="P3371" s="48" t="str">
        <f t="shared" si="3"/>
        <v/>
      </c>
      <c r="Q3371" s="84"/>
      <c r="R3371" s="84"/>
      <c r="S3371" s="84"/>
      <c r="T3371" s="84"/>
      <c r="U3371" s="84"/>
      <c r="V3371" s="84"/>
      <c r="W3371" s="84"/>
      <c r="X3371" s="84"/>
      <c r="Y3371" s="84"/>
      <c r="Z3371" s="84"/>
      <c r="AA3371" s="84"/>
      <c r="AB3371" s="84"/>
    </row>
    <row r="3372">
      <c r="A3372" s="89"/>
      <c r="B3372" s="89"/>
      <c r="C3372" s="89"/>
      <c r="D3372" s="89"/>
      <c r="E3372" s="89"/>
      <c r="F3372" s="89"/>
      <c r="G3372" s="89"/>
      <c r="H3372" s="2"/>
      <c r="I3372" s="90"/>
      <c r="J3372" s="90"/>
      <c r="K3372" s="2"/>
      <c r="L3372" s="49"/>
      <c r="M3372" s="49"/>
      <c r="N3372" s="49"/>
      <c r="O3372" s="49" t="str">
        <f t="shared" si="2"/>
        <v/>
      </c>
      <c r="P3372" s="49" t="str">
        <f t="shared" si="3"/>
        <v/>
      </c>
      <c r="Q3372" s="84"/>
      <c r="R3372" s="84"/>
      <c r="S3372" s="84"/>
      <c r="T3372" s="84"/>
      <c r="U3372" s="84"/>
      <c r="V3372" s="84"/>
      <c r="W3372" s="84"/>
      <c r="X3372" s="84"/>
      <c r="Y3372" s="84"/>
      <c r="Z3372" s="84"/>
      <c r="AA3372" s="84"/>
      <c r="AB3372" s="84"/>
    </row>
    <row r="3373">
      <c r="A3373" s="89"/>
      <c r="B3373" s="89"/>
      <c r="C3373" s="89"/>
      <c r="D3373" s="89"/>
      <c r="E3373" s="89"/>
      <c r="F3373" s="89"/>
      <c r="G3373" s="89"/>
      <c r="H3373" s="2"/>
      <c r="I3373" s="90"/>
      <c r="J3373" s="90"/>
      <c r="K3373" s="2"/>
      <c r="L3373" s="48"/>
      <c r="M3373" s="48"/>
      <c r="N3373" s="48"/>
      <c r="O3373" s="48" t="str">
        <f t="shared" si="2"/>
        <v/>
      </c>
      <c r="P3373" s="48" t="str">
        <f t="shared" si="3"/>
        <v/>
      </c>
      <c r="Q3373" s="84"/>
      <c r="R3373" s="84"/>
      <c r="S3373" s="84"/>
      <c r="T3373" s="84"/>
      <c r="U3373" s="84"/>
      <c r="V3373" s="84"/>
      <c r="W3373" s="84"/>
      <c r="X3373" s="84"/>
      <c r="Y3373" s="84"/>
      <c r="Z3373" s="84"/>
      <c r="AA3373" s="84"/>
      <c r="AB3373" s="84"/>
    </row>
    <row r="3374">
      <c r="A3374" s="89"/>
      <c r="B3374" s="89"/>
      <c r="C3374" s="89"/>
      <c r="D3374" s="89"/>
      <c r="E3374" s="89"/>
      <c r="F3374" s="89"/>
      <c r="G3374" s="89"/>
      <c r="H3374" s="2"/>
      <c r="I3374" s="90"/>
      <c r="J3374" s="90"/>
      <c r="K3374" s="2"/>
      <c r="L3374" s="49"/>
      <c r="M3374" s="49"/>
      <c r="N3374" s="49"/>
      <c r="O3374" s="49" t="str">
        <f t="shared" si="2"/>
        <v/>
      </c>
      <c r="P3374" s="49" t="str">
        <f t="shared" si="3"/>
        <v/>
      </c>
      <c r="Q3374" s="84"/>
      <c r="R3374" s="84"/>
      <c r="S3374" s="84"/>
      <c r="T3374" s="84"/>
      <c r="U3374" s="84"/>
      <c r="V3374" s="84"/>
      <c r="W3374" s="84"/>
      <c r="X3374" s="84"/>
      <c r="Y3374" s="84"/>
      <c r="Z3374" s="84"/>
      <c r="AA3374" s="84"/>
      <c r="AB3374" s="84"/>
    </row>
    <row r="3375">
      <c r="A3375" s="89"/>
      <c r="B3375" s="89"/>
      <c r="C3375" s="89"/>
      <c r="D3375" s="89"/>
      <c r="E3375" s="89"/>
      <c r="F3375" s="89"/>
      <c r="G3375" s="89"/>
      <c r="H3375" s="2"/>
      <c r="I3375" s="90"/>
      <c r="J3375" s="90"/>
      <c r="K3375" s="2"/>
      <c r="L3375" s="48"/>
      <c r="M3375" s="48"/>
      <c r="N3375" s="48"/>
      <c r="O3375" s="48" t="str">
        <f t="shared" si="2"/>
        <v/>
      </c>
      <c r="P3375" s="48" t="str">
        <f t="shared" si="3"/>
        <v/>
      </c>
      <c r="Q3375" s="84"/>
      <c r="R3375" s="84"/>
      <c r="S3375" s="84"/>
      <c r="T3375" s="84"/>
      <c r="U3375" s="84"/>
      <c r="V3375" s="84"/>
      <c r="W3375" s="84"/>
      <c r="X3375" s="84"/>
      <c r="Y3375" s="84"/>
      <c r="Z3375" s="84"/>
      <c r="AA3375" s="84"/>
      <c r="AB3375" s="84"/>
    </row>
    <row r="3376">
      <c r="A3376" s="89"/>
      <c r="B3376" s="89"/>
      <c r="C3376" s="89"/>
      <c r="D3376" s="89"/>
      <c r="E3376" s="89"/>
      <c r="F3376" s="89"/>
      <c r="G3376" s="89"/>
      <c r="H3376" s="2"/>
      <c r="I3376" s="90"/>
      <c r="J3376" s="90"/>
      <c r="K3376" s="2"/>
      <c r="L3376" s="49"/>
      <c r="M3376" s="49"/>
      <c r="N3376" s="49"/>
      <c r="O3376" s="49" t="str">
        <f t="shared" si="2"/>
        <v/>
      </c>
      <c r="P3376" s="49" t="str">
        <f t="shared" si="3"/>
        <v/>
      </c>
      <c r="Q3376" s="84"/>
      <c r="R3376" s="84"/>
      <c r="S3376" s="84"/>
      <c r="T3376" s="84"/>
      <c r="U3376" s="84"/>
      <c r="V3376" s="84"/>
      <c r="W3376" s="84"/>
      <c r="X3376" s="84"/>
      <c r="Y3376" s="84"/>
      <c r="Z3376" s="84"/>
      <c r="AA3376" s="84"/>
      <c r="AB3376" s="84"/>
    </row>
    <row r="3377">
      <c r="A3377" s="89"/>
      <c r="B3377" s="89"/>
      <c r="C3377" s="89"/>
      <c r="D3377" s="89"/>
      <c r="E3377" s="89"/>
      <c r="F3377" s="89"/>
      <c r="G3377" s="89"/>
      <c r="H3377" s="2"/>
      <c r="I3377" s="90"/>
      <c r="J3377" s="90"/>
      <c r="K3377" s="2"/>
      <c r="L3377" s="48"/>
      <c r="M3377" s="48"/>
      <c r="N3377" s="48"/>
      <c r="O3377" s="48" t="str">
        <f t="shared" si="2"/>
        <v/>
      </c>
      <c r="P3377" s="48" t="str">
        <f t="shared" si="3"/>
        <v/>
      </c>
      <c r="Q3377" s="84"/>
      <c r="R3377" s="84"/>
      <c r="S3377" s="84"/>
      <c r="T3377" s="84"/>
      <c r="U3377" s="84"/>
      <c r="V3377" s="84"/>
      <c r="W3377" s="84"/>
      <c r="X3377" s="84"/>
      <c r="Y3377" s="84"/>
      <c r="Z3377" s="84"/>
      <c r="AA3377" s="84"/>
      <c r="AB3377" s="84"/>
    </row>
    <row r="3378">
      <c r="A3378" s="89"/>
      <c r="B3378" s="89"/>
      <c r="C3378" s="89"/>
      <c r="D3378" s="89"/>
      <c r="E3378" s="89"/>
      <c r="F3378" s="89"/>
      <c r="G3378" s="89"/>
      <c r="H3378" s="2"/>
      <c r="I3378" s="90"/>
      <c r="J3378" s="90"/>
      <c r="K3378" s="2"/>
      <c r="L3378" s="49"/>
      <c r="M3378" s="49"/>
      <c r="N3378" s="49"/>
      <c r="O3378" s="49" t="str">
        <f t="shared" si="2"/>
        <v/>
      </c>
      <c r="P3378" s="49" t="str">
        <f t="shared" si="3"/>
        <v/>
      </c>
      <c r="Q3378" s="84"/>
      <c r="R3378" s="84"/>
      <c r="S3378" s="84"/>
      <c r="T3378" s="84"/>
      <c r="U3378" s="84"/>
      <c r="V3378" s="84"/>
      <c r="W3378" s="84"/>
      <c r="X3378" s="84"/>
      <c r="Y3378" s="84"/>
      <c r="Z3378" s="84"/>
      <c r="AA3378" s="84"/>
      <c r="AB3378" s="84"/>
    </row>
    <row r="3379">
      <c r="A3379" s="89"/>
      <c r="B3379" s="89"/>
      <c r="C3379" s="89"/>
      <c r="D3379" s="89"/>
      <c r="E3379" s="89"/>
      <c r="F3379" s="89"/>
      <c r="G3379" s="89"/>
      <c r="H3379" s="2"/>
      <c r="I3379" s="90"/>
      <c r="J3379" s="90"/>
      <c r="K3379" s="2"/>
      <c r="L3379" s="48"/>
      <c r="M3379" s="48"/>
      <c r="N3379" s="48"/>
      <c r="O3379" s="48" t="str">
        <f t="shared" si="2"/>
        <v/>
      </c>
      <c r="P3379" s="48" t="str">
        <f t="shared" si="3"/>
        <v/>
      </c>
      <c r="Q3379" s="84"/>
      <c r="R3379" s="84"/>
      <c r="S3379" s="84"/>
      <c r="T3379" s="84"/>
      <c r="U3379" s="84"/>
      <c r="V3379" s="84"/>
      <c r="W3379" s="84"/>
      <c r="X3379" s="84"/>
      <c r="Y3379" s="84"/>
      <c r="Z3379" s="84"/>
      <c r="AA3379" s="84"/>
      <c r="AB3379" s="84"/>
    </row>
    <row r="3380">
      <c r="A3380" s="89"/>
      <c r="B3380" s="89"/>
      <c r="C3380" s="89"/>
      <c r="D3380" s="89"/>
      <c r="E3380" s="89"/>
      <c r="F3380" s="89"/>
      <c r="G3380" s="89"/>
      <c r="H3380" s="2"/>
      <c r="I3380" s="90"/>
      <c r="J3380" s="90"/>
      <c r="K3380" s="2"/>
      <c r="L3380" s="49"/>
      <c r="M3380" s="49"/>
      <c r="N3380" s="49"/>
      <c r="O3380" s="49" t="str">
        <f t="shared" si="2"/>
        <v/>
      </c>
      <c r="P3380" s="49" t="str">
        <f t="shared" si="3"/>
        <v/>
      </c>
      <c r="Q3380" s="84"/>
      <c r="R3380" s="84"/>
      <c r="S3380" s="84"/>
      <c r="T3380" s="84"/>
      <c r="U3380" s="84"/>
      <c r="V3380" s="84"/>
      <c r="W3380" s="84"/>
      <c r="X3380" s="84"/>
      <c r="Y3380" s="84"/>
      <c r="Z3380" s="84"/>
      <c r="AA3380" s="84"/>
      <c r="AB3380" s="84"/>
    </row>
    <row r="3381">
      <c r="A3381" s="89"/>
      <c r="B3381" s="89"/>
      <c r="C3381" s="89"/>
      <c r="D3381" s="89"/>
      <c r="E3381" s="89"/>
      <c r="F3381" s="89"/>
      <c r="G3381" s="89"/>
      <c r="H3381" s="2"/>
      <c r="I3381" s="90"/>
      <c r="J3381" s="90"/>
      <c r="K3381" s="2"/>
      <c r="L3381" s="48"/>
      <c r="M3381" s="48"/>
      <c r="N3381" s="48"/>
      <c r="O3381" s="48" t="str">
        <f t="shared" si="2"/>
        <v/>
      </c>
      <c r="P3381" s="48" t="str">
        <f t="shared" si="3"/>
        <v/>
      </c>
      <c r="Q3381" s="84"/>
      <c r="R3381" s="84"/>
      <c r="S3381" s="84"/>
      <c r="T3381" s="84"/>
      <c r="U3381" s="84"/>
      <c r="V3381" s="84"/>
      <c r="W3381" s="84"/>
      <c r="X3381" s="84"/>
      <c r="Y3381" s="84"/>
      <c r="Z3381" s="84"/>
      <c r="AA3381" s="84"/>
      <c r="AB3381" s="84"/>
    </row>
    <row r="3382">
      <c r="A3382" s="89"/>
      <c r="B3382" s="89"/>
      <c r="C3382" s="89"/>
      <c r="D3382" s="89"/>
      <c r="E3382" s="89"/>
      <c r="F3382" s="89"/>
      <c r="G3382" s="89"/>
      <c r="H3382" s="2"/>
      <c r="I3382" s="90"/>
      <c r="J3382" s="90"/>
      <c r="K3382" s="2"/>
      <c r="L3382" s="49"/>
      <c r="M3382" s="49"/>
      <c r="N3382" s="49"/>
      <c r="O3382" s="49" t="str">
        <f t="shared" si="2"/>
        <v/>
      </c>
      <c r="P3382" s="49" t="str">
        <f t="shared" si="3"/>
        <v/>
      </c>
      <c r="Q3382" s="84"/>
      <c r="R3382" s="84"/>
      <c r="S3382" s="84"/>
      <c r="T3382" s="84"/>
      <c r="U3382" s="84"/>
      <c r="V3382" s="84"/>
      <c r="W3382" s="84"/>
      <c r="X3382" s="84"/>
      <c r="Y3382" s="84"/>
      <c r="Z3382" s="84"/>
      <c r="AA3382" s="84"/>
      <c r="AB3382" s="84"/>
    </row>
    <row r="3383">
      <c r="A3383" s="89"/>
      <c r="B3383" s="89"/>
      <c r="C3383" s="89"/>
      <c r="D3383" s="89"/>
      <c r="E3383" s="89"/>
      <c r="F3383" s="89"/>
      <c r="G3383" s="89"/>
      <c r="H3383" s="2"/>
      <c r="I3383" s="90"/>
      <c r="J3383" s="90"/>
      <c r="K3383" s="2"/>
      <c r="L3383" s="48"/>
      <c r="M3383" s="48"/>
      <c r="N3383" s="48"/>
      <c r="O3383" s="48" t="str">
        <f t="shared" si="2"/>
        <v/>
      </c>
      <c r="P3383" s="48" t="str">
        <f t="shared" si="3"/>
        <v/>
      </c>
      <c r="Q3383" s="84"/>
      <c r="R3383" s="84"/>
      <c r="S3383" s="84"/>
      <c r="T3383" s="84"/>
      <c r="U3383" s="84"/>
      <c r="V3383" s="84"/>
      <c r="W3383" s="84"/>
      <c r="X3383" s="84"/>
      <c r="Y3383" s="84"/>
      <c r="Z3383" s="84"/>
      <c r="AA3383" s="84"/>
      <c r="AB3383" s="84"/>
    </row>
    <row r="3384">
      <c r="A3384" s="89"/>
      <c r="B3384" s="89"/>
      <c r="C3384" s="89"/>
      <c r="D3384" s="89"/>
      <c r="E3384" s="89"/>
      <c r="F3384" s="89"/>
      <c r="G3384" s="89"/>
      <c r="H3384" s="2"/>
      <c r="I3384" s="90"/>
      <c r="J3384" s="90"/>
      <c r="K3384" s="2"/>
      <c r="L3384" s="49"/>
      <c r="M3384" s="49"/>
      <c r="N3384" s="49"/>
      <c r="O3384" s="49" t="str">
        <f t="shared" si="2"/>
        <v/>
      </c>
      <c r="P3384" s="49" t="str">
        <f t="shared" si="3"/>
        <v/>
      </c>
      <c r="Q3384" s="84"/>
      <c r="R3384" s="84"/>
      <c r="S3384" s="84"/>
      <c r="T3384" s="84"/>
      <c r="U3384" s="84"/>
      <c r="V3384" s="84"/>
      <c r="W3384" s="84"/>
      <c r="X3384" s="84"/>
      <c r="Y3384" s="84"/>
      <c r="Z3384" s="84"/>
      <c r="AA3384" s="84"/>
      <c r="AB3384" s="84"/>
    </row>
    <row r="3385">
      <c r="A3385" s="89"/>
      <c r="B3385" s="89"/>
      <c r="C3385" s="89"/>
      <c r="D3385" s="89"/>
      <c r="E3385" s="89"/>
      <c r="F3385" s="89"/>
      <c r="G3385" s="89"/>
      <c r="H3385" s="2"/>
      <c r="I3385" s="90"/>
      <c r="J3385" s="90"/>
      <c r="K3385" s="2"/>
      <c r="L3385" s="48"/>
      <c r="M3385" s="48"/>
      <c r="N3385" s="48"/>
      <c r="O3385" s="48" t="str">
        <f t="shared" si="2"/>
        <v/>
      </c>
      <c r="P3385" s="48" t="str">
        <f t="shared" si="3"/>
        <v/>
      </c>
      <c r="Q3385" s="84"/>
      <c r="R3385" s="84"/>
      <c r="S3385" s="84"/>
      <c r="T3385" s="84"/>
      <c r="U3385" s="84"/>
      <c r="V3385" s="84"/>
      <c r="W3385" s="84"/>
      <c r="X3385" s="84"/>
      <c r="Y3385" s="84"/>
      <c r="Z3385" s="84"/>
      <c r="AA3385" s="84"/>
      <c r="AB3385" s="84"/>
    </row>
    <row r="3386">
      <c r="A3386" s="89"/>
      <c r="B3386" s="89"/>
      <c r="C3386" s="89"/>
      <c r="D3386" s="89"/>
      <c r="E3386" s="89"/>
      <c r="F3386" s="89"/>
      <c r="G3386" s="89"/>
      <c r="H3386" s="2"/>
      <c r="I3386" s="90"/>
      <c r="J3386" s="90"/>
      <c r="K3386" s="2"/>
      <c r="L3386" s="49"/>
      <c r="M3386" s="49"/>
      <c r="N3386" s="49"/>
      <c r="O3386" s="49" t="str">
        <f t="shared" si="2"/>
        <v/>
      </c>
      <c r="P3386" s="49" t="str">
        <f t="shared" si="3"/>
        <v/>
      </c>
      <c r="Q3386" s="84"/>
      <c r="R3386" s="84"/>
      <c r="S3386" s="84"/>
      <c r="T3386" s="84"/>
      <c r="U3386" s="84"/>
      <c r="V3386" s="84"/>
      <c r="W3386" s="84"/>
      <c r="X3386" s="84"/>
      <c r="Y3386" s="84"/>
      <c r="Z3386" s="84"/>
      <c r="AA3386" s="84"/>
      <c r="AB3386" s="84"/>
    </row>
    <row r="3387">
      <c r="A3387" s="89"/>
      <c r="B3387" s="89"/>
      <c r="C3387" s="89"/>
      <c r="D3387" s="89"/>
      <c r="E3387" s="89"/>
      <c r="F3387" s="89"/>
      <c r="G3387" s="89"/>
      <c r="H3387" s="2"/>
      <c r="I3387" s="90"/>
      <c r="J3387" s="90"/>
      <c r="K3387" s="2"/>
      <c r="L3387" s="48"/>
      <c r="M3387" s="48"/>
      <c r="N3387" s="48"/>
      <c r="O3387" s="48" t="str">
        <f t="shared" si="2"/>
        <v/>
      </c>
      <c r="P3387" s="48" t="str">
        <f t="shared" si="3"/>
        <v/>
      </c>
      <c r="Q3387" s="84"/>
      <c r="R3387" s="84"/>
      <c r="S3387" s="84"/>
      <c r="T3387" s="84"/>
      <c r="U3387" s="84"/>
      <c r="V3387" s="84"/>
      <c r="W3387" s="84"/>
      <c r="X3387" s="84"/>
      <c r="Y3387" s="84"/>
      <c r="Z3387" s="84"/>
      <c r="AA3387" s="84"/>
      <c r="AB3387" s="84"/>
    </row>
    <row r="3388">
      <c r="A3388" s="89"/>
      <c r="B3388" s="89"/>
      <c r="C3388" s="89"/>
      <c r="D3388" s="89"/>
      <c r="E3388" s="89"/>
      <c r="F3388" s="89"/>
      <c r="G3388" s="89"/>
      <c r="H3388" s="2"/>
      <c r="I3388" s="90"/>
      <c r="J3388" s="90"/>
      <c r="K3388" s="2"/>
      <c r="L3388" s="49"/>
      <c r="M3388" s="49"/>
      <c r="N3388" s="49"/>
      <c r="O3388" s="49" t="str">
        <f t="shared" si="2"/>
        <v/>
      </c>
      <c r="P3388" s="49" t="str">
        <f t="shared" si="3"/>
        <v/>
      </c>
      <c r="Q3388" s="84"/>
      <c r="R3388" s="84"/>
      <c r="S3388" s="84"/>
      <c r="T3388" s="84"/>
      <c r="U3388" s="84"/>
      <c r="V3388" s="84"/>
      <c r="W3388" s="84"/>
      <c r="X3388" s="84"/>
      <c r="Y3388" s="84"/>
      <c r="Z3388" s="84"/>
      <c r="AA3388" s="84"/>
      <c r="AB3388" s="84"/>
    </row>
    <row r="3389">
      <c r="A3389" s="89"/>
      <c r="B3389" s="89"/>
      <c r="C3389" s="89"/>
      <c r="D3389" s="89"/>
      <c r="E3389" s="89"/>
      <c r="F3389" s="89"/>
      <c r="G3389" s="89"/>
      <c r="H3389" s="2"/>
      <c r="I3389" s="90"/>
      <c r="J3389" s="90"/>
      <c r="K3389" s="2"/>
      <c r="L3389" s="48"/>
      <c r="M3389" s="48"/>
      <c r="N3389" s="48"/>
      <c r="O3389" s="48" t="str">
        <f t="shared" si="2"/>
        <v/>
      </c>
      <c r="P3389" s="48" t="str">
        <f t="shared" si="3"/>
        <v/>
      </c>
      <c r="Q3389" s="84"/>
      <c r="R3389" s="84"/>
      <c r="S3389" s="84"/>
      <c r="T3389" s="84"/>
      <c r="U3389" s="84"/>
      <c r="V3389" s="84"/>
      <c r="W3389" s="84"/>
      <c r="X3389" s="84"/>
      <c r="Y3389" s="84"/>
      <c r="Z3389" s="84"/>
      <c r="AA3389" s="84"/>
      <c r="AB3389" s="84"/>
    </row>
    <row r="3390">
      <c r="A3390" s="89"/>
      <c r="B3390" s="89"/>
      <c r="C3390" s="89"/>
      <c r="D3390" s="89"/>
      <c r="E3390" s="89"/>
      <c r="F3390" s="89"/>
      <c r="G3390" s="89"/>
      <c r="H3390" s="2"/>
      <c r="I3390" s="90"/>
      <c r="J3390" s="90"/>
      <c r="K3390" s="2"/>
      <c r="L3390" s="49"/>
      <c r="M3390" s="49"/>
      <c r="N3390" s="49"/>
      <c r="O3390" s="49" t="str">
        <f t="shared" si="2"/>
        <v/>
      </c>
      <c r="P3390" s="49" t="str">
        <f t="shared" si="3"/>
        <v/>
      </c>
      <c r="Q3390" s="84"/>
      <c r="R3390" s="84"/>
      <c r="S3390" s="84"/>
      <c r="T3390" s="84"/>
      <c r="U3390" s="84"/>
      <c r="V3390" s="84"/>
      <c r="W3390" s="84"/>
      <c r="X3390" s="84"/>
      <c r="Y3390" s="84"/>
      <c r="Z3390" s="84"/>
      <c r="AA3390" s="84"/>
      <c r="AB3390" s="84"/>
    </row>
    <row r="3391">
      <c r="A3391" s="89"/>
      <c r="B3391" s="89"/>
      <c r="C3391" s="89"/>
      <c r="D3391" s="89"/>
      <c r="E3391" s="89"/>
      <c r="F3391" s="89"/>
      <c r="G3391" s="89"/>
      <c r="H3391" s="2"/>
      <c r="I3391" s="90"/>
      <c r="J3391" s="90"/>
      <c r="K3391" s="2"/>
      <c r="L3391" s="48"/>
      <c r="M3391" s="48"/>
      <c r="N3391" s="48"/>
      <c r="O3391" s="48" t="str">
        <f t="shared" si="2"/>
        <v/>
      </c>
      <c r="P3391" s="48" t="str">
        <f t="shared" si="3"/>
        <v/>
      </c>
      <c r="Q3391" s="84"/>
      <c r="R3391" s="84"/>
      <c r="S3391" s="84"/>
      <c r="T3391" s="84"/>
      <c r="U3391" s="84"/>
      <c r="V3391" s="84"/>
      <c r="W3391" s="84"/>
      <c r="X3391" s="84"/>
      <c r="Y3391" s="84"/>
      <c r="Z3391" s="84"/>
      <c r="AA3391" s="84"/>
      <c r="AB3391" s="84"/>
    </row>
    <row r="3392">
      <c r="A3392" s="89"/>
      <c r="B3392" s="89"/>
      <c r="C3392" s="89"/>
      <c r="D3392" s="89"/>
      <c r="E3392" s="89"/>
      <c r="F3392" s="89"/>
      <c r="G3392" s="89"/>
      <c r="H3392" s="2"/>
      <c r="I3392" s="90"/>
      <c r="J3392" s="90"/>
      <c r="K3392" s="2"/>
      <c r="L3392" s="49"/>
      <c r="M3392" s="49"/>
      <c r="N3392" s="49"/>
      <c r="O3392" s="49" t="str">
        <f t="shared" si="2"/>
        <v/>
      </c>
      <c r="P3392" s="49" t="str">
        <f t="shared" si="3"/>
        <v/>
      </c>
      <c r="Q3392" s="84"/>
      <c r="R3392" s="84"/>
      <c r="S3392" s="84"/>
      <c r="T3392" s="84"/>
      <c r="U3392" s="84"/>
      <c r="V3392" s="84"/>
      <c r="W3392" s="84"/>
      <c r="X3392" s="84"/>
      <c r="Y3392" s="84"/>
      <c r="Z3392" s="84"/>
      <c r="AA3392" s="84"/>
      <c r="AB3392" s="84"/>
    </row>
    <row r="3393">
      <c r="A3393" s="89"/>
      <c r="B3393" s="89"/>
      <c r="C3393" s="89"/>
      <c r="D3393" s="89"/>
      <c r="E3393" s="89"/>
      <c r="F3393" s="89"/>
      <c r="G3393" s="89"/>
      <c r="H3393" s="2"/>
      <c r="I3393" s="90"/>
      <c r="J3393" s="90"/>
      <c r="K3393" s="2"/>
      <c r="L3393" s="48"/>
      <c r="M3393" s="48"/>
      <c r="N3393" s="48"/>
      <c r="O3393" s="48" t="str">
        <f t="shared" si="2"/>
        <v/>
      </c>
      <c r="P3393" s="48" t="str">
        <f t="shared" si="3"/>
        <v/>
      </c>
      <c r="Q3393" s="84"/>
      <c r="R3393" s="84"/>
      <c r="S3393" s="84"/>
      <c r="T3393" s="84"/>
      <c r="U3393" s="84"/>
      <c r="V3393" s="84"/>
      <c r="W3393" s="84"/>
      <c r="X3393" s="84"/>
      <c r="Y3393" s="84"/>
      <c r="Z3393" s="84"/>
      <c r="AA3393" s="84"/>
      <c r="AB3393" s="84"/>
    </row>
    <row r="3394">
      <c r="A3394" s="89"/>
      <c r="B3394" s="89"/>
      <c r="C3394" s="89"/>
      <c r="D3394" s="89"/>
      <c r="E3394" s="89"/>
      <c r="F3394" s="89"/>
      <c r="G3394" s="89"/>
      <c r="H3394" s="2"/>
      <c r="I3394" s="90"/>
      <c r="J3394" s="90"/>
      <c r="K3394" s="2"/>
      <c r="L3394" s="49"/>
      <c r="M3394" s="49"/>
      <c r="N3394" s="49"/>
      <c r="O3394" s="49" t="str">
        <f t="shared" si="2"/>
        <v/>
      </c>
      <c r="P3394" s="49" t="str">
        <f t="shared" si="3"/>
        <v/>
      </c>
      <c r="Q3394" s="84"/>
      <c r="R3394" s="84"/>
      <c r="S3394" s="84"/>
      <c r="T3394" s="84"/>
      <c r="U3394" s="84"/>
      <c r="V3394" s="84"/>
      <c r="W3394" s="84"/>
      <c r="X3394" s="84"/>
      <c r="Y3394" s="84"/>
      <c r="Z3394" s="84"/>
      <c r="AA3394" s="84"/>
      <c r="AB3394" s="84"/>
    </row>
    <row r="3395">
      <c r="A3395" s="89"/>
      <c r="B3395" s="89"/>
      <c r="C3395" s="89"/>
      <c r="D3395" s="89"/>
      <c r="E3395" s="89"/>
      <c r="F3395" s="89"/>
      <c r="G3395" s="89"/>
      <c r="H3395" s="2"/>
      <c r="I3395" s="90"/>
      <c r="J3395" s="90"/>
      <c r="K3395" s="2"/>
      <c r="L3395" s="48"/>
      <c r="M3395" s="48"/>
      <c r="N3395" s="48"/>
      <c r="O3395" s="48" t="str">
        <f t="shared" si="2"/>
        <v/>
      </c>
      <c r="P3395" s="48" t="str">
        <f t="shared" si="3"/>
        <v/>
      </c>
      <c r="Q3395" s="84"/>
      <c r="R3395" s="84"/>
      <c r="S3395" s="84"/>
      <c r="T3395" s="84"/>
      <c r="U3395" s="84"/>
      <c r="V3395" s="84"/>
      <c r="W3395" s="84"/>
      <c r="X3395" s="84"/>
      <c r="Y3395" s="84"/>
      <c r="Z3395" s="84"/>
      <c r="AA3395" s="84"/>
      <c r="AB3395" s="84"/>
    </row>
    <row r="3396">
      <c r="A3396" s="89"/>
      <c r="B3396" s="89"/>
      <c r="C3396" s="89"/>
      <c r="D3396" s="89"/>
      <c r="E3396" s="89"/>
      <c r="F3396" s="89"/>
      <c r="G3396" s="89"/>
      <c r="H3396" s="2"/>
      <c r="I3396" s="90"/>
      <c r="J3396" s="90"/>
      <c r="K3396" s="2"/>
      <c r="L3396" s="49"/>
      <c r="M3396" s="49"/>
      <c r="N3396" s="49"/>
      <c r="O3396" s="49" t="str">
        <f t="shared" si="2"/>
        <v/>
      </c>
      <c r="P3396" s="49" t="str">
        <f t="shared" si="3"/>
        <v/>
      </c>
      <c r="Q3396" s="84"/>
      <c r="R3396" s="84"/>
      <c r="S3396" s="84"/>
      <c r="T3396" s="84"/>
      <c r="U3396" s="84"/>
      <c r="V3396" s="84"/>
      <c r="W3396" s="84"/>
      <c r="X3396" s="84"/>
      <c r="Y3396" s="84"/>
      <c r="Z3396" s="84"/>
      <c r="AA3396" s="84"/>
      <c r="AB3396" s="84"/>
    </row>
    <row r="3397">
      <c r="A3397" s="89"/>
      <c r="B3397" s="89"/>
      <c r="C3397" s="89"/>
      <c r="D3397" s="89"/>
      <c r="E3397" s="89"/>
      <c r="F3397" s="89"/>
      <c r="G3397" s="89"/>
      <c r="H3397" s="2"/>
      <c r="I3397" s="90"/>
      <c r="J3397" s="90"/>
      <c r="K3397" s="2"/>
      <c r="L3397" s="48"/>
      <c r="M3397" s="48"/>
      <c r="N3397" s="48"/>
      <c r="O3397" s="48" t="str">
        <f t="shared" si="2"/>
        <v/>
      </c>
      <c r="P3397" s="48" t="str">
        <f t="shared" si="3"/>
        <v/>
      </c>
      <c r="Q3397" s="84"/>
      <c r="R3397" s="84"/>
      <c r="S3397" s="84"/>
      <c r="T3397" s="84"/>
      <c r="U3397" s="84"/>
      <c r="V3397" s="84"/>
      <c r="W3397" s="84"/>
      <c r="X3397" s="84"/>
      <c r="Y3397" s="84"/>
      <c r="Z3397" s="84"/>
      <c r="AA3397" s="84"/>
      <c r="AB3397" s="84"/>
    </row>
    <row r="3398">
      <c r="A3398" s="89"/>
      <c r="B3398" s="89"/>
      <c r="C3398" s="89"/>
      <c r="D3398" s="89"/>
      <c r="E3398" s="89"/>
      <c r="F3398" s="89"/>
      <c r="G3398" s="89"/>
      <c r="H3398" s="2"/>
      <c r="I3398" s="90"/>
      <c r="J3398" s="90"/>
      <c r="K3398" s="2"/>
      <c r="L3398" s="49"/>
      <c r="M3398" s="49"/>
      <c r="N3398" s="49"/>
      <c r="O3398" s="49" t="str">
        <f t="shared" si="2"/>
        <v/>
      </c>
      <c r="P3398" s="49" t="str">
        <f t="shared" si="3"/>
        <v/>
      </c>
      <c r="Q3398" s="84"/>
      <c r="R3398" s="84"/>
      <c r="S3398" s="84"/>
      <c r="T3398" s="84"/>
      <c r="U3398" s="84"/>
      <c r="V3398" s="84"/>
      <c r="W3398" s="84"/>
      <c r="X3398" s="84"/>
      <c r="Y3398" s="84"/>
      <c r="Z3398" s="84"/>
      <c r="AA3398" s="84"/>
      <c r="AB3398" s="84"/>
    </row>
    <row r="3399">
      <c r="A3399" s="89"/>
      <c r="B3399" s="89"/>
      <c r="C3399" s="89"/>
      <c r="D3399" s="89"/>
      <c r="E3399" s="89"/>
      <c r="F3399" s="89"/>
      <c r="G3399" s="89"/>
      <c r="H3399" s="2"/>
      <c r="I3399" s="90"/>
      <c r="J3399" s="90"/>
      <c r="K3399" s="2"/>
      <c r="L3399" s="48"/>
      <c r="M3399" s="48"/>
      <c r="N3399" s="48"/>
      <c r="O3399" s="48" t="str">
        <f t="shared" si="2"/>
        <v/>
      </c>
      <c r="P3399" s="48" t="str">
        <f t="shared" si="3"/>
        <v/>
      </c>
      <c r="Q3399" s="84"/>
      <c r="R3399" s="84"/>
      <c r="S3399" s="84"/>
      <c r="T3399" s="84"/>
      <c r="U3399" s="84"/>
      <c r="V3399" s="84"/>
      <c r="W3399" s="84"/>
      <c r="X3399" s="84"/>
      <c r="Y3399" s="84"/>
      <c r="Z3399" s="84"/>
      <c r="AA3399" s="84"/>
      <c r="AB3399" s="84"/>
    </row>
    <row r="3400">
      <c r="A3400" s="89"/>
      <c r="B3400" s="89"/>
      <c r="C3400" s="89"/>
      <c r="D3400" s="89"/>
      <c r="E3400" s="89"/>
      <c r="F3400" s="89"/>
      <c r="G3400" s="89"/>
      <c r="H3400" s="2"/>
      <c r="I3400" s="90"/>
      <c r="J3400" s="90"/>
      <c r="K3400" s="2"/>
      <c r="L3400" s="49"/>
      <c r="M3400" s="49"/>
      <c r="N3400" s="49"/>
      <c r="O3400" s="49" t="str">
        <f t="shared" si="2"/>
        <v/>
      </c>
      <c r="P3400" s="49" t="str">
        <f t="shared" si="3"/>
        <v/>
      </c>
      <c r="Q3400" s="84"/>
      <c r="R3400" s="84"/>
      <c r="S3400" s="84"/>
      <c r="T3400" s="84"/>
      <c r="U3400" s="84"/>
      <c r="V3400" s="84"/>
      <c r="W3400" s="84"/>
      <c r="X3400" s="84"/>
      <c r="Y3400" s="84"/>
      <c r="Z3400" s="84"/>
      <c r="AA3400" s="84"/>
      <c r="AB3400" s="84"/>
    </row>
    <row r="3401">
      <c r="A3401" s="89"/>
      <c r="B3401" s="89"/>
      <c r="C3401" s="89"/>
      <c r="D3401" s="89"/>
      <c r="E3401" s="89"/>
      <c r="F3401" s="89"/>
      <c r="G3401" s="89"/>
      <c r="H3401" s="2"/>
      <c r="I3401" s="90"/>
      <c r="J3401" s="90"/>
      <c r="K3401" s="2"/>
      <c r="L3401" s="48"/>
      <c r="M3401" s="48"/>
      <c r="N3401" s="48"/>
      <c r="O3401" s="48" t="str">
        <f t="shared" si="2"/>
        <v/>
      </c>
      <c r="P3401" s="48" t="str">
        <f t="shared" si="3"/>
        <v/>
      </c>
      <c r="Q3401" s="84"/>
      <c r="R3401" s="84"/>
      <c r="S3401" s="84"/>
      <c r="T3401" s="84"/>
      <c r="U3401" s="84"/>
      <c r="V3401" s="84"/>
      <c r="W3401" s="84"/>
      <c r="X3401" s="84"/>
      <c r="Y3401" s="84"/>
      <c r="Z3401" s="84"/>
      <c r="AA3401" s="84"/>
      <c r="AB3401" s="84"/>
    </row>
    <row r="3402">
      <c r="A3402" s="89"/>
      <c r="B3402" s="89"/>
      <c r="C3402" s="89"/>
      <c r="D3402" s="89"/>
      <c r="E3402" s="89"/>
      <c r="F3402" s="89"/>
      <c r="G3402" s="89"/>
      <c r="H3402" s="2"/>
      <c r="I3402" s="90"/>
      <c r="J3402" s="90"/>
      <c r="K3402" s="2"/>
      <c r="L3402" s="49"/>
      <c r="M3402" s="49"/>
      <c r="N3402" s="49"/>
      <c r="O3402" s="49" t="str">
        <f t="shared" si="2"/>
        <v/>
      </c>
      <c r="P3402" s="49" t="str">
        <f t="shared" si="3"/>
        <v/>
      </c>
      <c r="Q3402" s="84"/>
      <c r="R3402" s="84"/>
      <c r="S3402" s="84"/>
      <c r="T3402" s="84"/>
      <c r="U3402" s="84"/>
      <c r="V3402" s="84"/>
      <c r="W3402" s="84"/>
      <c r="X3402" s="84"/>
      <c r="Y3402" s="84"/>
      <c r="Z3402" s="84"/>
      <c r="AA3402" s="84"/>
      <c r="AB3402" s="84"/>
    </row>
    <row r="3403">
      <c r="A3403" s="89"/>
      <c r="B3403" s="89"/>
      <c r="C3403" s="89"/>
      <c r="D3403" s="89"/>
      <c r="E3403" s="89"/>
      <c r="F3403" s="89"/>
      <c r="G3403" s="89"/>
      <c r="H3403" s="2"/>
      <c r="I3403" s="90"/>
      <c r="J3403" s="90"/>
      <c r="K3403" s="2"/>
      <c r="L3403" s="48"/>
      <c r="M3403" s="48"/>
      <c r="N3403" s="48"/>
      <c r="O3403" s="48" t="str">
        <f t="shared" si="2"/>
        <v/>
      </c>
      <c r="P3403" s="48" t="str">
        <f t="shared" si="3"/>
        <v/>
      </c>
      <c r="Q3403" s="84"/>
      <c r="R3403" s="84"/>
      <c r="S3403" s="84"/>
      <c r="T3403" s="84"/>
      <c r="U3403" s="84"/>
      <c r="V3403" s="84"/>
      <c r="W3403" s="84"/>
      <c r="X3403" s="84"/>
      <c r="Y3403" s="84"/>
      <c r="Z3403" s="84"/>
      <c r="AA3403" s="84"/>
      <c r="AB3403" s="84"/>
    </row>
    <row r="3404">
      <c r="A3404" s="89"/>
      <c r="B3404" s="89"/>
      <c r="C3404" s="89"/>
      <c r="D3404" s="89"/>
      <c r="E3404" s="89"/>
      <c r="F3404" s="89"/>
      <c r="G3404" s="89"/>
      <c r="H3404" s="2"/>
      <c r="I3404" s="90"/>
      <c r="J3404" s="90"/>
      <c r="K3404" s="2"/>
      <c r="L3404" s="49"/>
      <c r="M3404" s="49"/>
      <c r="N3404" s="49"/>
      <c r="O3404" s="49" t="str">
        <f t="shared" si="2"/>
        <v/>
      </c>
      <c r="P3404" s="49" t="str">
        <f t="shared" si="3"/>
        <v/>
      </c>
      <c r="Q3404" s="84"/>
      <c r="R3404" s="84"/>
      <c r="S3404" s="84"/>
      <c r="T3404" s="84"/>
      <c r="U3404" s="84"/>
      <c r="V3404" s="84"/>
      <c r="W3404" s="84"/>
      <c r="X3404" s="84"/>
      <c r="Y3404" s="84"/>
      <c r="Z3404" s="84"/>
      <c r="AA3404" s="84"/>
      <c r="AB3404" s="84"/>
    </row>
    <row r="3405">
      <c r="A3405" s="89"/>
      <c r="B3405" s="89"/>
      <c r="C3405" s="89"/>
      <c r="D3405" s="89"/>
      <c r="E3405" s="89"/>
      <c r="F3405" s="89"/>
      <c r="G3405" s="89"/>
      <c r="H3405" s="2"/>
      <c r="I3405" s="90"/>
      <c r="J3405" s="90"/>
      <c r="K3405" s="2"/>
      <c r="L3405" s="48"/>
      <c r="M3405" s="48"/>
      <c r="N3405" s="48"/>
      <c r="O3405" s="48" t="str">
        <f t="shared" si="2"/>
        <v/>
      </c>
      <c r="P3405" s="48" t="str">
        <f t="shared" si="3"/>
        <v/>
      </c>
      <c r="Q3405" s="84"/>
      <c r="R3405" s="84"/>
      <c r="S3405" s="84"/>
      <c r="T3405" s="84"/>
      <c r="U3405" s="84"/>
      <c r="V3405" s="84"/>
      <c r="W3405" s="84"/>
      <c r="X3405" s="84"/>
      <c r="Y3405" s="84"/>
      <c r="Z3405" s="84"/>
      <c r="AA3405" s="84"/>
      <c r="AB3405" s="84"/>
    </row>
    <row r="3406">
      <c r="A3406" s="89"/>
      <c r="B3406" s="89"/>
      <c r="C3406" s="89"/>
      <c r="D3406" s="89"/>
      <c r="E3406" s="89"/>
      <c r="F3406" s="89"/>
      <c r="G3406" s="89"/>
      <c r="H3406" s="2"/>
      <c r="I3406" s="90"/>
      <c r="J3406" s="90"/>
      <c r="K3406" s="2"/>
      <c r="L3406" s="49"/>
      <c r="M3406" s="49"/>
      <c r="N3406" s="49"/>
      <c r="O3406" s="49" t="str">
        <f t="shared" si="2"/>
        <v/>
      </c>
      <c r="P3406" s="49" t="str">
        <f t="shared" si="3"/>
        <v/>
      </c>
      <c r="Q3406" s="84"/>
      <c r="R3406" s="84"/>
      <c r="S3406" s="84"/>
      <c r="T3406" s="84"/>
      <c r="U3406" s="84"/>
      <c r="V3406" s="84"/>
      <c r="W3406" s="84"/>
      <c r="X3406" s="84"/>
      <c r="Y3406" s="84"/>
      <c r="Z3406" s="84"/>
      <c r="AA3406" s="84"/>
      <c r="AB3406" s="84"/>
    </row>
    <row r="3407">
      <c r="A3407" s="89"/>
      <c r="B3407" s="89"/>
      <c r="C3407" s="89"/>
      <c r="D3407" s="89"/>
      <c r="E3407" s="89"/>
      <c r="F3407" s="89"/>
      <c r="G3407" s="89"/>
      <c r="H3407" s="2"/>
      <c r="I3407" s="90"/>
      <c r="J3407" s="90"/>
      <c r="K3407" s="2"/>
      <c r="L3407" s="48"/>
      <c r="M3407" s="48"/>
      <c r="N3407" s="48"/>
      <c r="O3407" s="48" t="str">
        <f t="shared" si="2"/>
        <v/>
      </c>
      <c r="P3407" s="48" t="str">
        <f t="shared" si="3"/>
        <v/>
      </c>
      <c r="Q3407" s="84"/>
      <c r="R3407" s="84"/>
      <c r="S3407" s="84"/>
      <c r="T3407" s="84"/>
      <c r="U3407" s="84"/>
      <c r="V3407" s="84"/>
      <c r="W3407" s="84"/>
      <c r="X3407" s="84"/>
      <c r="Y3407" s="84"/>
      <c r="Z3407" s="84"/>
      <c r="AA3407" s="84"/>
      <c r="AB3407" s="84"/>
    </row>
    <row r="3408">
      <c r="A3408" s="89"/>
      <c r="B3408" s="89"/>
      <c r="C3408" s="89"/>
      <c r="D3408" s="89"/>
      <c r="E3408" s="89"/>
      <c r="F3408" s="89"/>
      <c r="G3408" s="89"/>
      <c r="H3408" s="2"/>
      <c r="I3408" s="90"/>
      <c r="J3408" s="90"/>
      <c r="K3408" s="2"/>
      <c r="L3408" s="49"/>
      <c r="M3408" s="49"/>
      <c r="N3408" s="49"/>
      <c r="O3408" s="49" t="str">
        <f t="shared" si="2"/>
        <v/>
      </c>
      <c r="P3408" s="49" t="str">
        <f t="shared" si="3"/>
        <v/>
      </c>
      <c r="Q3408" s="84"/>
      <c r="R3408" s="84"/>
      <c r="S3408" s="84"/>
      <c r="T3408" s="84"/>
      <c r="U3408" s="84"/>
      <c r="V3408" s="84"/>
      <c r="W3408" s="84"/>
      <c r="X3408" s="84"/>
      <c r="Y3408" s="84"/>
      <c r="Z3408" s="84"/>
      <c r="AA3408" s="84"/>
      <c r="AB3408" s="84"/>
    </row>
    <row r="3409">
      <c r="A3409" s="89"/>
      <c r="B3409" s="89"/>
      <c r="C3409" s="89"/>
      <c r="D3409" s="89"/>
      <c r="E3409" s="89"/>
      <c r="F3409" s="89"/>
      <c r="G3409" s="89"/>
      <c r="H3409" s="2"/>
      <c r="I3409" s="90"/>
      <c r="J3409" s="90"/>
      <c r="K3409" s="2"/>
      <c r="L3409" s="48"/>
      <c r="M3409" s="48"/>
      <c r="N3409" s="48"/>
      <c r="O3409" s="48" t="str">
        <f t="shared" si="2"/>
        <v/>
      </c>
      <c r="P3409" s="48" t="str">
        <f t="shared" si="3"/>
        <v/>
      </c>
      <c r="Q3409" s="84"/>
      <c r="R3409" s="84"/>
      <c r="S3409" s="84"/>
      <c r="T3409" s="84"/>
      <c r="U3409" s="84"/>
      <c r="V3409" s="84"/>
      <c r="W3409" s="84"/>
      <c r="X3409" s="84"/>
      <c r="Y3409" s="84"/>
      <c r="Z3409" s="84"/>
      <c r="AA3409" s="84"/>
      <c r="AB3409" s="84"/>
    </row>
    <row r="3410">
      <c r="A3410" s="89"/>
      <c r="B3410" s="89"/>
      <c r="C3410" s="89"/>
      <c r="D3410" s="89"/>
      <c r="E3410" s="89"/>
      <c r="F3410" s="89"/>
      <c r="G3410" s="89"/>
      <c r="H3410" s="2"/>
      <c r="I3410" s="90"/>
      <c r="J3410" s="90"/>
      <c r="K3410" s="2"/>
      <c r="L3410" s="49"/>
      <c r="M3410" s="49"/>
      <c r="N3410" s="49"/>
      <c r="O3410" s="49" t="str">
        <f t="shared" si="2"/>
        <v/>
      </c>
      <c r="P3410" s="49" t="str">
        <f t="shared" si="3"/>
        <v/>
      </c>
      <c r="Q3410" s="84"/>
      <c r="R3410" s="84"/>
      <c r="S3410" s="84"/>
      <c r="T3410" s="84"/>
      <c r="U3410" s="84"/>
      <c r="V3410" s="84"/>
      <c r="W3410" s="84"/>
      <c r="X3410" s="84"/>
      <c r="Y3410" s="84"/>
      <c r="Z3410" s="84"/>
      <c r="AA3410" s="84"/>
      <c r="AB3410" s="84"/>
    </row>
    <row r="3411">
      <c r="A3411" s="89"/>
      <c r="B3411" s="89"/>
      <c r="C3411" s="89"/>
      <c r="D3411" s="89"/>
      <c r="E3411" s="89"/>
      <c r="F3411" s="89"/>
      <c r="G3411" s="89"/>
      <c r="H3411" s="2"/>
      <c r="I3411" s="90"/>
      <c r="J3411" s="90"/>
      <c r="K3411" s="2"/>
      <c r="L3411" s="48"/>
      <c r="M3411" s="48"/>
      <c r="N3411" s="48"/>
      <c r="O3411" s="48" t="str">
        <f t="shared" si="2"/>
        <v/>
      </c>
      <c r="P3411" s="48" t="str">
        <f t="shared" si="3"/>
        <v/>
      </c>
      <c r="Q3411" s="84"/>
      <c r="R3411" s="84"/>
      <c r="S3411" s="84"/>
      <c r="T3411" s="84"/>
      <c r="U3411" s="84"/>
      <c r="V3411" s="84"/>
      <c r="W3411" s="84"/>
      <c r="X3411" s="84"/>
      <c r="Y3411" s="84"/>
      <c r="Z3411" s="84"/>
      <c r="AA3411" s="84"/>
      <c r="AB3411" s="84"/>
    </row>
    <row r="3412">
      <c r="A3412" s="89"/>
      <c r="B3412" s="89"/>
      <c r="C3412" s="89"/>
      <c r="D3412" s="89"/>
      <c r="E3412" s="89"/>
      <c r="F3412" s="89"/>
      <c r="G3412" s="89"/>
      <c r="H3412" s="2"/>
      <c r="I3412" s="90"/>
      <c r="J3412" s="90"/>
      <c r="K3412" s="2"/>
      <c r="L3412" s="49"/>
      <c r="M3412" s="49"/>
      <c r="N3412" s="49"/>
      <c r="O3412" s="49" t="str">
        <f t="shared" si="2"/>
        <v/>
      </c>
      <c r="P3412" s="49" t="str">
        <f t="shared" si="3"/>
        <v/>
      </c>
      <c r="Q3412" s="84"/>
      <c r="R3412" s="84"/>
      <c r="S3412" s="84"/>
      <c r="T3412" s="84"/>
      <c r="U3412" s="84"/>
      <c r="V3412" s="84"/>
      <c r="W3412" s="84"/>
      <c r="X3412" s="84"/>
      <c r="Y3412" s="84"/>
      <c r="Z3412" s="84"/>
      <c r="AA3412" s="84"/>
      <c r="AB3412" s="84"/>
    </row>
    <row r="3413">
      <c r="A3413" s="89"/>
      <c r="B3413" s="89"/>
      <c r="C3413" s="89"/>
      <c r="D3413" s="89"/>
      <c r="E3413" s="89"/>
      <c r="F3413" s="89"/>
      <c r="G3413" s="89"/>
      <c r="H3413" s="2"/>
      <c r="I3413" s="90"/>
      <c r="J3413" s="90"/>
      <c r="K3413" s="2"/>
      <c r="L3413" s="48"/>
      <c r="M3413" s="48"/>
      <c r="N3413" s="48"/>
      <c r="O3413" s="48" t="str">
        <f t="shared" si="2"/>
        <v/>
      </c>
      <c r="P3413" s="48" t="str">
        <f t="shared" si="3"/>
        <v/>
      </c>
      <c r="Q3413" s="84"/>
      <c r="R3413" s="84"/>
      <c r="S3413" s="84"/>
      <c r="T3413" s="84"/>
      <c r="U3413" s="84"/>
      <c r="V3413" s="84"/>
      <c r="W3413" s="84"/>
      <c r="X3413" s="84"/>
      <c r="Y3413" s="84"/>
      <c r="Z3413" s="84"/>
      <c r="AA3413" s="84"/>
      <c r="AB3413" s="84"/>
    </row>
    <row r="3414">
      <c r="A3414" s="89"/>
      <c r="B3414" s="89"/>
      <c r="C3414" s="89"/>
      <c r="D3414" s="89"/>
      <c r="E3414" s="89"/>
      <c r="F3414" s="89"/>
      <c r="G3414" s="89"/>
      <c r="H3414" s="2"/>
      <c r="I3414" s="90"/>
      <c r="J3414" s="90"/>
      <c r="K3414" s="2"/>
      <c r="L3414" s="49"/>
      <c r="M3414" s="49"/>
      <c r="N3414" s="49"/>
      <c r="O3414" s="49" t="str">
        <f t="shared" si="2"/>
        <v/>
      </c>
      <c r="P3414" s="49" t="str">
        <f t="shared" si="3"/>
        <v/>
      </c>
      <c r="Q3414" s="84"/>
      <c r="R3414" s="84"/>
      <c r="S3414" s="84"/>
      <c r="T3414" s="84"/>
      <c r="U3414" s="84"/>
      <c r="V3414" s="84"/>
      <c r="W3414" s="84"/>
      <c r="X3414" s="84"/>
      <c r="Y3414" s="84"/>
      <c r="Z3414" s="84"/>
      <c r="AA3414" s="84"/>
      <c r="AB3414" s="84"/>
    </row>
    <row r="3415">
      <c r="A3415" s="89"/>
      <c r="B3415" s="89"/>
      <c r="C3415" s="89"/>
      <c r="D3415" s="89"/>
      <c r="E3415" s="89"/>
      <c r="F3415" s="89"/>
      <c r="G3415" s="89"/>
      <c r="H3415" s="2"/>
      <c r="I3415" s="90"/>
      <c r="J3415" s="90"/>
      <c r="K3415" s="2"/>
      <c r="L3415" s="48"/>
      <c r="M3415" s="48"/>
      <c r="N3415" s="48"/>
      <c r="O3415" s="48" t="str">
        <f t="shared" si="2"/>
        <v/>
      </c>
      <c r="P3415" s="48" t="str">
        <f t="shared" si="3"/>
        <v/>
      </c>
      <c r="Q3415" s="84"/>
      <c r="R3415" s="84"/>
      <c r="S3415" s="84"/>
      <c r="T3415" s="84"/>
      <c r="U3415" s="84"/>
      <c r="V3415" s="84"/>
      <c r="W3415" s="84"/>
      <c r="X3415" s="84"/>
      <c r="Y3415" s="84"/>
      <c r="Z3415" s="84"/>
      <c r="AA3415" s="84"/>
      <c r="AB3415" s="84"/>
    </row>
    <row r="3416">
      <c r="A3416" s="89"/>
      <c r="B3416" s="89"/>
      <c r="C3416" s="89"/>
      <c r="D3416" s="89"/>
      <c r="E3416" s="89"/>
      <c r="F3416" s="89"/>
      <c r="G3416" s="89"/>
      <c r="H3416" s="2"/>
      <c r="I3416" s="90"/>
      <c r="J3416" s="90"/>
      <c r="K3416" s="2"/>
      <c r="L3416" s="49"/>
      <c r="M3416" s="49"/>
      <c r="N3416" s="49"/>
      <c r="O3416" s="49" t="str">
        <f t="shared" si="2"/>
        <v/>
      </c>
      <c r="P3416" s="49" t="str">
        <f t="shared" si="3"/>
        <v/>
      </c>
      <c r="Q3416" s="84"/>
      <c r="R3416" s="84"/>
      <c r="S3416" s="84"/>
      <c r="T3416" s="84"/>
      <c r="U3416" s="84"/>
      <c r="V3416" s="84"/>
      <c r="W3416" s="84"/>
      <c r="X3416" s="84"/>
      <c r="Y3416" s="84"/>
      <c r="Z3416" s="84"/>
      <c r="AA3416" s="84"/>
      <c r="AB3416" s="84"/>
    </row>
    <row r="3417">
      <c r="A3417" s="89"/>
      <c r="B3417" s="89"/>
      <c r="C3417" s="89"/>
      <c r="D3417" s="89"/>
      <c r="E3417" s="89"/>
      <c r="F3417" s="89"/>
      <c r="G3417" s="89"/>
      <c r="H3417" s="2"/>
      <c r="I3417" s="90"/>
      <c r="J3417" s="90"/>
      <c r="K3417" s="2"/>
      <c r="L3417" s="48"/>
      <c r="M3417" s="48"/>
      <c r="N3417" s="48"/>
      <c r="O3417" s="48" t="str">
        <f t="shared" si="2"/>
        <v/>
      </c>
      <c r="P3417" s="48" t="str">
        <f t="shared" si="3"/>
        <v/>
      </c>
      <c r="Q3417" s="84"/>
      <c r="R3417" s="84"/>
      <c r="S3417" s="84"/>
      <c r="T3417" s="84"/>
      <c r="U3417" s="84"/>
      <c r="V3417" s="84"/>
      <c r="W3417" s="84"/>
      <c r="X3417" s="84"/>
      <c r="Y3417" s="84"/>
      <c r="Z3417" s="84"/>
      <c r="AA3417" s="84"/>
      <c r="AB3417" s="84"/>
    </row>
    <row r="3418">
      <c r="A3418" s="89"/>
      <c r="B3418" s="89"/>
      <c r="C3418" s="89"/>
      <c r="D3418" s="89"/>
      <c r="E3418" s="89"/>
      <c r="F3418" s="89"/>
      <c r="G3418" s="89"/>
      <c r="H3418" s="2"/>
      <c r="I3418" s="90"/>
      <c r="J3418" s="90"/>
      <c r="K3418" s="2"/>
      <c r="L3418" s="49"/>
      <c r="M3418" s="49"/>
      <c r="N3418" s="49"/>
      <c r="O3418" s="49" t="str">
        <f t="shared" si="2"/>
        <v/>
      </c>
      <c r="P3418" s="49" t="str">
        <f t="shared" si="3"/>
        <v/>
      </c>
      <c r="Q3418" s="84"/>
      <c r="R3418" s="84"/>
      <c r="S3418" s="84"/>
      <c r="T3418" s="84"/>
      <c r="U3418" s="84"/>
      <c r="V3418" s="84"/>
      <c r="W3418" s="84"/>
      <c r="X3418" s="84"/>
      <c r="Y3418" s="84"/>
      <c r="Z3418" s="84"/>
      <c r="AA3418" s="84"/>
      <c r="AB3418" s="84"/>
    </row>
    <row r="3419">
      <c r="A3419" s="89"/>
      <c r="B3419" s="89"/>
      <c r="C3419" s="89"/>
      <c r="D3419" s="89"/>
      <c r="E3419" s="89"/>
      <c r="F3419" s="89"/>
      <c r="G3419" s="89"/>
      <c r="H3419" s="2"/>
      <c r="I3419" s="90"/>
      <c r="J3419" s="90"/>
      <c r="K3419" s="2"/>
      <c r="L3419" s="48"/>
      <c r="M3419" s="48"/>
      <c r="N3419" s="48"/>
      <c r="O3419" s="48" t="str">
        <f t="shared" si="2"/>
        <v/>
      </c>
      <c r="P3419" s="48" t="str">
        <f t="shared" si="3"/>
        <v/>
      </c>
      <c r="Q3419" s="84"/>
      <c r="R3419" s="84"/>
      <c r="S3419" s="84"/>
      <c r="T3419" s="84"/>
      <c r="U3419" s="84"/>
      <c r="V3419" s="84"/>
      <c r="W3419" s="84"/>
      <c r="X3419" s="84"/>
      <c r="Y3419" s="84"/>
      <c r="Z3419" s="84"/>
      <c r="AA3419" s="84"/>
      <c r="AB3419" s="84"/>
    </row>
    <row r="3420">
      <c r="A3420" s="89"/>
      <c r="B3420" s="89"/>
      <c r="C3420" s="89"/>
      <c r="D3420" s="89"/>
      <c r="E3420" s="89"/>
      <c r="F3420" s="89"/>
      <c r="G3420" s="89"/>
      <c r="H3420" s="2"/>
      <c r="I3420" s="90"/>
      <c r="J3420" s="90"/>
      <c r="K3420" s="2"/>
      <c r="L3420" s="49"/>
      <c r="M3420" s="49"/>
      <c r="N3420" s="49"/>
      <c r="O3420" s="49" t="str">
        <f t="shared" si="2"/>
        <v/>
      </c>
      <c r="P3420" s="49" t="str">
        <f t="shared" si="3"/>
        <v/>
      </c>
      <c r="Q3420" s="84"/>
      <c r="R3420" s="84"/>
      <c r="S3420" s="84"/>
      <c r="T3420" s="84"/>
      <c r="U3420" s="84"/>
      <c r="V3420" s="84"/>
      <c r="W3420" s="84"/>
      <c r="X3420" s="84"/>
      <c r="Y3420" s="84"/>
      <c r="Z3420" s="84"/>
      <c r="AA3420" s="84"/>
      <c r="AB3420" s="84"/>
    </row>
    <row r="3421">
      <c r="A3421" s="89"/>
      <c r="B3421" s="89"/>
      <c r="C3421" s="89"/>
      <c r="D3421" s="89"/>
      <c r="E3421" s="89"/>
      <c r="F3421" s="89"/>
      <c r="G3421" s="89"/>
      <c r="H3421" s="2"/>
      <c r="I3421" s="90"/>
      <c r="J3421" s="90"/>
      <c r="K3421" s="2"/>
      <c r="L3421" s="48"/>
      <c r="M3421" s="48"/>
      <c r="N3421" s="48"/>
      <c r="O3421" s="48" t="str">
        <f t="shared" si="2"/>
        <v/>
      </c>
      <c r="P3421" s="48" t="str">
        <f t="shared" si="3"/>
        <v/>
      </c>
      <c r="Q3421" s="84"/>
      <c r="R3421" s="84"/>
      <c r="S3421" s="84"/>
      <c r="T3421" s="84"/>
      <c r="U3421" s="84"/>
      <c r="V3421" s="84"/>
      <c r="W3421" s="84"/>
      <c r="X3421" s="84"/>
      <c r="Y3421" s="84"/>
      <c r="Z3421" s="84"/>
      <c r="AA3421" s="84"/>
      <c r="AB3421" s="84"/>
    </row>
    <row r="3422">
      <c r="A3422" s="89"/>
      <c r="B3422" s="89"/>
      <c r="C3422" s="89"/>
      <c r="D3422" s="89"/>
      <c r="E3422" s="89"/>
      <c r="F3422" s="89"/>
      <c r="G3422" s="89"/>
      <c r="H3422" s="2"/>
      <c r="I3422" s="90"/>
      <c r="J3422" s="90"/>
      <c r="K3422" s="2"/>
      <c r="L3422" s="49"/>
      <c r="M3422" s="49"/>
      <c r="N3422" s="49"/>
      <c r="O3422" s="49" t="str">
        <f t="shared" si="2"/>
        <v/>
      </c>
      <c r="P3422" s="49" t="str">
        <f t="shared" si="3"/>
        <v/>
      </c>
      <c r="Q3422" s="84"/>
      <c r="R3422" s="84"/>
      <c r="S3422" s="84"/>
      <c r="T3422" s="84"/>
      <c r="U3422" s="84"/>
      <c r="V3422" s="84"/>
      <c r="W3422" s="84"/>
      <c r="X3422" s="84"/>
      <c r="Y3422" s="84"/>
      <c r="Z3422" s="84"/>
      <c r="AA3422" s="84"/>
      <c r="AB3422" s="84"/>
    </row>
    <row r="3423">
      <c r="A3423" s="89"/>
      <c r="B3423" s="89"/>
      <c r="C3423" s="89"/>
      <c r="D3423" s="89"/>
      <c r="E3423" s="89"/>
      <c r="F3423" s="89"/>
      <c r="G3423" s="89"/>
      <c r="H3423" s="2"/>
      <c r="I3423" s="90"/>
      <c r="J3423" s="90"/>
      <c r="K3423" s="2"/>
      <c r="L3423" s="48"/>
      <c r="M3423" s="48"/>
      <c r="N3423" s="48"/>
      <c r="O3423" s="48" t="str">
        <f t="shared" si="2"/>
        <v/>
      </c>
      <c r="P3423" s="48" t="str">
        <f t="shared" si="3"/>
        <v/>
      </c>
      <c r="Q3423" s="84"/>
      <c r="R3423" s="84"/>
      <c r="S3423" s="84"/>
      <c r="T3423" s="84"/>
      <c r="U3423" s="84"/>
      <c r="V3423" s="84"/>
      <c r="W3423" s="84"/>
      <c r="X3423" s="84"/>
      <c r="Y3423" s="84"/>
      <c r="Z3423" s="84"/>
      <c r="AA3423" s="84"/>
      <c r="AB3423" s="84"/>
    </row>
    <row r="3424">
      <c r="A3424" s="89"/>
      <c r="B3424" s="89"/>
      <c r="C3424" s="89"/>
      <c r="D3424" s="89"/>
      <c r="E3424" s="89"/>
      <c r="F3424" s="89"/>
      <c r="G3424" s="89"/>
      <c r="H3424" s="2"/>
      <c r="I3424" s="90"/>
      <c r="J3424" s="90"/>
      <c r="K3424" s="2"/>
      <c r="L3424" s="49"/>
      <c r="M3424" s="49"/>
      <c r="N3424" s="49"/>
      <c r="O3424" s="49" t="str">
        <f t="shared" si="2"/>
        <v/>
      </c>
      <c r="P3424" s="49" t="str">
        <f t="shared" si="3"/>
        <v/>
      </c>
      <c r="Q3424" s="84"/>
      <c r="R3424" s="84"/>
      <c r="S3424" s="84"/>
      <c r="T3424" s="84"/>
      <c r="U3424" s="84"/>
      <c r="V3424" s="84"/>
      <c r="W3424" s="84"/>
      <c r="X3424" s="84"/>
      <c r="Y3424" s="84"/>
      <c r="Z3424" s="84"/>
      <c r="AA3424" s="84"/>
      <c r="AB3424" s="84"/>
    </row>
    <row r="3425">
      <c r="A3425" s="89"/>
      <c r="B3425" s="89"/>
      <c r="C3425" s="89"/>
      <c r="D3425" s="89"/>
      <c r="E3425" s="89"/>
      <c r="F3425" s="89"/>
      <c r="G3425" s="89"/>
      <c r="H3425" s="2"/>
      <c r="I3425" s="90"/>
      <c r="J3425" s="90"/>
      <c r="K3425" s="2"/>
      <c r="L3425" s="48"/>
      <c r="M3425" s="48"/>
      <c r="N3425" s="48"/>
      <c r="O3425" s="48" t="str">
        <f t="shared" si="2"/>
        <v/>
      </c>
      <c r="P3425" s="48" t="str">
        <f t="shared" si="3"/>
        <v/>
      </c>
      <c r="Q3425" s="84"/>
      <c r="R3425" s="84"/>
      <c r="S3425" s="84"/>
      <c r="T3425" s="84"/>
      <c r="U3425" s="84"/>
      <c r="V3425" s="84"/>
      <c r="W3425" s="84"/>
      <c r="X3425" s="84"/>
      <c r="Y3425" s="84"/>
      <c r="Z3425" s="84"/>
      <c r="AA3425" s="84"/>
      <c r="AB3425" s="84"/>
    </row>
    <row r="3426">
      <c r="A3426" s="89"/>
      <c r="B3426" s="89"/>
      <c r="C3426" s="89"/>
      <c r="D3426" s="89"/>
      <c r="E3426" s="89"/>
      <c r="F3426" s="89"/>
      <c r="G3426" s="89"/>
      <c r="H3426" s="2"/>
      <c r="I3426" s="90"/>
      <c r="J3426" s="90"/>
      <c r="K3426" s="2"/>
      <c r="L3426" s="49"/>
      <c r="M3426" s="49"/>
      <c r="N3426" s="49"/>
      <c r="O3426" s="49" t="str">
        <f t="shared" si="2"/>
        <v/>
      </c>
      <c r="P3426" s="49" t="str">
        <f t="shared" si="3"/>
        <v/>
      </c>
      <c r="Q3426" s="84"/>
      <c r="R3426" s="84"/>
      <c r="S3426" s="84"/>
      <c r="T3426" s="84"/>
      <c r="U3426" s="84"/>
      <c r="V3426" s="84"/>
      <c r="W3426" s="84"/>
      <c r="X3426" s="84"/>
      <c r="Y3426" s="84"/>
      <c r="Z3426" s="84"/>
      <c r="AA3426" s="84"/>
      <c r="AB3426" s="84"/>
    </row>
    <row r="3427">
      <c r="A3427" s="89"/>
      <c r="B3427" s="89"/>
      <c r="C3427" s="89"/>
      <c r="D3427" s="89"/>
      <c r="E3427" s="89"/>
      <c r="F3427" s="89"/>
      <c r="G3427" s="89"/>
      <c r="H3427" s="2"/>
      <c r="I3427" s="90"/>
      <c r="J3427" s="90"/>
      <c r="K3427" s="2"/>
      <c r="L3427" s="48"/>
      <c r="M3427" s="48"/>
      <c r="N3427" s="48"/>
      <c r="O3427" s="48" t="str">
        <f t="shared" si="2"/>
        <v/>
      </c>
      <c r="P3427" s="48" t="str">
        <f t="shared" si="3"/>
        <v/>
      </c>
      <c r="Q3427" s="84"/>
      <c r="R3427" s="84"/>
      <c r="S3427" s="84"/>
      <c r="T3427" s="84"/>
      <c r="U3427" s="84"/>
      <c r="V3427" s="84"/>
      <c r="W3427" s="84"/>
      <c r="X3427" s="84"/>
      <c r="Y3427" s="84"/>
      <c r="Z3427" s="84"/>
      <c r="AA3427" s="84"/>
      <c r="AB3427" s="84"/>
    </row>
    <row r="3428">
      <c r="A3428" s="89"/>
      <c r="B3428" s="89"/>
      <c r="C3428" s="89"/>
      <c r="D3428" s="89"/>
      <c r="E3428" s="89"/>
      <c r="F3428" s="89"/>
      <c r="G3428" s="89"/>
      <c r="H3428" s="2"/>
      <c r="I3428" s="90"/>
      <c r="J3428" s="90"/>
      <c r="K3428" s="2"/>
      <c r="L3428" s="49"/>
      <c r="M3428" s="49"/>
      <c r="N3428" s="49"/>
      <c r="O3428" s="49" t="str">
        <f t="shared" si="2"/>
        <v/>
      </c>
      <c r="P3428" s="49" t="str">
        <f t="shared" si="3"/>
        <v/>
      </c>
      <c r="Q3428" s="84"/>
      <c r="R3428" s="84"/>
      <c r="S3428" s="84"/>
      <c r="T3428" s="84"/>
      <c r="U3428" s="84"/>
      <c r="V3428" s="84"/>
      <c r="W3428" s="84"/>
      <c r="X3428" s="84"/>
      <c r="Y3428" s="84"/>
      <c r="Z3428" s="84"/>
      <c r="AA3428" s="84"/>
      <c r="AB3428" s="84"/>
    </row>
    <row r="3429">
      <c r="A3429" s="89"/>
      <c r="B3429" s="89"/>
      <c r="C3429" s="89"/>
      <c r="D3429" s="89"/>
      <c r="E3429" s="89"/>
      <c r="F3429" s="89"/>
      <c r="G3429" s="89"/>
      <c r="H3429" s="2"/>
      <c r="I3429" s="90"/>
      <c r="J3429" s="90"/>
      <c r="K3429" s="2"/>
      <c r="L3429" s="48"/>
      <c r="M3429" s="48"/>
      <c r="N3429" s="48"/>
      <c r="O3429" s="48" t="str">
        <f t="shared" si="2"/>
        <v/>
      </c>
      <c r="P3429" s="48" t="str">
        <f t="shared" si="3"/>
        <v/>
      </c>
      <c r="Q3429" s="84"/>
      <c r="R3429" s="84"/>
      <c r="S3429" s="84"/>
      <c r="T3429" s="84"/>
      <c r="U3429" s="84"/>
      <c r="V3429" s="84"/>
      <c r="W3429" s="84"/>
      <c r="X3429" s="84"/>
      <c r="Y3429" s="84"/>
      <c r="Z3429" s="84"/>
      <c r="AA3429" s="84"/>
      <c r="AB3429" s="84"/>
    </row>
    <row r="3430">
      <c r="A3430" s="89"/>
      <c r="B3430" s="89"/>
      <c r="C3430" s="89"/>
      <c r="D3430" s="89"/>
      <c r="E3430" s="89"/>
      <c r="F3430" s="89"/>
      <c r="G3430" s="89"/>
      <c r="H3430" s="2"/>
      <c r="I3430" s="90"/>
      <c r="J3430" s="90"/>
      <c r="K3430" s="2"/>
      <c r="L3430" s="49"/>
      <c r="M3430" s="49"/>
      <c r="N3430" s="49"/>
      <c r="O3430" s="49" t="str">
        <f t="shared" si="2"/>
        <v/>
      </c>
      <c r="P3430" s="49" t="str">
        <f t="shared" si="3"/>
        <v/>
      </c>
      <c r="Q3430" s="84"/>
      <c r="R3430" s="84"/>
      <c r="S3430" s="84"/>
      <c r="T3430" s="84"/>
      <c r="U3430" s="84"/>
      <c r="V3430" s="84"/>
      <c r="W3430" s="84"/>
      <c r="X3430" s="84"/>
      <c r="Y3430" s="84"/>
      <c r="Z3430" s="84"/>
      <c r="AA3430" s="84"/>
      <c r="AB3430" s="84"/>
    </row>
    <row r="3431">
      <c r="A3431" s="89"/>
      <c r="B3431" s="89"/>
      <c r="C3431" s="89"/>
      <c r="D3431" s="89"/>
      <c r="E3431" s="89"/>
      <c r="F3431" s="89"/>
      <c r="G3431" s="89"/>
      <c r="H3431" s="2"/>
      <c r="I3431" s="90"/>
      <c r="J3431" s="90"/>
      <c r="K3431" s="2"/>
      <c r="L3431" s="48"/>
      <c r="M3431" s="48"/>
      <c r="N3431" s="48"/>
      <c r="O3431" s="48" t="str">
        <f t="shared" si="2"/>
        <v/>
      </c>
      <c r="P3431" s="48" t="str">
        <f t="shared" si="3"/>
        <v/>
      </c>
      <c r="Q3431" s="84"/>
      <c r="R3431" s="84"/>
      <c r="S3431" s="84"/>
      <c r="T3431" s="84"/>
      <c r="U3431" s="84"/>
      <c r="V3431" s="84"/>
      <c r="W3431" s="84"/>
      <c r="X3431" s="84"/>
      <c r="Y3431" s="84"/>
      <c r="Z3431" s="84"/>
      <c r="AA3431" s="84"/>
      <c r="AB3431" s="84"/>
    </row>
    <row r="3432">
      <c r="A3432" s="89"/>
      <c r="B3432" s="89"/>
      <c r="C3432" s="89"/>
      <c r="D3432" s="89"/>
      <c r="E3432" s="89"/>
      <c r="F3432" s="89"/>
      <c r="G3432" s="89"/>
      <c r="H3432" s="2"/>
      <c r="I3432" s="90"/>
      <c r="J3432" s="90"/>
      <c r="K3432" s="2"/>
      <c r="L3432" s="49"/>
      <c r="M3432" s="49"/>
      <c r="N3432" s="49"/>
      <c r="O3432" s="49" t="str">
        <f t="shared" si="2"/>
        <v/>
      </c>
      <c r="P3432" s="49" t="str">
        <f t="shared" si="3"/>
        <v/>
      </c>
      <c r="Q3432" s="84"/>
      <c r="R3432" s="84"/>
      <c r="S3432" s="84"/>
      <c r="T3432" s="84"/>
      <c r="U3432" s="84"/>
      <c r="V3432" s="84"/>
      <c r="W3432" s="84"/>
      <c r="X3432" s="84"/>
      <c r="Y3432" s="84"/>
      <c r="Z3432" s="84"/>
      <c r="AA3432" s="84"/>
      <c r="AB3432" s="84"/>
    </row>
    <row r="3433">
      <c r="A3433" s="89"/>
      <c r="B3433" s="89"/>
      <c r="C3433" s="89"/>
      <c r="D3433" s="89"/>
      <c r="E3433" s="89"/>
      <c r="F3433" s="89"/>
      <c r="G3433" s="89"/>
      <c r="H3433" s="2"/>
      <c r="I3433" s="90"/>
      <c r="J3433" s="90"/>
      <c r="K3433" s="2"/>
      <c r="L3433" s="48"/>
      <c r="M3433" s="48"/>
      <c r="N3433" s="48"/>
      <c r="O3433" s="48" t="str">
        <f t="shared" si="2"/>
        <v/>
      </c>
      <c r="P3433" s="48" t="str">
        <f t="shared" si="3"/>
        <v/>
      </c>
      <c r="Q3433" s="84"/>
      <c r="R3433" s="84"/>
      <c r="S3433" s="84"/>
      <c r="T3433" s="84"/>
      <c r="U3433" s="84"/>
      <c r="V3433" s="84"/>
      <c r="W3433" s="84"/>
      <c r="X3433" s="84"/>
      <c r="Y3433" s="84"/>
      <c r="Z3433" s="84"/>
      <c r="AA3433" s="84"/>
      <c r="AB3433" s="84"/>
    </row>
    <row r="3434">
      <c r="A3434" s="89"/>
      <c r="B3434" s="89"/>
      <c r="C3434" s="89"/>
      <c r="D3434" s="89"/>
      <c r="E3434" s="89"/>
      <c r="F3434" s="89"/>
      <c r="G3434" s="89"/>
      <c r="H3434" s="2"/>
      <c r="I3434" s="90"/>
      <c r="J3434" s="90"/>
      <c r="K3434" s="2"/>
      <c r="L3434" s="49"/>
      <c r="M3434" s="49"/>
      <c r="N3434" s="49"/>
      <c r="O3434" s="49" t="str">
        <f t="shared" si="2"/>
        <v/>
      </c>
      <c r="P3434" s="49" t="str">
        <f t="shared" si="3"/>
        <v/>
      </c>
      <c r="Q3434" s="84"/>
      <c r="R3434" s="84"/>
      <c r="S3434" s="84"/>
      <c r="T3434" s="84"/>
      <c r="U3434" s="84"/>
      <c r="V3434" s="84"/>
      <c r="W3434" s="84"/>
      <c r="X3434" s="84"/>
      <c r="Y3434" s="84"/>
      <c r="Z3434" s="84"/>
      <c r="AA3434" s="84"/>
      <c r="AB3434" s="84"/>
    </row>
    <row r="3435">
      <c r="A3435" s="89"/>
      <c r="B3435" s="89"/>
      <c r="C3435" s="89"/>
      <c r="D3435" s="89"/>
      <c r="E3435" s="89"/>
      <c r="F3435" s="89"/>
      <c r="G3435" s="89"/>
      <c r="H3435" s="2"/>
      <c r="I3435" s="90"/>
      <c r="J3435" s="90"/>
      <c r="K3435" s="2"/>
      <c r="L3435" s="48"/>
      <c r="M3435" s="48"/>
      <c r="N3435" s="48"/>
      <c r="O3435" s="48" t="str">
        <f t="shared" si="2"/>
        <v/>
      </c>
      <c r="P3435" s="48" t="str">
        <f t="shared" si="3"/>
        <v/>
      </c>
      <c r="Q3435" s="84"/>
      <c r="R3435" s="84"/>
      <c r="S3435" s="84"/>
      <c r="T3435" s="84"/>
      <c r="U3435" s="84"/>
      <c r="V3435" s="84"/>
      <c r="W3435" s="84"/>
      <c r="X3435" s="84"/>
      <c r="Y3435" s="84"/>
      <c r="Z3435" s="84"/>
      <c r="AA3435" s="84"/>
      <c r="AB3435" s="84"/>
    </row>
    <row r="3436">
      <c r="A3436" s="89"/>
      <c r="B3436" s="89"/>
      <c r="C3436" s="89"/>
      <c r="D3436" s="89"/>
      <c r="E3436" s="89"/>
      <c r="F3436" s="89"/>
      <c r="G3436" s="89"/>
      <c r="H3436" s="2"/>
      <c r="I3436" s="90"/>
      <c r="J3436" s="90"/>
      <c r="K3436" s="2"/>
      <c r="L3436" s="49"/>
      <c r="M3436" s="49"/>
      <c r="N3436" s="49"/>
      <c r="O3436" s="49" t="str">
        <f t="shared" si="2"/>
        <v/>
      </c>
      <c r="P3436" s="49" t="str">
        <f t="shared" si="3"/>
        <v/>
      </c>
      <c r="Q3436" s="84"/>
      <c r="R3436" s="84"/>
      <c r="S3436" s="84"/>
      <c r="T3436" s="84"/>
      <c r="U3436" s="84"/>
      <c r="V3436" s="84"/>
      <c r="W3436" s="84"/>
      <c r="X3436" s="84"/>
      <c r="Y3436" s="84"/>
      <c r="Z3436" s="84"/>
      <c r="AA3436" s="84"/>
      <c r="AB3436" s="84"/>
    </row>
    <row r="3437">
      <c r="A3437" s="89"/>
      <c r="B3437" s="89"/>
      <c r="C3437" s="89"/>
      <c r="D3437" s="89"/>
      <c r="E3437" s="89"/>
      <c r="F3437" s="89"/>
      <c r="G3437" s="89"/>
      <c r="H3437" s="2"/>
      <c r="I3437" s="90"/>
      <c r="J3437" s="90"/>
      <c r="K3437" s="2"/>
      <c r="L3437" s="48"/>
      <c r="M3437" s="48"/>
      <c r="N3437" s="48"/>
      <c r="O3437" s="48" t="str">
        <f t="shared" si="2"/>
        <v/>
      </c>
      <c r="P3437" s="48" t="str">
        <f t="shared" si="3"/>
        <v/>
      </c>
      <c r="Q3437" s="84"/>
      <c r="R3437" s="84"/>
      <c r="S3437" s="84"/>
      <c r="T3437" s="84"/>
      <c r="U3437" s="84"/>
      <c r="V3437" s="84"/>
      <c r="W3437" s="84"/>
      <c r="X3437" s="84"/>
      <c r="Y3437" s="84"/>
      <c r="Z3437" s="84"/>
      <c r="AA3437" s="84"/>
      <c r="AB3437" s="84"/>
    </row>
    <row r="3438">
      <c r="A3438" s="89"/>
      <c r="B3438" s="89"/>
      <c r="C3438" s="89"/>
      <c r="D3438" s="89"/>
      <c r="E3438" s="89"/>
      <c r="F3438" s="89"/>
      <c r="G3438" s="89"/>
      <c r="H3438" s="2"/>
      <c r="I3438" s="90"/>
      <c r="J3438" s="90"/>
      <c r="K3438" s="2"/>
      <c r="L3438" s="49"/>
      <c r="M3438" s="49"/>
      <c r="N3438" s="49"/>
      <c r="O3438" s="49" t="str">
        <f t="shared" si="2"/>
        <v/>
      </c>
      <c r="P3438" s="49" t="str">
        <f t="shared" si="3"/>
        <v/>
      </c>
      <c r="Q3438" s="84"/>
      <c r="R3438" s="84"/>
      <c r="S3438" s="84"/>
      <c r="T3438" s="84"/>
      <c r="U3438" s="84"/>
      <c r="V3438" s="84"/>
      <c r="W3438" s="84"/>
      <c r="X3438" s="84"/>
      <c r="Y3438" s="84"/>
      <c r="Z3438" s="84"/>
      <c r="AA3438" s="84"/>
      <c r="AB3438" s="84"/>
    </row>
    <row r="3439">
      <c r="A3439" s="89"/>
      <c r="B3439" s="89"/>
      <c r="C3439" s="89"/>
      <c r="D3439" s="89"/>
      <c r="E3439" s="89"/>
      <c r="F3439" s="89"/>
      <c r="G3439" s="89"/>
      <c r="H3439" s="2"/>
      <c r="I3439" s="90"/>
      <c r="J3439" s="90"/>
      <c r="K3439" s="2"/>
      <c r="L3439" s="48"/>
      <c r="M3439" s="48"/>
      <c r="N3439" s="48"/>
      <c r="O3439" s="48" t="str">
        <f t="shared" si="2"/>
        <v/>
      </c>
      <c r="P3439" s="48" t="str">
        <f t="shared" si="3"/>
        <v/>
      </c>
      <c r="Q3439" s="84"/>
      <c r="R3439" s="84"/>
      <c r="S3439" s="84"/>
      <c r="T3439" s="84"/>
      <c r="U3439" s="84"/>
      <c r="V3439" s="84"/>
      <c r="W3439" s="84"/>
      <c r="X3439" s="84"/>
      <c r="Y3439" s="84"/>
      <c r="Z3439" s="84"/>
      <c r="AA3439" s="84"/>
      <c r="AB3439" s="84"/>
    </row>
    <row r="3440">
      <c r="A3440" s="89"/>
      <c r="B3440" s="89"/>
      <c r="C3440" s="89"/>
      <c r="D3440" s="89"/>
      <c r="E3440" s="89"/>
      <c r="F3440" s="89"/>
      <c r="G3440" s="89"/>
      <c r="H3440" s="2"/>
      <c r="I3440" s="90"/>
      <c r="J3440" s="90"/>
      <c r="K3440" s="2"/>
      <c r="L3440" s="49"/>
      <c r="M3440" s="49"/>
      <c r="N3440" s="49"/>
      <c r="O3440" s="49" t="str">
        <f t="shared" si="2"/>
        <v/>
      </c>
      <c r="P3440" s="49" t="str">
        <f t="shared" si="3"/>
        <v/>
      </c>
      <c r="Q3440" s="84"/>
      <c r="R3440" s="84"/>
      <c r="S3440" s="84"/>
      <c r="T3440" s="84"/>
      <c r="U3440" s="84"/>
      <c r="V3440" s="84"/>
      <c r="W3440" s="84"/>
      <c r="X3440" s="84"/>
      <c r="Y3440" s="84"/>
      <c r="Z3440" s="84"/>
      <c r="AA3440" s="84"/>
      <c r="AB3440" s="84"/>
    </row>
    <row r="3441">
      <c r="A3441" s="89"/>
      <c r="B3441" s="89"/>
      <c r="C3441" s="89"/>
      <c r="D3441" s="89"/>
      <c r="E3441" s="89"/>
      <c r="F3441" s="89"/>
      <c r="G3441" s="89"/>
      <c r="H3441" s="2"/>
      <c r="I3441" s="90"/>
      <c r="J3441" s="90"/>
      <c r="K3441" s="2"/>
      <c r="L3441" s="48"/>
      <c r="M3441" s="48"/>
      <c r="N3441" s="48"/>
      <c r="O3441" s="48" t="str">
        <f t="shared" si="2"/>
        <v/>
      </c>
      <c r="P3441" s="48" t="str">
        <f t="shared" si="3"/>
        <v/>
      </c>
      <c r="Q3441" s="84"/>
      <c r="R3441" s="84"/>
      <c r="S3441" s="84"/>
      <c r="T3441" s="84"/>
      <c r="U3441" s="84"/>
      <c r="V3441" s="84"/>
      <c r="W3441" s="84"/>
      <c r="X3441" s="84"/>
      <c r="Y3441" s="84"/>
      <c r="Z3441" s="84"/>
      <c r="AA3441" s="84"/>
      <c r="AB3441" s="84"/>
    </row>
    <row r="3442">
      <c r="A3442" s="89"/>
      <c r="B3442" s="89"/>
      <c r="C3442" s="89"/>
      <c r="D3442" s="89"/>
      <c r="E3442" s="89"/>
      <c r="F3442" s="89"/>
      <c r="G3442" s="89"/>
      <c r="H3442" s="2"/>
      <c r="I3442" s="90"/>
      <c r="J3442" s="90"/>
      <c r="K3442" s="2"/>
      <c r="L3442" s="49"/>
      <c r="M3442" s="49"/>
      <c r="N3442" s="49"/>
      <c r="O3442" s="49" t="str">
        <f t="shared" si="2"/>
        <v/>
      </c>
      <c r="P3442" s="49" t="str">
        <f t="shared" si="3"/>
        <v/>
      </c>
      <c r="Q3442" s="84"/>
      <c r="R3442" s="84"/>
      <c r="S3442" s="84"/>
      <c r="T3442" s="84"/>
      <c r="U3442" s="84"/>
      <c r="V3442" s="84"/>
      <c r="W3442" s="84"/>
      <c r="X3442" s="84"/>
      <c r="Y3442" s="84"/>
      <c r="Z3442" s="84"/>
      <c r="AA3442" s="84"/>
      <c r="AB3442" s="84"/>
    </row>
    <row r="3443">
      <c r="A3443" s="89"/>
      <c r="B3443" s="89"/>
      <c r="C3443" s="89"/>
      <c r="D3443" s="89"/>
      <c r="E3443" s="89"/>
      <c r="F3443" s="89"/>
      <c r="G3443" s="89"/>
      <c r="H3443" s="2"/>
      <c r="I3443" s="90"/>
      <c r="J3443" s="90"/>
      <c r="K3443" s="2"/>
      <c r="L3443" s="48"/>
      <c r="M3443" s="48"/>
      <c r="N3443" s="48"/>
      <c r="O3443" s="48" t="str">
        <f t="shared" si="2"/>
        <v/>
      </c>
      <c r="P3443" s="48" t="str">
        <f t="shared" si="3"/>
        <v/>
      </c>
      <c r="Q3443" s="84"/>
      <c r="R3443" s="84"/>
      <c r="S3443" s="84"/>
      <c r="T3443" s="84"/>
      <c r="U3443" s="84"/>
      <c r="V3443" s="84"/>
      <c r="W3443" s="84"/>
      <c r="X3443" s="84"/>
      <c r="Y3443" s="84"/>
      <c r="Z3443" s="84"/>
      <c r="AA3443" s="84"/>
      <c r="AB3443" s="84"/>
    </row>
    <row r="3444">
      <c r="A3444" s="89"/>
      <c r="B3444" s="89"/>
      <c r="C3444" s="89"/>
      <c r="D3444" s="89"/>
      <c r="E3444" s="89"/>
      <c r="F3444" s="89"/>
      <c r="G3444" s="89"/>
      <c r="H3444" s="2"/>
      <c r="I3444" s="90"/>
      <c r="J3444" s="90"/>
      <c r="K3444" s="2"/>
      <c r="L3444" s="49"/>
      <c r="M3444" s="49"/>
      <c r="N3444" s="49"/>
      <c r="O3444" s="49" t="str">
        <f t="shared" si="2"/>
        <v/>
      </c>
      <c r="P3444" s="49" t="str">
        <f t="shared" si="3"/>
        <v/>
      </c>
      <c r="Q3444" s="84"/>
      <c r="R3444" s="84"/>
      <c r="S3444" s="84"/>
      <c r="T3444" s="84"/>
      <c r="U3444" s="84"/>
      <c r="V3444" s="84"/>
      <c r="W3444" s="84"/>
      <c r="X3444" s="84"/>
      <c r="Y3444" s="84"/>
      <c r="Z3444" s="84"/>
      <c r="AA3444" s="84"/>
      <c r="AB3444" s="84"/>
    </row>
    <row r="3445">
      <c r="A3445" s="89"/>
      <c r="B3445" s="89"/>
      <c r="C3445" s="89"/>
      <c r="D3445" s="89"/>
      <c r="E3445" s="89"/>
      <c r="F3445" s="89"/>
      <c r="G3445" s="89"/>
      <c r="H3445" s="2"/>
      <c r="I3445" s="90"/>
      <c r="J3445" s="90"/>
      <c r="K3445" s="2"/>
      <c r="L3445" s="48"/>
      <c r="M3445" s="48"/>
      <c r="N3445" s="48"/>
      <c r="O3445" s="48" t="str">
        <f t="shared" si="2"/>
        <v/>
      </c>
      <c r="P3445" s="48" t="str">
        <f t="shared" si="3"/>
        <v/>
      </c>
      <c r="Q3445" s="84"/>
      <c r="R3445" s="84"/>
      <c r="S3445" s="84"/>
      <c r="T3445" s="84"/>
      <c r="U3445" s="84"/>
      <c r="V3445" s="84"/>
      <c r="W3445" s="84"/>
      <c r="X3445" s="84"/>
      <c r="Y3445" s="84"/>
      <c r="Z3445" s="84"/>
      <c r="AA3445" s="84"/>
      <c r="AB3445" s="84"/>
    </row>
    <row r="3446">
      <c r="A3446" s="89"/>
      <c r="B3446" s="89"/>
      <c r="C3446" s="89"/>
      <c r="D3446" s="89"/>
      <c r="E3446" s="89"/>
      <c r="F3446" s="89"/>
      <c r="G3446" s="89"/>
      <c r="H3446" s="2"/>
      <c r="I3446" s="90"/>
      <c r="J3446" s="90"/>
      <c r="K3446" s="2"/>
      <c r="L3446" s="49"/>
      <c r="M3446" s="49"/>
      <c r="N3446" s="49"/>
      <c r="O3446" s="49" t="str">
        <f t="shared" si="2"/>
        <v/>
      </c>
      <c r="P3446" s="49" t="str">
        <f t="shared" si="3"/>
        <v/>
      </c>
      <c r="Q3446" s="84"/>
      <c r="R3446" s="84"/>
      <c r="S3446" s="84"/>
      <c r="T3446" s="84"/>
      <c r="U3446" s="84"/>
      <c r="V3446" s="84"/>
      <c r="W3446" s="84"/>
      <c r="X3446" s="84"/>
      <c r="Y3446" s="84"/>
      <c r="Z3446" s="84"/>
      <c r="AA3446" s="84"/>
      <c r="AB3446" s="84"/>
    </row>
    <row r="3447">
      <c r="A3447" s="89"/>
      <c r="B3447" s="89"/>
      <c r="C3447" s="89"/>
      <c r="D3447" s="89"/>
      <c r="E3447" s="89"/>
      <c r="F3447" s="89"/>
      <c r="G3447" s="89"/>
      <c r="H3447" s="2"/>
      <c r="I3447" s="90"/>
      <c r="J3447" s="90"/>
      <c r="K3447" s="2"/>
      <c r="L3447" s="48"/>
      <c r="M3447" s="48"/>
      <c r="N3447" s="48"/>
      <c r="O3447" s="48" t="str">
        <f t="shared" si="2"/>
        <v/>
      </c>
      <c r="P3447" s="48" t="str">
        <f t="shared" si="3"/>
        <v/>
      </c>
      <c r="Q3447" s="84"/>
      <c r="R3447" s="84"/>
      <c r="S3447" s="84"/>
      <c r="T3447" s="84"/>
      <c r="U3447" s="84"/>
      <c r="V3447" s="84"/>
      <c r="W3447" s="84"/>
      <c r="X3447" s="84"/>
      <c r="Y3447" s="84"/>
      <c r="Z3447" s="84"/>
      <c r="AA3447" s="84"/>
      <c r="AB3447" s="84"/>
    </row>
    <row r="3448">
      <c r="A3448" s="89"/>
      <c r="B3448" s="89"/>
      <c r="C3448" s="89"/>
      <c r="D3448" s="89"/>
      <c r="E3448" s="89"/>
      <c r="F3448" s="89"/>
      <c r="G3448" s="89"/>
      <c r="H3448" s="2"/>
      <c r="I3448" s="90"/>
      <c r="J3448" s="90"/>
      <c r="K3448" s="2"/>
      <c r="L3448" s="49"/>
      <c r="M3448" s="49"/>
      <c r="N3448" s="49"/>
      <c r="O3448" s="49" t="str">
        <f t="shared" si="2"/>
        <v/>
      </c>
      <c r="P3448" s="49" t="str">
        <f t="shared" si="3"/>
        <v/>
      </c>
      <c r="Q3448" s="84"/>
      <c r="R3448" s="84"/>
      <c r="S3448" s="84"/>
      <c r="T3448" s="84"/>
      <c r="U3448" s="84"/>
      <c r="V3448" s="84"/>
      <c r="W3448" s="84"/>
      <c r="X3448" s="84"/>
      <c r="Y3448" s="84"/>
      <c r="Z3448" s="84"/>
      <c r="AA3448" s="84"/>
      <c r="AB3448" s="84"/>
    </row>
    <row r="3449">
      <c r="A3449" s="89"/>
      <c r="B3449" s="89"/>
      <c r="C3449" s="89"/>
      <c r="D3449" s="89"/>
      <c r="E3449" s="89"/>
      <c r="F3449" s="89"/>
      <c r="G3449" s="89"/>
      <c r="H3449" s="2"/>
      <c r="I3449" s="90"/>
      <c r="J3449" s="90"/>
      <c r="K3449" s="2"/>
      <c r="L3449" s="48"/>
      <c r="M3449" s="48"/>
      <c r="N3449" s="48"/>
      <c r="O3449" s="48" t="str">
        <f t="shared" si="2"/>
        <v/>
      </c>
      <c r="P3449" s="48" t="str">
        <f t="shared" si="3"/>
        <v/>
      </c>
      <c r="Q3449" s="84"/>
      <c r="R3449" s="84"/>
      <c r="S3449" s="84"/>
      <c r="T3449" s="84"/>
      <c r="U3449" s="84"/>
      <c r="V3449" s="84"/>
      <c r="W3449" s="84"/>
      <c r="X3449" s="84"/>
      <c r="Y3449" s="84"/>
      <c r="Z3449" s="84"/>
      <c r="AA3449" s="84"/>
      <c r="AB3449" s="84"/>
    </row>
    <row r="3450">
      <c r="A3450" s="89"/>
      <c r="B3450" s="89"/>
      <c r="C3450" s="89"/>
      <c r="D3450" s="89"/>
      <c r="E3450" s="89"/>
      <c r="F3450" s="89"/>
      <c r="G3450" s="89"/>
      <c r="H3450" s="2"/>
      <c r="I3450" s="90"/>
      <c r="J3450" s="90"/>
      <c r="K3450" s="2"/>
      <c r="L3450" s="49"/>
      <c r="M3450" s="49"/>
      <c r="N3450" s="49"/>
      <c r="O3450" s="49" t="str">
        <f t="shared" si="2"/>
        <v/>
      </c>
      <c r="P3450" s="49" t="str">
        <f t="shared" si="3"/>
        <v/>
      </c>
      <c r="Q3450" s="84"/>
      <c r="R3450" s="84"/>
      <c r="S3450" s="84"/>
      <c r="T3450" s="84"/>
      <c r="U3450" s="84"/>
      <c r="V3450" s="84"/>
      <c r="W3450" s="84"/>
      <c r="X3450" s="84"/>
      <c r="Y3450" s="84"/>
      <c r="Z3450" s="84"/>
      <c r="AA3450" s="84"/>
      <c r="AB3450" s="84"/>
    </row>
    <row r="3451">
      <c r="A3451" s="89"/>
      <c r="B3451" s="89"/>
      <c r="C3451" s="89"/>
      <c r="D3451" s="89"/>
      <c r="E3451" s="89"/>
      <c r="F3451" s="89"/>
      <c r="G3451" s="89"/>
      <c r="H3451" s="2"/>
      <c r="I3451" s="90"/>
      <c r="J3451" s="90"/>
      <c r="K3451" s="2"/>
      <c r="L3451" s="48"/>
      <c r="M3451" s="48"/>
      <c r="N3451" s="48"/>
      <c r="O3451" s="48" t="str">
        <f t="shared" si="2"/>
        <v/>
      </c>
      <c r="P3451" s="48" t="str">
        <f t="shared" si="3"/>
        <v/>
      </c>
      <c r="Q3451" s="84"/>
      <c r="R3451" s="84"/>
      <c r="S3451" s="84"/>
      <c r="T3451" s="84"/>
      <c r="U3451" s="84"/>
      <c r="V3451" s="84"/>
      <c r="W3451" s="84"/>
      <c r="X3451" s="84"/>
      <c r="Y3451" s="84"/>
      <c r="Z3451" s="84"/>
      <c r="AA3451" s="84"/>
      <c r="AB3451" s="84"/>
    </row>
    <row r="3452">
      <c r="A3452" s="89"/>
      <c r="B3452" s="89"/>
      <c r="C3452" s="89"/>
      <c r="D3452" s="89"/>
      <c r="E3452" s="89"/>
      <c r="F3452" s="89"/>
      <c r="G3452" s="89"/>
      <c r="H3452" s="2"/>
      <c r="I3452" s="90"/>
      <c r="J3452" s="90"/>
      <c r="K3452" s="2"/>
      <c r="L3452" s="49"/>
      <c r="M3452" s="49"/>
      <c r="N3452" s="49"/>
      <c r="O3452" s="49" t="str">
        <f t="shared" si="2"/>
        <v/>
      </c>
      <c r="P3452" s="49" t="str">
        <f t="shared" si="3"/>
        <v/>
      </c>
      <c r="Q3452" s="84"/>
      <c r="R3452" s="84"/>
      <c r="S3452" s="84"/>
      <c r="T3452" s="84"/>
      <c r="U3452" s="84"/>
      <c r="V3452" s="84"/>
      <c r="W3452" s="84"/>
      <c r="X3452" s="84"/>
      <c r="Y3452" s="84"/>
      <c r="Z3452" s="84"/>
      <c r="AA3452" s="84"/>
      <c r="AB3452" s="84"/>
    </row>
    <row r="3453">
      <c r="A3453" s="89"/>
      <c r="B3453" s="89"/>
      <c r="C3453" s="89"/>
      <c r="D3453" s="89"/>
      <c r="E3453" s="89"/>
      <c r="F3453" s="89"/>
      <c r="G3453" s="89"/>
      <c r="H3453" s="2"/>
      <c r="I3453" s="90"/>
      <c r="J3453" s="90"/>
      <c r="K3453" s="2"/>
      <c r="L3453" s="48"/>
      <c r="M3453" s="48"/>
      <c r="N3453" s="48"/>
      <c r="O3453" s="48" t="str">
        <f t="shared" si="2"/>
        <v/>
      </c>
      <c r="P3453" s="48" t="str">
        <f t="shared" si="3"/>
        <v/>
      </c>
      <c r="Q3453" s="84"/>
      <c r="R3453" s="84"/>
      <c r="S3453" s="84"/>
      <c r="T3453" s="84"/>
      <c r="U3453" s="84"/>
      <c r="V3453" s="84"/>
      <c r="W3453" s="84"/>
      <c r="X3453" s="84"/>
      <c r="Y3453" s="84"/>
      <c r="Z3453" s="84"/>
      <c r="AA3453" s="84"/>
      <c r="AB3453" s="84"/>
    </row>
    <row r="3454">
      <c r="A3454" s="89"/>
      <c r="B3454" s="89"/>
      <c r="C3454" s="89"/>
      <c r="D3454" s="89"/>
      <c r="E3454" s="89"/>
      <c r="F3454" s="89"/>
      <c r="G3454" s="89"/>
      <c r="H3454" s="2"/>
      <c r="I3454" s="90"/>
      <c r="J3454" s="90"/>
      <c r="K3454" s="2"/>
      <c r="L3454" s="49"/>
      <c r="M3454" s="49"/>
      <c r="N3454" s="49"/>
      <c r="O3454" s="49" t="str">
        <f t="shared" si="2"/>
        <v/>
      </c>
      <c r="P3454" s="49" t="str">
        <f t="shared" si="3"/>
        <v/>
      </c>
      <c r="Q3454" s="84"/>
      <c r="R3454" s="84"/>
      <c r="S3454" s="84"/>
      <c r="T3454" s="84"/>
      <c r="U3454" s="84"/>
      <c r="V3454" s="84"/>
      <c r="W3454" s="84"/>
      <c r="X3454" s="84"/>
      <c r="Y3454" s="84"/>
      <c r="Z3454" s="84"/>
      <c r="AA3454" s="84"/>
      <c r="AB3454" s="84"/>
    </row>
    <row r="3455">
      <c r="A3455" s="89"/>
      <c r="B3455" s="89"/>
      <c r="C3455" s="89"/>
      <c r="D3455" s="89"/>
      <c r="E3455" s="89"/>
      <c r="F3455" s="89"/>
      <c r="G3455" s="89"/>
      <c r="H3455" s="2"/>
      <c r="I3455" s="90"/>
      <c r="J3455" s="90"/>
      <c r="K3455" s="2"/>
      <c r="L3455" s="48"/>
      <c r="M3455" s="48"/>
      <c r="N3455" s="48"/>
      <c r="O3455" s="48" t="str">
        <f t="shared" si="2"/>
        <v/>
      </c>
      <c r="P3455" s="48" t="str">
        <f t="shared" si="3"/>
        <v/>
      </c>
      <c r="Q3455" s="84"/>
      <c r="R3455" s="84"/>
      <c r="S3455" s="84"/>
      <c r="T3455" s="84"/>
      <c r="U3455" s="84"/>
      <c r="V3455" s="84"/>
      <c r="W3455" s="84"/>
      <c r="X3455" s="84"/>
      <c r="Y3455" s="84"/>
      <c r="Z3455" s="84"/>
      <c r="AA3455" s="84"/>
      <c r="AB3455" s="84"/>
    </row>
    <row r="3456">
      <c r="A3456" s="89"/>
      <c r="B3456" s="89"/>
      <c r="C3456" s="89"/>
      <c r="D3456" s="89"/>
      <c r="E3456" s="89"/>
      <c r="F3456" s="89"/>
      <c r="G3456" s="89"/>
      <c r="H3456" s="2"/>
      <c r="I3456" s="90"/>
      <c r="J3456" s="90"/>
      <c r="K3456" s="2"/>
      <c r="L3456" s="49"/>
      <c r="M3456" s="49"/>
      <c r="N3456" s="49"/>
      <c r="O3456" s="49" t="str">
        <f t="shared" si="2"/>
        <v/>
      </c>
      <c r="P3456" s="49" t="str">
        <f t="shared" si="3"/>
        <v/>
      </c>
      <c r="Q3456" s="84"/>
      <c r="R3456" s="84"/>
      <c r="S3456" s="84"/>
      <c r="T3456" s="84"/>
      <c r="U3456" s="84"/>
      <c r="V3456" s="84"/>
      <c r="W3456" s="84"/>
      <c r="X3456" s="84"/>
      <c r="Y3456" s="84"/>
      <c r="Z3456" s="84"/>
      <c r="AA3456" s="84"/>
      <c r="AB3456" s="84"/>
    </row>
    <row r="3457">
      <c r="A3457" s="89"/>
      <c r="B3457" s="89"/>
      <c r="C3457" s="89"/>
      <c r="D3457" s="89"/>
      <c r="E3457" s="89"/>
      <c r="F3457" s="89"/>
      <c r="G3457" s="89"/>
      <c r="H3457" s="2"/>
      <c r="I3457" s="90"/>
      <c r="J3457" s="90"/>
      <c r="K3457" s="2"/>
      <c r="L3457" s="48"/>
      <c r="M3457" s="48"/>
      <c r="N3457" s="48"/>
      <c r="O3457" s="48" t="str">
        <f t="shared" si="2"/>
        <v/>
      </c>
      <c r="P3457" s="48" t="str">
        <f t="shared" si="3"/>
        <v/>
      </c>
      <c r="Q3457" s="84"/>
      <c r="R3457" s="84"/>
      <c r="S3457" s="84"/>
      <c r="T3457" s="84"/>
      <c r="U3457" s="84"/>
      <c r="V3457" s="84"/>
      <c r="W3457" s="84"/>
      <c r="X3457" s="84"/>
      <c r="Y3457" s="84"/>
      <c r="Z3457" s="84"/>
      <c r="AA3457" s="84"/>
      <c r="AB3457" s="84"/>
    </row>
    <row r="3458">
      <c r="A3458" s="89"/>
      <c r="B3458" s="89"/>
      <c r="C3458" s="89"/>
      <c r="D3458" s="89"/>
      <c r="E3458" s="89"/>
      <c r="F3458" s="89"/>
      <c r="G3458" s="89"/>
      <c r="H3458" s="2"/>
      <c r="I3458" s="90"/>
      <c r="J3458" s="90"/>
      <c r="K3458" s="2"/>
      <c r="L3458" s="49"/>
      <c r="M3458" s="49"/>
      <c r="N3458" s="49"/>
      <c r="O3458" s="49" t="str">
        <f t="shared" si="2"/>
        <v/>
      </c>
      <c r="P3458" s="49" t="str">
        <f t="shared" si="3"/>
        <v/>
      </c>
      <c r="Q3458" s="84"/>
      <c r="R3458" s="84"/>
      <c r="S3458" s="84"/>
      <c r="T3458" s="84"/>
      <c r="U3458" s="84"/>
      <c r="V3458" s="84"/>
      <c r="W3458" s="84"/>
      <c r="X3458" s="84"/>
      <c r="Y3458" s="84"/>
      <c r="Z3458" s="84"/>
      <c r="AA3458" s="84"/>
      <c r="AB3458" s="84"/>
    </row>
    <row r="3459">
      <c r="A3459" s="89"/>
      <c r="B3459" s="89"/>
      <c r="C3459" s="89"/>
      <c r="D3459" s="89"/>
      <c r="E3459" s="89"/>
      <c r="F3459" s="89"/>
      <c r="G3459" s="89"/>
      <c r="H3459" s="2"/>
      <c r="I3459" s="90"/>
      <c r="J3459" s="90"/>
      <c r="K3459" s="2"/>
      <c r="L3459" s="48"/>
      <c r="M3459" s="48"/>
      <c r="N3459" s="48"/>
      <c r="O3459" s="48" t="str">
        <f t="shared" si="2"/>
        <v/>
      </c>
      <c r="P3459" s="48" t="str">
        <f t="shared" si="3"/>
        <v/>
      </c>
      <c r="Q3459" s="84"/>
      <c r="R3459" s="84"/>
      <c r="S3459" s="84"/>
      <c r="T3459" s="84"/>
      <c r="U3459" s="84"/>
      <c r="V3459" s="84"/>
      <c r="W3459" s="84"/>
      <c r="X3459" s="84"/>
      <c r="Y3459" s="84"/>
      <c r="Z3459" s="84"/>
      <c r="AA3459" s="84"/>
      <c r="AB3459" s="84"/>
    </row>
    <row r="3460">
      <c r="A3460" s="89"/>
      <c r="B3460" s="89"/>
      <c r="C3460" s="89"/>
      <c r="D3460" s="89"/>
      <c r="E3460" s="89"/>
      <c r="F3460" s="89"/>
      <c r="G3460" s="89"/>
      <c r="H3460" s="2"/>
      <c r="I3460" s="90"/>
      <c r="J3460" s="90"/>
      <c r="K3460" s="2"/>
      <c r="L3460" s="49"/>
      <c r="M3460" s="49"/>
      <c r="N3460" s="49"/>
      <c r="O3460" s="49" t="str">
        <f t="shared" si="2"/>
        <v/>
      </c>
      <c r="P3460" s="49" t="str">
        <f t="shared" si="3"/>
        <v/>
      </c>
      <c r="Q3460" s="84"/>
      <c r="R3460" s="84"/>
      <c r="S3460" s="84"/>
      <c r="T3460" s="84"/>
      <c r="U3460" s="84"/>
      <c r="V3460" s="84"/>
      <c r="W3460" s="84"/>
      <c r="X3460" s="84"/>
      <c r="Y3460" s="84"/>
      <c r="Z3460" s="84"/>
      <c r="AA3460" s="84"/>
      <c r="AB3460" s="84"/>
    </row>
    <row r="3461">
      <c r="A3461" s="89"/>
      <c r="B3461" s="89"/>
      <c r="C3461" s="89"/>
      <c r="D3461" s="89"/>
      <c r="E3461" s="89"/>
      <c r="F3461" s="89"/>
      <c r="G3461" s="89"/>
      <c r="H3461" s="2"/>
      <c r="I3461" s="90"/>
      <c r="J3461" s="90"/>
      <c r="K3461" s="2"/>
      <c r="L3461" s="48"/>
      <c r="M3461" s="48"/>
      <c r="N3461" s="48"/>
      <c r="O3461" s="48" t="str">
        <f t="shared" si="2"/>
        <v/>
      </c>
      <c r="P3461" s="48" t="str">
        <f t="shared" si="3"/>
        <v/>
      </c>
      <c r="Q3461" s="84"/>
      <c r="R3461" s="84"/>
      <c r="S3461" s="84"/>
      <c r="T3461" s="84"/>
      <c r="U3461" s="84"/>
      <c r="V3461" s="84"/>
      <c r="W3461" s="84"/>
      <c r="X3461" s="84"/>
      <c r="Y3461" s="84"/>
      <c r="Z3461" s="84"/>
      <c r="AA3461" s="84"/>
      <c r="AB3461" s="84"/>
    </row>
    <row r="3462">
      <c r="A3462" s="89"/>
      <c r="B3462" s="89"/>
      <c r="C3462" s="89"/>
      <c r="D3462" s="89"/>
      <c r="E3462" s="89"/>
      <c r="F3462" s="89"/>
      <c r="G3462" s="89"/>
      <c r="H3462" s="2"/>
      <c r="I3462" s="90"/>
      <c r="J3462" s="90"/>
      <c r="K3462" s="2"/>
      <c r="L3462" s="49"/>
      <c r="M3462" s="49"/>
      <c r="N3462" s="49"/>
      <c r="O3462" s="49" t="str">
        <f t="shared" si="2"/>
        <v/>
      </c>
      <c r="P3462" s="49" t="str">
        <f t="shared" si="3"/>
        <v/>
      </c>
      <c r="Q3462" s="84"/>
      <c r="R3462" s="84"/>
      <c r="S3462" s="84"/>
      <c r="T3462" s="84"/>
      <c r="U3462" s="84"/>
      <c r="V3462" s="84"/>
      <c r="W3462" s="84"/>
      <c r="X3462" s="84"/>
      <c r="Y3462" s="84"/>
      <c r="Z3462" s="84"/>
      <c r="AA3462" s="84"/>
      <c r="AB3462" s="84"/>
    </row>
    <row r="3463">
      <c r="A3463" s="89"/>
      <c r="B3463" s="89"/>
      <c r="C3463" s="89"/>
      <c r="D3463" s="89"/>
      <c r="E3463" s="89"/>
      <c r="F3463" s="89"/>
      <c r="G3463" s="89"/>
      <c r="H3463" s="2"/>
      <c r="I3463" s="90"/>
      <c r="J3463" s="90"/>
      <c r="K3463" s="2"/>
      <c r="L3463" s="48"/>
      <c r="M3463" s="48"/>
      <c r="N3463" s="48"/>
      <c r="O3463" s="48" t="str">
        <f t="shared" si="2"/>
        <v/>
      </c>
      <c r="P3463" s="48" t="str">
        <f t="shared" si="3"/>
        <v/>
      </c>
      <c r="Q3463" s="84"/>
      <c r="R3463" s="84"/>
      <c r="S3463" s="84"/>
      <c r="T3463" s="84"/>
      <c r="U3463" s="84"/>
      <c r="V3463" s="84"/>
      <c r="W3463" s="84"/>
      <c r="X3463" s="84"/>
      <c r="Y3463" s="84"/>
      <c r="Z3463" s="84"/>
      <c r="AA3463" s="84"/>
      <c r="AB3463" s="84"/>
    </row>
    <row r="3464">
      <c r="A3464" s="89"/>
      <c r="B3464" s="89"/>
      <c r="C3464" s="89"/>
      <c r="D3464" s="89"/>
      <c r="E3464" s="89"/>
      <c r="F3464" s="89"/>
      <c r="G3464" s="89"/>
      <c r="H3464" s="2"/>
      <c r="I3464" s="90"/>
      <c r="J3464" s="90"/>
      <c r="K3464" s="2"/>
      <c r="L3464" s="49"/>
      <c r="M3464" s="49"/>
      <c r="N3464" s="49"/>
      <c r="O3464" s="49" t="str">
        <f t="shared" si="2"/>
        <v/>
      </c>
      <c r="P3464" s="49" t="str">
        <f t="shared" si="3"/>
        <v/>
      </c>
      <c r="Q3464" s="84"/>
      <c r="R3464" s="84"/>
      <c r="S3464" s="84"/>
      <c r="T3464" s="84"/>
      <c r="U3464" s="84"/>
      <c r="V3464" s="84"/>
      <c r="W3464" s="84"/>
      <c r="X3464" s="84"/>
      <c r="Y3464" s="84"/>
      <c r="Z3464" s="84"/>
      <c r="AA3464" s="84"/>
      <c r="AB3464" s="84"/>
    </row>
    <row r="3465">
      <c r="A3465" s="89"/>
      <c r="B3465" s="89"/>
      <c r="C3465" s="89"/>
      <c r="D3465" s="89"/>
      <c r="E3465" s="89"/>
      <c r="F3465" s="89"/>
      <c r="G3465" s="89"/>
      <c r="H3465" s="2"/>
      <c r="I3465" s="90"/>
      <c r="J3465" s="90"/>
      <c r="K3465" s="2"/>
      <c r="L3465" s="48"/>
      <c r="M3465" s="48"/>
      <c r="N3465" s="48"/>
      <c r="O3465" s="48" t="str">
        <f t="shared" si="2"/>
        <v/>
      </c>
      <c r="P3465" s="48" t="str">
        <f t="shared" si="3"/>
        <v/>
      </c>
      <c r="Q3465" s="84"/>
      <c r="R3465" s="84"/>
      <c r="S3465" s="84"/>
      <c r="T3465" s="84"/>
      <c r="U3465" s="84"/>
      <c r="V3465" s="84"/>
      <c r="W3465" s="84"/>
      <c r="X3465" s="84"/>
      <c r="Y3465" s="84"/>
      <c r="Z3465" s="84"/>
      <c r="AA3465" s="84"/>
      <c r="AB3465" s="84"/>
    </row>
    <row r="3466">
      <c r="A3466" s="89"/>
      <c r="B3466" s="89"/>
      <c r="C3466" s="89"/>
      <c r="D3466" s="89"/>
      <c r="E3466" s="89"/>
      <c r="F3466" s="89"/>
      <c r="G3466" s="89"/>
      <c r="H3466" s="2"/>
      <c r="I3466" s="90"/>
      <c r="J3466" s="90"/>
      <c r="K3466" s="2"/>
      <c r="L3466" s="49"/>
      <c r="M3466" s="49"/>
      <c r="N3466" s="49"/>
      <c r="O3466" s="49" t="str">
        <f t="shared" si="2"/>
        <v/>
      </c>
      <c r="P3466" s="49" t="str">
        <f t="shared" si="3"/>
        <v/>
      </c>
      <c r="Q3466" s="84"/>
      <c r="R3466" s="84"/>
      <c r="S3466" s="84"/>
      <c r="T3466" s="84"/>
      <c r="U3466" s="84"/>
      <c r="V3466" s="84"/>
      <c r="W3466" s="84"/>
      <c r="X3466" s="84"/>
      <c r="Y3466" s="84"/>
      <c r="Z3466" s="84"/>
      <c r="AA3466" s="84"/>
      <c r="AB3466" s="84"/>
    </row>
    <row r="3467">
      <c r="A3467" s="89"/>
      <c r="B3467" s="89"/>
      <c r="C3467" s="89"/>
      <c r="D3467" s="89"/>
      <c r="E3467" s="89"/>
      <c r="F3467" s="89"/>
      <c r="G3467" s="89"/>
      <c r="H3467" s="2"/>
      <c r="I3467" s="90"/>
      <c r="J3467" s="90"/>
      <c r="K3467" s="2"/>
      <c r="L3467" s="48"/>
      <c r="M3467" s="48"/>
      <c r="N3467" s="48"/>
      <c r="O3467" s="48" t="str">
        <f t="shared" si="2"/>
        <v/>
      </c>
      <c r="P3467" s="48" t="str">
        <f t="shared" si="3"/>
        <v/>
      </c>
      <c r="Q3467" s="84"/>
      <c r="R3467" s="84"/>
      <c r="S3467" s="84"/>
      <c r="T3467" s="84"/>
      <c r="U3467" s="84"/>
      <c r="V3467" s="84"/>
      <c r="W3467" s="84"/>
      <c r="X3467" s="84"/>
      <c r="Y3467" s="84"/>
      <c r="Z3467" s="84"/>
      <c r="AA3467" s="84"/>
      <c r="AB3467" s="84"/>
    </row>
    <row r="3468">
      <c r="A3468" s="89"/>
      <c r="B3468" s="89"/>
      <c r="C3468" s="89"/>
      <c r="D3468" s="89"/>
      <c r="E3468" s="89"/>
      <c r="F3468" s="89"/>
      <c r="G3468" s="89"/>
      <c r="H3468" s="2"/>
      <c r="I3468" s="90"/>
      <c r="J3468" s="90"/>
      <c r="K3468" s="2"/>
      <c r="L3468" s="49"/>
      <c r="M3468" s="49"/>
      <c r="N3468" s="49"/>
      <c r="O3468" s="49" t="str">
        <f t="shared" si="2"/>
        <v/>
      </c>
      <c r="P3468" s="49" t="str">
        <f t="shared" si="3"/>
        <v/>
      </c>
      <c r="Q3468" s="84"/>
      <c r="R3468" s="84"/>
      <c r="S3468" s="84"/>
      <c r="T3468" s="84"/>
      <c r="U3468" s="84"/>
      <c r="V3468" s="84"/>
      <c r="W3468" s="84"/>
      <c r="X3468" s="84"/>
      <c r="Y3468" s="84"/>
      <c r="Z3468" s="84"/>
      <c r="AA3468" s="84"/>
      <c r="AB3468" s="84"/>
    </row>
    <row r="3469">
      <c r="A3469" s="89"/>
      <c r="B3469" s="89"/>
      <c r="C3469" s="89"/>
      <c r="D3469" s="89"/>
      <c r="E3469" s="89"/>
      <c r="F3469" s="89"/>
      <c r="G3469" s="89"/>
      <c r="H3469" s="2"/>
      <c r="I3469" s="90"/>
      <c r="J3469" s="90"/>
      <c r="K3469" s="2"/>
      <c r="L3469" s="48"/>
      <c r="M3469" s="48"/>
      <c r="N3469" s="48"/>
      <c r="O3469" s="48" t="str">
        <f t="shared" si="2"/>
        <v/>
      </c>
      <c r="P3469" s="48" t="str">
        <f t="shared" si="3"/>
        <v/>
      </c>
      <c r="Q3469" s="84"/>
      <c r="R3469" s="84"/>
      <c r="S3469" s="84"/>
      <c r="T3469" s="84"/>
      <c r="U3469" s="84"/>
      <c r="V3469" s="84"/>
      <c r="W3469" s="84"/>
      <c r="X3469" s="84"/>
      <c r="Y3469" s="84"/>
      <c r="Z3469" s="84"/>
      <c r="AA3469" s="84"/>
      <c r="AB3469" s="84"/>
    </row>
    <row r="3470">
      <c r="A3470" s="89"/>
      <c r="B3470" s="89"/>
      <c r="C3470" s="89"/>
      <c r="D3470" s="89"/>
      <c r="E3470" s="89"/>
      <c r="F3470" s="89"/>
      <c r="G3470" s="89"/>
      <c r="H3470" s="2"/>
      <c r="I3470" s="90"/>
      <c r="J3470" s="90"/>
      <c r="K3470" s="2"/>
      <c r="L3470" s="49"/>
      <c r="M3470" s="49"/>
      <c r="N3470" s="49"/>
      <c r="O3470" s="49" t="str">
        <f t="shared" si="2"/>
        <v/>
      </c>
      <c r="P3470" s="49" t="str">
        <f t="shared" si="3"/>
        <v/>
      </c>
      <c r="Q3470" s="84"/>
      <c r="R3470" s="84"/>
      <c r="S3470" s="84"/>
      <c r="T3470" s="84"/>
      <c r="U3470" s="84"/>
      <c r="V3470" s="84"/>
      <c r="W3470" s="84"/>
      <c r="X3470" s="84"/>
      <c r="Y3470" s="84"/>
      <c r="Z3470" s="84"/>
      <c r="AA3470" s="84"/>
      <c r="AB3470" s="84"/>
    </row>
    <row r="3471">
      <c r="A3471" s="89"/>
      <c r="B3471" s="89"/>
      <c r="C3471" s="89"/>
      <c r="D3471" s="89"/>
      <c r="E3471" s="89"/>
      <c r="F3471" s="89"/>
      <c r="G3471" s="89"/>
      <c r="H3471" s="2"/>
      <c r="I3471" s="90"/>
      <c r="J3471" s="90"/>
      <c r="K3471" s="2"/>
      <c r="L3471" s="48"/>
      <c r="M3471" s="48"/>
      <c r="N3471" s="48"/>
      <c r="O3471" s="48" t="str">
        <f t="shared" si="2"/>
        <v/>
      </c>
      <c r="P3471" s="48" t="str">
        <f t="shared" si="3"/>
        <v/>
      </c>
      <c r="Q3471" s="84"/>
      <c r="R3471" s="84"/>
      <c r="S3471" s="84"/>
      <c r="T3471" s="84"/>
      <c r="U3471" s="84"/>
      <c r="V3471" s="84"/>
      <c r="W3471" s="84"/>
      <c r="X3471" s="84"/>
      <c r="Y3471" s="84"/>
      <c r="Z3471" s="84"/>
      <c r="AA3471" s="84"/>
      <c r="AB3471" s="84"/>
    </row>
    <row r="3472">
      <c r="A3472" s="89"/>
      <c r="B3472" s="89"/>
      <c r="C3472" s="89"/>
      <c r="D3472" s="89"/>
      <c r="E3472" s="89"/>
      <c r="F3472" s="89"/>
      <c r="G3472" s="89"/>
      <c r="H3472" s="2"/>
      <c r="I3472" s="90"/>
      <c r="J3472" s="90"/>
      <c r="K3472" s="2"/>
      <c r="L3472" s="49"/>
      <c r="M3472" s="49"/>
      <c r="N3472" s="49"/>
      <c r="O3472" s="49" t="str">
        <f t="shared" si="2"/>
        <v/>
      </c>
      <c r="P3472" s="49" t="str">
        <f t="shared" si="3"/>
        <v/>
      </c>
      <c r="Q3472" s="84"/>
      <c r="R3472" s="84"/>
      <c r="S3472" s="84"/>
      <c r="T3472" s="84"/>
      <c r="U3472" s="84"/>
      <c r="V3472" s="84"/>
      <c r="W3472" s="84"/>
      <c r="X3472" s="84"/>
      <c r="Y3472" s="84"/>
      <c r="Z3472" s="84"/>
      <c r="AA3472" s="84"/>
      <c r="AB3472" s="84"/>
    </row>
    <row r="3473">
      <c r="A3473" s="89"/>
      <c r="B3473" s="89"/>
      <c r="C3473" s="89"/>
      <c r="D3473" s="89"/>
      <c r="E3473" s="89"/>
      <c r="F3473" s="89"/>
      <c r="G3473" s="89"/>
      <c r="H3473" s="2"/>
      <c r="I3473" s="90"/>
      <c r="J3473" s="90"/>
      <c r="K3473" s="2"/>
      <c r="L3473" s="48"/>
      <c r="M3473" s="48"/>
      <c r="N3473" s="48"/>
      <c r="O3473" s="48" t="str">
        <f t="shared" si="2"/>
        <v/>
      </c>
      <c r="P3473" s="48" t="str">
        <f t="shared" si="3"/>
        <v/>
      </c>
      <c r="Q3473" s="84"/>
      <c r="R3473" s="84"/>
      <c r="S3473" s="84"/>
      <c r="T3473" s="84"/>
      <c r="U3473" s="84"/>
      <c r="V3473" s="84"/>
      <c r="W3473" s="84"/>
      <c r="X3473" s="84"/>
      <c r="Y3473" s="84"/>
      <c r="Z3473" s="84"/>
      <c r="AA3473" s="84"/>
      <c r="AB3473" s="84"/>
    </row>
    <row r="3474">
      <c r="A3474" s="89"/>
      <c r="B3474" s="89"/>
      <c r="C3474" s="89"/>
      <c r="D3474" s="89"/>
      <c r="E3474" s="89"/>
      <c r="F3474" s="89"/>
      <c r="G3474" s="89"/>
      <c r="H3474" s="2"/>
      <c r="I3474" s="90"/>
      <c r="J3474" s="90"/>
      <c r="K3474" s="2"/>
      <c r="L3474" s="49"/>
      <c r="M3474" s="49"/>
      <c r="N3474" s="49"/>
      <c r="O3474" s="49" t="str">
        <f t="shared" si="2"/>
        <v/>
      </c>
      <c r="P3474" s="49" t="str">
        <f t="shared" si="3"/>
        <v/>
      </c>
      <c r="Q3474" s="84"/>
      <c r="R3474" s="84"/>
      <c r="S3474" s="84"/>
      <c r="T3474" s="84"/>
      <c r="U3474" s="84"/>
      <c r="V3474" s="84"/>
      <c r="W3474" s="84"/>
      <c r="X3474" s="84"/>
      <c r="Y3474" s="84"/>
      <c r="Z3474" s="84"/>
      <c r="AA3474" s="84"/>
      <c r="AB3474" s="84"/>
    </row>
    <row r="3475">
      <c r="A3475" s="89"/>
      <c r="B3475" s="89"/>
      <c r="C3475" s="89"/>
      <c r="D3475" s="89"/>
      <c r="E3475" s="89"/>
      <c r="F3475" s="89"/>
      <c r="G3475" s="89"/>
      <c r="H3475" s="2"/>
      <c r="I3475" s="90"/>
      <c r="J3475" s="90"/>
      <c r="K3475" s="2"/>
      <c r="L3475" s="48"/>
      <c r="M3475" s="48"/>
      <c r="N3475" s="48"/>
      <c r="O3475" s="48" t="str">
        <f t="shared" si="2"/>
        <v/>
      </c>
      <c r="P3475" s="48" t="str">
        <f t="shared" si="3"/>
        <v/>
      </c>
      <c r="Q3475" s="84"/>
      <c r="R3475" s="84"/>
      <c r="S3475" s="84"/>
      <c r="T3475" s="84"/>
      <c r="U3475" s="84"/>
      <c r="V3475" s="84"/>
      <c r="W3475" s="84"/>
      <c r="X3475" s="84"/>
      <c r="Y3475" s="84"/>
      <c r="Z3475" s="84"/>
      <c r="AA3475" s="84"/>
      <c r="AB3475" s="84"/>
    </row>
    <row r="3476">
      <c r="A3476" s="89"/>
      <c r="B3476" s="89"/>
      <c r="C3476" s="89"/>
      <c r="D3476" s="89"/>
      <c r="E3476" s="89"/>
      <c r="F3476" s="89"/>
      <c r="G3476" s="89"/>
      <c r="H3476" s="2"/>
      <c r="I3476" s="90"/>
      <c r="J3476" s="90"/>
      <c r="K3476" s="2"/>
      <c r="L3476" s="49"/>
      <c r="M3476" s="49"/>
      <c r="N3476" s="49"/>
      <c r="O3476" s="49" t="str">
        <f t="shared" si="2"/>
        <v/>
      </c>
      <c r="P3476" s="49" t="str">
        <f t="shared" si="3"/>
        <v/>
      </c>
      <c r="Q3476" s="84"/>
      <c r="R3476" s="84"/>
      <c r="S3476" s="84"/>
      <c r="T3476" s="84"/>
      <c r="U3476" s="84"/>
      <c r="V3476" s="84"/>
      <c r="W3476" s="84"/>
      <c r="X3476" s="84"/>
      <c r="Y3476" s="84"/>
      <c r="Z3476" s="84"/>
      <c r="AA3476" s="84"/>
      <c r="AB3476" s="84"/>
    </row>
    <row r="3477">
      <c r="A3477" s="89"/>
      <c r="B3477" s="89"/>
      <c r="C3477" s="89"/>
      <c r="D3477" s="89"/>
      <c r="E3477" s="89"/>
      <c r="F3477" s="89"/>
      <c r="G3477" s="89"/>
      <c r="H3477" s="2"/>
      <c r="I3477" s="90"/>
      <c r="J3477" s="90"/>
      <c r="K3477" s="2"/>
      <c r="L3477" s="48"/>
      <c r="M3477" s="48"/>
      <c r="N3477" s="48"/>
      <c r="O3477" s="48" t="str">
        <f t="shared" si="2"/>
        <v/>
      </c>
      <c r="P3477" s="48" t="str">
        <f t="shared" si="3"/>
        <v/>
      </c>
      <c r="Q3477" s="84"/>
      <c r="R3477" s="84"/>
      <c r="S3477" s="84"/>
      <c r="T3477" s="84"/>
      <c r="U3477" s="84"/>
      <c r="V3477" s="84"/>
      <c r="W3477" s="84"/>
      <c r="X3477" s="84"/>
      <c r="Y3477" s="84"/>
      <c r="Z3477" s="84"/>
      <c r="AA3477" s="84"/>
      <c r="AB3477" s="84"/>
    </row>
    <row r="3478">
      <c r="A3478" s="89"/>
      <c r="B3478" s="89"/>
      <c r="C3478" s="89"/>
      <c r="D3478" s="89"/>
      <c r="E3478" s="89"/>
      <c r="F3478" s="89"/>
      <c r="G3478" s="89"/>
      <c r="H3478" s="2"/>
      <c r="I3478" s="90"/>
      <c r="J3478" s="90"/>
      <c r="K3478" s="2"/>
      <c r="L3478" s="49"/>
      <c r="M3478" s="49"/>
      <c r="N3478" s="49"/>
      <c r="O3478" s="49" t="str">
        <f t="shared" si="2"/>
        <v/>
      </c>
      <c r="P3478" s="49" t="str">
        <f t="shared" si="3"/>
        <v/>
      </c>
      <c r="Q3478" s="84"/>
      <c r="R3478" s="84"/>
      <c r="S3478" s="84"/>
      <c r="T3478" s="84"/>
      <c r="U3478" s="84"/>
      <c r="V3478" s="84"/>
      <c r="W3478" s="84"/>
      <c r="X3478" s="84"/>
      <c r="Y3478" s="84"/>
      <c r="Z3478" s="84"/>
      <c r="AA3478" s="84"/>
      <c r="AB3478" s="84"/>
    </row>
    <row r="3479">
      <c r="A3479" s="89"/>
      <c r="B3479" s="89"/>
      <c r="C3479" s="89"/>
      <c r="D3479" s="89"/>
      <c r="E3479" s="89"/>
      <c r="F3479" s="89"/>
      <c r="G3479" s="89"/>
      <c r="H3479" s="2"/>
      <c r="I3479" s="90"/>
      <c r="J3479" s="90"/>
      <c r="K3479" s="2"/>
      <c r="L3479" s="48"/>
      <c r="M3479" s="48"/>
      <c r="N3479" s="48"/>
      <c r="O3479" s="48" t="str">
        <f t="shared" si="2"/>
        <v/>
      </c>
      <c r="P3479" s="48" t="str">
        <f t="shared" si="3"/>
        <v/>
      </c>
      <c r="Q3479" s="84"/>
      <c r="R3479" s="84"/>
      <c r="S3479" s="84"/>
      <c r="T3479" s="84"/>
      <c r="U3479" s="84"/>
      <c r="V3479" s="84"/>
      <c r="W3479" s="84"/>
      <c r="X3479" s="84"/>
      <c r="Y3479" s="84"/>
      <c r="Z3479" s="84"/>
      <c r="AA3479" s="84"/>
      <c r="AB3479" s="84"/>
    </row>
    <row r="3480">
      <c r="A3480" s="89"/>
      <c r="B3480" s="89"/>
      <c r="C3480" s="89"/>
      <c r="D3480" s="89"/>
      <c r="E3480" s="89"/>
      <c r="F3480" s="89"/>
      <c r="G3480" s="89"/>
      <c r="H3480" s="2"/>
      <c r="I3480" s="90"/>
      <c r="J3480" s="90"/>
      <c r="K3480" s="2"/>
      <c r="L3480" s="49"/>
      <c r="M3480" s="49"/>
      <c r="N3480" s="49"/>
      <c r="O3480" s="49" t="str">
        <f t="shared" si="2"/>
        <v/>
      </c>
      <c r="P3480" s="49" t="str">
        <f t="shared" si="3"/>
        <v/>
      </c>
      <c r="Q3480" s="84"/>
      <c r="R3480" s="84"/>
      <c r="S3480" s="84"/>
      <c r="T3480" s="84"/>
      <c r="U3480" s="84"/>
      <c r="V3480" s="84"/>
      <c r="W3480" s="84"/>
      <c r="X3480" s="84"/>
      <c r="Y3480" s="84"/>
      <c r="Z3480" s="84"/>
      <c r="AA3480" s="84"/>
      <c r="AB3480" s="84"/>
    </row>
    <row r="3481">
      <c r="A3481" s="89"/>
      <c r="B3481" s="89"/>
      <c r="C3481" s="89"/>
      <c r="D3481" s="89"/>
      <c r="E3481" s="89"/>
      <c r="F3481" s="89"/>
      <c r="G3481" s="89"/>
      <c r="H3481" s="2"/>
      <c r="I3481" s="90"/>
      <c r="J3481" s="90"/>
      <c r="K3481" s="2"/>
      <c r="L3481" s="48"/>
      <c r="M3481" s="48"/>
      <c r="N3481" s="48"/>
      <c r="O3481" s="48" t="str">
        <f t="shared" si="2"/>
        <v/>
      </c>
      <c r="P3481" s="48" t="str">
        <f t="shared" si="3"/>
        <v/>
      </c>
      <c r="Q3481" s="84"/>
      <c r="R3481" s="84"/>
      <c r="S3481" s="84"/>
      <c r="T3481" s="84"/>
      <c r="U3481" s="84"/>
      <c r="V3481" s="84"/>
      <c r="W3481" s="84"/>
      <c r="X3481" s="84"/>
      <c r="Y3481" s="84"/>
      <c r="Z3481" s="84"/>
      <c r="AA3481" s="84"/>
      <c r="AB3481" s="84"/>
    </row>
    <row r="3482">
      <c r="A3482" s="89"/>
      <c r="B3482" s="89"/>
      <c r="C3482" s="89"/>
      <c r="D3482" s="89"/>
      <c r="E3482" s="89"/>
      <c r="F3482" s="89"/>
      <c r="G3482" s="89"/>
      <c r="H3482" s="2"/>
      <c r="I3482" s="90"/>
      <c r="J3482" s="90"/>
      <c r="K3482" s="2"/>
      <c r="L3482" s="49"/>
      <c r="M3482" s="49"/>
      <c r="N3482" s="49"/>
      <c r="O3482" s="49" t="str">
        <f t="shared" si="2"/>
        <v/>
      </c>
      <c r="P3482" s="49" t="str">
        <f t="shared" si="3"/>
        <v/>
      </c>
      <c r="Q3482" s="84"/>
      <c r="R3482" s="84"/>
      <c r="S3482" s="84"/>
      <c r="T3482" s="84"/>
      <c r="U3482" s="84"/>
      <c r="V3482" s="84"/>
      <c r="W3482" s="84"/>
      <c r="X3482" s="84"/>
      <c r="Y3482" s="84"/>
      <c r="Z3482" s="84"/>
      <c r="AA3482" s="84"/>
      <c r="AB3482" s="84"/>
    </row>
    <row r="3483">
      <c r="A3483" s="89"/>
      <c r="B3483" s="89"/>
      <c r="C3483" s="89"/>
      <c r="D3483" s="89"/>
      <c r="E3483" s="89"/>
      <c r="F3483" s="89"/>
      <c r="G3483" s="89"/>
      <c r="H3483" s="2"/>
      <c r="I3483" s="90"/>
      <c r="J3483" s="90"/>
      <c r="K3483" s="2"/>
      <c r="L3483" s="48"/>
      <c r="M3483" s="48"/>
      <c r="N3483" s="48"/>
      <c r="O3483" s="48" t="str">
        <f t="shared" si="2"/>
        <v/>
      </c>
      <c r="P3483" s="48" t="str">
        <f t="shared" si="3"/>
        <v/>
      </c>
      <c r="Q3483" s="84"/>
      <c r="R3483" s="84"/>
      <c r="S3483" s="84"/>
      <c r="T3483" s="84"/>
      <c r="U3483" s="84"/>
      <c r="V3483" s="84"/>
      <c r="W3483" s="84"/>
      <c r="X3483" s="84"/>
      <c r="Y3483" s="84"/>
      <c r="Z3483" s="84"/>
      <c r="AA3483" s="84"/>
      <c r="AB3483" s="84"/>
    </row>
    <row r="3484">
      <c r="A3484" s="89"/>
      <c r="B3484" s="89"/>
      <c r="C3484" s="89"/>
      <c r="D3484" s="89"/>
      <c r="E3484" s="89"/>
      <c r="F3484" s="89"/>
      <c r="G3484" s="89"/>
      <c r="H3484" s="2"/>
      <c r="I3484" s="90"/>
      <c r="J3484" s="90"/>
      <c r="K3484" s="2"/>
      <c r="L3484" s="49"/>
      <c r="M3484" s="49"/>
      <c r="N3484" s="49"/>
      <c r="O3484" s="49" t="str">
        <f t="shared" si="2"/>
        <v/>
      </c>
      <c r="P3484" s="49" t="str">
        <f t="shared" si="3"/>
        <v/>
      </c>
      <c r="Q3484" s="84"/>
      <c r="R3484" s="84"/>
      <c r="S3484" s="84"/>
      <c r="T3484" s="84"/>
      <c r="U3484" s="84"/>
      <c r="V3484" s="84"/>
      <c r="W3484" s="84"/>
      <c r="X3484" s="84"/>
      <c r="Y3484" s="84"/>
      <c r="Z3484" s="84"/>
      <c r="AA3484" s="84"/>
      <c r="AB3484" s="84"/>
    </row>
    <row r="3485">
      <c r="A3485" s="89"/>
      <c r="B3485" s="89"/>
      <c r="C3485" s="89"/>
      <c r="D3485" s="89"/>
      <c r="E3485" s="89"/>
      <c r="F3485" s="89"/>
      <c r="G3485" s="89"/>
      <c r="H3485" s="2"/>
      <c r="I3485" s="90"/>
      <c r="J3485" s="90"/>
      <c r="K3485" s="2"/>
      <c r="L3485" s="48"/>
      <c r="M3485" s="48"/>
      <c r="N3485" s="48"/>
      <c r="O3485" s="48" t="str">
        <f t="shared" si="2"/>
        <v/>
      </c>
      <c r="P3485" s="48" t="str">
        <f t="shared" si="3"/>
        <v/>
      </c>
      <c r="Q3485" s="84"/>
      <c r="R3485" s="84"/>
      <c r="S3485" s="84"/>
      <c r="T3485" s="84"/>
      <c r="U3485" s="84"/>
      <c r="V3485" s="84"/>
      <c r="W3485" s="84"/>
      <c r="X3485" s="84"/>
      <c r="Y3485" s="84"/>
      <c r="Z3485" s="84"/>
      <c r="AA3485" s="84"/>
      <c r="AB3485" s="84"/>
    </row>
    <row r="3486">
      <c r="A3486" s="89"/>
      <c r="B3486" s="89"/>
      <c r="C3486" s="89"/>
      <c r="D3486" s="89"/>
      <c r="E3486" s="89"/>
      <c r="F3486" s="89"/>
      <c r="G3486" s="89"/>
      <c r="H3486" s="2"/>
      <c r="I3486" s="90"/>
      <c r="J3486" s="90"/>
      <c r="K3486" s="2"/>
      <c r="L3486" s="49"/>
      <c r="M3486" s="49"/>
      <c r="N3486" s="49"/>
      <c r="O3486" s="49" t="str">
        <f t="shared" si="2"/>
        <v/>
      </c>
      <c r="P3486" s="49" t="str">
        <f t="shared" si="3"/>
        <v/>
      </c>
      <c r="Q3486" s="84"/>
      <c r="R3486" s="84"/>
      <c r="S3486" s="84"/>
      <c r="T3486" s="84"/>
      <c r="U3486" s="84"/>
      <c r="V3486" s="84"/>
      <c r="W3486" s="84"/>
      <c r="X3486" s="84"/>
      <c r="Y3486" s="84"/>
      <c r="Z3486" s="84"/>
      <c r="AA3486" s="84"/>
      <c r="AB3486" s="84"/>
    </row>
    <row r="3487">
      <c r="A3487" s="89"/>
      <c r="B3487" s="89"/>
      <c r="C3487" s="89"/>
      <c r="D3487" s="89"/>
      <c r="E3487" s="89"/>
      <c r="F3487" s="89"/>
      <c r="G3487" s="89"/>
      <c r="H3487" s="2"/>
      <c r="I3487" s="90"/>
      <c r="J3487" s="90"/>
      <c r="K3487" s="2"/>
      <c r="L3487" s="48"/>
      <c r="M3487" s="48"/>
      <c r="N3487" s="48"/>
      <c r="O3487" s="48" t="str">
        <f t="shared" si="2"/>
        <v/>
      </c>
      <c r="P3487" s="48" t="str">
        <f t="shared" si="3"/>
        <v/>
      </c>
      <c r="Q3487" s="84"/>
      <c r="R3487" s="84"/>
      <c r="S3487" s="84"/>
      <c r="T3487" s="84"/>
      <c r="U3487" s="84"/>
      <c r="V3487" s="84"/>
      <c r="W3487" s="84"/>
      <c r="X3487" s="84"/>
      <c r="Y3487" s="84"/>
      <c r="Z3487" s="84"/>
      <c r="AA3487" s="84"/>
      <c r="AB3487" s="84"/>
    </row>
    <row r="3488">
      <c r="A3488" s="89"/>
      <c r="B3488" s="89"/>
      <c r="C3488" s="89"/>
      <c r="D3488" s="89"/>
      <c r="E3488" s="89"/>
      <c r="F3488" s="89"/>
      <c r="G3488" s="89"/>
      <c r="H3488" s="2"/>
      <c r="I3488" s="90"/>
      <c r="J3488" s="90"/>
      <c r="K3488" s="2"/>
      <c r="L3488" s="49"/>
      <c r="M3488" s="49"/>
      <c r="N3488" s="49"/>
      <c r="O3488" s="49" t="str">
        <f t="shared" si="2"/>
        <v/>
      </c>
      <c r="P3488" s="49" t="str">
        <f t="shared" si="3"/>
        <v/>
      </c>
      <c r="Q3488" s="84"/>
      <c r="R3488" s="84"/>
      <c r="S3488" s="84"/>
      <c r="T3488" s="84"/>
      <c r="U3488" s="84"/>
      <c r="V3488" s="84"/>
      <c r="W3488" s="84"/>
      <c r="X3488" s="84"/>
      <c r="Y3488" s="84"/>
      <c r="Z3488" s="84"/>
      <c r="AA3488" s="84"/>
      <c r="AB3488" s="84"/>
    </row>
    <row r="3489">
      <c r="A3489" s="89"/>
      <c r="B3489" s="89"/>
      <c r="C3489" s="89"/>
      <c r="D3489" s="89"/>
      <c r="E3489" s="89"/>
      <c r="F3489" s="89"/>
      <c r="G3489" s="89"/>
      <c r="H3489" s="2"/>
      <c r="I3489" s="90"/>
      <c r="J3489" s="90"/>
      <c r="K3489" s="2"/>
      <c r="L3489" s="48"/>
      <c r="M3489" s="48"/>
      <c r="N3489" s="48"/>
      <c r="O3489" s="48" t="str">
        <f t="shared" si="2"/>
        <v/>
      </c>
      <c r="P3489" s="48" t="str">
        <f t="shared" si="3"/>
        <v/>
      </c>
      <c r="Q3489" s="84"/>
      <c r="R3489" s="84"/>
      <c r="S3489" s="84"/>
      <c r="T3489" s="84"/>
      <c r="U3489" s="84"/>
      <c r="V3489" s="84"/>
      <c r="W3489" s="84"/>
      <c r="X3489" s="84"/>
      <c r="Y3489" s="84"/>
      <c r="Z3489" s="84"/>
      <c r="AA3489" s="84"/>
      <c r="AB3489" s="84"/>
    </row>
    <row r="3490">
      <c r="A3490" s="89"/>
      <c r="B3490" s="89"/>
      <c r="C3490" s="89"/>
      <c r="D3490" s="89"/>
      <c r="E3490" s="89"/>
      <c r="F3490" s="89"/>
      <c r="G3490" s="89"/>
      <c r="H3490" s="2"/>
      <c r="I3490" s="90"/>
      <c r="J3490" s="90"/>
      <c r="K3490" s="2"/>
      <c r="L3490" s="49"/>
      <c r="M3490" s="49"/>
      <c r="N3490" s="49"/>
      <c r="O3490" s="49" t="str">
        <f t="shared" si="2"/>
        <v/>
      </c>
      <c r="P3490" s="49" t="str">
        <f t="shared" si="3"/>
        <v/>
      </c>
      <c r="Q3490" s="84"/>
      <c r="R3490" s="84"/>
      <c r="S3490" s="84"/>
      <c r="T3490" s="84"/>
      <c r="U3490" s="84"/>
      <c r="V3490" s="84"/>
      <c r="W3490" s="84"/>
      <c r="X3490" s="84"/>
      <c r="Y3490" s="84"/>
      <c r="Z3490" s="84"/>
      <c r="AA3490" s="84"/>
      <c r="AB3490" s="84"/>
    </row>
    <row r="3491">
      <c r="A3491" s="89"/>
      <c r="B3491" s="89"/>
      <c r="C3491" s="89"/>
      <c r="D3491" s="89"/>
      <c r="E3491" s="89"/>
      <c r="F3491" s="89"/>
      <c r="G3491" s="89"/>
      <c r="H3491" s="2"/>
      <c r="I3491" s="90"/>
      <c r="J3491" s="90"/>
      <c r="K3491" s="2"/>
      <c r="L3491" s="48"/>
      <c r="M3491" s="48"/>
      <c r="N3491" s="48"/>
      <c r="O3491" s="48" t="str">
        <f t="shared" si="2"/>
        <v/>
      </c>
      <c r="P3491" s="48" t="str">
        <f t="shared" si="3"/>
        <v/>
      </c>
      <c r="Q3491" s="84"/>
      <c r="R3491" s="84"/>
      <c r="S3491" s="84"/>
      <c r="T3491" s="84"/>
      <c r="U3491" s="84"/>
      <c r="V3491" s="84"/>
      <c r="W3491" s="84"/>
      <c r="X3491" s="84"/>
      <c r="Y3491" s="84"/>
      <c r="Z3491" s="84"/>
      <c r="AA3491" s="84"/>
      <c r="AB3491" s="84"/>
    </row>
    <row r="3492">
      <c r="A3492" s="89"/>
      <c r="B3492" s="89"/>
      <c r="C3492" s="89"/>
      <c r="D3492" s="89"/>
      <c r="E3492" s="89"/>
      <c r="F3492" s="89"/>
      <c r="G3492" s="89"/>
      <c r="H3492" s="2"/>
      <c r="I3492" s="90"/>
      <c r="J3492" s="90"/>
      <c r="K3492" s="2"/>
      <c r="L3492" s="49"/>
      <c r="M3492" s="49"/>
      <c r="N3492" s="49"/>
      <c r="O3492" s="49" t="str">
        <f t="shared" si="2"/>
        <v/>
      </c>
      <c r="P3492" s="49" t="str">
        <f t="shared" si="3"/>
        <v/>
      </c>
      <c r="Q3492" s="84"/>
      <c r="R3492" s="84"/>
      <c r="S3492" s="84"/>
      <c r="T3492" s="84"/>
      <c r="U3492" s="84"/>
      <c r="V3492" s="84"/>
      <c r="W3492" s="84"/>
      <c r="X3492" s="84"/>
      <c r="Y3492" s="84"/>
      <c r="Z3492" s="84"/>
      <c r="AA3492" s="84"/>
      <c r="AB3492" s="84"/>
    </row>
    <row r="3493">
      <c r="A3493" s="89"/>
      <c r="B3493" s="89"/>
      <c r="C3493" s="89"/>
      <c r="D3493" s="89"/>
      <c r="E3493" s="89"/>
      <c r="F3493" s="89"/>
      <c r="G3493" s="89"/>
      <c r="H3493" s="2"/>
      <c r="I3493" s="90"/>
      <c r="J3493" s="90"/>
      <c r="K3493" s="2"/>
      <c r="L3493" s="48"/>
      <c r="M3493" s="48"/>
      <c r="N3493" s="48"/>
      <c r="O3493" s="48" t="str">
        <f t="shared" si="2"/>
        <v/>
      </c>
      <c r="P3493" s="48" t="str">
        <f t="shared" si="3"/>
        <v/>
      </c>
      <c r="Q3493" s="84"/>
      <c r="R3493" s="84"/>
      <c r="S3493" s="84"/>
      <c r="T3493" s="84"/>
      <c r="U3493" s="84"/>
      <c r="V3493" s="84"/>
      <c r="W3493" s="84"/>
      <c r="X3493" s="84"/>
      <c r="Y3493" s="84"/>
      <c r="Z3493" s="84"/>
      <c r="AA3493" s="84"/>
      <c r="AB3493" s="84"/>
    </row>
    <row r="3494">
      <c r="A3494" s="89"/>
      <c r="B3494" s="89"/>
      <c r="C3494" s="89"/>
      <c r="D3494" s="89"/>
      <c r="E3494" s="89"/>
      <c r="F3494" s="89"/>
      <c r="G3494" s="89"/>
      <c r="H3494" s="2"/>
      <c r="I3494" s="90"/>
      <c r="J3494" s="90"/>
      <c r="K3494" s="2"/>
      <c r="L3494" s="49"/>
      <c r="M3494" s="49"/>
      <c r="N3494" s="49"/>
      <c r="O3494" s="49" t="str">
        <f t="shared" si="2"/>
        <v/>
      </c>
      <c r="P3494" s="49" t="str">
        <f t="shared" si="3"/>
        <v/>
      </c>
      <c r="Q3494" s="84"/>
      <c r="R3494" s="84"/>
      <c r="S3494" s="84"/>
      <c r="T3494" s="84"/>
      <c r="U3494" s="84"/>
      <c r="V3494" s="84"/>
      <c r="W3494" s="84"/>
      <c r="X3494" s="84"/>
      <c r="Y3494" s="84"/>
      <c r="Z3494" s="84"/>
      <c r="AA3494" s="84"/>
      <c r="AB3494" s="84"/>
    </row>
    <row r="3495">
      <c r="A3495" s="89"/>
      <c r="B3495" s="89"/>
      <c r="C3495" s="89"/>
      <c r="D3495" s="89"/>
      <c r="E3495" s="89"/>
      <c r="F3495" s="89"/>
      <c r="G3495" s="89"/>
      <c r="H3495" s="2"/>
      <c r="I3495" s="90"/>
      <c r="J3495" s="90"/>
      <c r="K3495" s="2"/>
      <c r="L3495" s="48"/>
      <c r="M3495" s="48"/>
      <c r="N3495" s="48"/>
      <c r="O3495" s="48" t="str">
        <f t="shared" si="2"/>
        <v/>
      </c>
      <c r="P3495" s="48" t="str">
        <f t="shared" si="3"/>
        <v/>
      </c>
      <c r="Q3495" s="84"/>
      <c r="R3495" s="84"/>
      <c r="S3495" s="84"/>
      <c r="T3495" s="84"/>
      <c r="U3495" s="84"/>
      <c r="V3495" s="84"/>
      <c r="W3495" s="84"/>
      <c r="X3495" s="84"/>
      <c r="Y3495" s="84"/>
      <c r="Z3495" s="84"/>
      <c r="AA3495" s="84"/>
      <c r="AB3495" s="84"/>
    </row>
    <row r="3496">
      <c r="A3496" s="89"/>
      <c r="B3496" s="89"/>
      <c r="C3496" s="89"/>
      <c r="D3496" s="89"/>
      <c r="E3496" s="89"/>
      <c r="F3496" s="89"/>
      <c r="G3496" s="89"/>
      <c r="H3496" s="2"/>
      <c r="I3496" s="90"/>
      <c r="J3496" s="90"/>
      <c r="K3496" s="2"/>
      <c r="L3496" s="49"/>
      <c r="M3496" s="49"/>
      <c r="N3496" s="49"/>
      <c r="O3496" s="49" t="str">
        <f t="shared" si="2"/>
        <v/>
      </c>
      <c r="P3496" s="49" t="str">
        <f t="shared" si="3"/>
        <v/>
      </c>
      <c r="Q3496" s="84"/>
      <c r="R3496" s="84"/>
      <c r="S3496" s="84"/>
      <c r="T3496" s="84"/>
      <c r="U3496" s="84"/>
      <c r="V3496" s="84"/>
      <c r="W3496" s="84"/>
      <c r="X3496" s="84"/>
      <c r="Y3496" s="84"/>
      <c r="Z3496" s="84"/>
      <c r="AA3496" s="84"/>
      <c r="AB3496" s="84"/>
    </row>
    <row r="3497">
      <c r="A3497" s="89"/>
      <c r="B3497" s="89"/>
      <c r="C3497" s="89"/>
      <c r="D3497" s="89"/>
      <c r="E3497" s="89"/>
      <c r="F3497" s="89"/>
      <c r="G3497" s="89"/>
      <c r="H3497" s="2"/>
      <c r="I3497" s="90"/>
      <c r="J3497" s="90"/>
      <c r="K3497" s="2"/>
      <c r="L3497" s="48"/>
      <c r="M3497" s="48"/>
      <c r="N3497" s="48"/>
      <c r="O3497" s="48" t="str">
        <f t="shared" si="2"/>
        <v/>
      </c>
      <c r="P3497" s="48" t="str">
        <f t="shared" si="3"/>
        <v/>
      </c>
      <c r="Q3497" s="84"/>
      <c r="R3497" s="84"/>
      <c r="S3497" s="84"/>
      <c r="T3497" s="84"/>
      <c r="U3497" s="84"/>
      <c r="V3497" s="84"/>
      <c r="W3497" s="84"/>
      <c r="X3497" s="84"/>
      <c r="Y3497" s="84"/>
      <c r="Z3497" s="84"/>
      <c r="AA3497" s="84"/>
      <c r="AB3497" s="84"/>
    </row>
    <row r="3498">
      <c r="A3498" s="89"/>
      <c r="B3498" s="89"/>
      <c r="C3498" s="89"/>
      <c r="D3498" s="89"/>
      <c r="E3498" s="89"/>
      <c r="F3498" s="89"/>
      <c r="G3498" s="89"/>
      <c r="H3498" s="2"/>
      <c r="I3498" s="90"/>
      <c r="J3498" s="90"/>
      <c r="K3498" s="2"/>
      <c r="L3498" s="49"/>
      <c r="M3498" s="49"/>
      <c r="N3498" s="49"/>
      <c r="O3498" s="49" t="str">
        <f t="shared" si="2"/>
        <v/>
      </c>
      <c r="P3498" s="49" t="str">
        <f t="shared" si="3"/>
        <v/>
      </c>
      <c r="Q3498" s="84"/>
      <c r="R3498" s="84"/>
      <c r="S3498" s="84"/>
      <c r="T3498" s="84"/>
      <c r="U3498" s="84"/>
      <c r="V3498" s="84"/>
      <c r="W3498" s="84"/>
      <c r="X3498" s="84"/>
      <c r="Y3498" s="84"/>
      <c r="Z3498" s="84"/>
      <c r="AA3498" s="84"/>
      <c r="AB3498" s="84"/>
    </row>
    <row r="3499">
      <c r="A3499" s="89"/>
      <c r="B3499" s="89"/>
      <c r="C3499" s="89"/>
      <c r="D3499" s="89"/>
      <c r="E3499" s="89"/>
      <c r="F3499" s="89"/>
      <c r="G3499" s="89"/>
      <c r="H3499" s="2"/>
      <c r="I3499" s="90"/>
      <c r="J3499" s="90"/>
      <c r="K3499" s="2"/>
      <c r="L3499" s="48"/>
      <c r="M3499" s="48"/>
      <c r="N3499" s="48"/>
      <c r="O3499" s="48" t="str">
        <f t="shared" si="2"/>
        <v/>
      </c>
      <c r="P3499" s="48" t="str">
        <f t="shared" si="3"/>
        <v/>
      </c>
      <c r="Q3499" s="84"/>
      <c r="R3499" s="84"/>
      <c r="S3499" s="84"/>
      <c r="T3499" s="84"/>
      <c r="U3499" s="84"/>
      <c r="V3499" s="84"/>
      <c r="W3499" s="84"/>
      <c r="X3499" s="84"/>
      <c r="Y3499" s="84"/>
      <c r="Z3499" s="84"/>
      <c r="AA3499" s="84"/>
      <c r="AB3499" s="84"/>
    </row>
    <row r="3500">
      <c r="A3500" s="89"/>
      <c r="B3500" s="89"/>
      <c r="C3500" s="89"/>
      <c r="D3500" s="89"/>
      <c r="E3500" s="89"/>
      <c r="F3500" s="89"/>
      <c r="G3500" s="89"/>
      <c r="H3500" s="2"/>
      <c r="I3500" s="90"/>
      <c r="J3500" s="90"/>
      <c r="K3500" s="2"/>
      <c r="L3500" s="49"/>
      <c r="M3500" s="49"/>
      <c r="N3500" s="49"/>
      <c r="O3500" s="49" t="str">
        <f t="shared" si="2"/>
        <v/>
      </c>
      <c r="P3500" s="49" t="str">
        <f t="shared" si="3"/>
        <v/>
      </c>
      <c r="Q3500" s="84"/>
      <c r="R3500" s="84"/>
      <c r="S3500" s="84"/>
      <c r="T3500" s="84"/>
      <c r="U3500" s="84"/>
      <c r="V3500" s="84"/>
      <c r="W3500" s="84"/>
      <c r="X3500" s="84"/>
      <c r="Y3500" s="84"/>
      <c r="Z3500" s="84"/>
      <c r="AA3500" s="84"/>
      <c r="AB3500" s="84"/>
    </row>
    <row r="3501">
      <c r="A3501" s="89"/>
      <c r="B3501" s="89"/>
      <c r="C3501" s="89"/>
      <c r="D3501" s="89"/>
      <c r="E3501" s="89"/>
      <c r="F3501" s="89"/>
      <c r="G3501" s="89"/>
      <c r="H3501" s="2"/>
      <c r="I3501" s="90"/>
      <c r="J3501" s="90"/>
      <c r="K3501" s="2"/>
      <c r="L3501" s="48"/>
      <c r="M3501" s="48"/>
      <c r="N3501" s="48"/>
      <c r="O3501" s="48" t="str">
        <f t="shared" si="2"/>
        <v/>
      </c>
      <c r="P3501" s="48" t="str">
        <f t="shared" si="3"/>
        <v/>
      </c>
      <c r="Q3501" s="84"/>
      <c r="R3501" s="84"/>
      <c r="S3501" s="84"/>
      <c r="T3501" s="84"/>
      <c r="U3501" s="84"/>
      <c r="V3501" s="84"/>
      <c r="W3501" s="84"/>
      <c r="X3501" s="84"/>
      <c r="Y3501" s="84"/>
      <c r="Z3501" s="84"/>
      <c r="AA3501" s="84"/>
      <c r="AB3501" s="84"/>
    </row>
    <row r="3502">
      <c r="A3502" s="89"/>
      <c r="B3502" s="89"/>
      <c r="C3502" s="89"/>
      <c r="D3502" s="89"/>
      <c r="E3502" s="89"/>
      <c r="F3502" s="89"/>
      <c r="G3502" s="89"/>
      <c r="H3502" s="2"/>
      <c r="I3502" s="90"/>
      <c r="J3502" s="90"/>
      <c r="K3502" s="2"/>
      <c r="L3502" s="49"/>
      <c r="M3502" s="49"/>
      <c r="N3502" s="49"/>
      <c r="O3502" s="49" t="str">
        <f t="shared" si="2"/>
        <v/>
      </c>
      <c r="P3502" s="49" t="str">
        <f t="shared" si="3"/>
        <v/>
      </c>
      <c r="Q3502" s="84"/>
      <c r="R3502" s="84"/>
      <c r="S3502" s="84"/>
      <c r="T3502" s="84"/>
      <c r="U3502" s="84"/>
      <c r="V3502" s="84"/>
      <c r="W3502" s="84"/>
      <c r="X3502" s="84"/>
      <c r="Y3502" s="84"/>
      <c r="Z3502" s="84"/>
      <c r="AA3502" s="84"/>
      <c r="AB3502" s="84"/>
    </row>
    <row r="3503">
      <c r="A3503" s="89"/>
      <c r="B3503" s="89"/>
      <c r="C3503" s="89"/>
      <c r="D3503" s="89"/>
      <c r="E3503" s="89"/>
      <c r="F3503" s="89"/>
      <c r="G3503" s="89"/>
      <c r="H3503" s="2"/>
      <c r="I3503" s="90"/>
      <c r="J3503" s="90"/>
      <c r="K3503" s="2"/>
      <c r="L3503" s="48"/>
      <c r="M3503" s="48"/>
      <c r="N3503" s="48"/>
      <c r="O3503" s="48" t="str">
        <f t="shared" si="2"/>
        <v/>
      </c>
      <c r="P3503" s="48" t="str">
        <f t="shared" si="3"/>
        <v/>
      </c>
      <c r="Q3503" s="84"/>
      <c r="R3503" s="84"/>
      <c r="S3503" s="84"/>
      <c r="T3503" s="84"/>
      <c r="U3503" s="84"/>
      <c r="V3503" s="84"/>
      <c r="W3503" s="84"/>
      <c r="X3503" s="84"/>
      <c r="Y3503" s="84"/>
      <c r="Z3503" s="84"/>
      <c r="AA3503" s="84"/>
      <c r="AB3503" s="84"/>
    </row>
    <row r="3504">
      <c r="A3504" s="89"/>
      <c r="B3504" s="89"/>
      <c r="C3504" s="89"/>
      <c r="D3504" s="89"/>
      <c r="E3504" s="89"/>
      <c r="F3504" s="89"/>
      <c r="G3504" s="89"/>
      <c r="H3504" s="2"/>
      <c r="I3504" s="90"/>
      <c r="J3504" s="90"/>
      <c r="K3504" s="2"/>
      <c r="L3504" s="49"/>
      <c r="M3504" s="49"/>
      <c r="N3504" s="49"/>
      <c r="O3504" s="49" t="str">
        <f t="shared" si="2"/>
        <v/>
      </c>
      <c r="P3504" s="49" t="str">
        <f t="shared" si="3"/>
        <v/>
      </c>
      <c r="Q3504" s="84"/>
      <c r="R3504" s="84"/>
      <c r="S3504" s="84"/>
      <c r="T3504" s="84"/>
      <c r="U3504" s="84"/>
      <c r="V3504" s="84"/>
      <c r="W3504" s="84"/>
      <c r="X3504" s="84"/>
      <c r="Y3504" s="84"/>
      <c r="Z3504" s="84"/>
      <c r="AA3504" s="84"/>
      <c r="AB3504" s="84"/>
    </row>
    <row r="3505">
      <c r="A3505" s="89"/>
      <c r="B3505" s="89"/>
      <c r="C3505" s="89"/>
      <c r="D3505" s="89"/>
      <c r="E3505" s="89"/>
      <c r="F3505" s="89"/>
      <c r="G3505" s="89"/>
      <c r="H3505" s="2"/>
      <c r="I3505" s="90"/>
      <c r="J3505" s="90"/>
      <c r="K3505" s="2"/>
      <c r="L3505" s="48"/>
      <c r="M3505" s="48"/>
      <c r="N3505" s="48"/>
      <c r="O3505" s="48" t="str">
        <f t="shared" si="2"/>
        <v/>
      </c>
      <c r="P3505" s="48" t="str">
        <f t="shared" si="3"/>
        <v/>
      </c>
      <c r="Q3505" s="84"/>
      <c r="R3505" s="84"/>
      <c r="S3505" s="84"/>
      <c r="T3505" s="84"/>
      <c r="U3505" s="84"/>
      <c r="V3505" s="84"/>
      <c r="W3505" s="84"/>
      <c r="X3505" s="84"/>
      <c r="Y3505" s="84"/>
      <c r="Z3505" s="84"/>
      <c r="AA3505" s="84"/>
      <c r="AB3505" s="84"/>
    </row>
    <row r="3506">
      <c r="A3506" s="89"/>
      <c r="B3506" s="89"/>
      <c r="C3506" s="89"/>
      <c r="D3506" s="89"/>
      <c r="E3506" s="89"/>
      <c r="F3506" s="89"/>
      <c r="G3506" s="89"/>
      <c r="H3506" s="2"/>
      <c r="I3506" s="90"/>
      <c r="J3506" s="90"/>
      <c r="K3506" s="2"/>
      <c r="L3506" s="49"/>
      <c r="M3506" s="49"/>
      <c r="N3506" s="49"/>
      <c r="O3506" s="49" t="str">
        <f t="shared" si="2"/>
        <v/>
      </c>
      <c r="P3506" s="49" t="str">
        <f t="shared" si="3"/>
        <v/>
      </c>
      <c r="Q3506" s="84"/>
      <c r="R3506" s="84"/>
      <c r="S3506" s="84"/>
      <c r="T3506" s="84"/>
      <c r="U3506" s="84"/>
      <c r="V3506" s="84"/>
      <c r="W3506" s="84"/>
      <c r="X3506" s="84"/>
      <c r="Y3506" s="84"/>
      <c r="Z3506" s="84"/>
      <c r="AA3506" s="84"/>
      <c r="AB3506" s="84"/>
    </row>
    <row r="3507">
      <c r="A3507" s="89"/>
      <c r="B3507" s="89"/>
      <c r="C3507" s="89"/>
      <c r="D3507" s="89"/>
      <c r="E3507" s="89"/>
      <c r="F3507" s="89"/>
      <c r="G3507" s="89"/>
      <c r="H3507" s="2"/>
      <c r="I3507" s="90"/>
      <c r="J3507" s="90"/>
      <c r="K3507" s="2"/>
      <c r="L3507" s="48"/>
      <c r="M3507" s="48"/>
      <c r="N3507" s="48"/>
      <c r="O3507" s="48" t="str">
        <f t="shared" si="2"/>
        <v/>
      </c>
      <c r="P3507" s="48" t="str">
        <f t="shared" si="3"/>
        <v/>
      </c>
      <c r="Q3507" s="84"/>
      <c r="R3507" s="84"/>
      <c r="S3507" s="84"/>
      <c r="T3507" s="84"/>
      <c r="U3507" s="84"/>
      <c r="V3507" s="84"/>
      <c r="W3507" s="84"/>
      <c r="X3507" s="84"/>
      <c r="Y3507" s="84"/>
      <c r="Z3507" s="84"/>
      <c r="AA3507" s="84"/>
      <c r="AB3507" s="84"/>
    </row>
    <row r="3508">
      <c r="A3508" s="89"/>
      <c r="B3508" s="89"/>
      <c r="C3508" s="89"/>
      <c r="D3508" s="89"/>
      <c r="E3508" s="89"/>
      <c r="F3508" s="89"/>
      <c r="G3508" s="89"/>
      <c r="H3508" s="2"/>
      <c r="I3508" s="90"/>
      <c r="J3508" s="90"/>
      <c r="K3508" s="2"/>
      <c r="L3508" s="49"/>
      <c r="M3508" s="49"/>
      <c r="N3508" s="49"/>
      <c r="O3508" s="49" t="str">
        <f t="shared" si="2"/>
        <v/>
      </c>
      <c r="P3508" s="49" t="str">
        <f t="shared" si="3"/>
        <v/>
      </c>
      <c r="Q3508" s="84"/>
      <c r="R3508" s="84"/>
      <c r="S3508" s="84"/>
      <c r="T3508" s="84"/>
      <c r="U3508" s="84"/>
      <c r="V3508" s="84"/>
      <c r="W3508" s="84"/>
      <c r="X3508" s="84"/>
      <c r="Y3508" s="84"/>
      <c r="Z3508" s="84"/>
      <c r="AA3508" s="84"/>
      <c r="AB3508" s="84"/>
    </row>
    <row r="3509">
      <c r="A3509" s="89"/>
      <c r="B3509" s="89"/>
      <c r="C3509" s="89"/>
      <c r="D3509" s="89"/>
      <c r="E3509" s="89"/>
      <c r="F3509" s="89"/>
      <c r="G3509" s="89"/>
      <c r="H3509" s="2"/>
      <c r="I3509" s="90"/>
      <c r="J3509" s="90"/>
      <c r="K3509" s="2"/>
      <c r="L3509" s="48"/>
      <c r="M3509" s="48"/>
      <c r="N3509" s="48"/>
      <c r="O3509" s="48" t="str">
        <f t="shared" si="2"/>
        <v/>
      </c>
      <c r="P3509" s="48" t="str">
        <f t="shared" si="3"/>
        <v/>
      </c>
      <c r="Q3509" s="84"/>
      <c r="R3509" s="84"/>
      <c r="S3509" s="84"/>
      <c r="T3509" s="84"/>
      <c r="U3509" s="84"/>
      <c r="V3509" s="84"/>
      <c r="W3509" s="84"/>
      <c r="X3509" s="84"/>
      <c r="Y3509" s="84"/>
      <c r="Z3509" s="84"/>
      <c r="AA3509" s="84"/>
      <c r="AB3509" s="84"/>
    </row>
    <row r="3510">
      <c r="A3510" s="89"/>
      <c r="B3510" s="89"/>
      <c r="C3510" s="89"/>
      <c r="D3510" s="89"/>
      <c r="E3510" s="89"/>
      <c r="F3510" s="89"/>
      <c r="G3510" s="89"/>
      <c r="H3510" s="2"/>
      <c r="I3510" s="90"/>
      <c r="J3510" s="90"/>
      <c r="K3510" s="2"/>
      <c r="L3510" s="49"/>
      <c r="M3510" s="49"/>
      <c r="N3510" s="49"/>
      <c r="O3510" s="49" t="str">
        <f t="shared" si="2"/>
        <v/>
      </c>
      <c r="P3510" s="49" t="str">
        <f t="shared" si="3"/>
        <v/>
      </c>
      <c r="Q3510" s="84"/>
      <c r="R3510" s="84"/>
      <c r="S3510" s="84"/>
      <c r="T3510" s="84"/>
      <c r="U3510" s="84"/>
      <c r="V3510" s="84"/>
      <c r="W3510" s="84"/>
      <c r="X3510" s="84"/>
      <c r="Y3510" s="84"/>
      <c r="Z3510" s="84"/>
      <c r="AA3510" s="84"/>
      <c r="AB3510" s="84"/>
    </row>
    <row r="3511">
      <c r="A3511" s="89"/>
      <c r="B3511" s="89"/>
      <c r="C3511" s="89"/>
      <c r="D3511" s="89"/>
      <c r="E3511" s="89"/>
      <c r="F3511" s="89"/>
      <c r="G3511" s="89"/>
      <c r="H3511" s="2"/>
      <c r="I3511" s="90"/>
      <c r="J3511" s="90"/>
      <c r="K3511" s="2"/>
      <c r="L3511" s="48"/>
      <c r="M3511" s="48"/>
      <c r="N3511" s="48"/>
      <c r="O3511" s="48" t="str">
        <f t="shared" si="2"/>
        <v/>
      </c>
      <c r="P3511" s="48" t="str">
        <f t="shared" si="3"/>
        <v/>
      </c>
      <c r="Q3511" s="84"/>
      <c r="R3511" s="84"/>
      <c r="S3511" s="84"/>
      <c r="T3511" s="84"/>
      <c r="U3511" s="84"/>
      <c r="V3511" s="84"/>
      <c r="W3511" s="84"/>
      <c r="X3511" s="84"/>
      <c r="Y3511" s="84"/>
      <c r="Z3511" s="84"/>
      <c r="AA3511" s="84"/>
      <c r="AB3511" s="84"/>
    </row>
    <row r="3512">
      <c r="A3512" s="89"/>
      <c r="B3512" s="89"/>
      <c r="C3512" s="89"/>
      <c r="D3512" s="89"/>
      <c r="E3512" s="89"/>
      <c r="F3512" s="89"/>
      <c r="G3512" s="89"/>
      <c r="H3512" s="2"/>
      <c r="I3512" s="90"/>
      <c r="J3512" s="90"/>
      <c r="K3512" s="2"/>
      <c r="L3512" s="49"/>
      <c r="M3512" s="49"/>
      <c r="N3512" s="49"/>
      <c r="O3512" s="49" t="str">
        <f t="shared" si="2"/>
        <v/>
      </c>
      <c r="P3512" s="49" t="str">
        <f t="shared" si="3"/>
        <v/>
      </c>
      <c r="Q3512" s="84"/>
      <c r="R3512" s="84"/>
      <c r="S3512" s="84"/>
      <c r="T3512" s="84"/>
      <c r="U3512" s="84"/>
      <c r="V3512" s="84"/>
      <c r="W3512" s="84"/>
      <c r="X3512" s="84"/>
      <c r="Y3512" s="84"/>
      <c r="Z3512" s="84"/>
      <c r="AA3512" s="84"/>
      <c r="AB3512" s="84"/>
    </row>
    <row r="3513">
      <c r="A3513" s="89"/>
      <c r="B3513" s="89"/>
      <c r="C3513" s="89"/>
      <c r="D3513" s="89"/>
      <c r="E3513" s="89"/>
      <c r="F3513" s="89"/>
      <c r="G3513" s="89"/>
      <c r="H3513" s="2"/>
      <c r="I3513" s="90"/>
      <c r="J3513" s="90"/>
      <c r="K3513" s="2"/>
      <c r="L3513" s="48"/>
      <c r="M3513" s="48"/>
      <c r="N3513" s="48"/>
      <c r="O3513" s="48" t="str">
        <f t="shared" si="2"/>
        <v/>
      </c>
      <c r="P3513" s="48" t="str">
        <f t="shared" si="3"/>
        <v/>
      </c>
      <c r="Q3513" s="84"/>
      <c r="R3513" s="84"/>
      <c r="S3513" s="84"/>
      <c r="T3513" s="84"/>
      <c r="U3513" s="84"/>
      <c r="V3513" s="84"/>
      <c r="W3513" s="84"/>
      <c r="X3513" s="84"/>
      <c r="Y3513" s="84"/>
      <c r="Z3513" s="84"/>
      <c r="AA3513" s="84"/>
      <c r="AB3513" s="84"/>
    </row>
    <row r="3514">
      <c r="A3514" s="89"/>
      <c r="B3514" s="89"/>
      <c r="C3514" s="89"/>
      <c r="D3514" s="89"/>
      <c r="E3514" s="89"/>
      <c r="F3514" s="89"/>
      <c r="G3514" s="89"/>
      <c r="H3514" s="2"/>
      <c r="I3514" s="90"/>
      <c r="J3514" s="90"/>
      <c r="K3514" s="2"/>
      <c r="L3514" s="49"/>
      <c r="M3514" s="49"/>
      <c r="N3514" s="49"/>
      <c r="O3514" s="49" t="str">
        <f t="shared" si="2"/>
        <v/>
      </c>
      <c r="P3514" s="49" t="str">
        <f t="shared" si="3"/>
        <v/>
      </c>
      <c r="Q3514" s="84"/>
      <c r="R3514" s="84"/>
      <c r="S3514" s="84"/>
      <c r="T3514" s="84"/>
      <c r="U3514" s="84"/>
      <c r="V3514" s="84"/>
      <c r="W3514" s="84"/>
      <c r="X3514" s="84"/>
      <c r="Y3514" s="84"/>
      <c r="Z3514" s="84"/>
      <c r="AA3514" s="84"/>
      <c r="AB3514" s="84"/>
    </row>
    <row r="3515">
      <c r="A3515" s="89"/>
      <c r="B3515" s="89"/>
      <c r="C3515" s="89"/>
      <c r="D3515" s="89"/>
      <c r="E3515" s="89"/>
      <c r="F3515" s="89"/>
      <c r="G3515" s="89"/>
      <c r="H3515" s="2"/>
      <c r="I3515" s="90"/>
      <c r="J3515" s="90"/>
      <c r="K3515" s="2"/>
      <c r="L3515" s="48"/>
      <c r="M3515" s="48"/>
      <c r="N3515" s="48"/>
      <c r="O3515" s="48" t="str">
        <f t="shared" si="2"/>
        <v/>
      </c>
      <c r="P3515" s="48" t="str">
        <f t="shared" si="3"/>
        <v/>
      </c>
      <c r="Q3515" s="84"/>
      <c r="R3515" s="84"/>
      <c r="S3515" s="84"/>
      <c r="T3515" s="84"/>
      <c r="U3515" s="84"/>
      <c r="V3515" s="84"/>
      <c r="W3515" s="84"/>
      <c r="X3515" s="84"/>
      <c r="Y3515" s="84"/>
      <c r="Z3515" s="84"/>
      <c r="AA3515" s="84"/>
      <c r="AB3515" s="84"/>
    </row>
    <row r="3516">
      <c r="A3516" s="89"/>
      <c r="B3516" s="89"/>
      <c r="C3516" s="89"/>
      <c r="D3516" s="89"/>
      <c r="E3516" s="89"/>
      <c r="F3516" s="89"/>
      <c r="G3516" s="89"/>
      <c r="H3516" s="2"/>
      <c r="I3516" s="90"/>
      <c r="J3516" s="90"/>
      <c r="K3516" s="2"/>
      <c r="L3516" s="49"/>
      <c r="M3516" s="49"/>
      <c r="N3516" s="49"/>
      <c r="O3516" s="49" t="str">
        <f t="shared" si="2"/>
        <v/>
      </c>
      <c r="P3516" s="49" t="str">
        <f t="shared" si="3"/>
        <v/>
      </c>
      <c r="Q3516" s="84"/>
      <c r="R3516" s="84"/>
      <c r="S3516" s="84"/>
      <c r="T3516" s="84"/>
      <c r="U3516" s="84"/>
      <c r="V3516" s="84"/>
      <c r="W3516" s="84"/>
      <c r="X3516" s="84"/>
      <c r="Y3516" s="84"/>
      <c r="Z3516" s="84"/>
      <c r="AA3516" s="84"/>
      <c r="AB3516" s="84"/>
    </row>
    <row r="3517">
      <c r="A3517" s="89"/>
      <c r="B3517" s="89"/>
      <c r="C3517" s="89"/>
      <c r="D3517" s="89"/>
      <c r="E3517" s="89"/>
      <c r="F3517" s="89"/>
      <c r="G3517" s="89"/>
      <c r="H3517" s="2"/>
      <c r="I3517" s="90"/>
      <c r="J3517" s="90"/>
      <c r="K3517" s="2"/>
      <c r="L3517" s="48"/>
      <c r="M3517" s="48"/>
      <c r="N3517" s="48"/>
      <c r="O3517" s="48" t="str">
        <f t="shared" si="2"/>
        <v/>
      </c>
      <c r="P3517" s="48" t="str">
        <f t="shared" si="3"/>
        <v/>
      </c>
      <c r="Q3517" s="84"/>
      <c r="R3517" s="84"/>
      <c r="S3517" s="84"/>
      <c r="T3517" s="84"/>
      <c r="U3517" s="84"/>
      <c r="V3517" s="84"/>
      <c r="W3517" s="84"/>
      <c r="X3517" s="84"/>
      <c r="Y3517" s="84"/>
      <c r="Z3517" s="84"/>
      <c r="AA3517" s="84"/>
      <c r="AB3517" s="84"/>
    </row>
    <row r="3518">
      <c r="A3518" s="89"/>
      <c r="B3518" s="89"/>
      <c r="C3518" s="89"/>
      <c r="D3518" s="89"/>
      <c r="E3518" s="89"/>
      <c r="F3518" s="89"/>
      <c r="G3518" s="89"/>
      <c r="H3518" s="2"/>
      <c r="I3518" s="90"/>
      <c r="J3518" s="90"/>
      <c r="K3518" s="2"/>
      <c r="L3518" s="49"/>
      <c r="M3518" s="49"/>
      <c r="N3518" s="49"/>
      <c r="O3518" s="49" t="str">
        <f t="shared" si="2"/>
        <v/>
      </c>
      <c r="P3518" s="49" t="str">
        <f t="shared" si="3"/>
        <v/>
      </c>
      <c r="Q3518" s="84"/>
      <c r="R3518" s="84"/>
      <c r="S3518" s="84"/>
      <c r="T3518" s="84"/>
      <c r="U3518" s="84"/>
      <c r="V3518" s="84"/>
      <c r="W3518" s="84"/>
      <c r="X3518" s="84"/>
      <c r="Y3518" s="84"/>
      <c r="Z3518" s="84"/>
      <c r="AA3518" s="84"/>
      <c r="AB3518" s="84"/>
    </row>
    <row r="3519">
      <c r="A3519" s="89"/>
      <c r="B3519" s="89"/>
      <c r="C3519" s="89"/>
      <c r="D3519" s="89"/>
      <c r="E3519" s="89"/>
      <c r="F3519" s="89"/>
      <c r="G3519" s="89"/>
      <c r="H3519" s="2"/>
      <c r="I3519" s="90"/>
      <c r="J3519" s="90"/>
      <c r="K3519" s="2"/>
      <c r="L3519" s="48"/>
      <c r="M3519" s="48"/>
      <c r="N3519" s="48"/>
      <c r="O3519" s="48" t="str">
        <f t="shared" si="2"/>
        <v/>
      </c>
      <c r="P3519" s="48" t="str">
        <f t="shared" si="3"/>
        <v/>
      </c>
      <c r="Q3519" s="84"/>
      <c r="R3519" s="84"/>
      <c r="S3519" s="84"/>
      <c r="T3519" s="84"/>
      <c r="U3519" s="84"/>
      <c r="V3519" s="84"/>
      <c r="W3519" s="84"/>
      <c r="X3519" s="84"/>
      <c r="Y3519" s="84"/>
      <c r="Z3519" s="84"/>
      <c r="AA3519" s="84"/>
      <c r="AB3519" s="84"/>
    </row>
    <row r="3520">
      <c r="A3520" s="89"/>
      <c r="B3520" s="89"/>
      <c r="C3520" s="89"/>
      <c r="D3520" s="89"/>
      <c r="E3520" s="89"/>
      <c r="F3520" s="89"/>
      <c r="G3520" s="89"/>
      <c r="H3520" s="2"/>
      <c r="I3520" s="90"/>
      <c r="J3520" s="90"/>
      <c r="K3520" s="2"/>
      <c r="L3520" s="49"/>
      <c r="M3520" s="49"/>
      <c r="N3520" s="49"/>
      <c r="O3520" s="49" t="str">
        <f t="shared" si="2"/>
        <v/>
      </c>
      <c r="P3520" s="49" t="str">
        <f t="shared" si="3"/>
        <v/>
      </c>
      <c r="Q3520" s="84"/>
      <c r="R3520" s="84"/>
      <c r="S3520" s="84"/>
      <c r="T3520" s="84"/>
      <c r="U3520" s="84"/>
      <c r="V3520" s="84"/>
      <c r="W3520" s="84"/>
      <c r="X3520" s="84"/>
      <c r="Y3520" s="84"/>
      <c r="Z3520" s="84"/>
      <c r="AA3520" s="84"/>
      <c r="AB3520" s="84"/>
    </row>
    <row r="3521">
      <c r="A3521" s="89"/>
      <c r="B3521" s="89"/>
      <c r="C3521" s="89"/>
      <c r="D3521" s="89"/>
      <c r="E3521" s="89"/>
      <c r="F3521" s="89"/>
      <c r="G3521" s="89"/>
      <c r="H3521" s="2"/>
      <c r="I3521" s="90"/>
      <c r="J3521" s="90"/>
      <c r="K3521" s="2"/>
      <c r="L3521" s="48"/>
      <c r="M3521" s="48"/>
      <c r="N3521" s="48"/>
      <c r="O3521" s="48" t="str">
        <f t="shared" si="2"/>
        <v/>
      </c>
      <c r="P3521" s="48" t="str">
        <f t="shared" si="3"/>
        <v/>
      </c>
      <c r="Q3521" s="84"/>
      <c r="R3521" s="84"/>
      <c r="S3521" s="84"/>
      <c r="T3521" s="84"/>
      <c r="U3521" s="84"/>
      <c r="V3521" s="84"/>
      <c r="W3521" s="84"/>
      <c r="X3521" s="84"/>
      <c r="Y3521" s="84"/>
      <c r="Z3521" s="84"/>
      <c r="AA3521" s="84"/>
      <c r="AB3521" s="84"/>
    </row>
    <row r="3522">
      <c r="A3522" s="89"/>
      <c r="B3522" s="89"/>
      <c r="C3522" s="89"/>
      <c r="D3522" s="89"/>
      <c r="E3522" s="89"/>
      <c r="F3522" s="89"/>
      <c r="G3522" s="89"/>
      <c r="H3522" s="2"/>
      <c r="I3522" s="90"/>
      <c r="J3522" s="90"/>
      <c r="K3522" s="2"/>
      <c r="L3522" s="49"/>
      <c r="M3522" s="49"/>
      <c r="N3522" s="49"/>
      <c r="O3522" s="49" t="str">
        <f t="shared" si="2"/>
        <v/>
      </c>
      <c r="P3522" s="49" t="str">
        <f t="shared" si="3"/>
        <v/>
      </c>
      <c r="Q3522" s="84"/>
      <c r="R3522" s="84"/>
      <c r="S3522" s="84"/>
      <c r="T3522" s="84"/>
      <c r="U3522" s="84"/>
      <c r="V3522" s="84"/>
      <c r="W3522" s="84"/>
      <c r="X3522" s="84"/>
      <c r="Y3522" s="84"/>
      <c r="Z3522" s="84"/>
      <c r="AA3522" s="84"/>
      <c r="AB3522" s="84"/>
    </row>
    <row r="3523">
      <c r="A3523" s="89"/>
      <c r="B3523" s="89"/>
      <c r="C3523" s="89"/>
      <c r="D3523" s="89"/>
      <c r="E3523" s="89"/>
      <c r="F3523" s="89"/>
      <c r="G3523" s="89"/>
      <c r="H3523" s="2"/>
      <c r="I3523" s="90"/>
      <c r="J3523" s="90"/>
      <c r="K3523" s="2"/>
      <c r="L3523" s="48"/>
      <c r="M3523" s="48"/>
      <c r="N3523" s="48"/>
      <c r="O3523" s="48" t="str">
        <f t="shared" si="2"/>
        <v/>
      </c>
      <c r="P3523" s="48" t="str">
        <f t="shared" si="3"/>
        <v/>
      </c>
      <c r="Q3523" s="84"/>
      <c r="R3523" s="84"/>
      <c r="S3523" s="84"/>
      <c r="T3523" s="84"/>
      <c r="U3523" s="84"/>
      <c r="V3523" s="84"/>
      <c r="W3523" s="84"/>
      <c r="X3523" s="84"/>
      <c r="Y3523" s="84"/>
      <c r="Z3523" s="84"/>
      <c r="AA3523" s="84"/>
      <c r="AB3523" s="84"/>
    </row>
    <row r="3524">
      <c r="A3524" s="89"/>
      <c r="B3524" s="89"/>
      <c r="C3524" s="89"/>
      <c r="D3524" s="89"/>
      <c r="E3524" s="89"/>
      <c r="F3524" s="89"/>
      <c r="G3524" s="89"/>
      <c r="H3524" s="2"/>
      <c r="I3524" s="90"/>
      <c r="J3524" s="90"/>
      <c r="K3524" s="2"/>
      <c r="L3524" s="49"/>
      <c r="M3524" s="49"/>
      <c r="N3524" s="49"/>
      <c r="O3524" s="49" t="str">
        <f t="shared" si="2"/>
        <v/>
      </c>
      <c r="P3524" s="49" t="str">
        <f t="shared" si="3"/>
        <v/>
      </c>
      <c r="Q3524" s="84"/>
      <c r="R3524" s="84"/>
      <c r="S3524" s="84"/>
      <c r="T3524" s="84"/>
      <c r="U3524" s="84"/>
      <c r="V3524" s="84"/>
      <c r="W3524" s="84"/>
      <c r="X3524" s="84"/>
      <c r="Y3524" s="84"/>
      <c r="Z3524" s="84"/>
      <c r="AA3524" s="84"/>
      <c r="AB3524" s="84"/>
    </row>
    <row r="3525">
      <c r="A3525" s="89"/>
      <c r="B3525" s="89"/>
      <c r="C3525" s="89"/>
      <c r="D3525" s="89"/>
      <c r="E3525" s="89"/>
      <c r="F3525" s="89"/>
      <c r="G3525" s="89"/>
      <c r="H3525" s="2"/>
      <c r="I3525" s="90"/>
      <c r="J3525" s="90"/>
      <c r="K3525" s="2"/>
      <c r="L3525" s="48"/>
      <c r="M3525" s="48"/>
      <c r="N3525" s="48"/>
      <c r="O3525" s="48" t="str">
        <f t="shared" si="2"/>
        <v/>
      </c>
      <c r="P3525" s="48" t="str">
        <f t="shared" si="3"/>
        <v/>
      </c>
      <c r="Q3525" s="84"/>
      <c r="R3525" s="84"/>
      <c r="S3525" s="84"/>
      <c r="T3525" s="84"/>
      <c r="U3525" s="84"/>
      <c r="V3525" s="84"/>
      <c r="W3525" s="84"/>
      <c r="X3525" s="84"/>
      <c r="Y3525" s="84"/>
      <c r="Z3525" s="84"/>
      <c r="AA3525" s="84"/>
      <c r="AB3525" s="84"/>
    </row>
    <row r="3526">
      <c r="A3526" s="89"/>
      <c r="B3526" s="89"/>
      <c r="C3526" s="89"/>
      <c r="D3526" s="89"/>
      <c r="E3526" s="89"/>
      <c r="F3526" s="89"/>
      <c r="G3526" s="89"/>
      <c r="H3526" s="2"/>
      <c r="I3526" s="90"/>
      <c r="J3526" s="90"/>
      <c r="K3526" s="2"/>
      <c r="L3526" s="49"/>
      <c r="M3526" s="49"/>
      <c r="N3526" s="49"/>
      <c r="O3526" s="49" t="str">
        <f t="shared" si="2"/>
        <v/>
      </c>
      <c r="P3526" s="49" t="str">
        <f t="shared" si="3"/>
        <v/>
      </c>
      <c r="Q3526" s="84"/>
      <c r="R3526" s="84"/>
      <c r="S3526" s="84"/>
      <c r="T3526" s="84"/>
      <c r="U3526" s="84"/>
      <c r="V3526" s="84"/>
      <c r="W3526" s="84"/>
      <c r="X3526" s="84"/>
      <c r="Y3526" s="84"/>
      <c r="Z3526" s="84"/>
      <c r="AA3526" s="84"/>
      <c r="AB3526" s="84"/>
    </row>
    <row r="3527">
      <c r="A3527" s="89"/>
      <c r="B3527" s="89"/>
      <c r="C3527" s="89"/>
      <c r="D3527" s="89"/>
      <c r="E3527" s="89"/>
      <c r="F3527" s="89"/>
      <c r="G3527" s="89"/>
      <c r="H3527" s="2"/>
      <c r="I3527" s="90"/>
      <c r="J3527" s="90"/>
      <c r="K3527" s="2"/>
      <c r="L3527" s="48"/>
      <c r="M3527" s="48"/>
      <c r="N3527" s="48"/>
      <c r="O3527" s="48" t="str">
        <f t="shared" si="2"/>
        <v/>
      </c>
      <c r="P3527" s="48" t="str">
        <f t="shared" si="3"/>
        <v/>
      </c>
      <c r="Q3527" s="84"/>
      <c r="R3527" s="84"/>
      <c r="S3527" s="84"/>
      <c r="T3527" s="84"/>
      <c r="U3527" s="84"/>
      <c r="V3527" s="84"/>
      <c r="W3527" s="84"/>
      <c r="X3527" s="84"/>
      <c r="Y3527" s="84"/>
      <c r="Z3527" s="84"/>
      <c r="AA3527" s="84"/>
      <c r="AB3527" s="84"/>
    </row>
    <row r="3528">
      <c r="A3528" s="89"/>
      <c r="B3528" s="89"/>
      <c r="C3528" s="89"/>
      <c r="D3528" s="89"/>
      <c r="E3528" s="89"/>
      <c r="F3528" s="89"/>
      <c r="G3528" s="89"/>
      <c r="H3528" s="2"/>
      <c r="I3528" s="90"/>
      <c r="J3528" s="90"/>
      <c r="K3528" s="2"/>
      <c r="L3528" s="49"/>
      <c r="M3528" s="49"/>
      <c r="N3528" s="49"/>
      <c r="O3528" s="49" t="str">
        <f t="shared" si="2"/>
        <v/>
      </c>
      <c r="P3528" s="49" t="str">
        <f t="shared" si="3"/>
        <v/>
      </c>
      <c r="Q3528" s="84"/>
      <c r="R3528" s="84"/>
      <c r="S3528" s="84"/>
      <c r="T3528" s="84"/>
      <c r="U3528" s="84"/>
      <c r="V3528" s="84"/>
      <c r="W3528" s="84"/>
      <c r="X3528" s="84"/>
      <c r="Y3528" s="84"/>
      <c r="Z3528" s="84"/>
      <c r="AA3528" s="84"/>
      <c r="AB3528" s="84"/>
    </row>
    <row r="3529">
      <c r="A3529" s="89"/>
      <c r="B3529" s="89"/>
      <c r="C3529" s="89"/>
      <c r="D3529" s="89"/>
      <c r="E3529" s="89"/>
      <c r="F3529" s="89"/>
      <c r="G3529" s="89"/>
      <c r="H3529" s="2"/>
      <c r="I3529" s="90"/>
      <c r="J3529" s="90"/>
      <c r="K3529" s="2"/>
      <c r="L3529" s="48"/>
      <c r="M3529" s="48"/>
      <c r="N3529" s="48"/>
      <c r="O3529" s="48" t="str">
        <f t="shared" si="2"/>
        <v/>
      </c>
      <c r="P3529" s="48" t="str">
        <f t="shared" si="3"/>
        <v/>
      </c>
      <c r="Q3529" s="84"/>
      <c r="R3529" s="84"/>
      <c r="S3529" s="84"/>
      <c r="T3529" s="84"/>
      <c r="U3529" s="84"/>
      <c r="V3529" s="84"/>
      <c r="W3529" s="84"/>
      <c r="X3529" s="84"/>
      <c r="Y3529" s="84"/>
      <c r="Z3529" s="84"/>
      <c r="AA3529" s="84"/>
      <c r="AB3529" s="84"/>
    </row>
    <row r="3530">
      <c r="A3530" s="89"/>
      <c r="B3530" s="89"/>
      <c r="C3530" s="89"/>
      <c r="D3530" s="89"/>
      <c r="E3530" s="89"/>
      <c r="F3530" s="89"/>
      <c r="G3530" s="89"/>
      <c r="H3530" s="2"/>
      <c r="I3530" s="90"/>
      <c r="J3530" s="90"/>
      <c r="K3530" s="2"/>
      <c r="L3530" s="49"/>
      <c r="M3530" s="49"/>
      <c r="N3530" s="49"/>
      <c r="O3530" s="49" t="str">
        <f t="shared" si="2"/>
        <v/>
      </c>
      <c r="P3530" s="49" t="str">
        <f t="shared" si="3"/>
        <v/>
      </c>
      <c r="Q3530" s="84"/>
      <c r="R3530" s="84"/>
      <c r="S3530" s="84"/>
      <c r="T3530" s="84"/>
      <c r="U3530" s="84"/>
      <c r="V3530" s="84"/>
      <c r="W3530" s="84"/>
      <c r="X3530" s="84"/>
      <c r="Y3530" s="84"/>
      <c r="Z3530" s="84"/>
      <c r="AA3530" s="84"/>
      <c r="AB3530" s="84"/>
    </row>
    <row r="3531">
      <c r="A3531" s="89"/>
      <c r="B3531" s="89"/>
      <c r="C3531" s="89"/>
      <c r="D3531" s="89"/>
      <c r="E3531" s="89"/>
      <c r="F3531" s="89"/>
      <c r="G3531" s="89"/>
      <c r="H3531" s="2"/>
      <c r="I3531" s="90"/>
      <c r="J3531" s="90"/>
      <c r="K3531" s="2"/>
      <c r="L3531" s="48"/>
      <c r="M3531" s="48"/>
      <c r="N3531" s="48"/>
      <c r="O3531" s="48" t="str">
        <f t="shared" si="2"/>
        <v/>
      </c>
      <c r="P3531" s="48" t="str">
        <f t="shared" si="3"/>
        <v/>
      </c>
      <c r="Q3531" s="84"/>
      <c r="R3531" s="84"/>
      <c r="S3531" s="84"/>
      <c r="T3531" s="84"/>
      <c r="U3531" s="84"/>
      <c r="V3531" s="84"/>
      <c r="W3531" s="84"/>
      <c r="X3531" s="84"/>
      <c r="Y3531" s="84"/>
      <c r="Z3531" s="84"/>
      <c r="AA3531" s="84"/>
      <c r="AB3531" s="84"/>
    </row>
    <row r="3532">
      <c r="A3532" s="89"/>
      <c r="B3532" s="89"/>
      <c r="C3532" s="89"/>
      <c r="D3532" s="89"/>
      <c r="E3532" s="89"/>
      <c r="F3532" s="89"/>
      <c r="G3532" s="89"/>
      <c r="H3532" s="2"/>
      <c r="I3532" s="90"/>
      <c r="J3532" s="90"/>
      <c r="K3532" s="2"/>
      <c r="L3532" s="49"/>
      <c r="M3532" s="49"/>
      <c r="N3532" s="49"/>
      <c r="O3532" s="49" t="str">
        <f t="shared" si="2"/>
        <v/>
      </c>
      <c r="P3532" s="49" t="str">
        <f t="shared" si="3"/>
        <v/>
      </c>
      <c r="Q3532" s="84"/>
      <c r="R3532" s="84"/>
      <c r="S3532" s="84"/>
      <c r="T3532" s="84"/>
      <c r="U3532" s="84"/>
      <c r="V3532" s="84"/>
      <c r="W3532" s="84"/>
      <c r="X3532" s="84"/>
      <c r="Y3532" s="84"/>
      <c r="Z3532" s="84"/>
      <c r="AA3532" s="84"/>
      <c r="AB3532" s="84"/>
    </row>
    <row r="3533">
      <c r="A3533" s="89"/>
      <c r="B3533" s="89"/>
      <c r="C3533" s="89"/>
      <c r="D3533" s="89"/>
      <c r="E3533" s="89"/>
      <c r="F3533" s="89"/>
      <c r="G3533" s="89"/>
      <c r="H3533" s="2"/>
      <c r="I3533" s="90"/>
      <c r="J3533" s="90"/>
      <c r="K3533" s="2"/>
      <c r="L3533" s="48"/>
      <c r="M3533" s="48"/>
      <c r="N3533" s="48"/>
      <c r="O3533" s="48" t="str">
        <f t="shared" si="2"/>
        <v/>
      </c>
      <c r="P3533" s="48" t="str">
        <f t="shared" si="3"/>
        <v/>
      </c>
      <c r="Q3533" s="84"/>
      <c r="R3533" s="84"/>
      <c r="S3533" s="84"/>
      <c r="T3533" s="84"/>
      <c r="U3533" s="84"/>
      <c r="V3533" s="84"/>
      <c r="W3533" s="84"/>
      <c r="X3533" s="84"/>
      <c r="Y3533" s="84"/>
      <c r="Z3533" s="84"/>
      <c r="AA3533" s="84"/>
      <c r="AB3533" s="84"/>
    </row>
    <row r="3534">
      <c r="A3534" s="89"/>
      <c r="B3534" s="89"/>
      <c r="C3534" s="89"/>
      <c r="D3534" s="89"/>
      <c r="E3534" s="89"/>
      <c r="F3534" s="89"/>
      <c r="G3534" s="89"/>
      <c r="H3534" s="2"/>
      <c r="I3534" s="90"/>
      <c r="J3534" s="90"/>
      <c r="K3534" s="2"/>
      <c r="L3534" s="49"/>
      <c r="M3534" s="49"/>
      <c r="N3534" s="49"/>
      <c r="O3534" s="49" t="str">
        <f t="shared" si="2"/>
        <v/>
      </c>
      <c r="P3534" s="49" t="str">
        <f t="shared" si="3"/>
        <v/>
      </c>
      <c r="Q3534" s="84"/>
      <c r="R3534" s="84"/>
      <c r="S3534" s="84"/>
      <c r="T3534" s="84"/>
      <c r="U3534" s="84"/>
      <c r="V3534" s="84"/>
      <c r="W3534" s="84"/>
      <c r="X3534" s="84"/>
      <c r="Y3534" s="84"/>
      <c r="Z3534" s="84"/>
      <c r="AA3534" s="84"/>
      <c r="AB3534" s="84"/>
    </row>
    <row r="3535">
      <c r="A3535" s="89"/>
      <c r="B3535" s="89"/>
      <c r="C3535" s="89"/>
      <c r="D3535" s="89"/>
      <c r="E3535" s="89"/>
      <c r="F3535" s="89"/>
      <c r="G3535" s="89"/>
      <c r="H3535" s="2"/>
      <c r="I3535" s="90"/>
      <c r="J3535" s="90"/>
      <c r="K3535" s="2"/>
      <c r="L3535" s="48"/>
      <c r="M3535" s="48"/>
      <c r="N3535" s="48"/>
      <c r="O3535" s="48" t="str">
        <f t="shared" si="2"/>
        <v/>
      </c>
      <c r="P3535" s="48" t="str">
        <f t="shared" si="3"/>
        <v/>
      </c>
      <c r="Q3535" s="84"/>
      <c r="R3535" s="84"/>
      <c r="S3535" s="84"/>
      <c r="T3535" s="84"/>
      <c r="U3535" s="84"/>
      <c r="V3535" s="84"/>
      <c r="W3535" s="84"/>
      <c r="X3535" s="84"/>
      <c r="Y3535" s="84"/>
      <c r="Z3535" s="84"/>
      <c r="AA3535" s="84"/>
      <c r="AB3535" s="84"/>
    </row>
    <row r="3536">
      <c r="A3536" s="89"/>
      <c r="B3536" s="89"/>
      <c r="C3536" s="89"/>
      <c r="D3536" s="89"/>
      <c r="E3536" s="89"/>
      <c r="F3536" s="89"/>
      <c r="G3536" s="89"/>
      <c r="H3536" s="2"/>
      <c r="I3536" s="90"/>
      <c r="J3536" s="90"/>
      <c r="K3536" s="2"/>
      <c r="L3536" s="49"/>
      <c r="M3536" s="49"/>
      <c r="N3536" s="49"/>
      <c r="O3536" s="49" t="str">
        <f t="shared" si="2"/>
        <v/>
      </c>
      <c r="P3536" s="49" t="str">
        <f t="shared" si="3"/>
        <v/>
      </c>
      <c r="Q3536" s="84"/>
      <c r="R3536" s="84"/>
      <c r="S3536" s="84"/>
      <c r="T3536" s="84"/>
      <c r="U3536" s="84"/>
      <c r="V3536" s="84"/>
      <c r="W3536" s="84"/>
      <c r="X3536" s="84"/>
      <c r="Y3536" s="84"/>
      <c r="Z3536" s="84"/>
      <c r="AA3536" s="84"/>
      <c r="AB3536" s="84"/>
    </row>
    <row r="3537">
      <c r="A3537" s="89"/>
      <c r="B3537" s="89"/>
      <c r="C3537" s="89"/>
      <c r="D3537" s="89"/>
      <c r="E3537" s="89"/>
      <c r="F3537" s="89"/>
      <c r="G3537" s="89"/>
      <c r="H3537" s="2"/>
      <c r="I3537" s="90"/>
      <c r="J3537" s="90"/>
      <c r="K3537" s="2"/>
      <c r="L3537" s="48"/>
      <c r="M3537" s="48"/>
      <c r="N3537" s="48"/>
      <c r="O3537" s="48" t="str">
        <f t="shared" si="2"/>
        <v/>
      </c>
      <c r="P3537" s="48" t="str">
        <f t="shared" si="3"/>
        <v/>
      </c>
      <c r="Q3537" s="84"/>
      <c r="R3537" s="84"/>
      <c r="S3537" s="84"/>
      <c r="T3537" s="84"/>
      <c r="U3537" s="84"/>
      <c r="V3537" s="84"/>
      <c r="W3537" s="84"/>
      <c r="X3537" s="84"/>
      <c r="Y3537" s="84"/>
      <c r="Z3537" s="84"/>
      <c r="AA3537" s="84"/>
      <c r="AB3537" s="84"/>
    </row>
    <row r="3538">
      <c r="A3538" s="89"/>
      <c r="B3538" s="89"/>
      <c r="C3538" s="89"/>
      <c r="D3538" s="89"/>
      <c r="E3538" s="89"/>
      <c r="F3538" s="89"/>
      <c r="G3538" s="89"/>
      <c r="H3538" s="2"/>
      <c r="I3538" s="90"/>
      <c r="J3538" s="90"/>
      <c r="K3538" s="2"/>
      <c r="L3538" s="49"/>
      <c r="M3538" s="49"/>
      <c r="N3538" s="49"/>
      <c r="O3538" s="49" t="str">
        <f t="shared" si="2"/>
        <v/>
      </c>
      <c r="P3538" s="49" t="str">
        <f t="shared" si="3"/>
        <v/>
      </c>
      <c r="Q3538" s="84"/>
      <c r="R3538" s="84"/>
      <c r="S3538" s="84"/>
      <c r="T3538" s="84"/>
      <c r="U3538" s="84"/>
      <c r="V3538" s="84"/>
      <c r="W3538" s="84"/>
      <c r="X3538" s="84"/>
      <c r="Y3538" s="84"/>
      <c r="Z3538" s="84"/>
      <c r="AA3538" s="84"/>
      <c r="AB3538" s="84"/>
    </row>
    <row r="3539">
      <c r="A3539" s="89"/>
      <c r="B3539" s="89"/>
      <c r="C3539" s="89"/>
      <c r="D3539" s="89"/>
      <c r="E3539" s="89"/>
      <c r="F3539" s="89"/>
      <c r="G3539" s="89"/>
      <c r="H3539" s="2"/>
      <c r="I3539" s="90"/>
      <c r="J3539" s="90"/>
      <c r="K3539" s="2"/>
      <c r="L3539" s="48"/>
      <c r="M3539" s="48"/>
      <c r="N3539" s="48"/>
      <c r="O3539" s="48" t="str">
        <f t="shared" si="2"/>
        <v/>
      </c>
      <c r="P3539" s="48" t="str">
        <f t="shared" si="3"/>
        <v/>
      </c>
      <c r="Q3539" s="84"/>
      <c r="R3539" s="84"/>
      <c r="S3539" s="84"/>
      <c r="T3539" s="84"/>
      <c r="U3539" s="84"/>
      <c r="V3539" s="84"/>
      <c r="W3539" s="84"/>
      <c r="X3539" s="84"/>
      <c r="Y3539" s="84"/>
      <c r="Z3539" s="84"/>
      <c r="AA3539" s="84"/>
      <c r="AB3539" s="84"/>
    </row>
    <row r="3540">
      <c r="A3540" s="89"/>
      <c r="B3540" s="89"/>
      <c r="C3540" s="89"/>
      <c r="D3540" s="89"/>
      <c r="E3540" s="89"/>
      <c r="F3540" s="89"/>
      <c r="G3540" s="89"/>
      <c r="H3540" s="2"/>
      <c r="I3540" s="90"/>
      <c r="J3540" s="90"/>
      <c r="K3540" s="2"/>
      <c r="L3540" s="49"/>
      <c r="M3540" s="49"/>
      <c r="N3540" s="49"/>
      <c r="O3540" s="49" t="str">
        <f t="shared" si="2"/>
        <v/>
      </c>
      <c r="P3540" s="49" t="str">
        <f t="shared" si="3"/>
        <v/>
      </c>
      <c r="Q3540" s="84"/>
      <c r="R3540" s="84"/>
      <c r="S3540" s="84"/>
      <c r="T3540" s="84"/>
      <c r="U3540" s="84"/>
      <c r="V3540" s="84"/>
      <c r="W3540" s="84"/>
      <c r="X3540" s="84"/>
      <c r="Y3540" s="84"/>
      <c r="Z3540" s="84"/>
      <c r="AA3540" s="84"/>
      <c r="AB3540" s="84"/>
    </row>
    <row r="3541">
      <c r="A3541" s="89"/>
      <c r="B3541" s="89"/>
      <c r="C3541" s="89"/>
      <c r="D3541" s="89"/>
      <c r="E3541" s="89"/>
      <c r="F3541" s="89"/>
      <c r="G3541" s="89"/>
      <c r="H3541" s="2"/>
      <c r="I3541" s="90"/>
      <c r="J3541" s="90"/>
      <c r="K3541" s="2"/>
      <c r="L3541" s="48"/>
      <c r="M3541" s="48"/>
      <c r="N3541" s="48"/>
      <c r="O3541" s="48" t="str">
        <f t="shared" si="2"/>
        <v/>
      </c>
      <c r="P3541" s="48" t="str">
        <f t="shared" si="3"/>
        <v/>
      </c>
      <c r="Q3541" s="84"/>
      <c r="R3541" s="84"/>
      <c r="S3541" s="84"/>
      <c r="T3541" s="84"/>
      <c r="U3541" s="84"/>
      <c r="V3541" s="84"/>
      <c r="W3541" s="84"/>
      <c r="X3541" s="84"/>
      <c r="Y3541" s="84"/>
      <c r="Z3541" s="84"/>
      <c r="AA3541" s="84"/>
      <c r="AB3541" s="84"/>
    </row>
    <row r="3542">
      <c r="A3542" s="89"/>
      <c r="B3542" s="89"/>
      <c r="C3542" s="89"/>
      <c r="D3542" s="89"/>
      <c r="E3542" s="89"/>
      <c r="F3542" s="89"/>
      <c r="G3542" s="89"/>
      <c r="H3542" s="2"/>
      <c r="I3542" s="90"/>
      <c r="J3542" s="90"/>
      <c r="K3542" s="2"/>
      <c r="L3542" s="49"/>
      <c r="M3542" s="49"/>
      <c r="N3542" s="49"/>
      <c r="O3542" s="49" t="str">
        <f t="shared" si="2"/>
        <v/>
      </c>
      <c r="P3542" s="49" t="str">
        <f t="shared" si="3"/>
        <v/>
      </c>
      <c r="Q3542" s="84"/>
      <c r="R3542" s="84"/>
      <c r="S3542" s="84"/>
      <c r="T3542" s="84"/>
      <c r="U3542" s="84"/>
      <c r="V3542" s="84"/>
      <c r="W3542" s="84"/>
      <c r="X3542" s="84"/>
      <c r="Y3542" s="84"/>
      <c r="Z3542" s="84"/>
      <c r="AA3542" s="84"/>
      <c r="AB3542" s="84"/>
    </row>
    <row r="3543">
      <c r="A3543" s="89"/>
      <c r="B3543" s="89"/>
      <c r="C3543" s="89"/>
      <c r="D3543" s="89"/>
      <c r="E3543" s="89"/>
      <c r="F3543" s="89"/>
      <c r="G3543" s="89"/>
      <c r="H3543" s="2"/>
      <c r="I3543" s="90"/>
      <c r="J3543" s="90"/>
      <c r="K3543" s="2"/>
      <c r="L3543" s="48"/>
      <c r="M3543" s="48"/>
      <c r="N3543" s="48"/>
      <c r="O3543" s="48" t="str">
        <f t="shared" si="2"/>
        <v/>
      </c>
      <c r="P3543" s="48" t="str">
        <f t="shared" si="3"/>
        <v/>
      </c>
      <c r="Q3543" s="84"/>
      <c r="R3543" s="84"/>
      <c r="S3543" s="84"/>
      <c r="T3543" s="84"/>
      <c r="U3543" s="84"/>
      <c r="V3543" s="84"/>
      <c r="W3543" s="84"/>
      <c r="X3543" s="84"/>
      <c r="Y3543" s="84"/>
      <c r="Z3543" s="84"/>
      <c r="AA3543" s="84"/>
      <c r="AB3543" s="84"/>
    </row>
    <row r="3544">
      <c r="A3544" s="89"/>
      <c r="B3544" s="89"/>
      <c r="C3544" s="89"/>
      <c r="D3544" s="89"/>
      <c r="E3544" s="89"/>
      <c r="F3544" s="89"/>
      <c r="G3544" s="89"/>
      <c r="H3544" s="2"/>
      <c r="I3544" s="90"/>
      <c r="J3544" s="90"/>
      <c r="K3544" s="2"/>
      <c r="L3544" s="49"/>
      <c r="M3544" s="49"/>
      <c r="N3544" s="49"/>
      <c r="O3544" s="49" t="str">
        <f t="shared" si="2"/>
        <v/>
      </c>
      <c r="P3544" s="49" t="str">
        <f t="shared" si="3"/>
        <v/>
      </c>
      <c r="Q3544" s="84"/>
      <c r="R3544" s="84"/>
      <c r="S3544" s="84"/>
      <c r="T3544" s="84"/>
      <c r="U3544" s="84"/>
      <c r="V3544" s="84"/>
      <c r="W3544" s="84"/>
      <c r="X3544" s="84"/>
      <c r="Y3544" s="84"/>
      <c r="Z3544" s="84"/>
      <c r="AA3544" s="84"/>
      <c r="AB3544" s="84"/>
    </row>
    <row r="3545">
      <c r="A3545" s="89"/>
      <c r="B3545" s="89"/>
      <c r="C3545" s="89"/>
      <c r="D3545" s="89"/>
      <c r="E3545" s="89"/>
      <c r="F3545" s="89"/>
      <c r="G3545" s="89"/>
      <c r="H3545" s="2"/>
      <c r="I3545" s="90"/>
      <c r="J3545" s="90"/>
      <c r="K3545" s="2"/>
      <c r="L3545" s="48"/>
      <c r="M3545" s="48"/>
      <c r="N3545" s="48"/>
      <c r="O3545" s="48" t="str">
        <f t="shared" si="2"/>
        <v/>
      </c>
      <c r="P3545" s="48" t="str">
        <f t="shared" si="3"/>
        <v/>
      </c>
      <c r="Q3545" s="84"/>
      <c r="R3545" s="84"/>
      <c r="S3545" s="84"/>
      <c r="T3545" s="84"/>
      <c r="U3545" s="84"/>
      <c r="V3545" s="84"/>
      <c r="W3545" s="84"/>
      <c r="X3545" s="84"/>
      <c r="Y3545" s="84"/>
      <c r="Z3545" s="84"/>
      <c r="AA3545" s="84"/>
      <c r="AB3545" s="84"/>
    </row>
    <row r="3546">
      <c r="A3546" s="89"/>
      <c r="B3546" s="89"/>
      <c r="C3546" s="89"/>
      <c r="D3546" s="89"/>
      <c r="E3546" s="89"/>
      <c r="F3546" s="89"/>
      <c r="G3546" s="89"/>
      <c r="H3546" s="2"/>
      <c r="I3546" s="90"/>
      <c r="J3546" s="90"/>
      <c r="K3546" s="2"/>
      <c r="L3546" s="49"/>
      <c r="M3546" s="49"/>
      <c r="N3546" s="49"/>
      <c r="O3546" s="49" t="str">
        <f t="shared" si="2"/>
        <v/>
      </c>
      <c r="P3546" s="49" t="str">
        <f t="shared" si="3"/>
        <v/>
      </c>
      <c r="Q3546" s="84"/>
      <c r="R3546" s="84"/>
      <c r="S3546" s="84"/>
      <c r="T3546" s="84"/>
      <c r="U3546" s="84"/>
      <c r="V3546" s="84"/>
      <c r="W3546" s="84"/>
      <c r="X3546" s="84"/>
      <c r="Y3546" s="84"/>
      <c r="Z3546" s="84"/>
      <c r="AA3546" s="84"/>
      <c r="AB3546" s="84"/>
    </row>
    <row r="3547">
      <c r="A3547" s="89"/>
      <c r="B3547" s="89"/>
      <c r="C3547" s="89"/>
      <c r="D3547" s="89"/>
      <c r="E3547" s="89"/>
      <c r="F3547" s="89"/>
      <c r="G3547" s="89"/>
      <c r="H3547" s="2"/>
      <c r="I3547" s="90"/>
      <c r="J3547" s="90"/>
      <c r="K3547" s="2"/>
      <c r="L3547" s="48"/>
      <c r="M3547" s="48"/>
      <c r="N3547" s="48"/>
      <c r="O3547" s="48" t="str">
        <f t="shared" si="2"/>
        <v/>
      </c>
      <c r="P3547" s="48" t="str">
        <f t="shared" si="3"/>
        <v/>
      </c>
      <c r="Q3547" s="84"/>
      <c r="R3547" s="84"/>
      <c r="S3547" s="84"/>
      <c r="T3547" s="84"/>
      <c r="U3547" s="84"/>
      <c r="V3547" s="84"/>
      <c r="W3547" s="84"/>
      <c r="X3547" s="84"/>
      <c r="Y3547" s="84"/>
      <c r="Z3547" s="84"/>
      <c r="AA3547" s="84"/>
      <c r="AB3547" s="84"/>
    </row>
    <row r="3548">
      <c r="A3548" s="89"/>
      <c r="B3548" s="89"/>
      <c r="C3548" s="89"/>
      <c r="D3548" s="89"/>
      <c r="E3548" s="89"/>
      <c r="F3548" s="89"/>
      <c r="G3548" s="89"/>
      <c r="H3548" s="2"/>
      <c r="I3548" s="90"/>
      <c r="J3548" s="90"/>
      <c r="K3548" s="2"/>
      <c r="L3548" s="49"/>
      <c r="M3548" s="49"/>
      <c r="N3548" s="49"/>
      <c r="O3548" s="49" t="str">
        <f t="shared" si="2"/>
        <v/>
      </c>
      <c r="P3548" s="49" t="str">
        <f t="shared" si="3"/>
        <v/>
      </c>
      <c r="Q3548" s="84"/>
      <c r="R3548" s="84"/>
      <c r="S3548" s="84"/>
      <c r="T3548" s="84"/>
      <c r="U3548" s="84"/>
      <c r="V3548" s="84"/>
      <c r="W3548" s="84"/>
      <c r="X3548" s="84"/>
      <c r="Y3548" s="84"/>
      <c r="Z3548" s="84"/>
      <c r="AA3548" s="84"/>
      <c r="AB3548" s="84"/>
    </row>
    <row r="3549">
      <c r="A3549" s="89"/>
      <c r="B3549" s="89"/>
      <c r="C3549" s="89"/>
      <c r="D3549" s="89"/>
      <c r="E3549" s="89"/>
      <c r="F3549" s="89"/>
      <c r="G3549" s="89"/>
      <c r="H3549" s="2"/>
      <c r="I3549" s="90"/>
      <c r="J3549" s="90"/>
      <c r="K3549" s="2"/>
      <c r="L3549" s="48"/>
      <c r="M3549" s="48"/>
      <c r="N3549" s="48"/>
      <c r="O3549" s="48" t="str">
        <f t="shared" si="2"/>
        <v/>
      </c>
      <c r="P3549" s="48" t="str">
        <f t="shared" si="3"/>
        <v/>
      </c>
      <c r="Q3549" s="84"/>
      <c r="R3549" s="84"/>
      <c r="S3549" s="84"/>
      <c r="T3549" s="84"/>
      <c r="U3549" s="84"/>
      <c r="V3549" s="84"/>
      <c r="W3549" s="84"/>
      <c r="X3549" s="84"/>
      <c r="Y3549" s="84"/>
      <c r="Z3549" s="84"/>
      <c r="AA3549" s="84"/>
      <c r="AB3549" s="84"/>
    </row>
    <row r="3550">
      <c r="A3550" s="89"/>
      <c r="B3550" s="89"/>
      <c r="C3550" s="89"/>
      <c r="D3550" s="89"/>
      <c r="E3550" s="89"/>
      <c r="F3550" s="89"/>
      <c r="G3550" s="89"/>
      <c r="H3550" s="2"/>
      <c r="I3550" s="90"/>
      <c r="J3550" s="90"/>
      <c r="K3550" s="2"/>
      <c r="L3550" s="49"/>
      <c r="M3550" s="49"/>
      <c r="N3550" s="49"/>
      <c r="O3550" s="49" t="str">
        <f t="shared" si="2"/>
        <v/>
      </c>
      <c r="P3550" s="49" t="str">
        <f t="shared" si="3"/>
        <v/>
      </c>
      <c r="Q3550" s="84"/>
      <c r="R3550" s="84"/>
      <c r="S3550" s="84"/>
      <c r="T3550" s="84"/>
      <c r="U3550" s="84"/>
      <c r="V3550" s="84"/>
      <c r="W3550" s="84"/>
      <c r="X3550" s="84"/>
      <c r="Y3550" s="84"/>
      <c r="Z3550" s="84"/>
      <c r="AA3550" s="84"/>
      <c r="AB3550" s="84"/>
    </row>
    <row r="3551">
      <c r="A3551" s="89"/>
      <c r="B3551" s="89"/>
      <c r="C3551" s="89"/>
      <c r="D3551" s="89"/>
      <c r="E3551" s="89"/>
      <c r="F3551" s="89"/>
      <c r="G3551" s="89"/>
      <c r="H3551" s="2"/>
      <c r="I3551" s="90"/>
      <c r="J3551" s="90"/>
      <c r="K3551" s="2"/>
      <c r="L3551" s="48"/>
      <c r="M3551" s="48"/>
      <c r="N3551" s="48"/>
      <c r="O3551" s="48" t="str">
        <f t="shared" si="2"/>
        <v/>
      </c>
      <c r="P3551" s="48" t="str">
        <f t="shared" si="3"/>
        <v/>
      </c>
      <c r="Q3551" s="84"/>
      <c r="R3551" s="84"/>
      <c r="S3551" s="84"/>
      <c r="T3551" s="84"/>
      <c r="U3551" s="84"/>
      <c r="V3551" s="84"/>
      <c r="W3551" s="84"/>
      <c r="X3551" s="84"/>
      <c r="Y3551" s="84"/>
      <c r="Z3551" s="84"/>
      <c r="AA3551" s="84"/>
      <c r="AB3551" s="84"/>
    </row>
    <row r="3552">
      <c r="A3552" s="89"/>
      <c r="B3552" s="89"/>
      <c r="C3552" s="89"/>
      <c r="D3552" s="89"/>
      <c r="E3552" s="89"/>
      <c r="F3552" s="89"/>
      <c r="G3552" s="89"/>
      <c r="H3552" s="2"/>
      <c r="I3552" s="90"/>
      <c r="J3552" s="90"/>
      <c r="K3552" s="2"/>
      <c r="L3552" s="49"/>
      <c r="M3552" s="49"/>
      <c r="N3552" s="49"/>
      <c r="O3552" s="49" t="str">
        <f t="shared" si="2"/>
        <v/>
      </c>
      <c r="P3552" s="49" t="str">
        <f t="shared" si="3"/>
        <v/>
      </c>
      <c r="Q3552" s="84"/>
      <c r="R3552" s="84"/>
      <c r="S3552" s="84"/>
      <c r="T3552" s="84"/>
      <c r="U3552" s="84"/>
      <c r="V3552" s="84"/>
      <c r="W3552" s="84"/>
      <c r="X3552" s="84"/>
      <c r="Y3552" s="84"/>
      <c r="Z3552" s="84"/>
      <c r="AA3552" s="84"/>
      <c r="AB3552" s="84"/>
    </row>
    <row r="3553">
      <c r="A3553" s="89"/>
      <c r="B3553" s="89"/>
      <c r="C3553" s="89"/>
      <c r="D3553" s="89"/>
      <c r="E3553" s="89"/>
      <c r="F3553" s="89"/>
      <c r="G3553" s="89"/>
      <c r="H3553" s="2"/>
      <c r="I3553" s="90"/>
      <c r="J3553" s="90"/>
      <c r="K3553" s="2"/>
      <c r="L3553" s="48"/>
      <c r="M3553" s="48"/>
      <c r="N3553" s="48"/>
      <c r="O3553" s="48" t="str">
        <f t="shared" si="2"/>
        <v/>
      </c>
      <c r="P3553" s="48" t="str">
        <f t="shared" si="3"/>
        <v/>
      </c>
      <c r="Q3553" s="84"/>
      <c r="R3553" s="84"/>
      <c r="S3553" s="84"/>
      <c r="T3553" s="84"/>
      <c r="U3553" s="84"/>
      <c r="V3553" s="84"/>
      <c r="W3553" s="84"/>
      <c r="X3553" s="84"/>
      <c r="Y3553" s="84"/>
      <c r="Z3553" s="84"/>
      <c r="AA3553" s="84"/>
      <c r="AB3553" s="84"/>
    </row>
    <row r="3554">
      <c r="A3554" s="89"/>
      <c r="B3554" s="89"/>
      <c r="C3554" s="89"/>
      <c r="D3554" s="89"/>
      <c r="E3554" s="89"/>
      <c r="F3554" s="89"/>
      <c r="G3554" s="89"/>
      <c r="H3554" s="2"/>
      <c r="I3554" s="90"/>
      <c r="J3554" s="90"/>
      <c r="K3554" s="2"/>
      <c r="L3554" s="49"/>
      <c r="M3554" s="49"/>
      <c r="N3554" s="49"/>
      <c r="O3554" s="49" t="str">
        <f t="shared" si="2"/>
        <v/>
      </c>
      <c r="P3554" s="49" t="str">
        <f t="shared" si="3"/>
        <v/>
      </c>
      <c r="Q3554" s="84"/>
      <c r="R3554" s="84"/>
      <c r="S3554" s="84"/>
      <c r="T3554" s="84"/>
      <c r="U3554" s="84"/>
      <c r="V3554" s="84"/>
      <c r="W3554" s="84"/>
      <c r="X3554" s="84"/>
      <c r="Y3554" s="84"/>
      <c r="Z3554" s="84"/>
      <c r="AA3554" s="84"/>
      <c r="AB3554" s="84"/>
    </row>
    <row r="3555">
      <c r="A3555" s="89"/>
      <c r="B3555" s="89"/>
      <c r="C3555" s="89"/>
      <c r="D3555" s="89"/>
      <c r="E3555" s="89"/>
      <c r="F3555" s="89"/>
      <c r="G3555" s="89"/>
      <c r="H3555" s="2"/>
      <c r="I3555" s="90"/>
      <c r="J3555" s="90"/>
      <c r="K3555" s="2"/>
      <c r="L3555" s="48"/>
      <c r="M3555" s="48"/>
      <c r="N3555" s="48"/>
      <c r="O3555" s="48" t="str">
        <f t="shared" si="2"/>
        <v/>
      </c>
      <c r="P3555" s="48" t="str">
        <f t="shared" si="3"/>
        <v/>
      </c>
      <c r="Q3555" s="84"/>
      <c r="R3555" s="84"/>
      <c r="S3555" s="84"/>
      <c r="T3555" s="84"/>
      <c r="U3555" s="84"/>
      <c r="V3555" s="84"/>
      <c r="W3555" s="84"/>
      <c r="X3555" s="84"/>
      <c r="Y3555" s="84"/>
      <c r="Z3555" s="84"/>
      <c r="AA3555" s="84"/>
      <c r="AB3555" s="84"/>
    </row>
    <row r="3556">
      <c r="A3556" s="89"/>
      <c r="B3556" s="89"/>
      <c r="C3556" s="89"/>
      <c r="D3556" s="89"/>
      <c r="E3556" s="89"/>
      <c r="F3556" s="89"/>
      <c r="G3556" s="89"/>
      <c r="H3556" s="2"/>
      <c r="I3556" s="90"/>
      <c r="J3556" s="90"/>
      <c r="K3556" s="2"/>
      <c r="L3556" s="49"/>
      <c r="M3556" s="49"/>
      <c r="N3556" s="49"/>
      <c r="O3556" s="49" t="str">
        <f t="shared" si="2"/>
        <v/>
      </c>
      <c r="P3556" s="49" t="str">
        <f t="shared" si="3"/>
        <v/>
      </c>
      <c r="Q3556" s="84"/>
      <c r="R3556" s="84"/>
      <c r="S3556" s="84"/>
      <c r="T3556" s="84"/>
      <c r="U3556" s="84"/>
      <c r="V3556" s="84"/>
      <c r="W3556" s="84"/>
      <c r="X3556" s="84"/>
      <c r="Y3556" s="84"/>
      <c r="Z3556" s="84"/>
      <c r="AA3556" s="84"/>
      <c r="AB3556" s="84"/>
    </row>
    <row r="3557">
      <c r="A3557" s="89"/>
      <c r="B3557" s="89"/>
      <c r="C3557" s="89"/>
      <c r="D3557" s="89"/>
      <c r="E3557" s="89"/>
      <c r="F3557" s="89"/>
      <c r="G3557" s="89"/>
      <c r="H3557" s="2"/>
      <c r="I3557" s="90"/>
      <c r="J3557" s="90"/>
      <c r="K3557" s="2"/>
      <c r="L3557" s="48"/>
      <c r="M3557" s="48"/>
      <c r="N3557" s="48"/>
      <c r="O3557" s="48" t="str">
        <f t="shared" si="2"/>
        <v/>
      </c>
      <c r="P3557" s="48" t="str">
        <f t="shared" si="3"/>
        <v/>
      </c>
      <c r="Q3557" s="84"/>
      <c r="R3557" s="84"/>
      <c r="S3557" s="84"/>
      <c r="T3557" s="84"/>
      <c r="U3557" s="84"/>
      <c r="V3557" s="84"/>
      <c r="W3557" s="84"/>
      <c r="X3557" s="84"/>
      <c r="Y3557" s="84"/>
      <c r="Z3557" s="84"/>
      <c r="AA3557" s="84"/>
      <c r="AB3557" s="84"/>
    </row>
    <row r="3558">
      <c r="A3558" s="89"/>
      <c r="B3558" s="89"/>
      <c r="C3558" s="89"/>
      <c r="D3558" s="89"/>
      <c r="E3558" s="89"/>
      <c r="F3558" s="89"/>
      <c r="G3558" s="89"/>
      <c r="H3558" s="2"/>
      <c r="I3558" s="90"/>
      <c r="J3558" s="90"/>
      <c r="K3558" s="2"/>
      <c r="L3558" s="49"/>
      <c r="M3558" s="49"/>
      <c r="N3558" s="49"/>
      <c r="O3558" s="49" t="str">
        <f t="shared" si="2"/>
        <v/>
      </c>
      <c r="P3558" s="49" t="str">
        <f t="shared" si="3"/>
        <v/>
      </c>
      <c r="Q3558" s="84"/>
      <c r="R3558" s="84"/>
      <c r="S3558" s="84"/>
      <c r="T3558" s="84"/>
      <c r="U3558" s="84"/>
      <c r="V3558" s="84"/>
      <c r="W3558" s="84"/>
      <c r="X3558" s="84"/>
      <c r="Y3558" s="84"/>
      <c r="Z3558" s="84"/>
      <c r="AA3558" s="84"/>
      <c r="AB3558" s="84"/>
    </row>
    <row r="3559">
      <c r="A3559" s="89"/>
      <c r="B3559" s="89"/>
      <c r="C3559" s="89"/>
      <c r="D3559" s="89"/>
      <c r="E3559" s="89"/>
      <c r="F3559" s="89"/>
      <c r="G3559" s="89"/>
      <c r="H3559" s="2"/>
      <c r="I3559" s="90"/>
      <c r="J3559" s="90"/>
      <c r="K3559" s="2"/>
      <c r="L3559" s="48"/>
      <c r="M3559" s="48"/>
      <c r="N3559" s="48"/>
      <c r="O3559" s="48" t="str">
        <f t="shared" si="2"/>
        <v/>
      </c>
      <c r="P3559" s="48" t="str">
        <f t="shared" si="3"/>
        <v/>
      </c>
      <c r="Q3559" s="84"/>
      <c r="R3559" s="84"/>
      <c r="S3559" s="84"/>
      <c r="T3559" s="84"/>
      <c r="U3559" s="84"/>
      <c r="V3559" s="84"/>
      <c r="W3559" s="84"/>
      <c r="X3559" s="84"/>
      <c r="Y3559" s="84"/>
      <c r="Z3559" s="84"/>
      <c r="AA3559" s="84"/>
      <c r="AB3559" s="84"/>
    </row>
    <row r="3560">
      <c r="A3560" s="89"/>
      <c r="B3560" s="89"/>
      <c r="C3560" s="89"/>
      <c r="D3560" s="89"/>
      <c r="E3560" s="89"/>
      <c r="F3560" s="89"/>
      <c r="G3560" s="89"/>
      <c r="H3560" s="2"/>
      <c r="I3560" s="90"/>
      <c r="J3560" s="90"/>
      <c r="K3560" s="2"/>
      <c r="L3560" s="49"/>
      <c r="M3560" s="49"/>
      <c r="N3560" s="49"/>
      <c r="O3560" s="49" t="str">
        <f t="shared" si="2"/>
        <v/>
      </c>
      <c r="P3560" s="49" t="str">
        <f t="shared" si="3"/>
        <v/>
      </c>
      <c r="Q3560" s="84"/>
      <c r="R3560" s="84"/>
      <c r="S3560" s="84"/>
      <c r="T3560" s="84"/>
      <c r="U3560" s="84"/>
      <c r="V3560" s="84"/>
      <c r="W3560" s="84"/>
      <c r="X3560" s="84"/>
      <c r="Y3560" s="84"/>
      <c r="Z3560" s="84"/>
      <c r="AA3560" s="84"/>
      <c r="AB3560" s="84"/>
    </row>
    <row r="3561">
      <c r="A3561" s="89"/>
      <c r="B3561" s="89"/>
      <c r="C3561" s="89"/>
      <c r="D3561" s="89"/>
      <c r="E3561" s="89"/>
      <c r="F3561" s="89"/>
      <c r="G3561" s="89"/>
      <c r="H3561" s="2"/>
      <c r="I3561" s="90"/>
      <c r="J3561" s="90"/>
      <c r="K3561" s="2"/>
      <c r="L3561" s="48"/>
      <c r="M3561" s="48"/>
      <c r="N3561" s="48"/>
      <c r="O3561" s="48" t="str">
        <f t="shared" si="2"/>
        <v/>
      </c>
      <c r="P3561" s="48" t="str">
        <f t="shared" si="3"/>
        <v/>
      </c>
      <c r="Q3561" s="84"/>
      <c r="R3561" s="84"/>
      <c r="S3561" s="84"/>
      <c r="T3561" s="84"/>
      <c r="U3561" s="84"/>
      <c r="V3561" s="84"/>
      <c r="W3561" s="84"/>
      <c r="X3561" s="84"/>
      <c r="Y3561" s="84"/>
      <c r="Z3561" s="84"/>
      <c r="AA3561" s="84"/>
      <c r="AB3561" s="84"/>
    </row>
    <row r="3562">
      <c r="A3562" s="89"/>
      <c r="B3562" s="89"/>
      <c r="C3562" s="89"/>
      <c r="D3562" s="89"/>
      <c r="E3562" s="89"/>
      <c r="F3562" s="89"/>
      <c r="G3562" s="89"/>
      <c r="H3562" s="2"/>
      <c r="I3562" s="90"/>
      <c r="J3562" s="90"/>
      <c r="K3562" s="2"/>
      <c r="L3562" s="49"/>
      <c r="M3562" s="49"/>
      <c r="N3562" s="49"/>
      <c r="O3562" s="49" t="str">
        <f t="shared" si="2"/>
        <v/>
      </c>
      <c r="P3562" s="49" t="str">
        <f t="shared" si="3"/>
        <v/>
      </c>
      <c r="Q3562" s="84"/>
      <c r="R3562" s="84"/>
      <c r="S3562" s="84"/>
      <c r="T3562" s="84"/>
      <c r="U3562" s="84"/>
      <c r="V3562" s="84"/>
      <c r="W3562" s="84"/>
      <c r="X3562" s="84"/>
      <c r="Y3562" s="84"/>
      <c r="Z3562" s="84"/>
      <c r="AA3562" s="84"/>
      <c r="AB3562" s="84"/>
    </row>
    <row r="3563">
      <c r="A3563" s="89"/>
      <c r="B3563" s="89"/>
      <c r="C3563" s="89"/>
      <c r="D3563" s="89"/>
      <c r="E3563" s="89"/>
      <c r="F3563" s="89"/>
      <c r="G3563" s="89"/>
      <c r="H3563" s="2"/>
      <c r="I3563" s="90"/>
      <c r="J3563" s="90"/>
      <c r="K3563" s="2"/>
      <c r="L3563" s="48"/>
      <c r="M3563" s="48"/>
      <c r="N3563" s="48"/>
      <c r="O3563" s="48" t="str">
        <f t="shared" si="2"/>
        <v/>
      </c>
      <c r="P3563" s="48" t="str">
        <f t="shared" si="3"/>
        <v/>
      </c>
      <c r="Q3563" s="84"/>
      <c r="R3563" s="84"/>
      <c r="S3563" s="84"/>
      <c r="T3563" s="84"/>
      <c r="U3563" s="84"/>
      <c r="V3563" s="84"/>
      <c r="W3563" s="84"/>
      <c r="X3563" s="84"/>
      <c r="Y3563" s="84"/>
      <c r="Z3563" s="84"/>
      <c r="AA3563" s="84"/>
      <c r="AB3563" s="84"/>
    </row>
    <row r="3564">
      <c r="A3564" s="89"/>
      <c r="B3564" s="89"/>
      <c r="C3564" s="89"/>
      <c r="D3564" s="89"/>
      <c r="E3564" s="89"/>
      <c r="F3564" s="89"/>
      <c r="G3564" s="89"/>
      <c r="H3564" s="2"/>
      <c r="I3564" s="90"/>
      <c r="J3564" s="90"/>
      <c r="K3564" s="2"/>
      <c r="L3564" s="49"/>
      <c r="M3564" s="49"/>
      <c r="N3564" s="49"/>
      <c r="O3564" s="49" t="str">
        <f t="shared" si="2"/>
        <v/>
      </c>
      <c r="P3564" s="49" t="str">
        <f t="shared" si="3"/>
        <v/>
      </c>
      <c r="Q3564" s="84"/>
      <c r="R3564" s="84"/>
      <c r="S3564" s="84"/>
      <c r="T3564" s="84"/>
      <c r="U3564" s="84"/>
      <c r="V3564" s="84"/>
      <c r="W3564" s="84"/>
      <c r="X3564" s="84"/>
      <c r="Y3564" s="84"/>
      <c r="Z3564" s="84"/>
      <c r="AA3564" s="84"/>
      <c r="AB3564" s="84"/>
    </row>
    <row r="3565">
      <c r="A3565" s="89"/>
      <c r="B3565" s="89"/>
      <c r="C3565" s="89"/>
      <c r="D3565" s="89"/>
      <c r="E3565" s="89"/>
      <c r="F3565" s="89"/>
      <c r="G3565" s="89"/>
      <c r="H3565" s="2"/>
      <c r="I3565" s="90"/>
      <c r="J3565" s="90"/>
      <c r="K3565" s="2"/>
      <c r="L3565" s="48"/>
      <c r="M3565" s="48"/>
      <c r="N3565" s="48"/>
      <c r="O3565" s="48" t="str">
        <f t="shared" si="2"/>
        <v/>
      </c>
      <c r="P3565" s="48" t="str">
        <f t="shared" si="3"/>
        <v/>
      </c>
      <c r="Q3565" s="84"/>
      <c r="R3565" s="84"/>
      <c r="S3565" s="84"/>
      <c r="T3565" s="84"/>
      <c r="U3565" s="84"/>
      <c r="V3565" s="84"/>
      <c r="W3565" s="84"/>
      <c r="X3565" s="84"/>
      <c r="Y3565" s="84"/>
      <c r="Z3565" s="84"/>
      <c r="AA3565" s="84"/>
      <c r="AB3565" s="84"/>
    </row>
    <row r="3566">
      <c r="A3566" s="89"/>
      <c r="B3566" s="89"/>
      <c r="C3566" s="89"/>
      <c r="D3566" s="89"/>
      <c r="E3566" s="89"/>
      <c r="F3566" s="89"/>
      <c r="G3566" s="89"/>
      <c r="H3566" s="2"/>
      <c r="I3566" s="90"/>
      <c r="J3566" s="90"/>
      <c r="K3566" s="2"/>
      <c r="L3566" s="49"/>
      <c r="M3566" s="49"/>
      <c r="N3566" s="49"/>
      <c r="O3566" s="49" t="str">
        <f t="shared" si="2"/>
        <v/>
      </c>
      <c r="P3566" s="49" t="str">
        <f t="shared" si="3"/>
        <v/>
      </c>
      <c r="Q3566" s="84"/>
      <c r="R3566" s="84"/>
      <c r="S3566" s="84"/>
      <c r="T3566" s="84"/>
      <c r="U3566" s="84"/>
      <c r="V3566" s="84"/>
      <c r="W3566" s="84"/>
      <c r="X3566" s="84"/>
      <c r="Y3566" s="84"/>
      <c r="Z3566" s="84"/>
      <c r="AA3566" s="84"/>
      <c r="AB3566" s="84"/>
    </row>
    <row r="3567">
      <c r="A3567" s="89"/>
      <c r="B3567" s="89"/>
      <c r="C3567" s="89"/>
      <c r="D3567" s="89"/>
      <c r="E3567" s="89"/>
      <c r="F3567" s="89"/>
      <c r="G3567" s="89"/>
      <c r="H3567" s="2"/>
      <c r="I3567" s="90"/>
      <c r="J3567" s="90"/>
      <c r="K3567" s="2"/>
      <c r="L3567" s="48"/>
      <c r="M3567" s="48"/>
      <c r="N3567" s="48"/>
      <c r="O3567" s="48" t="str">
        <f t="shared" si="2"/>
        <v/>
      </c>
      <c r="P3567" s="48" t="str">
        <f t="shared" si="3"/>
        <v/>
      </c>
      <c r="Q3567" s="84"/>
      <c r="R3567" s="84"/>
      <c r="S3567" s="84"/>
      <c r="T3567" s="84"/>
      <c r="U3567" s="84"/>
      <c r="V3567" s="84"/>
      <c r="W3567" s="84"/>
      <c r="X3567" s="84"/>
      <c r="Y3567" s="84"/>
      <c r="Z3567" s="84"/>
      <c r="AA3567" s="84"/>
      <c r="AB3567" s="84"/>
    </row>
    <row r="3568">
      <c r="A3568" s="89"/>
      <c r="B3568" s="89"/>
      <c r="C3568" s="89"/>
      <c r="D3568" s="89"/>
      <c r="E3568" s="89"/>
      <c r="F3568" s="89"/>
      <c r="G3568" s="89"/>
      <c r="H3568" s="2"/>
      <c r="I3568" s="90"/>
      <c r="J3568" s="90"/>
      <c r="K3568" s="2"/>
      <c r="L3568" s="49"/>
      <c r="M3568" s="49"/>
      <c r="N3568" s="49"/>
      <c r="O3568" s="49" t="str">
        <f t="shared" si="2"/>
        <v/>
      </c>
      <c r="P3568" s="49" t="str">
        <f t="shared" si="3"/>
        <v/>
      </c>
      <c r="Q3568" s="84"/>
      <c r="R3568" s="84"/>
      <c r="S3568" s="84"/>
      <c r="T3568" s="84"/>
      <c r="U3568" s="84"/>
      <c r="V3568" s="84"/>
      <c r="W3568" s="84"/>
      <c r="X3568" s="84"/>
      <c r="Y3568" s="84"/>
      <c r="Z3568" s="84"/>
      <c r="AA3568" s="84"/>
      <c r="AB3568" s="84"/>
    </row>
    <row r="3569">
      <c r="A3569" s="89"/>
      <c r="B3569" s="89"/>
      <c r="C3569" s="89"/>
      <c r="D3569" s="89"/>
      <c r="E3569" s="89"/>
      <c r="F3569" s="89"/>
      <c r="G3569" s="89"/>
      <c r="H3569" s="2"/>
      <c r="I3569" s="90"/>
      <c r="J3569" s="90"/>
      <c r="K3569" s="2"/>
      <c r="L3569" s="48"/>
      <c r="M3569" s="48"/>
      <c r="N3569" s="48"/>
      <c r="O3569" s="48" t="str">
        <f t="shared" si="2"/>
        <v/>
      </c>
      <c r="P3569" s="48" t="str">
        <f t="shared" si="3"/>
        <v/>
      </c>
      <c r="Q3569" s="84"/>
      <c r="R3569" s="84"/>
      <c r="S3569" s="84"/>
      <c r="T3569" s="84"/>
      <c r="U3569" s="84"/>
      <c r="V3569" s="84"/>
      <c r="W3569" s="84"/>
      <c r="X3569" s="84"/>
      <c r="Y3569" s="84"/>
      <c r="Z3569" s="84"/>
      <c r="AA3569" s="84"/>
      <c r="AB3569" s="84"/>
    </row>
    <row r="3570">
      <c r="A3570" s="89"/>
      <c r="B3570" s="89"/>
      <c r="C3570" s="89"/>
      <c r="D3570" s="89"/>
      <c r="E3570" s="89"/>
      <c r="F3570" s="89"/>
      <c r="G3570" s="89"/>
      <c r="H3570" s="2"/>
      <c r="I3570" s="90"/>
      <c r="J3570" s="90"/>
      <c r="K3570" s="2"/>
      <c r="L3570" s="49"/>
      <c r="M3570" s="49"/>
      <c r="N3570" s="49"/>
      <c r="O3570" s="49" t="str">
        <f t="shared" si="2"/>
        <v/>
      </c>
      <c r="P3570" s="49" t="str">
        <f t="shared" si="3"/>
        <v/>
      </c>
      <c r="Q3570" s="84"/>
      <c r="R3570" s="84"/>
      <c r="S3570" s="84"/>
      <c r="T3570" s="84"/>
      <c r="U3570" s="84"/>
      <c r="V3570" s="84"/>
      <c r="W3570" s="84"/>
      <c r="X3570" s="84"/>
      <c r="Y3570" s="84"/>
      <c r="Z3570" s="84"/>
      <c r="AA3570" s="84"/>
      <c r="AB3570" s="84"/>
    </row>
    <row r="3571">
      <c r="A3571" s="89"/>
      <c r="B3571" s="89"/>
      <c r="C3571" s="89"/>
      <c r="D3571" s="89"/>
      <c r="E3571" s="89"/>
      <c r="F3571" s="89"/>
      <c r="G3571" s="89"/>
      <c r="H3571" s="2"/>
      <c r="I3571" s="90"/>
      <c r="J3571" s="90"/>
      <c r="K3571" s="2"/>
      <c r="L3571" s="48"/>
      <c r="M3571" s="48"/>
      <c r="N3571" s="48"/>
      <c r="O3571" s="48" t="str">
        <f t="shared" si="2"/>
        <v/>
      </c>
      <c r="P3571" s="48" t="str">
        <f t="shared" si="3"/>
        <v/>
      </c>
      <c r="Q3571" s="84"/>
      <c r="R3571" s="84"/>
      <c r="S3571" s="84"/>
      <c r="T3571" s="84"/>
      <c r="U3571" s="84"/>
      <c r="V3571" s="84"/>
      <c r="W3571" s="84"/>
      <c r="X3571" s="84"/>
      <c r="Y3571" s="84"/>
      <c r="Z3571" s="84"/>
      <c r="AA3571" s="84"/>
      <c r="AB3571" s="84"/>
    </row>
    <row r="3572">
      <c r="A3572" s="89"/>
      <c r="B3572" s="89"/>
      <c r="C3572" s="89"/>
      <c r="D3572" s="89"/>
      <c r="E3572" s="89"/>
      <c r="F3572" s="89"/>
      <c r="G3572" s="89"/>
      <c r="H3572" s="2"/>
      <c r="I3572" s="90"/>
      <c r="J3572" s="90"/>
      <c r="K3572" s="2"/>
      <c r="L3572" s="49"/>
      <c r="M3572" s="49"/>
      <c r="N3572" s="49"/>
      <c r="O3572" s="49" t="str">
        <f t="shared" si="2"/>
        <v/>
      </c>
      <c r="P3572" s="49" t="str">
        <f t="shared" si="3"/>
        <v/>
      </c>
      <c r="Q3572" s="84"/>
      <c r="R3572" s="84"/>
      <c r="S3572" s="84"/>
      <c r="T3572" s="84"/>
      <c r="U3572" s="84"/>
      <c r="V3572" s="84"/>
      <c r="W3572" s="84"/>
      <c r="X3572" s="84"/>
      <c r="Y3572" s="84"/>
      <c r="Z3572" s="84"/>
      <c r="AA3572" s="84"/>
      <c r="AB3572" s="84"/>
    </row>
    <row r="3573">
      <c r="A3573" s="89"/>
      <c r="B3573" s="89"/>
      <c r="C3573" s="89"/>
      <c r="D3573" s="89"/>
      <c r="E3573" s="89"/>
      <c r="F3573" s="89"/>
      <c r="G3573" s="89"/>
      <c r="H3573" s="2"/>
      <c r="I3573" s="90"/>
      <c r="J3573" s="90"/>
      <c r="K3573" s="2"/>
      <c r="L3573" s="48"/>
      <c r="M3573" s="48"/>
      <c r="N3573" s="48"/>
      <c r="O3573" s="48" t="str">
        <f t="shared" si="2"/>
        <v/>
      </c>
      <c r="P3573" s="48" t="str">
        <f t="shared" si="3"/>
        <v/>
      </c>
      <c r="Q3573" s="84"/>
      <c r="R3573" s="84"/>
      <c r="S3573" s="84"/>
      <c r="T3573" s="84"/>
      <c r="U3573" s="84"/>
      <c r="V3573" s="84"/>
      <c r="W3573" s="84"/>
      <c r="X3573" s="84"/>
      <c r="Y3573" s="84"/>
      <c r="Z3573" s="84"/>
      <c r="AA3573" s="84"/>
      <c r="AB3573" s="84"/>
    </row>
    <row r="3574">
      <c r="A3574" s="89"/>
      <c r="B3574" s="89"/>
      <c r="C3574" s="89"/>
      <c r="D3574" s="89"/>
      <c r="E3574" s="89"/>
      <c r="F3574" s="89"/>
      <c r="G3574" s="89"/>
      <c r="H3574" s="2"/>
      <c r="I3574" s="90"/>
      <c r="J3574" s="90"/>
      <c r="K3574" s="2"/>
      <c r="L3574" s="49"/>
      <c r="M3574" s="49"/>
      <c r="N3574" s="49"/>
      <c r="O3574" s="49" t="str">
        <f t="shared" si="2"/>
        <v/>
      </c>
      <c r="P3574" s="49" t="str">
        <f t="shared" si="3"/>
        <v/>
      </c>
      <c r="Q3574" s="84"/>
      <c r="R3574" s="84"/>
      <c r="S3574" s="84"/>
      <c r="T3574" s="84"/>
      <c r="U3574" s="84"/>
      <c r="V3574" s="84"/>
      <c r="W3574" s="84"/>
      <c r="X3574" s="84"/>
      <c r="Y3574" s="84"/>
      <c r="Z3574" s="84"/>
      <c r="AA3574" s="84"/>
      <c r="AB3574" s="84"/>
    </row>
    <row r="3575">
      <c r="A3575" s="89"/>
      <c r="B3575" s="89"/>
      <c r="C3575" s="89"/>
      <c r="D3575" s="89"/>
      <c r="E3575" s="89"/>
      <c r="F3575" s="89"/>
      <c r="G3575" s="89"/>
      <c r="H3575" s="2"/>
      <c r="I3575" s="90"/>
      <c r="J3575" s="90"/>
      <c r="K3575" s="2"/>
      <c r="L3575" s="48"/>
      <c r="M3575" s="48"/>
      <c r="N3575" s="48"/>
      <c r="O3575" s="48" t="str">
        <f t="shared" si="2"/>
        <v/>
      </c>
      <c r="P3575" s="48" t="str">
        <f t="shared" si="3"/>
        <v/>
      </c>
      <c r="Q3575" s="84"/>
      <c r="R3575" s="84"/>
      <c r="S3575" s="84"/>
      <c r="T3575" s="84"/>
      <c r="U3575" s="84"/>
      <c r="V3575" s="84"/>
      <c r="W3575" s="84"/>
      <c r="X3575" s="84"/>
      <c r="Y3575" s="84"/>
      <c r="Z3575" s="84"/>
      <c r="AA3575" s="84"/>
      <c r="AB3575" s="84"/>
    </row>
    <row r="3576">
      <c r="A3576" s="89"/>
      <c r="B3576" s="89"/>
      <c r="C3576" s="89"/>
      <c r="D3576" s="89"/>
      <c r="E3576" s="89"/>
      <c r="F3576" s="89"/>
      <c r="G3576" s="89"/>
      <c r="H3576" s="2"/>
      <c r="I3576" s="90"/>
      <c r="J3576" s="90"/>
      <c r="K3576" s="2"/>
      <c r="L3576" s="49"/>
      <c r="M3576" s="49"/>
      <c r="N3576" s="49"/>
      <c r="O3576" s="49" t="str">
        <f t="shared" si="2"/>
        <v/>
      </c>
      <c r="P3576" s="49" t="str">
        <f t="shared" si="3"/>
        <v/>
      </c>
      <c r="Q3576" s="84"/>
      <c r="R3576" s="84"/>
      <c r="S3576" s="84"/>
      <c r="T3576" s="84"/>
      <c r="U3576" s="84"/>
      <c r="V3576" s="84"/>
      <c r="W3576" s="84"/>
      <c r="X3576" s="84"/>
      <c r="Y3576" s="84"/>
      <c r="Z3576" s="84"/>
      <c r="AA3576" s="84"/>
      <c r="AB3576" s="84"/>
    </row>
    <row r="3577">
      <c r="A3577" s="89"/>
      <c r="B3577" s="89"/>
      <c r="C3577" s="89"/>
      <c r="D3577" s="89"/>
      <c r="E3577" s="89"/>
      <c r="F3577" s="89"/>
      <c r="G3577" s="89"/>
      <c r="H3577" s="2"/>
      <c r="I3577" s="90"/>
      <c r="J3577" s="90"/>
      <c r="K3577" s="2"/>
      <c r="L3577" s="48"/>
      <c r="M3577" s="48"/>
      <c r="N3577" s="48"/>
      <c r="O3577" s="48" t="str">
        <f t="shared" si="2"/>
        <v/>
      </c>
      <c r="P3577" s="48" t="str">
        <f t="shared" si="3"/>
        <v/>
      </c>
      <c r="Q3577" s="84"/>
      <c r="R3577" s="84"/>
      <c r="S3577" s="84"/>
      <c r="T3577" s="84"/>
      <c r="U3577" s="84"/>
      <c r="V3577" s="84"/>
      <c r="W3577" s="84"/>
      <c r="X3577" s="84"/>
      <c r="Y3577" s="84"/>
      <c r="Z3577" s="84"/>
      <c r="AA3577" s="84"/>
      <c r="AB3577" s="84"/>
    </row>
    <row r="3578">
      <c r="A3578" s="89"/>
      <c r="B3578" s="89"/>
      <c r="C3578" s="89"/>
      <c r="D3578" s="89"/>
      <c r="E3578" s="89"/>
      <c r="F3578" s="89"/>
      <c r="G3578" s="89"/>
      <c r="H3578" s="2"/>
      <c r="I3578" s="90"/>
      <c r="J3578" s="90"/>
      <c r="K3578" s="2"/>
      <c r="L3578" s="49"/>
      <c r="M3578" s="49"/>
      <c r="N3578" s="49"/>
      <c r="O3578" s="49" t="str">
        <f t="shared" si="2"/>
        <v/>
      </c>
      <c r="P3578" s="49" t="str">
        <f t="shared" si="3"/>
        <v/>
      </c>
      <c r="Q3578" s="84"/>
      <c r="R3578" s="84"/>
      <c r="S3578" s="84"/>
      <c r="T3578" s="84"/>
      <c r="U3578" s="84"/>
      <c r="V3578" s="84"/>
      <c r="W3578" s="84"/>
      <c r="X3578" s="84"/>
      <c r="Y3578" s="84"/>
      <c r="Z3578" s="84"/>
      <c r="AA3578" s="84"/>
      <c r="AB3578" s="84"/>
    </row>
    <row r="3579">
      <c r="A3579" s="89"/>
      <c r="B3579" s="89"/>
      <c r="C3579" s="89"/>
      <c r="D3579" s="89"/>
      <c r="E3579" s="89"/>
      <c r="F3579" s="89"/>
      <c r="G3579" s="89"/>
      <c r="H3579" s="2"/>
      <c r="I3579" s="90"/>
      <c r="J3579" s="90"/>
      <c r="K3579" s="2"/>
      <c r="L3579" s="48"/>
      <c r="M3579" s="48"/>
      <c r="N3579" s="48"/>
      <c r="O3579" s="48" t="str">
        <f t="shared" si="2"/>
        <v/>
      </c>
      <c r="P3579" s="48" t="str">
        <f t="shared" si="3"/>
        <v/>
      </c>
      <c r="Q3579" s="84"/>
      <c r="R3579" s="84"/>
      <c r="S3579" s="84"/>
      <c r="T3579" s="84"/>
      <c r="U3579" s="84"/>
      <c r="V3579" s="84"/>
      <c r="W3579" s="84"/>
      <c r="X3579" s="84"/>
      <c r="Y3579" s="84"/>
      <c r="Z3579" s="84"/>
      <c r="AA3579" s="84"/>
      <c r="AB3579" s="84"/>
    </row>
    <row r="3580">
      <c r="A3580" s="89"/>
      <c r="B3580" s="89"/>
      <c r="C3580" s="89"/>
      <c r="D3580" s="89"/>
      <c r="E3580" s="89"/>
      <c r="F3580" s="89"/>
      <c r="G3580" s="89"/>
      <c r="H3580" s="2"/>
      <c r="I3580" s="90"/>
      <c r="J3580" s="90"/>
      <c r="K3580" s="2"/>
      <c r="L3580" s="49"/>
      <c r="M3580" s="49"/>
      <c r="N3580" s="49"/>
      <c r="O3580" s="49" t="str">
        <f t="shared" si="2"/>
        <v/>
      </c>
      <c r="P3580" s="49" t="str">
        <f t="shared" si="3"/>
        <v/>
      </c>
      <c r="Q3580" s="84"/>
      <c r="R3580" s="84"/>
      <c r="S3580" s="84"/>
      <c r="T3580" s="84"/>
      <c r="U3580" s="84"/>
      <c r="V3580" s="84"/>
      <c r="W3580" s="84"/>
      <c r="X3580" s="84"/>
      <c r="Y3580" s="84"/>
      <c r="Z3580" s="84"/>
      <c r="AA3580" s="84"/>
      <c r="AB3580" s="84"/>
    </row>
    <row r="3581">
      <c r="A3581" s="89"/>
      <c r="B3581" s="89"/>
      <c r="C3581" s="89"/>
      <c r="D3581" s="89"/>
      <c r="E3581" s="89"/>
      <c r="F3581" s="89"/>
      <c r="G3581" s="89"/>
      <c r="H3581" s="2"/>
      <c r="I3581" s="90"/>
      <c r="J3581" s="90"/>
      <c r="K3581" s="2"/>
      <c r="L3581" s="48"/>
      <c r="M3581" s="48"/>
      <c r="N3581" s="48"/>
      <c r="O3581" s="48" t="str">
        <f t="shared" si="2"/>
        <v/>
      </c>
      <c r="P3581" s="48" t="str">
        <f t="shared" si="3"/>
        <v/>
      </c>
      <c r="Q3581" s="84"/>
      <c r="R3581" s="84"/>
      <c r="S3581" s="84"/>
      <c r="T3581" s="84"/>
      <c r="U3581" s="84"/>
      <c r="V3581" s="84"/>
      <c r="W3581" s="84"/>
      <c r="X3581" s="84"/>
      <c r="Y3581" s="84"/>
      <c r="Z3581" s="84"/>
      <c r="AA3581" s="84"/>
      <c r="AB3581" s="84"/>
    </row>
    <row r="3582">
      <c r="A3582" s="89"/>
      <c r="B3582" s="89"/>
      <c r="C3582" s="89"/>
      <c r="D3582" s="89"/>
      <c r="E3582" s="89"/>
      <c r="F3582" s="89"/>
      <c r="G3582" s="89"/>
      <c r="H3582" s="2"/>
      <c r="I3582" s="90"/>
      <c r="J3582" s="90"/>
      <c r="K3582" s="2"/>
      <c r="L3582" s="49"/>
      <c r="M3582" s="49"/>
      <c r="N3582" s="49"/>
      <c r="O3582" s="49" t="str">
        <f t="shared" si="2"/>
        <v/>
      </c>
      <c r="P3582" s="49" t="str">
        <f t="shared" si="3"/>
        <v/>
      </c>
      <c r="Q3582" s="84"/>
      <c r="R3582" s="84"/>
      <c r="S3582" s="84"/>
      <c r="T3582" s="84"/>
      <c r="U3582" s="84"/>
      <c r="V3582" s="84"/>
      <c r="W3582" s="84"/>
      <c r="X3582" s="84"/>
      <c r="Y3582" s="84"/>
      <c r="Z3582" s="84"/>
      <c r="AA3582" s="84"/>
      <c r="AB3582" s="84"/>
    </row>
    <row r="3583">
      <c r="A3583" s="89"/>
      <c r="B3583" s="89"/>
      <c r="C3583" s="89"/>
      <c r="D3583" s="89"/>
      <c r="E3583" s="89"/>
      <c r="F3583" s="89"/>
      <c r="G3583" s="89"/>
      <c r="H3583" s="2"/>
      <c r="I3583" s="90"/>
      <c r="J3583" s="90"/>
      <c r="K3583" s="2"/>
      <c r="L3583" s="48"/>
      <c r="M3583" s="48"/>
      <c r="N3583" s="48"/>
      <c r="O3583" s="48" t="str">
        <f t="shared" si="2"/>
        <v/>
      </c>
      <c r="P3583" s="48" t="str">
        <f t="shared" si="3"/>
        <v/>
      </c>
      <c r="Q3583" s="84"/>
      <c r="R3583" s="84"/>
      <c r="S3583" s="84"/>
      <c r="T3583" s="84"/>
      <c r="U3583" s="84"/>
      <c r="V3583" s="84"/>
      <c r="W3583" s="84"/>
      <c r="X3583" s="84"/>
      <c r="Y3583" s="84"/>
      <c r="Z3583" s="84"/>
      <c r="AA3583" s="84"/>
      <c r="AB3583" s="84"/>
    </row>
    <row r="3584">
      <c r="A3584" s="89"/>
      <c r="B3584" s="89"/>
      <c r="C3584" s="89"/>
      <c r="D3584" s="89"/>
      <c r="E3584" s="89"/>
      <c r="F3584" s="89"/>
      <c r="G3584" s="89"/>
      <c r="H3584" s="2"/>
      <c r="I3584" s="90"/>
      <c r="J3584" s="90"/>
      <c r="K3584" s="2"/>
      <c r="L3584" s="49"/>
      <c r="M3584" s="49"/>
      <c r="N3584" s="49"/>
      <c r="O3584" s="49" t="str">
        <f t="shared" si="2"/>
        <v/>
      </c>
      <c r="P3584" s="49" t="str">
        <f t="shared" si="3"/>
        <v/>
      </c>
      <c r="Q3584" s="84"/>
      <c r="R3584" s="84"/>
      <c r="S3584" s="84"/>
      <c r="T3584" s="84"/>
      <c r="U3584" s="84"/>
      <c r="V3584" s="84"/>
      <c r="W3584" s="84"/>
      <c r="X3584" s="84"/>
      <c r="Y3584" s="84"/>
      <c r="Z3584" s="84"/>
      <c r="AA3584" s="84"/>
      <c r="AB3584" s="84"/>
    </row>
    <row r="3585">
      <c r="A3585" s="89"/>
      <c r="B3585" s="89"/>
      <c r="C3585" s="89"/>
      <c r="D3585" s="89"/>
      <c r="E3585" s="89"/>
      <c r="F3585" s="89"/>
      <c r="G3585" s="89"/>
      <c r="H3585" s="2"/>
      <c r="I3585" s="90"/>
      <c r="J3585" s="90"/>
      <c r="K3585" s="2"/>
      <c r="L3585" s="48"/>
      <c r="M3585" s="48"/>
      <c r="N3585" s="48"/>
      <c r="O3585" s="48" t="str">
        <f t="shared" si="2"/>
        <v/>
      </c>
      <c r="P3585" s="48" t="str">
        <f t="shared" si="3"/>
        <v/>
      </c>
      <c r="Q3585" s="84"/>
      <c r="R3585" s="84"/>
      <c r="S3585" s="84"/>
      <c r="T3585" s="84"/>
      <c r="U3585" s="84"/>
      <c r="V3585" s="84"/>
      <c r="W3585" s="84"/>
      <c r="X3585" s="84"/>
      <c r="Y3585" s="84"/>
      <c r="Z3585" s="84"/>
      <c r="AA3585" s="84"/>
      <c r="AB3585" s="84"/>
    </row>
    <row r="3586">
      <c r="A3586" s="89"/>
      <c r="B3586" s="89"/>
      <c r="C3586" s="89"/>
      <c r="D3586" s="89"/>
      <c r="E3586" s="89"/>
      <c r="F3586" s="89"/>
      <c r="G3586" s="89"/>
      <c r="H3586" s="2"/>
      <c r="I3586" s="90"/>
      <c r="J3586" s="90"/>
      <c r="K3586" s="2"/>
      <c r="L3586" s="49"/>
      <c r="M3586" s="49"/>
      <c r="N3586" s="49"/>
      <c r="O3586" s="49" t="str">
        <f t="shared" si="2"/>
        <v/>
      </c>
      <c r="P3586" s="49" t="str">
        <f t="shared" si="3"/>
        <v/>
      </c>
      <c r="Q3586" s="84"/>
      <c r="R3586" s="84"/>
      <c r="S3586" s="84"/>
      <c r="T3586" s="84"/>
      <c r="U3586" s="84"/>
      <c r="V3586" s="84"/>
      <c r="W3586" s="84"/>
      <c r="X3586" s="84"/>
      <c r="Y3586" s="84"/>
      <c r="Z3586" s="84"/>
      <c r="AA3586" s="84"/>
      <c r="AB3586" s="84"/>
    </row>
    <row r="3587">
      <c r="A3587" s="89"/>
      <c r="B3587" s="89"/>
      <c r="C3587" s="89"/>
      <c r="D3587" s="89"/>
      <c r="E3587" s="89"/>
      <c r="F3587" s="89"/>
      <c r="G3587" s="89"/>
      <c r="H3587" s="2"/>
      <c r="I3587" s="90"/>
      <c r="J3587" s="90"/>
      <c r="K3587" s="2"/>
      <c r="L3587" s="48"/>
      <c r="M3587" s="48"/>
      <c r="N3587" s="48"/>
      <c r="O3587" s="48" t="str">
        <f t="shared" si="2"/>
        <v/>
      </c>
      <c r="P3587" s="48" t="str">
        <f t="shared" si="3"/>
        <v/>
      </c>
      <c r="Q3587" s="84"/>
      <c r="R3587" s="84"/>
      <c r="S3587" s="84"/>
      <c r="T3587" s="84"/>
      <c r="U3587" s="84"/>
      <c r="V3587" s="84"/>
      <c r="W3587" s="84"/>
      <c r="X3587" s="84"/>
      <c r="Y3587" s="84"/>
      <c r="Z3587" s="84"/>
      <c r="AA3587" s="84"/>
      <c r="AB3587" s="84"/>
    </row>
    <row r="3588">
      <c r="A3588" s="89"/>
      <c r="B3588" s="89"/>
      <c r="C3588" s="89"/>
      <c r="D3588" s="89"/>
      <c r="E3588" s="89"/>
      <c r="F3588" s="89"/>
      <c r="G3588" s="89"/>
      <c r="H3588" s="2"/>
      <c r="I3588" s="90"/>
      <c r="J3588" s="90"/>
      <c r="K3588" s="2"/>
      <c r="L3588" s="49"/>
      <c r="M3588" s="49"/>
      <c r="N3588" s="49"/>
      <c r="O3588" s="49" t="str">
        <f t="shared" si="2"/>
        <v/>
      </c>
      <c r="P3588" s="49" t="str">
        <f t="shared" si="3"/>
        <v/>
      </c>
      <c r="Q3588" s="84"/>
      <c r="R3588" s="84"/>
      <c r="S3588" s="84"/>
      <c r="T3588" s="84"/>
      <c r="U3588" s="84"/>
      <c r="V3588" s="84"/>
      <c r="W3588" s="84"/>
      <c r="X3588" s="84"/>
      <c r="Y3588" s="84"/>
      <c r="Z3588" s="84"/>
      <c r="AA3588" s="84"/>
      <c r="AB3588" s="84"/>
    </row>
    <row r="3589">
      <c r="A3589" s="89"/>
      <c r="B3589" s="89"/>
      <c r="C3589" s="89"/>
      <c r="D3589" s="89"/>
      <c r="E3589" s="89"/>
      <c r="F3589" s="89"/>
      <c r="G3589" s="89"/>
      <c r="H3589" s="2"/>
      <c r="I3589" s="90"/>
      <c r="J3589" s="90"/>
      <c r="K3589" s="2"/>
      <c r="L3589" s="48"/>
      <c r="M3589" s="48"/>
      <c r="N3589" s="48"/>
      <c r="O3589" s="48" t="str">
        <f t="shared" si="2"/>
        <v/>
      </c>
      <c r="P3589" s="48" t="str">
        <f t="shared" si="3"/>
        <v/>
      </c>
      <c r="Q3589" s="84"/>
      <c r="R3589" s="84"/>
      <c r="S3589" s="84"/>
      <c r="T3589" s="84"/>
      <c r="U3589" s="84"/>
      <c r="V3589" s="84"/>
      <c r="W3589" s="84"/>
      <c r="X3589" s="84"/>
      <c r="Y3589" s="84"/>
      <c r="Z3589" s="84"/>
      <c r="AA3589" s="84"/>
      <c r="AB3589" s="84"/>
    </row>
    <row r="3590">
      <c r="A3590" s="89"/>
      <c r="B3590" s="89"/>
      <c r="C3590" s="89"/>
      <c r="D3590" s="89"/>
      <c r="E3590" s="89"/>
      <c r="F3590" s="89"/>
      <c r="G3590" s="89"/>
      <c r="H3590" s="2"/>
      <c r="I3590" s="90"/>
      <c r="J3590" s="90"/>
      <c r="K3590" s="2"/>
      <c r="L3590" s="49"/>
      <c r="M3590" s="49"/>
      <c r="N3590" s="49"/>
      <c r="O3590" s="49" t="str">
        <f t="shared" si="2"/>
        <v/>
      </c>
      <c r="P3590" s="49" t="str">
        <f t="shared" si="3"/>
        <v/>
      </c>
      <c r="Q3590" s="84"/>
      <c r="R3590" s="84"/>
      <c r="S3590" s="84"/>
      <c r="T3590" s="84"/>
      <c r="U3590" s="84"/>
      <c r="V3590" s="84"/>
      <c r="W3590" s="84"/>
      <c r="X3590" s="84"/>
      <c r="Y3590" s="84"/>
      <c r="Z3590" s="84"/>
      <c r="AA3590" s="84"/>
      <c r="AB3590" s="84"/>
    </row>
    <row r="3591">
      <c r="A3591" s="89"/>
      <c r="B3591" s="89"/>
      <c r="C3591" s="89"/>
      <c r="D3591" s="89"/>
      <c r="E3591" s="89"/>
      <c r="F3591" s="89"/>
      <c r="G3591" s="89"/>
      <c r="H3591" s="2"/>
      <c r="I3591" s="90"/>
      <c r="J3591" s="90"/>
      <c r="K3591" s="2"/>
      <c r="L3591" s="48"/>
      <c r="M3591" s="48"/>
      <c r="N3591" s="48"/>
      <c r="O3591" s="48" t="str">
        <f t="shared" si="2"/>
        <v/>
      </c>
      <c r="P3591" s="48" t="str">
        <f t="shared" si="3"/>
        <v/>
      </c>
      <c r="Q3591" s="84"/>
      <c r="R3591" s="84"/>
      <c r="S3591" s="84"/>
      <c r="T3591" s="84"/>
      <c r="U3591" s="84"/>
      <c r="V3591" s="84"/>
      <c r="W3591" s="84"/>
      <c r="X3591" s="84"/>
      <c r="Y3591" s="84"/>
      <c r="Z3591" s="84"/>
      <c r="AA3591" s="84"/>
      <c r="AB3591" s="84"/>
    </row>
    <row r="3592">
      <c r="A3592" s="89"/>
      <c r="B3592" s="89"/>
      <c r="C3592" s="89"/>
      <c r="D3592" s="89"/>
      <c r="E3592" s="89"/>
      <c r="F3592" s="89"/>
      <c r="G3592" s="89"/>
      <c r="H3592" s="2"/>
      <c r="I3592" s="90"/>
      <c r="J3592" s="90"/>
      <c r="K3592" s="2"/>
      <c r="L3592" s="49"/>
      <c r="M3592" s="49"/>
      <c r="N3592" s="49"/>
      <c r="O3592" s="49" t="str">
        <f t="shared" si="2"/>
        <v/>
      </c>
      <c r="P3592" s="49" t="str">
        <f t="shared" si="3"/>
        <v/>
      </c>
      <c r="Q3592" s="84"/>
      <c r="R3592" s="84"/>
      <c r="S3592" s="84"/>
      <c r="T3592" s="84"/>
      <c r="U3592" s="84"/>
      <c r="V3592" s="84"/>
      <c r="W3592" s="84"/>
      <c r="X3592" s="84"/>
      <c r="Y3592" s="84"/>
      <c r="Z3592" s="84"/>
      <c r="AA3592" s="84"/>
      <c r="AB3592" s="84"/>
    </row>
    <row r="3593">
      <c r="A3593" s="89"/>
      <c r="B3593" s="89"/>
      <c r="C3593" s="89"/>
      <c r="D3593" s="89"/>
      <c r="E3593" s="89"/>
      <c r="F3593" s="89"/>
      <c r="G3593" s="89"/>
      <c r="H3593" s="2"/>
      <c r="I3593" s="90"/>
      <c r="J3593" s="90"/>
      <c r="K3593" s="2"/>
      <c r="L3593" s="48"/>
      <c r="M3593" s="48"/>
      <c r="N3593" s="48"/>
      <c r="O3593" s="48" t="str">
        <f t="shared" si="2"/>
        <v/>
      </c>
      <c r="P3593" s="48" t="str">
        <f t="shared" si="3"/>
        <v/>
      </c>
      <c r="Q3593" s="84"/>
      <c r="R3593" s="84"/>
      <c r="S3593" s="84"/>
      <c r="T3593" s="84"/>
      <c r="U3593" s="84"/>
      <c r="V3593" s="84"/>
      <c r="W3593" s="84"/>
      <c r="X3593" s="84"/>
      <c r="Y3593" s="84"/>
      <c r="Z3593" s="84"/>
      <c r="AA3593" s="84"/>
      <c r="AB3593" s="84"/>
    </row>
    <row r="3594">
      <c r="A3594" s="89"/>
      <c r="B3594" s="89"/>
      <c r="C3594" s="89"/>
      <c r="D3594" s="89"/>
      <c r="E3594" s="89"/>
      <c r="F3594" s="89"/>
      <c r="G3594" s="89"/>
      <c r="H3594" s="2"/>
      <c r="I3594" s="90"/>
      <c r="J3594" s="90"/>
      <c r="K3594" s="2"/>
      <c r="L3594" s="49"/>
      <c r="M3594" s="49"/>
      <c r="N3594" s="49"/>
      <c r="O3594" s="49" t="str">
        <f t="shared" si="2"/>
        <v/>
      </c>
      <c r="P3594" s="49" t="str">
        <f t="shared" si="3"/>
        <v/>
      </c>
      <c r="Q3594" s="84"/>
      <c r="R3594" s="84"/>
      <c r="S3594" s="84"/>
      <c r="T3594" s="84"/>
      <c r="U3594" s="84"/>
      <c r="V3594" s="84"/>
      <c r="W3594" s="84"/>
      <c r="X3594" s="84"/>
      <c r="Y3594" s="84"/>
      <c r="Z3594" s="84"/>
      <c r="AA3594" s="84"/>
      <c r="AB3594" s="84"/>
    </row>
    <row r="3595">
      <c r="A3595" s="89"/>
      <c r="B3595" s="89"/>
      <c r="C3595" s="89"/>
      <c r="D3595" s="89"/>
      <c r="E3595" s="89"/>
      <c r="F3595" s="89"/>
      <c r="G3595" s="89"/>
      <c r="H3595" s="2"/>
      <c r="I3595" s="90"/>
      <c r="J3595" s="90"/>
      <c r="K3595" s="2"/>
      <c r="L3595" s="48"/>
      <c r="M3595" s="48"/>
      <c r="N3595" s="48"/>
      <c r="O3595" s="48" t="str">
        <f t="shared" si="2"/>
        <v/>
      </c>
      <c r="P3595" s="48" t="str">
        <f t="shared" si="3"/>
        <v/>
      </c>
      <c r="Q3595" s="84"/>
      <c r="R3595" s="84"/>
      <c r="S3595" s="84"/>
      <c r="T3595" s="84"/>
      <c r="U3595" s="84"/>
      <c r="V3595" s="84"/>
      <c r="W3595" s="84"/>
      <c r="X3595" s="84"/>
      <c r="Y3595" s="84"/>
      <c r="Z3595" s="84"/>
      <c r="AA3595" s="84"/>
      <c r="AB3595" s="84"/>
    </row>
    <row r="3596">
      <c r="A3596" s="89"/>
      <c r="B3596" s="89"/>
      <c r="C3596" s="89"/>
      <c r="D3596" s="89"/>
      <c r="E3596" s="89"/>
      <c r="F3596" s="89"/>
      <c r="G3596" s="89"/>
      <c r="H3596" s="2"/>
      <c r="I3596" s="90"/>
      <c r="J3596" s="90"/>
      <c r="K3596" s="2"/>
      <c r="L3596" s="49"/>
      <c r="M3596" s="49"/>
      <c r="N3596" s="49"/>
      <c r="O3596" s="49" t="str">
        <f t="shared" si="2"/>
        <v/>
      </c>
      <c r="P3596" s="49" t="str">
        <f t="shared" si="3"/>
        <v/>
      </c>
      <c r="Q3596" s="84"/>
      <c r="R3596" s="84"/>
      <c r="S3596" s="84"/>
      <c r="T3596" s="84"/>
      <c r="U3596" s="84"/>
      <c r="V3596" s="84"/>
      <c r="W3596" s="84"/>
      <c r="X3596" s="84"/>
      <c r="Y3596" s="84"/>
      <c r="Z3596" s="84"/>
      <c r="AA3596" s="84"/>
      <c r="AB3596" s="84"/>
    </row>
    <row r="3597">
      <c r="A3597" s="89"/>
      <c r="B3597" s="89"/>
      <c r="C3597" s="89"/>
      <c r="D3597" s="89"/>
      <c r="E3597" s="89"/>
      <c r="F3597" s="89"/>
      <c r="G3597" s="89"/>
      <c r="H3597" s="2"/>
      <c r="I3597" s="90"/>
      <c r="J3597" s="90"/>
      <c r="K3597" s="2"/>
      <c r="L3597" s="48"/>
      <c r="M3597" s="48"/>
      <c r="N3597" s="48"/>
      <c r="O3597" s="48" t="str">
        <f t="shared" si="2"/>
        <v/>
      </c>
      <c r="P3597" s="48" t="str">
        <f t="shared" si="3"/>
        <v/>
      </c>
      <c r="Q3597" s="84"/>
      <c r="R3597" s="84"/>
      <c r="S3597" s="84"/>
      <c r="T3597" s="84"/>
      <c r="U3597" s="84"/>
      <c r="V3597" s="84"/>
      <c r="W3597" s="84"/>
      <c r="X3597" s="84"/>
      <c r="Y3597" s="84"/>
      <c r="Z3597" s="84"/>
      <c r="AA3597" s="84"/>
      <c r="AB3597" s="84"/>
    </row>
    <row r="3598">
      <c r="A3598" s="89"/>
      <c r="B3598" s="89"/>
      <c r="C3598" s="89"/>
      <c r="D3598" s="89"/>
      <c r="E3598" s="89"/>
      <c r="F3598" s="89"/>
      <c r="G3598" s="89"/>
      <c r="H3598" s="2"/>
      <c r="I3598" s="90"/>
      <c r="J3598" s="90"/>
      <c r="K3598" s="2"/>
      <c r="L3598" s="49"/>
      <c r="M3598" s="49"/>
      <c r="N3598" s="49"/>
      <c r="O3598" s="49" t="str">
        <f t="shared" si="2"/>
        <v/>
      </c>
      <c r="P3598" s="49" t="str">
        <f t="shared" si="3"/>
        <v/>
      </c>
      <c r="Q3598" s="84"/>
      <c r="R3598" s="84"/>
      <c r="S3598" s="84"/>
      <c r="T3598" s="84"/>
      <c r="U3598" s="84"/>
      <c r="V3598" s="84"/>
      <c r="W3598" s="84"/>
      <c r="X3598" s="84"/>
      <c r="Y3598" s="84"/>
      <c r="Z3598" s="84"/>
      <c r="AA3598" s="84"/>
      <c r="AB3598" s="84"/>
    </row>
    <row r="3599">
      <c r="A3599" s="89"/>
      <c r="B3599" s="89"/>
      <c r="C3599" s="89"/>
      <c r="D3599" s="89"/>
      <c r="E3599" s="89"/>
      <c r="F3599" s="89"/>
      <c r="G3599" s="89"/>
      <c r="H3599" s="2"/>
      <c r="I3599" s="90"/>
      <c r="J3599" s="90"/>
      <c r="K3599" s="2"/>
      <c r="L3599" s="48"/>
      <c r="M3599" s="48"/>
      <c r="N3599" s="48"/>
      <c r="O3599" s="48" t="str">
        <f t="shared" si="2"/>
        <v/>
      </c>
      <c r="P3599" s="48" t="str">
        <f t="shared" si="3"/>
        <v/>
      </c>
      <c r="Q3599" s="84"/>
      <c r="R3599" s="84"/>
      <c r="S3599" s="84"/>
      <c r="T3599" s="84"/>
      <c r="U3599" s="84"/>
      <c r="V3599" s="84"/>
      <c r="W3599" s="84"/>
      <c r="X3599" s="84"/>
      <c r="Y3599" s="84"/>
      <c r="Z3599" s="84"/>
      <c r="AA3599" s="84"/>
      <c r="AB3599" s="84"/>
    </row>
    <row r="3600">
      <c r="A3600" s="89"/>
      <c r="B3600" s="89"/>
      <c r="C3600" s="89"/>
      <c r="D3600" s="89"/>
      <c r="E3600" s="89"/>
      <c r="F3600" s="89"/>
      <c r="G3600" s="89"/>
      <c r="H3600" s="2"/>
      <c r="I3600" s="90"/>
      <c r="J3600" s="90"/>
      <c r="K3600" s="2"/>
      <c r="L3600" s="49"/>
      <c r="M3600" s="49"/>
      <c r="N3600" s="49"/>
      <c r="O3600" s="49" t="str">
        <f t="shared" si="2"/>
        <v/>
      </c>
      <c r="P3600" s="49" t="str">
        <f t="shared" si="3"/>
        <v/>
      </c>
      <c r="Q3600" s="84"/>
      <c r="R3600" s="84"/>
      <c r="S3600" s="84"/>
      <c r="T3600" s="84"/>
      <c r="U3600" s="84"/>
      <c r="V3600" s="84"/>
      <c r="W3600" s="84"/>
      <c r="X3600" s="84"/>
      <c r="Y3600" s="84"/>
      <c r="Z3600" s="84"/>
      <c r="AA3600" s="84"/>
      <c r="AB3600" s="84"/>
    </row>
    <row r="3601">
      <c r="A3601" s="89"/>
      <c r="B3601" s="89"/>
      <c r="C3601" s="89"/>
      <c r="D3601" s="89"/>
      <c r="E3601" s="89"/>
      <c r="F3601" s="89"/>
      <c r="G3601" s="89"/>
      <c r="H3601" s="2"/>
      <c r="I3601" s="90"/>
      <c r="J3601" s="90"/>
      <c r="K3601" s="2"/>
      <c r="L3601" s="48"/>
      <c r="M3601" s="48"/>
      <c r="N3601" s="48"/>
      <c r="O3601" s="48" t="str">
        <f t="shared" si="2"/>
        <v/>
      </c>
      <c r="P3601" s="48" t="str">
        <f t="shared" si="3"/>
        <v/>
      </c>
      <c r="Q3601" s="84"/>
      <c r="R3601" s="84"/>
      <c r="S3601" s="84"/>
      <c r="T3601" s="84"/>
      <c r="U3601" s="84"/>
      <c r="V3601" s="84"/>
      <c r="W3601" s="84"/>
      <c r="X3601" s="84"/>
      <c r="Y3601" s="84"/>
      <c r="Z3601" s="84"/>
      <c r="AA3601" s="84"/>
      <c r="AB3601" s="84"/>
    </row>
    <row r="3602">
      <c r="A3602" s="89"/>
      <c r="B3602" s="89"/>
      <c r="C3602" s="89"/>
      <c r="D3602" s="89"/>
      <c r="E3602" s="89"/>
      <c r="F3602" s="89"/>
      <c r="G3602" s="89"/>
      <c r="H3602" s="2"/>
      <c r="I3602" s="90"/>
      <c r="J3602" s="90"/>
      <c r="K3602" s="2"/>
      <c r="L3602" s="49"/>
      <c r="M3602" s="49"/>
      <c r="N3602" s="49"/>
      <c r="O3602" s="49" t="str">
        <f t="shared" si="2"/>
        <v/>
      </c>
      <c r="P3602" s="49" t="str">
        <f t="shared" si="3"/>
        <v/>
      </c>
      <c r="Q3602" s="84"/>
      <c r="R3602" s="84"/>
      <c r="S3602" s="84"/>
      <c r="T3602" s="84"/>
      <c r="U3602" s="84"/>
      <c r="V3602" s="84"/>
      <c r="W3602" s="84"/>
      <c r="X3602" s="84"/>
      <c r="Y3602" s="84"/>
      <c r="Z3602" s="84"/>
      <c r="AA3602" s="84"/>
      <c r="AB3602" s="84"/>
    </row>
    <row r="3603">
      <c r="A3603" s="89"/>
      <c r="B3603" s="89"/>
      <c r="C3603" s="89"/>
      <c r="D3603" s="89"/>
      <c r="E3603" s="89"/>
      <c r="F3603" s="89"/>
      <c r="G3603" s="89"/>
      <c r="H3603" s="2"/>
      <c r="I3603" s="90"/>
      <c r="J3603" s="90"/>
      <c r="K3603" s="2"/>
      <c r="L3603" s="48"/>
      <c r="M3603" s="48"/>
      <c r="N3603" s="48"/>
      <c r="O3603" s="48" t="str">
        <f t="shared" si="2"/>
        <v/>
      </c>
      <c r="P3603" s="48" t="str">
        <f t="shared" si="3"/>
        <v/>
      </c>
      <c r="Q3603" s="84"/>
      <c r="R3603" s="84"/>
      <c r="S3603" s="84"/>
      <c r="T3603" s="84"/>
      <c r="U3603" s="84"/>
      <c r="V3603" s="84"/>
      <c r="W3603" s="84"/>
      <c r="X3603" s="84"/>
      <c r="Y3603" s="84"/>
      <c r="Z3603" s="84"/>
      <c r="AA3603" s="84"/>
      <c r="AB3603" s="84"/>
    </row>
    <row r="3604">
      <c r="A3604" s="89"/>
      <c r="B3604" s="89"/>
      <c r="C3604" s="89"/>
      <c r="D3604" s="89"/>
      <c r="E3604" s="89"/>
      <c r="F3604" s="89"/>
      <c r="G3604" s="89"/>
      <c r="H3604" s="2"/>
      <c r="I3604" s="90"/>
      <c r="J3604" s="90"/>
      <c r="K3604" s="2"/>
      <c r="L3604" s="49"/>
      <c r="M3604" s="49"/>
      <c r="N3604" s="49"/>
      <c r="O3604" s="49" t="str">
        <f t="shared" si="2"/>
        <v/>
      </c>
      <c r="P3604" s="49" t="str">
        <f t="shared" si="3"/>
        <v/>
      </c>
      <c r="Q3604" s="84"/>
      <c r="R3604" s="84"/>
      <c r="S3604" s="84"/>
      <c r="T3604" s="84"/>
      <c r="U3604" s="84"/>
      <c r="V3604" s="84"/>
      <c r="W3604" s="84"/>
      <c r="X3604" s="84"/>
      <c r="Y3604" s="84"/>
      <c r="Z3604" s="84"/>
      <c r="AA3604" s="84"/>
      <c r="AB3604" s="84"/>
    </row>
    <row r="3605">
      <c r="A3605" s="89"/>
      <c r="B3605" s="89"/>
      <c r="C3605" s="89"/>
      <c r="D3605" s="89"/>
      <c r="E3605" s="89"/>
      <c r="F3605" s="89"/>
      <c r="G3605" s="89"/>
      <c r="H3605" s="2"/>
      <c r="I3605" s="90"/>
      <c r="J3605" s="90"/>
      <c r="K3605" s="2"/>
      <c r="L3605" s="48"/>
      <c r="M3605" s="48"/>
      <c r="N3605" s="48"/>
      <c r="O3605" s="48" t="str">
        <f t="shared" si="2"/>
        <v/>
      </c>
      <c r="P3605" s="48" t="str">
        <f t="shared" si="3"/>
        <v/>
      </c>
      <c r="Q3605" s="84"/>
      <c r="R3605" s="84"/>
      <c r="S3605" s="84"/>
      <c r="T3605" s="84"/>
      <c r="U3605" s="84"/>
      <c r="V3605" s="84"/>
      <c r="W3605" s="84"/>
      <c r="X3605" s="84"/>
      <c r="Y3605" s="84"/>
      <c r="Z3605" s="84"/>
      <c r="AA3605" s="84"/>
      <c r="AB3605" s="84"/>
    </row>
    <row r="3606">
      <c r="A3606" s="89"/>
      <c r="B3606" s="89"/>
      <c r="C3606" s="89"/>
      <c r="D3606" s="89"/>
      <c r="E3606" s="89"/>
      <c r="F3606" s="89"/>
      <c r="G3606" s="89"/>
      <c r="H3606" s="2"/>
      <c r="I3606" s="90"/>
      <c r="J3606" s="90"/>
      <c r="K3606" s="2"/>
      <c r="L3606" s="49"/>
      <c r="M3606" s="49"/>
      <c r="N3606" s="49"/>
      <c r="O3606" s="49" t="str">
        <f t="shared" si="2"/>
        <v/>
      </c>
      <c r="P3606" s="49" t="str">
        <f t="shared" si="3"/>
        <v/>
      </c>
      <c r="Q3606" s="84"/>
      <c r="R3606" s="84"/>
      <c r="S3606" s="84"/>
      <c r="T3606" s="84"/>
      <c r="U3606" s="84"/>
      <c r="V3606" s="84"/>
      <c r="W3606" s="84"/>
      <c r="X3606" s="84"/>
      <c r="Y3606" s="84"/>
      <c r="Z3606" s="84"/>
      <c r="AA3606" s="84"/>
      <c r="AB3606" s="84"/>
    </row>
    <row r="3607">
      <c r="A3607" s="89"/>
      <c r="B3607" s="89"/>
      <c r="C3607" s="89"/>
      <c r="D3607" s="89"/>
      <c r="E3607" s="89"/>
      <c r="F3607" s="89"/>
      <c r="G3607" s="89"/>
      <c r="H3607" s="2"/>
      <c r="I3607" s="90"/>
      <c r="J3607" s="90"/>
      <c r="K3607" s="2"/>
      <c r="L3607" s="48"/>
      <c r="M3607" s="48"/>
      <c r="N3607" s="48"/>
      <c r="O3607" s="48" t="str">
        <f t="shared" si="2"/>
        <v/>
      </c>
      <c r="P3607" s="48" t="str">
        <f t="shared" si="3"/>
        <v/>
      </c>
      <c r="Q3607" s="84"/>
      <c r="R3607" s="84"/>
      <c r="S3607" s="84"/>
      <c r="T3607" s="84"/>
      <c r="U3607" s="84"/>
      <c r="V3607" s="84"/>
      <c r="W3607" s="84"/>
      <c r="X3607" s="84"/>
      <c r="Y3607" s="84"/>
      <c r="Z3607" s="84"/>
      <c r="AA3607" s="84"/>
      <c r="AB3607" s="84"/>
    </row>
    <row r="3608">
      <c r="A3608" s="89"/>
      <c r="B3608" s="89"/>
      <c r="C3608" s="89"/>
      <c r="D3608" s="89"/>
      <c r="E3608" s="89"/>
      <c r="F3608" s="89"/>
      <c r="G3608" s="89"/>
      <c r="H3608" s="2"/>
      <c r="I3608" s="90"/>
      <c r="J3608" s="90"/>
      <c r="K3608" s="2"/>
      <c r="L3608" s="49"/>
      <c r="M3608" s="49"/>
      <c r="N3608" s="49"/>
      <c r="O3608" s="49" t="str">
        <f t="shared" si="2"/>
        <v/>
      </c>
      <c r="P3608" s="49" t="str">
        <f t="shared" si="3"/>
        <v/>
      </c>
      <c r="Q3608" s="84"/>
      <c r="R3608" s="84"/>
      <c r="S3608" s="84"/>
      <c r="T3608" s="84"/>
      <c r="U3608" s="84"/>
      <c r="V3608" s="84"/>
      <c r="W3608" s="84"/>
      <c r="X3608" s="84"/>
      <c r="Y3608" s="84"/>
      <c r="Z3608" s="84"/>
      <c r="AA3608" s="84"/>
      <c r="AB3608" s="84"/>
    </row>
    <row r="3609">
      <c r="A3609" s="89"/>
      <c r="B3609" s="89"/>
      <c r="C3609" s="89"/>
      <c r="D3609" s="89"/>
      <c r="E3609" s="89"/>
      <c r="F3609" s="89"/>
      <c r="G3609" s="89"/>
      <c r="H3609" s="2"/>
      <c r="I3609" s="90"/>
      <c r="J3609" s="90"/>
      <c r="K3609" s="2"/>
      <c r="L3609" s="48"/>
      <c r="M3609" s="48"/>
      <c r="N3609" s="48"/>
      <c r="O3609" s="48" t="str">
        <f t="shared" si="2"/>
        <v/>
      </c>
      <c r="P3609" s="48" t="str">
        <f t="shared" si="3"/>
        <v/>
      </c>
      <c r="Q3609" s="84"/>
      <c r="R3609" s="84"/>
      <c r="S3609" s="84"/>
      <c r="T3609" s="84"/>
      <c r="U3609" s="84"/>
      <c r="V3609" s="84"/>
      <c r="W3609" s="84"/>
      <c r="X3609" s="84"/>
      <c r="Y3609" s="84"/>
      <c r="Z3609" s="84"/>
      <c r="AA3609" s="84"/>
      <c r="AB3609" s="84"/>
    </row>
    <row r="3610">
      <c r="A3610" s="89"/>
      <c r="B3610" s="89"/>
      <c r="C3610" s="89"/>
      <c r="D3610" s="89"/>
      <c r="E3610" s="89"/>
      <c r="F3610" s="89"/>
      <c r="G3610" s="89"/>
      <c r="H3610" s="2"/>
      <c r="I3610" s="90"/>
      <c r="J3610" s="90"/>
      <c r="K3610" s="2"/>
      <c r="L3610" s="49"/>
      <c r="M3610" s="49"/>
      <c r="N3610" s="49"/>
      <c r="O3610" s="49" t="str">
        <f t="shared" si="2"/>
        <v/>
      </c>
      <c r="P3610" s="49" t="str">
        <f t="shared" si="3"/>
        <v/>
      </c>
      <c r="Q3610" s="84"/>
      <c r="R3610" s="84"/>
      <c r="S3610" s="84"/>
      <c r="T3610" s="84"/>
      <c r="U3610" s="84"/>
      <c r="V3610" s="84"/>
      <c r="W3610" s="84"/>
      <c r="X3610" s="84"/>
      <c r="Y3610" s="84"/>
      <c r="Z3610" s="84"/>
      <c r="AA3610" s="84"/>
      <c r="AB3610" s="84"/>
    </row>
    <row r="3611">
      <c r="A3611" s="89"/>
      <c r="B3611" s="89"/>
      <c r="C3611" s="89"/>
      <c r="D3611" s="89"/>
      <c r="E3611" s="89"/>
      <c r="F3611" s="89"/>
      <c r="G3611" s="89"/>
      <c r="H3611" s="2"/>
      <c r="I3611" s="90"/>
      <c r="J3611" s="90"/>
      <c r="K3611" s="2"/>
      <c r="L3611" s="48"/>
      <c r="M3611" s="48"/>
      <c r="N3611" s="48"/>
      <c r="O3611" s="48" t="str">
        <f t="shared" si="2"/>
        <v/>
      </c>
      <c r="P3611" s="48" t="str">
        <f t="shared" si="3"/>
        <v/>
      </c>
      <c r="Q3611" s="84"/>
      <c r="R3611" s="84"/>
      <c r="S3611" s="84"/>
      <c r="T3611" s="84"/>
      <c r="U3611" s="84"/>
      <c r="V3611" s="84"/>
      <c r="W3611" s="84"/>
      <c r="X3611" s="84"/>
      <c r="Y3611" s="84"/>
      <c r="Z3611" s="84"/>
      <c r="AA3611" s="84"/>
      <c r="AB3611" s="84"/>
    </row>
    <row r="3612">
      <c r="A3612" s="89"/>
      <c r="B3612" s="89"/>
      <c r="C3612" s="89"/>
      <c r="D3612" s="89"/>
      <c r="E3612" s="89"/>
      <c r="F3612" s="89"/>
      <c r="G3612" s="89"/>
      <c r="H3612" s="2"/>
      <c r="I3612" s="90"/>
      <c r="J3612" s="90"/>
      <c r="K3612" s="2"/>
      <c r="L3612" s="49"/>
      <c r="M3612" s="49"/>
      <c r="N3612" s="49"/>
      <c r="O3612" s="49" t="str">
        <f t="shared" si="2"/>
        <v/>
      </c>
      <c r="P3612" s="49" t="str">
        <f t="shared" si="3"/>
        <v/>
      </c>
      <c r="Q3612" s="84"/>
      <c r="R3612" s="84"/>
      <c r="S3612" s="84"/>
      <c r="T3612" s="84"/>
      <c r="U3612" s="84"/>
      <c r="V3612" s="84"/>
      <c r="W3612" s="84"/>
      <c r="X3612" s="84"/>
      <c r="Y3612" s="84"/>
      <c r="Z3612" s="84"/>
      <c r="AA3612" s="84"/>
      <c r="AB3612" s="84"/>
    </row>
    <row r="3613">
      <c r="A3613" s="89"/>
      <c r="B3613" s="89"/>
      <c r="C3613" s="89"/>
      <c r="D3613" s="89"/>
      <c r="E3613" s="89"/>
      <c r="F3613" s="89"/>
      <c r="G3613" s="89"/>
      <c r="H3613" s="2"/>
      <c r="I3613" s="90"/>
      <c r="J3613" s="90"/>
      <c r="K3613" s="2"/>
      <c r="L3613" s="48"/>
      <c r="M3613" s="48"/>
      <c r="N3613" s="48"/>
      <c r="O3613" s="48" t="str">
        <f t="shared" si="2"/>
        <v/>
      </c>
      <c r="P3613" s="48" t="str">
        <f t="shared" si="3"/>
        <v/>
      </c>
      <c r="Q3613" s="84"/>
      <c r="R3613" s="84"/>
      <c r="S3613" s="84"/>
      <c r="T3613" s="84"/>
      <c r="U3613" s="84"/>
      <c r="V3613" s="84"/>
      <c r="W3613" s="84"/>
      <c r="X3613" s="84"/>
      <c r="Y3613" s="84"/>
      <c r="Z3613" s="84"/>
      <c r="AA3613" s="84"/>
      <c r="AB3613" s="84"/>
    </row>
    <row r="3614">
      <c r="A3614" s="89"/>
      <c r="B3614" s="89"/>
      <c r="C3614" s="89"/>
      <c r="D3614" s="89"/>
      <c r="E3614" s="89"/>
      <c r="F3614" s="89"/>
      <c r="G3614" s="89"/>
      <c r="H3614" s="2"/>
      <c r="I3614" s="90"/>
      <c r="J3614" s="90"/>
      <c r="K3614" s="2"/>
      <c r="L3614" s="49"/>
      <c r="M3614" s="49"/>
      <c r="N3614" s="49"/>
      <c r="O3614" s="49" t="str">
        <f t="shared" si="2"/>
        <v/>
      </c>
      <c r="P3614" s="49" t="str">
        <f t="shared" si="3"/>
        <v/>
      </c>
      <c r="Q3614" s="84"/>
      <c r="R3614" s="84"/>
      <c r="S3614" s="84"/>
      <c r="T3614" s="84"/>
      <c r="U3614" s="84"/>
      <c r="V3614" s="84"/>
      <c r="W3614" s="84"/>
      <c r="X3614" s="84"/>
      <c r="Y3614" s="84"/>
      <c r="Z3614" s="84"/>
      <c r="AA3614" s="84"/>
      <c r="AB3614" s="84"/>
    </row>
    <row r="3615">
      <c r="A3615" s="89"/>
      <c r="B3615" s="89"/>
      <c r="C3615" s="89"/>
      <c r="D3615" s="89"/>
      <c r="E3615" s="89"/>
      <c r="F3615" s="89"/>
      <c r="G3615" s="89"/>
      <c r="H3615" s="2"/>
      <c r="I3615" s="90"/>
      <c r="J3615" s="90"/>
      <c r="K3615" s="2"/>
      <c r="L3615" s="48"/>
      <c r="M3615" s="48"/>
      <c r="N3615" s="48"/>
      <c r="O3615" s="48" t="str">
        <f t="shared" si="2"/>
        <v/>
      </c>
      <c r="P3615" s="48" t="str">
        <f t="shared" si="3"/>
        <v/>
      </c>
      <c r="Q3615" s="84"/>
      <c r="R3615" s="84"/>
      <c r="S3615" s="84"/>
      <c r="T3615" s="84"/>
      <c r="U3615" s="84"/>
      <c r="V3615" s="84"/>
      <c r="W3615" s="84"/>
      <c r="X3615" s="84"/>
      <c r="Y3615" s="84"/>
      <c r="Z3615" s="84"/>
      <c r="AA3615" s="84"/>
      <c r="AB3615" s="84"/>
    </row>
    <row r="3616">
      <c r="A3616" s="89"/>
      <c r="B3616" s="89"/>
      <c r="C3616" s="89"/>
      <c r="D3616" s="89"/>
      <c r="E3616" s="89"/>
      <c r="F3616" s="89"/>
      <c r="G3616" s="89"/>
      <c r="H3616" s="2"/>
      <c r="I3616" s="90"/>
      <c r="J3616" s="90"/>
      <c r="K3616" s="2"/>
      <c r="L3616" s="49"/>
      <c r="M3616" s="49"/>
      <c r="N3616" s="49"/>
      <c r="O3616" s="49" t="str">
        <f t="shared" si="2"/>
        <v/>
      </c>
      <c r="P3616" s="49" t="str">
        <f t="shared" si="3"/>
        <v/>
      </c>
      <c r="Q3616" s="84"/>
      <c r="R3616" s="84"/>
      <c r="S3616" s="84"/>
      <c r="T3616" s="84"/>
      <c r="U3616" s="84"/>
      <c r="V3616" s="84"/>
      <c r="W3616" s="84"/>
      <c r="X3616" s="84"/>
      <c r="Y3616" s="84"/>
      <c r="Z3616" s="84"/>
      <c r="AA3616" s="84"/>
      <c r="AB3616" s="84"/>
    </row>
    <row r="3617">
      <c r="A3617" s="89"/>
      <c r="B3617" s="89"/>
      <c r="C3617" s="89"/>
      <c r="D3617" s="89"/>
      <c r="E3617" s="89"/>
      <c r="F3617" s="89"/>
      <c r="G3617" s="89"/>
      <c r="H3617" s="2"/>
      <c r="I3617" s="90"/>
      <c r="J3617" s="90"/>
      <c r="K3617" s="2"/>
      <c r="L3617" s="48"/>
      <c r="M3617" s="48"/>
      <c r="N3617" s="48"/>
      <c r="O3617" s="48" t="str">
        <f t="shared" si="2"/>
        <v/>
      </c>
      <c r="P3617" s="48" t="str">
        <f t="shared" si="3"/>
        <v/>
      </c>
      <c r="Q3617" s="84"/>
      <c r="R3617" s="84"/>
      <c r="S3617" s="84"/>
      <c r="T3617" s="84"/>
      <c r="U3617" s="84"/>
      <c r="V3617" s="84"/>
      <c r="W3617" s="84"/>
      <c r="X3617" s="84"/>
      <c r="Y3617" s="84"/>
      <c r="Z3617" s="84"/>
      <c r="AA3617" s="84"/>
      <c r="AB3617" s="84"/>
    </row>
    <row r="3618">
      <c r="A3618" s="89"/>
      <c r="B3618" s="89"/>
      <c r="C3618" s="89"/>
      <c r="D3618" s="89"/>
      <c r="E3618" s="89"/>
      <c r="F3618" s="89"/>
      <c r="G3618" s="89"/>
      <c r="H3618" s="2"/>
      <c r="I3618" s="90"/>
      <c r="J3618" s="90"/>
      <c r="K3618" s="2"/>
      <c r="L3618" s="49"/>
      <c r="M3618" s="49"/>
      <c r="N3618" s="49"/>
      <c r="O3618" s="49" t="str">
        <f t="shared" si="2"/>
        <v/>
      </c>
      <c r="P3618" s="49" t="str">
        <f t="shared" si="3"/>
        <v/>
      </c>
      <c r="Q3618" s="84"/>
      <c r="R3618" s="84"/>
      <c r="S3618" s="84"/>
      <c r="T3618" s="84"/>
      <c r="U3618" s="84"/>
      <c r="V3618" s="84"/>
      <c r="W3618" s="84"/>
      <c r="X3618" s="84"/>
      <c r="Y3618" s="84"/>
      <c r="Z3618" s="84"/>
      <c r="AA3618" s="84"/>
      <c r="AB3618" s="84"/>
    </row>
    <row r="3619">
      <c r="A3619" s="89"/>
      <c r="B3619" s="89"/>
      <c r="C3619" s="89"/>
      <c r="D3619" s="89"/>
      <c r="E3619" s="89"/>
      <c r="F3619" s="89"/>
      <c r="G3619" s="89"/>
      <c r="H3619" s="2"/>
      <c r="I3619" s="90"/>
      <c r="J3619" s="90"/>
      <c r="K3619" s="2"/>
      <c r="L3619" s="48"/>
      <c r="M3619" s="48"/>
      <c r="N3619" s="48"/>
      <c r="O3619" s="48" t="str">
        <f t="shared" si="2"/>
        <v/>
      </c>
      <c r="P3619" s="48" t="str">
        <f t="shared" si="3"/>
        <v/>
      </c>
      <c r="Q3619" s="84"/>
      <c r="R3619" s="84"/>
      <c r="S3619" s="84"/>
      <c r="T3619" s="84"/>
      <c r="U3619" s="84"/>
      <c r="V3619" s="84"/>
      <c r="W3619" s="84"/>
      <c r="X3619" s="84"/>
      <c r="Y3619" s="84"/>
      <c r="Z3619" s="84"/>
      <c r="AA3619" s="84"/>
      <c r="AB3619" s="84"/>
    </row>
    <row r="3620">
      <c r="A3620" s="89"/>
      <c r="B3620" s="89"/>
      <c r="C3620" s="89"/>
      <c r="D3620" s="89"/>
      <c r="E3620" s="89"/>
      <c r="F3620" s="89"/>
      <c r="G3620" s="89"/>
      <c r="H3620" s="2"/>
      <c r="I3620" s="90"/>
      <c r="J3620" s="90"/>
      <c r="K3620" s="2"/>
      <c r="L3620" s="49"/>
      <c r="M3620" s="49"/>
      <c r="N3620" s="49"/>
      <c r="O3620" s="49" t="str">
        <f t="shared" si="2"/>
        <v/>
      </c>
      <c r="P3620" s="49" t="str">
        <f t="shared" si="3"/>
        <v/>
      </c>
      <c r="Q3620" s="84"/>
      <c r="R3620" s="84"/>
      <c r="S3620" s="84"/>
      <c r="T3620" s="84"/>
      <c r="U3620" s="84"/>
      <c r="V3620" s="84"/>
      <c r="W3620" s="84"/>
      <c r="X3620" s="84"/>
      <c r="Y3620" s="84"/>
      <c r="Z3620" s="84"/>
      <c r="AA3620" s="84"/>
      <c r="AB3620" s="84"/>
    </row>
    <row r="3621">
      <c r="A3621" s="89"/>
      <c r="B3621" s="89"/>
      <c r="C3621" s="89"/>
      <c r="D3621" s="89"/>
      <c r="E3621" s="89"/>
      <c r="F3621" s="89"/>
      <c r="G3621" s="89"/>
      <c r="H3621" s="2"/>
      <c r="I3621" s="90"/>
      <c r="J3621" s="90"/>
      <c r="K3621" s="2"/>
      <c r="L3621" s="48"/>
      <c r="M3621" s="48"/>
      <c r="N3621" s="48"/>
      <c r="O3621" s="48" t="str">
        <f t="shared" si="2"/>
        <v/>
      </c>
      <c r="P3621" s="48" t="str">
        <f t="shared" si="3"/>
        <v/>
      </c>
      <c r="Q3621" s="84"/>
      <c r="R3621" s="84"/>
      <c r="S3621" s="84"/>
      <c r="T3621" s="84"/>
      <c r="U3621" s="84"/>
      <c r="V3621" s="84"/>
      <c r="W3621" s="84"/>
      <c r="X3621" s="84"/>
      <c r="Y3621" s="84"/>
      <c r="Z3621" s="84"/>
      <c r="AA3621" s="84"/>
      <c r="AB3621" s="84"/>
    </row>
    <row r="3622">
      <c r="A3622" s="89"/>
      <c r="B3622" s="89"/>
      <c r="C3622" s="89"/>
      <c r="D3622" s="89"/>
      <c r="E3622" s="89"/>
      <c r="F3622" s="89"/>
      <c r="G3622" s="89"/>
      <c r="H3622" s="2"/>
      <c r="I3622" s="90"/>
      <c r="J3622" s="90"/>
      <c r="K3622" s="2"/>
      <c r="L3622" s="49"/>
      <c r="M3622" s="49"/>
      <c r="N3622" s="49"/>
      <c r="O3622" s="49" t="str">
        <f t="shared" si="2"/>
        <v/>
      </c>
      <c r="P3622" s="49" t="str">
        <f t="shared" si="3"/>
        <v/>
      </c>
      <c r="Q3622" s="84"/>
      <c r="R3622" s="84"/>
      <c r="S3622" s="84"/>
      <c r="T3622" s="84"/>
      <c r="U3622" s="84"/>
      <c r="V3622" s="84"/>
      <c r="W3622" s="84"/>
      <c r="X3622" s="84"/>
      <c r="Y3622" s="84"/>
      <c r="Z3622" s="84"/>
      <c r="AA3622" s="84"/>
      <c r="AB3622" s="84"/>
    </row>
    <row r="3623">
      <c r="A3623" s="89"/>
      <c r="B3623" s="89"/>
      <c r="C3623" s="89"/>
      <c r="D3623" s="89"/>
      <c r="E3623" s="89"/>
      <c r="F3623" s="89"/>
      <c r="G3623" s="89"/>
      <c r="H3623" s="2"/>
      <c r="I3623" s="90"/>
      <c r="J3623" s="90"/>
      <c r="K3623" s="2"/>
      <c r="L3623" s="48"/>
      <c r="M3623" s="48"/>
      <c r="N3623" s="48"/>
      <c r="O3623" s="48" t="str">
        <f t="shared" si="2"/>
        <v/>
      </c>
      <c r="P3623" s="48" t="str">
        <f t="shared" si="3"/>
        <v/>
      </c>
      <c r="Q3623" s="84"/>
      <c r="R3623" s="84"/>
      <c r="S3623" s="84"/>
      <c r="T3623" s="84"/>
      <c r="U3623" s="84"/>
      <c r="V3623" s="84"/>
      <c r="W3623" s="84"/>
      <c r="X3623" s="84"/>
      <c r="Y3623" s="84"/>
      <c r="Z3623" s="84"/>
      <c r="AA3623" s="84"/>
      <c r="AB3623" s="84"/>
    </row>
    <row r="3624">
      <c r="A3624" s="89"/>
      <c r="B3624" s="89"/>
      <c r="C3624" s="89"/>
      <c r="D3624" s="89"/>
      <c r="E3624" s="89"/>
      <c r="F3624" s="89"/>
      <c r="G3624" s="89"/>
      <c r="H3624" s="2"/>
      <c r="I3624" s="90"/>
      <c r="J3624" s="90"/>
      <c r="K3624" s="2"/>
      <c r="L3624" s="49"/>
      <c r="M3624" s="49"/>
      <c r="N3624" s="49"/>
      <c r="O3624" s="49" t="str">
        <f t="shared" si="2"/>
        <v/>
      </c>
      <c r="P3624" s="49" t="str">
        <f t="shared" si="3"/>
        <v/>
      </c>
      <c r="Q3624" s="84"/>
      <c r="R3624" s="84"/>
      <c r="S3624" s="84"/>
      <c r="T3624" s="84"/>
      <c r="U3624" s="84"/>
      <c r="V3624" s="84"/>
      <c r="W3624" s="84"/>
      <c r="X3624" s="84"/>
      <c r="Y3624" s="84"/>
      <c r="Z3624" s="84"/>
      <c r="AA3624" s="84"/>
      <c r="AB3624" s="84"/>
    </row>
    <row r="3625">
      <c r="A3625" s="89"/>
      <c r="B3625" s="89"/>
      <c r="C3625" s="89"/>
      <c r="D3625" s="89"/>
      <c r="E3625" s="89"/>
      <c r="F3625" s="89"/>
      <c r="G3625" s="89"/>
      <c r="H3625" s="2"/>
      <c r="I3625" s="90"/>
      <c r="J3625" s="90"/>
      <c r="K3625" s="2"/>
      <c r="L3625" s="48"/>
      <c r="M3625" s="48"/>
      <c r="N3625" s="48"/>
      <c r="O3625" s="48" t="str">
        <f t="shared" si="2"/>
        <v/>
      </c>
      <c r="P3625" s="48" t="str">
        <f t="shared" si="3"/>
        <v/>
      </c>
      <c r="Q3625" s="84"/>
      <c r="R3625" s="84"/>
      <c r="S3625" s="84"/>
      <c r="T3625" s="84"/>
      <c r="U3625" s="84"/>
      <c r="V3625" s="84"/>
      <c r="W3625" s="84"/>
      <c r="X3625" s="84"/>
      <c r="Y3625" s="84"/>
      <c r="Z3625" s="84"/>
      <c r="AA3625" s="84"/>
      <c r="AB3625" s="84"/>
    </row>
    <row r="3626">
      <c r="A3626" s="89"/>
      <c r="B3626" s="89"/>
      <c r="C3626" s="89"/>
      <c r="D3626" s="89"/>
      <c r="E3626" s="89"/>
      <c r="F3626" s="89"/>
      <c r="G3626" s="89"/>
      <c r="H3626" s="2"/>
      <c r="I3626" s="90"/>
      <c r="J3626" s="90"/>
      <c r="K3626" s="2"/>
      <c r="L3626" s="49"/>
      <c r="M3626" s="49"/>
      <c r="N3626" s="49"/>
      <c r="O3626" s="49" t="str">
        <f t="shared" si="2"/>
        <v/>
      </c>
      <c r="P3626" s="49" t="str">
        <f t="shared" si="3"/>
        <v/>
      </c>
      <c r="Q3626" s="84"/>
      <c r="R3626" s="84"/>
      <c r="S3626" s="84"/>
      <c r="T3626" s="84"/>
      <c r="U3626" s="84"/>
      <c r="V3626" s="84"/>
      <c r="W3626" s="84"/>
      <c r="X3626" s="84"/>
      <c r="Y3626" s="84"/>
      <c r="Z3626" s="84"/>
      <c r="AA3626" s="84"/>
      <c r="AB3626" s="84"/>
    </row>
    <row r="3627">
      <c r="A3627" s="89"/>
      <c r="B3627" s="89"/>
      <c r="C3627" s="89"/>
      <c r="D3627" s="89"/>
      <c r="E3627" s="89"/>
      <c r="F3627" s="89"/>
      <c r="G3627" s="89"/>
      <c r="H3627" s="2"/>
      <c r="I3627" s="90"/>
      <c r="J3627" s="90"/>
      <c r="K3627" s="2"/>
      <c r="L3627" s="48"/>
      <c r="M3627" s="48"/>
      <c r="N3627" s="48"/>
      <c r="O3627" s="48" t="str">
        <f t="shared" si="2"/>
        <v/>
      </c>
      <c r="P3627" s="48" t="str">
        <f t="shared" si="3"/>
        <v/>
      </c>
      <c r="Q3627" s="84"/>
      <c r="R3627" s="84"/>
      <c r="S3627" s="84"/>
      <c r="T3627" s="84"/>
      <c r="U3627" s="84"/>
      <c r="V3627" s="84"/>
      <c r="W3627" s="84"/>
      <c r="X3627" s="84"/>
      <c r="Y3627" s="84"/>
      <c r="Z3627" s="84"/>
      <c r="AA3627" s="84"/>
      <c r="AB3627" s="84"/>
    </row>
    <row r="3628">
      <c r="A3628" s="89"/>
      <c r="B3628" s="89"/>
      <c r="C3628" s="89"/>
      <c r="D3628" s="89"/>
      <c r="E3628" s="89"/>
      <c r="F3628" s="89"/>
      <c r="G3628" s="89"/>
      <c r="H3628" s="2"/>
      <c r="I3628" s="90"/>
      <c r="J3628" s="90"/>
      <c r="K3628" s="2"/>
      <c r="L3628" s="49"/>
      <c r="M3628" s="49"/>
      <c r="N3628" s="49"/>
      <c r="O3628" s="49" t="str">
        <f t="shared" si="2"/>
        <v/>
      </c>
      <c r="P3628" s="49" t="str">
        <f t="shared" si="3"/>
        <v/>
      </c>
      <c r="Q3628" s="84"/>
      <c r="R3628" s="84"/>
      <c r="S3628" s="84"/>
      <c r="T3628" s="84"/>
      <c r="U3628" s="84"/>
      <c r="V3628" s="84"/>
      <c r="W3628" s="84"/>
      <c r="X3628" s="84"/>
      <c r="Y3628" s="84"/>
      <c r="Z3628" s="84"/>
      <c r="AA3628" s="84"/>
      <c r="AB3628" s="84"/>
    </row>
    <row r="3629">
      <c r="A3629" s="89"/>
      <c r="B3629" s="89"/>
      <c r="C3629" s="89"/>
      <c r="D3629" s="89"/>
      <c r="E3629" s="89"/>
      <c r="F3629" s="89"/>
      <c r="G3629" s="89"/>
      <c r="H3629" s="2"/>
      <c r="I3629" s="90"/>
      <c r="J3629" s="90"/>
      <c r="K3629" s="2"/>
      <c r="L3629" s="48"/>
      <c r="M3629" s="48"/>
      <c r="N3629" s="48"/>
      <c r="O3629" s="48" t="str">
        <f t="shared" si="2"/>
        <v/>
      </c>
      <c r="P3629" s="48" t="str">
        <f t="shared" si="3"/>
        <v/>
      </c>
      <c r="Q3629" s="84"/>
      <c r="R3629" s="84"/>
      <c r="S3629" s="84"/>
      <c r="T3629" s="84"/>
      <c r="U3629" s="84"/>
      <c r="V3629" s="84"/>
      <c r="W3629" s="84"/>
      <c r="X3629" s="84"/>
      <c r="Y3629" s="84"/>
      <c r="Z3629" s="84"/>
      <c r="AA3629" s="84"/>
      <c r="AB3629" s="84"/>
    </row>
    <row r="3630">
      <c r="A3630" s="89"/>
      <c r="B3630" s="89"/>
      <c r="C3630" s="89"/>
      <c r="D3630" s="89"/>
      <c r="E3630" s="89"/>
      <c r="F3630" s="89"/>
      <c r="G3630" s="89"/>
      <c r="H3630" s="2"/>
      <c r="I3630" s="90"/>
      <c r="J3630" s="90"/>
      <c r="K3630" s="2"/>
      <c r="L3630" s="49"/>
      <c r="M3630" s="49"/>
      <c r="N3630" s="49"/>
      <c r="O3630" s="49" t="str">
        <f t="shared" si="2"/>
        <v/>
      </c>
      <c r="P3630" s="49" t="str">
        <f t="shared" si="3"/>
        <v/>
      </c>
      <c r="Q3630" s="84"/>
      <c r="R3630" s="84"/>
      <c r="S3630" s="84"/>
      <c r="T3630" s="84"/>
      <c r="U3630" s="84"/>
      <c r="V3630" s="84"/>
      <c r="W3630" s="84"/>
      <c r="X3630" s="84"/>
      <c r="Y3630" s="84"/>
      <c r="Z3630" s="84"/>
      <c r="AA3630" s="84"/>
      <c r="AB3630" s="84"/>
    </row>
    <row r="3631">
      <c r="A3631" s="89"/>
      <c r="B3631" s="89"/>
      <c r="C3631" s="89"/>
      <c r="D3631" s="89"/>
      <c r="E3631" s="89"/>
      <c r="F3631" s="89"/>
      <c r="G3631" s="89"/>
      <c r="H3631" s="2"/>
      <c r="I3631" s="90"/>
      <c r="J3631" s="90"/>
      <c r="K3631" s="2"/>
      <c r="L3631" s="48"/>
      <c r="M3631" s="48"/>
      <c r="N3631" s="48"/>
      <c r="O3631" s="48" t="str">
        <f t="shared" si="2"/>
        <v/>
      </c>
      <c r="P3631" s="48" t="str">
        <f t="shared" si="3"/>
        <v/>
      </c>
      <c r="Q3631" s="84"/>
      <c r="R3631" s="84"/>
      <c r="S3631" s="84"/>
      <c r="T3631" s="84"/>
      <c r="U3631" s="84"/>
      <c r="V3631" s="84"/>
      <c r="W3631" s="84"/>
      <c r="X3631" s="84"/>
      <c r="Y3631" s="84"/>
      <c r="Z3631" s="84"/>
      <c r="AA3631" s="84"/>
      <c r="AB3631" s="84"/>
    </row>
    <row r="3632">
      <c r="A3632" s="89"/>
      <c r="B3632" s="89"/>
      <c r="C3632" s="89"/>
      <c r="D3632" s="89"/>
      <c r="E3632" s="89"/>
      <c r="F3632" s="89"/>
      <c r="G3632" s="89"/>
      <c r="H3632" s="2"/>
      <c r="I3632" s="90"/>
      <c r="J3632" s="90"/>
      <c r="K3632" s="2"/>
      <c r="L3632" s="49"/>
      <c r="M3632" s="49"/>
      <c r="N3632" s="49"/>
      <c r="O3632" s="49" t="str">
        <f t="shared" si="2"/>
        <v/>
      </c>
      <c r="P3632" s="49" t="str">
        <f t="shared" si="3"/>
        <v/>
      </c>
      <c r="Q3632" s="84"/>
      <c r="R3632" s="84"/>
      <c r="S3632" s="84"/>
      <c r="T3632" s="84"/>
      <c r="U3632" s="84"/>
      <c r="V3632" s="84"/>
      <c r="W3632" s="84"/>
      <c r="X3632" s="84"/>
      <c r="Y3632" s="84"/>
      <c r="Z3632" s="84"/>
      <c r="AA3632" s="84"/>
      <c r="AB3632" s="84"/>
    </row>
    <row r="3633">
      <c r="A3633" s="89"/>
      <c r="B3633" s="89"/>
      <c r="C3633" s="89"/>
      <c r="D3633" s="89"/>
      <c r="E3633" s="89"/>
      <c r="F3633" s="89"/>
      <c r="G3633" s="89"/>
      <c r="H3633" s="2"/>
      <c r="I3633" s="90"/>
      <c r="J3633" s="90"/>
      <c r="K3633" s="2"/>
      <c r="L3633" s="48"/>
      <c r="M3633" s="48"/>
      <c r="N3633" s="48"/>
      <c r="O3633" s="48" t="str">
        <f t="shared" si="2"/>
        <v/>
      </c>
      <c r="P3633" s="48" t="str">
        <f t="shared" si="3"/>
        <v/>
      </c>
      <c r="Q3633" s="84"/>
      <c r="R3633" s="84"/>
      <c r="S3633" s="84"/>
      <c r="T3633" s="84"/>
      <c r="U3633" s="84"/>
      <c r="V3633" s="84"/>
      <c r="W3633" s="84"/>
      <c r="X3633" s="84"/>
      <c r="Y3633" s="84"/>
      <c r="Z3633" s="84"/>
      <c r="AA3633" s="84"/>
      <c r="AB3633" s="84"/>
    </row>
    <row r="3634">
      <c r="A3634" s="89"/>
      <c r="B3634" s="89"/>
      <c r="C3634" s="89"/>
      <c r="D3634" s="89"/>
      <c r="E3634" s="89"/>
      <c r="F3634" s="89"/>
      <c r="G3634" s="89"/>
      <c r="H3634" s="2"/>
      <c r="I3634" s="90"/>
      <c r="J3634" s="90"/>
      <c r="K3634" s="2"/>
      <c r="L3634" s="49"/>
      <c r="M3634" s="49"/>
      <c r="N3634" s="49"/>
      <c r="O3634" s="49" t="str">
        <f t="shared" si="2"/>
        <v/>
      </c>
      <c r="P3634" s="49" t="str">
        <f t="shared" si="3"/>
        <v/>
      </c>
      <c r="Q3634" s="84"/>
      <c r="R3634" s="84"/>
      <c r="S3634" s="84"/>
      <c r="T3634" s="84"/>
      <c r="U3634" s="84"/>
      <c r="V3634" s="84"/>
      <c r="W3634" s="84"/>
      <c r="X3634" s="84"/>
      <c r="Y3634" s="84"/>
      <c r="Z3634" s="84"/>
      <c r="AA3634" s="84"/>
      <c r="AB3634" s="84"/>
    </row>
    <row r="3635">
      <c r="A3635" s="89"/>
      <c r="B3635" s="89"/>
      <c r="C3635" s="89"/>
      <c r="D3635" s="89"/>
      <c r="E3635" s="89"/>
      <c r="F3635" s="89"/>
      <c r="G3635" s="89"/>
      <c r="H3635" s="2"/>
      <c r="I3635" s="90"/>
      <c r="J3635" s="90"/>
      <c r="K3635" s="2"/>
      <c r="L3635" s="48"/>
      <c r="M3635" s="48"/>
      <c r="N3635" s="48"/>
      <c r="O3635" s="48" t="str">
        <f t="shared" si="2"/>
        <v/>
      </c>
      <c r="P3635" s="48" t="str">
        <f t="shared" si="3"/>
        <v/>
      </c>
      <c r="Q3635" s="84"/>
      <c r="R3635" s="84"/>
      <c r="S3635" s="84"/>
      <c r="T3635" s="84"/>
      <c r="U3635" s="84"/>
      <c r="V3635" s="84"/>
      <c r="W3635" s="84"/>
      <c r="X3635" s="84"/>
      <c r="Y3635" s="84"/>
      <c r="Z3635" s="84"/>
      <c r="AA3635" s="84"/>
      <c r="AB3635" s="84"/>
    </row>
    <row r="3636">
      <c r="A3636" s="89"/>
      <c r="B3636" s="89"/>
      <c r="C3636" s="89"/>
      <c r="D3636" s="89"/>
      <c r="E3636" s="89"/>
      <c r="F3636" s="89"/>
      <c r="G3636" s="89"/>
      <c r="H3636" s="2"/>
      <c r="I3636" s="90"/>
      <c r="J3636" s="90"/>
      <c r="K3636" s="2"/>
      <c r="L3636" s="49"/>
      <c r="M3636" s="49"/>
      <c r="N3636" s="49"/>
      <c r="O3636" s="49" t="str">
        <f t="shared" si="2"/>
        <v/>
      </c>
      <c r="P3636" s="49" t="str">
        <f t="shared" si="3"/>
        <v/>
      </c>
      <c r="Q3636" s="84"/>
      <c r="R3636" s="84"/>
      <c r="S3636" s="84"/>
      <c r="T3636" s="84"/>
      <c r="U3636" s="84"/>
      <c r="V3636" s="84"/>
      <c r="W3636" s="84"/>
      <c r="X3636" s="84"/>
      <c r="Y3636" s="84"/>
      <c r="Z3636" s="84"/>
      <c r="AA3636" s="84"/>
      <c r="AB3636" s="84"/>
    </row>
    <row r="3637">
      <c r="A3637" s="89"/>
      <c r="B3637" s="89"/>
      <c r="C3637" s="89"/>
      <c r="D3637" s="89"/>
      <c r="E3637" s="89"/>
      <c r="F3637" s="89"/>
      <c r="G3637" s="89"/>
      <c r="H3637" s="2"/>
      <c r="I3637" s="90"/>
      <c r="J3637" s="90"/>
      <c r="K3637" s="2"/>
      <c r="L3637" s="48"/>
      <c r="M3637" s="48"/>
      <c r="N3637" s="48"/>
      <c r="O3637" s="48" t="str">
        <f t="shared" si="2"/>
        <v/>
      </c>
      <c r="P3637" s="48" t="str">
        <f t="shared" si="3"/>
        <v/>
      </c>
      <c r="Q3637" s="84"/>
      <c r="R3637" s="84"/>
      <c r="S3637" s="84"/>
      <c r="T3637" s="84"/>
      <c r="U3637" s="84"/>
      <c r="V3637" s="84"/>
      <c r="W3637" s="84"/>
      <c r="X3637" s="84"/>
      <c r="Y3637" s="84"/>
      <c r="Z3637" s="84"/>
      <c r="AA3637" s="84"/>
      <c r="AB3637" s="84"/>
    </row>
    <row r="3638">
      <c r="A3638" s="89"/>
      <c r="B3638" s="89"/>
      <c r="C3638" s="89"/>
      <c r="D3638" s="89"/>
      <c r="E3638" s="89"/>
      <c r="F3638" s="89"/>
      <c r="G3638" s="89"/>
      <c r="H3638" s="2"/>
      <c r="I3638" s="90"/>
      <c r="J3638" s="90"/>
      <c r="K3638" s="2"/>
      <c r="L3638" s="49"/>
      <c r="M3638" s="49"/>
      <c r="N3638" s="49"/>
      <c r="O3638" s="49" t="str">
        <f t="shared" si="2"/>
        <v/>
      </c>
      <c r="P3638" s="49" t="str">
        <f t="shared" si="3"/>
        <v/>
      </c>
      <c r="Q3638" s="84"/>
      <c r="R3638" s="84"/>
      <c r="S3638" s="84"/>
      <c r="T3638" s="84"/>
      <c r="U3638" s="84"/>
      <c r="V3638" s="84"/>
      <c r="W3638" s="84"/>
      <c r="X3638" s="84"/>
      <c r="Y3638" s="84"/>
      <c r="Z3638" s="84"/>
      <c r="AA3638" s="84"/>
      <c r="AB3638" s="84"/>
    </row>
    <row r="3639">
      <c r="A3639" s="89"/>
      <c r="B3639" s="89"/>
      <c r="C3639" s="89"/>
      <c r="D3639" s="89"/>
      <c r="E3639" s="89"/>
      <c r="F3639" s="89"/>
      <c r="G3639" s="89"/>
      <c r="H3639" s="2"/>
      <c r="I3639" s="90"/>
      <c r="J3639" s="90"/>
      <c r="K3639" s="2"/>
      <c r="L3639" s="48"/>
      <c r="M3639" s="48"/>
      <c r="N3639" s="48"/>
      <c r="O3639" s="48" t="str">
        <f t="shared" si="2"/>
        <v/>
      </c>
      <c r="P3639" s="48" t="str">
        <f t="shared" si="3"/>
        <v/>
      </c>
      <c r="Q3639" s="84"/>
      <c r="R3639" s="84"/>
      <c r="S3639" s="84"/>
      <c r="T3639" s="84"/>
      <c r="U3639" s="84"/>
      <c r="V3639" s="84"/>
      <c r="W3639" s="84"/>
      <c r="X3639" s="84"/>
      <c r="Y3639" s="84"/>
      <c r="Z3639" s="84"/>
      <c r="AA3639" s="84"/>
      <c r="AB3639" s="84"/>
    </row>
    <row r="3640">
      <c r="A3640" s="89"/>
      <c r="B3640" s="89"/>
      <c r="C3640" s="89"/>
      <c r="D3640" s="89"/>
      <c r="E3640" s="89"/>
      <c r="F3640" s="89"/>
      <c r="G3640" s="89"/>
      <c r="H3640" s="2"/>
      <c r="I3640" s="90"/>
      <c r="J3640" s="90"/>
      <c r="K3640" s="2"/>
      <c r="L3640" s="49"/>
      <c r="M3640" s="49"/>
      <c r="N3640" s="49"/>
      <c r="O3640" s="49" t="str">
        <f t="shared" si="2"/>
        <v/>
      </c>
      <c r="P3640" s="49" t="str">
        <f t="shared" si="3"/>
        <v/>
      </c>
      <c r="Q3640" s="84"/>
      <c r="R3640" s="84"/>
      <c r="S3640" s="84"/>
      <c r="T3640" s="84"/>
      <c r="U3640" s="84"/>
      <c r="V3640" s="84"/>
      <c r="W3640" s="84"/>
      <c r="X3640" s="84"/>
      <c r="Y3640" s="84"/>
      <c r="Z3640" s="84"/>
      <c r="AA3640" s="84"/>
      <c r="AB3640" s="84"/>
    </row>
    <row r="3641">
      <c r="A3641" s="89"/>
      <c r="B3641" s="89"/>
      <c r="C3641" s="89"/>
      <c r="D3641" s="89"/>
      <c r="E3641" s="89"/>
      <c r="F3641" s="89"/>
      <c r="G3641" s="89"/>
      <c r="H3641" s="2"/>
      <c r="I3641" s="90"/>
      <c r="J3641" s="90"/>
      <c r="K3641" s="2"/>
      <c r="L3641" s="48"/>
      <c r="M3641" s="48"/>
      <c r="N3641" s="48"/>
      <c r="O3641" s="48" t="str">
        <f t="shared" si="2"/>
        <v/>
      </c>
      <c r="P3641" s="48" t="str">
        <f t="shared" si="3"/>
        <v/>
      </c>
      <c r="Q3641" s="84"/>
      <c r="R3641" s="84"/>
      <c r="S3641" s="84"/>
      <c r="T3641" s="84"/>
      <c r="U3641" s="84"/>
      <c r="V3641" s="84"/>
      <c r="W3641" s="84"/>
      <c r="X3641" s="84"/>
      <c r="Y3641" s="84"/>
      <c r="Z3641" s="84"/>
      <c r="AA3641" s="84"/>
      <c r="AB3641" s="84"/>
    </row>
    <row r="3642">
      <c r="A3642" s="89"/>
      <c r="B3642" s="89"/>
      <c r="C3642" s="89"/>
      <c r="D3642" s="89"/>
      <c r="E3642" s="89"/>
      <c r="F3642" s="89"/>
      <c r="G3642" s="89"/>
      <c r="H3642" s="2"/>
      <c r="I3642" s="90"/>
      <c r="J3642" s="90"/>
      <c r="K3642" s="2"/>
      <c r="L3642" s="49"/>
      <c r="M3642" s="49"/>
      <c r="N3642" s="49"/>
      <c r="O3642" s="49" t="str">
        <f t="shared" si="2"/>
        <v/>
      </c>
      <c r="P3642" s="49" t="str">
        <f t="shared" si="3"/>
        <v/>
      </c>
      <c r="Q3642" s="84"/>
      <c r="R3642" s="84"/>
      <c r="S3642" s="84"/>
      <c r="T3642" s="84"/>
      <c r="U3642" s="84"/>
      <c r="V3642" s="84"/>
      <c r="W3642" s="84"/>
      <c r="X3642" s="84"/>
      <c r="Y3642" s="84"/>
      <c r="Z3642" s="84"/>
      <c r="AA3642" s="84"/>
      <c r="AB3642" s="84"/>
    </row>
    <row r="3643">
      <c r="A3643" s="89"/>
      <c r="B3643" s="89"/>
      <c r="C3643" s="89"/>
      <c r="D3643" s="89"/>
      <c r="E3643" s="89"/>
      <c r="F3643" s="89"/>
      <c r="G3643" s="89"/>
      <c r="H3643" s="2"/>
      <c r="I3643" s="90"/>
      <c r="J3643" s="90"/>
      <c r="K3643" s="2"/>
      <c r="L3643" s="48"/>
      <c r="M3643" s="48"/>
      <c r="N3643" s="48"/>
      <c r="O3643" s="48" t="str">
        <f t="shared" si="2"/>
        <v/>
      </c>
      <c r="P3643" s="48" t="str">
        <f t="shared" si="3"/>
        <v/>
      </c>
      <c r="Q3643" s="84"/>
      <c r="R3643" s="84"/>
      <c r="S3643" s="84"/>
      <c r="T3643" s="84"/>
      <c r="U3643" s="84"/>
      <c r="V3643" s="84"/>
      <c r="W3643" s="84"/>
      <c r="X3643" s="84"/>
      <c r="Y3643" s="84"/>
      <c r="Z3643" s="84"/>
      <c r="AA3643" s="84"/>
      <c r="AB3643" s="84"/>
    </row>
    <row r="3644">
      <c r="A3644" s="89"/>
      <c r="B3644" s="89"/>
      <c r="C3644" s="89"/>
      <c r="D3644" s="89"/>
      <c r="E3644" s="89"/>
      <c r="F3644" s="89"/>
      <c r="G3644" s="89"/>
      <c r="H3644" s="2"/>
      <c r="I3644" s="90"/>
      <c r="J3644" s="90"/>
      <c r="K3644" s="2"/>
      <c r="L3644" s="49"/>
      <c r="M3644" s="49"/>
      <c r="N3644" s="49"/>
      <c r="O3644" s="49" t="str">
        <f t="shared" si="2"/>
        <v/>
      </c>
      <c r="P3644" s="49" t="str">
        <f t="shared" si="3"/>
        <v/>
      </c>
      <c r="Q3644" s="84"/>
      <c r="R3644" s="84"/>
      <c r="S3644" s="84"/>
      <c r="T3644" s="84"/>
      <c r="U3644" s="84"/>
      <c r="V3644" s="84"/>
      <c r="W3644" s="84"/>
      <c r="X3644" s="84"/>
      <c r="Y3644" s="84"/>
      <c r="Z3644" s="84"/>
      <c r="AA3644" s="84"/>
      <c r="AB3644" s="84"/>
    </row>
    <row r="3645">
      <c r="A3645" s="89"/>
      <c r="B3645" s="89"/>
      <c r="C3645" s="89"/>
      <c r="D3645" s="89"/>
      <c r="E3645" s="89"/>
      <c r="F3645" s="89"/>
      <c r="G3645" s="89"/>
      <c r="H3645" s="2"/>
      <c r="I3645" s="90"/>
      <c r="J3645" s="90"/>
      <c r="K3645" s="2"/>
      <c r="L3645" s="48"/>
      <c r="M3645" s="48"/>
      <c r="N3645" s="48"/>
      <c r="O3645" s="48" t="str">
        <f t="shared" si="2"/>
        <v/>
      </c>
      <c r="P3645" s="48" t="str">
        <f t="shared" si="3"/>
        <v/>
      </c>
      <c r="Q3645" s="84"/>
      <c r="R3645" s="84"/>
      <c r="S3645" s="84"/>
      <c r="T3645" s="84"/>
      <c r="U3645" s="84"/>
      <c r="V3645" s="84"/>
      <c r="W3645" s="84"/>
      <c r="X3645" s="84"/>
      <c r="Y3645" s="84"/>
      <c r="Z3645" s="84"/>
      <c r="AA3645" s="84"/>
      <c r="AB3645" s="84"/>
    </row>
    <row r="3646">
      <c r="A3646" s="89"/>
      <c r="B3646" s="89"/>
      <c r="C3646" s="89"/>
      <c r="D3646" s="89"/>
      <c r="E3646" s="89"/>
      <c r="F3646" s="89"/>
      <c r="G3646" s="89"/>
      <c r="H3646" s="2"/>
      <c r="I3646" s="90"/>
      <c r="J3646" s="90"/>
      <c r="K3646" s="2"/>
      <c r="L3646" s="49"/>
      <c r="M3646" s="49"/>
      <c r="N3646" s="49"/>
      <c r="O3646" s="49" t="str">
        <f t="shared" si="2"/>
        <v/>
      </c>
      <c r="P3646" s="49" t="str">
        <f t="shared" si="3"/>
        <v/>
      </c>
      <c r="Q3646" s="84"/>
      <c r="R3646" s="84"/>
      <c r="S3646" s="84"/>
      <c r="T3646" s="84"/>
      <c r="U3646" s="84"/>
      <c r="V3646" s="84"/>
      <c r="W3646" s="84"/>
      <c r="X3646" s="84"/>
      <c r="Y3646" s="84"/>
      <c r="Z3646" s="84"/>
      <c r="AA3646" s="84"/>
      <c r="AB3646" s="84"/>
    </row>
    <row r="3647">
      <c r="A3647" s="89"/>
      <c r="B3647" s="89"/>
      <c r="C3647" s="89"/>
      <c r="D3647" s="89"/>
      <c r="E3647" s="89"/>
      <c r="F3647" s="89"/>
      <c r="G3647" s="89"/>
      <c r="H3647" s="2"/>
      <c r="I3647" s="90"/>
      <c r="J3647" s="90"/>
      <c r="K3647" s="2"/>
      <c r="L3647" s="48"/>
      <c r="M3647" s="48"/>
      <c r="N3647" s="48"/>
      <c r="O3647" s="48" t="str">
        <f t="shared" si="2"/>
        <v/>
      </c>
      <c r="P3647" s="48" t="str">
        <f t="shared" si="3"/>
        <v/>
      </c>
      <c r="Q3647" s="84"/>
      <c r="R3647" s="84"/>
      <c r="S3647" s="84"/>
      <c r="T3647" s="84"/>
      <c r="U3647" s="84"/>
      <c r="V3647" s="84"/>
      <c r="W3647" s="84"/>
      <c r="X3647" s="84"/>
      <c r="Y3647" s="84"/>
      <c r="Z3647" s="84"/>
      <c r="AA3647" s="84"/>
      <c r="AB3647" s="84"/>
    </row>
    <row r="3648">
      <c r="A3648" s="89"/>
      <c r="B3648" s="89"/>
      <c r="C3648" s="89"/>
      <c r="D3648" s="89"/>
      <c r="E3648" s="89"/>
      <c r="F3648" s="89"/>
      <c r="G3648" s="89"/>
      <c r="H3648" s="2"/>
      <c r="I3648" s="90"/>
      <c r="J3648" s="90"/>
      <c r="K3648" s="2"/>
      <c r="L3648" s="49"/>
      <c r="M3648" s="49"/>
      <c r="N3648" s="49"/>
      <c r="O3648" s="49" t="str">
        <f t="shared" si="2"/>
        <v/>
      </c>
      <c r="P3648" s="49" t="str">
        <f t="shared" si="3"/>
        <v/>
      </c>
      <c r="Q3648" s="84"/>
      <c r="R3648" s="84"/>
      <c r="S3648" s="84"/>
      <c r="T3648" s="84"/>
      <c r="U3648" s="84"/>
      <c r="V3648" s="84"/>
      <c r="W3648" s="84"/>
      <c r="X3648" s="84"/>
      <c r="Y3648" s="84"/>
      <c r="Z3648" s="84"/>
      <c r="AA3648" s="84"/>
      <c r="AB3648" s="84"/>
    </row>
    <row r="3649">
      <c r="A3649" s="89"/>
      <c r="B3649" s="89"/>
      <c r="C3649" s="89"/>
      <c r="D3649" s="89"/>
      <c r="E3649" s="89"/>
      <c r="F3649" s="89"/>
      <c r="G3649" s="89"/>
      <c r="H3649" s="2"/>
      <c r="I3649" s="90"/>
      <c r="J3649" s="90"/>
      <c r="K3649" s="2"/>
      <c r="L3649" s="48"/>
      <c r="M3649" s="48"/>
      <c r="N3649" s="48"/>
      <c r="O3649" s="48" t="str">
        <f t="shared" si="2"/>
        <v/>
      </c>
      <c r="P3649" s="48" t="str">
        <f t="shared" si="3"/>
        <v/>
      </c>
      <c r="Q3649" s="84"/>
      <c r="R3649" s="84"/>
      <c r="S3649" s="84"/>
      <c r="T3649" s="84"/>
      <c r="U3649" s="84"/>
      <c r="V3649" s="84"/>
      <c r="W3649" s="84"/>
      <c r="X3649" s="84"/>
      <c r="Y3649" s="84"/>
      <c r="Z3649" s="84"/>
      <c r="AA3649" s="84"/>
      <c r="AB3649" s="84"/>
    </row>
    <row r="3650">
      <c r="A3650" s="89"/>
      <c r="B3650" s="89"/>
      <c r="C3650" s="89"/>
      <c r="D3650" s="89"/>
      <c r="E3650" s="89"/>
      <c r="F3650" s="89"/>
      <c r="G3650" s="89"/>
      <c r="H3650" s="2"/>
      <c r="I3650" s="90"/>
      <c r="J3650" s="90"/>
      <c r="K3650" s="2"/>
      <c r="L3650" s="49"/>
      <c r="M3650" s="49"/>
      <c r="N3650" s="49"/>
      <c r="O3650" s="49" t="str">
        <f t="shared" si="2"/>
        <v/>
      </c>
      <c r="P3650" s="49" t="str">
        <f t="shared" si="3"/>
        <v/>
      </c>
      <c r="Q3650" s="84"/>
      <c r="R3650" s="84"/>
      <c r="S3650" s="84"/>
      <c r="T3650" s="84"/>
      <c r="U3650" s="84"/>
      <c r="V3650" s="84"/>
      <c r="W3650" s="84"/>
      <c r="X3650" s="84"/>
      <c r="Y3650" s="84"/>
      <c r="Z3650" s="84"/>
      <c r="AA3650" s="84"/>
      <c r="AB3650" s="84"/>
    </row>
    <row r="3651">
      <c r="A3651" s="89"/>
      <c r="B3651" s="89"/>
      <c r="C3651" s="89"/>
      <c r="D3651" s="89"/>
      <c r="E3651" s="89"/>
      <c r="F3651" s="89"/>
      <c r="G3651" s="89"/>
      <c r="H3651" s="2"/>
      <c r="I3651" s="90"/>
      <c r="J3651" s="90"/>
      <c r="K3651" s="2"/>
      <c r="L3651" s="48"/>
      <c r="M3651" s="48"/>
      <c r="N3651" s="48"/>
      <c r="O3651" s="48" t="str">
        <f t="shared" si="2"/>
        <v/>
      </c>
      <c r="P3651" s="48" t="str">
        <f t="shared" si="3"/>
        <v/>
      </c>
      <c r="Q3651" s="84"/>
      <c r="R3651" s="84"/>
      <c r="S3651" s="84"/>
      <c r="T3651" s="84"/>
      <c r="U3651" s="84"/>
      <c r="V3651" s="84"/>
      <c r="W3651" s="84"/>
      <c r="X3651" s="84"/>
      <c r="Y3651" s="84"/>
      <c r="Z3651" s="84"/>
      <c r="AA3651" s="84"/>
      <c r="AB3651" s="84"/>
    </row>
    <row r="3652">
      <c r="A3652" s="89"/>
      <c r="B3652" s="89"/>
      <c r="C3652" s="89"/>
      <c r="D3652" s="89"/>
      <c r="E3652" s="89"/>
      <c r="F3652" s="89"/>
      <c r="G3652" s="89"/>
      <c r="H3652" s="2"/>
      <c r="I3652" s="90"/>
      <c r="J3652" s="90"/>
      <c r="K3652" s="2"/>
      <c r="L3652" s="49"/>
      <c r="M3652" s="49"/>
      <c r="N3652" s="49"/>
      <c r="O3652" s="49" t="str">
        <f t="shared" si="2"/>
        <v/>
      </c>
      <c r="P3652" s="49" t="str">
        <f t="shared" si="3"/>
        <v/>
      </c>
      <c r="Q3652" s="84"/>
      <c r="R3652" s="84"/>
      <c r="S3652" s="84"/>
      <c r="T3652" s="84"/>
      <c r="U3652" s="84"/>
      <c r="V3652" s="84"/>
      <c r="W3652" s="84"/>
      <c r="X3652" s="84"/>
      <c r="Y3652" s="84"/>
      <c r="Z3652" s="84"/>
      <c r="AA3652" s="84"/>
      <c r="AB3652" s="84"/>
    </row>
    <row r="3653">
      <c r="A3653" s="89"/>
      <c r="B3653" s="89"/>
      <c r="C3653" s="89"/>
      <c r="D3653" s="89"/>
      <c r="E3653" s="89"/>
      <c r="F3653" s="89"/>
      <c r="G3653" s="89"/>
      <c r="H3653" s="2"/>
      <c r="I3653" s="90"/>
      <c r="J3653" s="90"/>
      <c r="K3653" s="2"/>
      <c r="L3653" s="48"/>
      <c r="M3653" s="48"/>
      <c r="N3653" s="48"/>
      <c r="O3653" s="48" t="str">
        <f t="shared" si="2"/>
        <v/>
      </c>
      <c r="P3653" s="48" t="str">
        <f t="shared" si="3"/>
        <v/>
      </c>
      <c r="Q3653" s="84"/>
      <c r="R3653" s="84"/>
      <c r="S3653" s="84"/>
      <c r="T3653" s="84"/>
      <c r="U3653" s="84"/>
      <c r="V3653" s="84"/>
      <c r="W3653" s="84"/>
      <c r="X3653" s="84"/>
      <c r="Y3653" s="84"/>
      <c r="Z3653" s="84"/>
      <c r="AA3653" s="84"/>
      <c r="AB3653" s="84"/>
    </row>
    <row r="3654">
      <c r="A3654" s="89"/>
      <c r="B3654" s="89"/>
      <c r="C3654" s="89"/>
      <c r="D3654" s="89"/>
      <c r="E3654" s="89"/>
      <c r="F3654" s="89"/>
      <c r="G3654" s="89"/>
      <c r="H3654" s="2"/>
      <c r="I3654" s="90"/>
      <c r="J3654" s="90"/>
      <c r="K3654" s="2"/>
      <c r="L3654" s="49"/>
      <c r="M3654" s="49"/>
      <c r="N3654" s="49"/>
      <c r="O3654" s="49" t="str">
        <f t="shared" si="2"/>
        <v/>
      </c>
      <c r="P3654" s="49" t="str">
        <f t="shared" si="3"/>
        <v/>
      </c>
      <c r="Q3654" s="84"/>
      <c r="R3654" s="84"/>
      <c r="S3654" s="84"/>
      <c r="T3654" s="84"/>
      <c r="U3654" s="84"/>
      <c r="V3654" s="84"/>
      <c r="W3654" s="84"/>
      <c r="X3654" s="84"/>
      <c r="Y3654" s="84"/>
      <c r="Z3654" s="84"/>
      <c r="AA3654" s="84"/>
      <c r="AB3654" s="84"/>
    </row>
    <row r="3655">
      <c r="A3655" s="89"/>
      <c r="B3655" s="89"/>
      <c r="C3655" s="89"/>
      <c r="D3655" s="89"/>
      <c r="E3655" s="89"/>
      <c r="F3655" s="89"/>
      <c r="G3655" s="89"/>
      <c r="H3655" s="2"/>
      <c r="I3655" s="90"/>
      <c r="J3655" s="90"/>
      <c r="K3655" s="2"/>
      <c r="L3655" s="48"/>
      <c r="M3655" s="48"/>
      <c r="N3655" s="48"/>
      <c r="O3655" s="48" t="str">
        <f t="shared" si="2"/>
        <v/>
      </c>
      <c r="P3655" s="48" t="str">
        <f t="shared" si="3"/>
        <v/>
      </c>
      <c r="Q3655" s="84"/>
      <c r="R3655" s="84"/>
      <c r="S3655" s="84"/>
      <c r="T3655" s="84"/>
      <c r="U3655" s="84"/>
      <c r="V3655" s="84"/>
      <c r="W3655" s="84"/>
      <c r="X3655" s="84"/>
      <c r="Y3655" s="84"/>
      <c r="Z3655" s="84"/>
      <c r="AA3655" s="84"/>
      <c r="AB3655" s="84"/>
    </row>
    <row r="3656">
      <c r="A3656" s="89"/>
      <c r="B3656" s="89"/>
      <c r="C3656" s="89"/>
      <c r="D3656" s="89"/>
      <c r="E3656" s="89"/>
      <c r="F3656" s="89"/>
      <c r="G3656" s="89"/>
      <c r="H3656" s="2"/>
      <c r="I3656" s="90"/>
      <c r="J3656" s="90"/>
      <c r="K3656" s="2"/>
      <c r="L3656" s="49"/>
      <c r="M3656" s="49"/>
      <c r="N3656" s="49"/>
      <c r="O3656" s="49" t="str">
        <f t="shared" si="2"/>
        <v/>
      </c>
      <c r="P3656" s="49" t="str">
        <f t="shared" si="3"/>
        <v/>
      </c>
      <c r="Q3656" s="84"/>
      <c r="R3656" s="84"/>
      <c r="S3656" s="84"/>
      <c r="T3656" s="84"/>
      <c r="U3656" s="84"/>
      <c r="V3656" s="84"/>
      <c r="W3656" s="84"/>
      <c r="X3656" s="84"/>
      <c r="Y3656" s="84"/>
      <c r="Z3656" s="84"/>
      <c r="AA3656" s="84"/>
      <c r="AB3656" s="84"/>
    </row>
    <row r="3657">
      <c r="A3657" s="89"/>
      <c r="B3657" s="89"/>
      <c r="C3657" s="89"/>
      <c r="D3657" s="89"/>
      <c r="E3657" s="89"/>
      <c r="F3657" s="89"/>
      <c r="G3657" s="89"/>
      <c r="H3657" s="2"/>
      <c r="I3657" s="90"/>
      <c r="J3657" s="90"/>
      <c r="K3657" s="2"/>
      <c r="L3657" s="48"/>
      <c r="M3657" s="48"/>
      <c r="N3657" s="48"/>
      <c r="O3657" s="48" t="str">
        <f t="shared" si="2"/>
        <v/>
      </c>
      <c r="P3657" s="48" t="str">
        <f t="shared" si="3"/>
        <v/>
      </c>
      <c r="Q3657" s="84"/>
      <c r="R3657" s="84"/>
      <c r="S3657" s="84"/>
      <c r="T3657" s="84"/>
      <c r="U3657" s="84"/>
      <c r="V3657" s="84"/>
      <c r="W3657" s="84"/>
      <c r="X3657" s="84"/>
      <c r="Y3657" s="84"/>
      <c r="Z3657" s="84"/>
      <c r="AA3657" s="84"/>
      <c r="AB3657" s="84"/>
    </row>
    <row r="3658">
      <c r="A3658" s="89"/>
      <c r="B3658" s="89"/>
      <c r="C3658" s="89"/>
      <c r="D3658" s="89"/>
      <c r="E3658" s="89"/>
      <c r="F3658" s="89"/>
      <c r="G3658" s="89"/>
      <c r="H3658" s="2"/>
      <c r="I3658" s="90"/>
      <c r="J3658" s="90"/>
      <c r="K3658" s="2"/>
      <c r="L3658" s="49"/>
      <c r="M3658" s="49"/>
      <c r="N3658" s="49"/>
      <c r="O3658" s="49" t="str">
        <f t="shared" si="2"/>
        <v/>
      </c>
      <c r="P3658" s="49" t="str">
        <f t="shared" si="3"/>
        <v/>
      </c>
      <c r="Q3658" s="84"/>
      <c r="R3658" s="84"/>
      <c r="S3658" s="84"/>
      <c r="T3658" s="84"/>
      <c r="U3658" s="84"/>
      <c r="V3658" s="84"/>
      <c r="W3658" s="84"/>
      <c r="X3658" s="84"/>
      <c r="Y3658" s="84"/>
      <c r="Z3658" s="84"/>
      <c r="AA3658" s="84"/>
      <c r="AB3658" s="84"/>
    </row>
    <row r="3659">
      <c r="A3659" s="89"/>
      <c r="B3659" s="89"/>
      <c r="C3659" s="89"/>
      <c r="D3659" s="89"/>
      <c r="E3659" s="89"/>
      <c r="F3659" s="89"/>
      <c r="G3659" s="89"/>
      <c r="H3659" s="2"/>
      <c r="I3659" s="90"/>
      <c r="J3659" s="90"/>
      <c r="K3659" s="2"/>
      <c r="L3659" s="48"/>
      <c r="M3659" s="48"/>
      <c r="N3659" s="48"/>
      <c r="O3659" s="48" t="str">
        <f t="shared" si="2"/>
        <v/>
      </c>
      <c r="P3659" s="48" t="str">
        <f t="shared" si="3"/>
        <v/>
      </c>
      <c r="Q3659" s="84"/>
      <c r="R3659" s="84"/>
      <c r="S3659" s="84"/>
      <c r="T3659" s="84"/>
      <c r="U3659" s="84"/>
      <c r="V3659" s="84"/>
      <c r="W3659" s="84"/>
      <c r="X3659" s="84"/>
      <c r="Y3659" s="84"/>
      <c r="Z3659" s="84"/>
      <c r="AA3659" s="84"/>
      <c r="AB3659" s="84"/>
    </row>
    <row r="3660">
      <c r="A3660" s="89"/>
      <c r="B3660" s="89"/>
      <c r="C3660" s="89"/>
      <c r="D3660" s="89"/>
      <c r="E3660" s="89"/>
      <c r="F3660" s="89"/>
      <c r="G3660" s="89"/>
      <c r="H3660" s="2"/>
      <c r="I3660" s="90"/>
      <c r="J3660" s="90"/>
      <c r="K3660" s="2"/>
      <c r="L3660" s="49"/>
      <c r="M3660" s="49"/>
      <c r="N3660" s="49"/>
      <c r="O3660" s="49" t="str">
        <f t="shared" si="2"/>
        <v/>
      </c>
      <c r="P3660" s="49" t="str">
        <f t="shared" si="3"/>
        <v/>
      </c>
      <c r="Q3660" s="84"/>
      <c r="R3660" s="84"/>
      <c r="S3660" s="84"/>
      <c r="T3660" s="84"/>
      <c r="U3660" s="84"/>
      <c r="V3660" s="84"/>
      <c r="W3660" s="84"/>
      <c r="X3660" s="84"/>
      <c r="Y3660" s="84"/>
      <c r="Z3660" s="84"/>
      <c r="AA3660" s="84"/>
      <c r="AB3660" s="84"/>
    </row>
    <row r="3661">
      <c r="A3661" s="89"/>
      <c r="B3661" s="89"/>
      <c r="C3661" s="89"/>
      <c r="D3661" s="89"/>
      <c r="E3661" s="89"/>
      <c r="F3661" s="89"/>
      <c r="G3661" s="89"/>
      <c r="H3661" s="2"/>
      <c r="I3661" s="90"/>
      <c r="J3661" s="90"/>
      <c r="K3661" s="2"/>
      <c r="L3661" s="48"/>
      <c r="M3661" s="48"/>
      <c r="N3661" s="48"/>
      <c r="O3661" s="48" t="str">
        <f t="shared" si="2"/>
        <v/>
      </c>
      <c r="P3661" s="48" t="str">
        <f t="shared" si="3"/>
        <v/>
      </c>
      <c r="Q3661" s="84"/>
      <c r="R3661" s="84"/>
      <c r="S3661" s="84"/>
      <c r="T3661" s="84"/>
      <c r="U3661" s="84"/>
      <c r="V3661" s="84"/>
      <c r="W3661" s="84"/>
      <c r="X3661" s="84"/>
      <c r="Y3661" s="84"/>
      <c r="Z3661" s="84"/>
      <c r="AA3661" s="84"/>
      <c r="AB3661" s="84"/>
    </row>
    <row r="3662">
      <c r="A3662" s="89"/>
      <c r="B3662" s="89"/>
      <c r="C3662" s="89"/>
      <c r="D3662" s="89"/>
      <c r="E3662" s="89"/>
      <c r="F3662" s="89"/>
      <c r="G3662" s="89"/>
      <c r="H3662" s="2"/>
      <c r="I3662" s="90"/>
      <c r="J3662" s="90"/>
      <c r="K3662" s="2"/>
      <c r="L3662" s="49"/>
      <c r="M3662" s="49"/>
      <c r="N3662" s="49"/>
      <c r="O3662" s="49" t="str">
        <f t="shared" si="2"/>
        <v/>
      </c>
      <c r="P3662" s="49" t="str">
        <f t="shared" si="3"/>
        <v/>
      </c>
      <c r="Q3662" s="84"/>
      <c r="R3662" s="84"/>
      <c r="S3662" s="84"/>
      <c r="T3662" s="84"/>
      <c r="U3662" s="84"/>
      <c r="V3662" s="84"/>
      <c r="W3662" s="84"/>
      <c r="X3662" s="84"/>
      <c r="Y3662" s="84"/>
      <c r="Z3662" s="84"/>
      <c r="AA3662" s="84"/>
      <c r="AB3662" s="84"/>
    </row>
    <row r="3663">
      <c r="A3663" s="89"/>
      <c r="B3663" s="89"/>
      <c r="C3663" s="89"/>
      <c r="D3663" s="89"/>
      <c r="E3663" s="89"/>
      <c r="F3663" s="89"/>
      <c r="G3663" s="89"/>
      <c r="H3663" s="2"/>
      <c r="I3663" s="90"/>
      <c r="J3663" s="90"/>
      <c r="K3663" s="2"/>
      <c r="L3663" s="48"/>
      <c r="M3663" s="48"/>
      <c r="N3663" s="48"/>
      <c r="O3663" s="48" t="str">
        <f t="shared" si="2"/>
        <v/>
      </c>
      <c r="P3663" s="48" t="str">
        <f t="shared" si="3"/>
        <v/>
      </c>
      <c r="Q3663" s="84"/>
      <c r="R3663" s="84"/>
      <c r="S3663" s="84"/>
      <c r="T3663" s="84"/>
      <c r="U3663" s="84"/>
      <c r="V3663" s="84"/>
      <c r="W3663" s="84"/>
      <c r="X3663" s="84"/>
      <c r="Y3663" s="84"/>
      <c r="Z3663" s="84"/>
      <c r="AA3663" s="84"/>
      <c r="AB3663" s="84"/>
    </row>
    <row r="3664">
      <c r="A3664" s="89"/>
      <c r="B3664" s="89"/>
      <c r="C3664" s="89"/>
      <c r="D3664" s="89"/>
      <c r="E3664" s="89"/>
      <c r="F3664" s="89"/>
      <c r="G3664" s="89"/>
      <c r="H3664" s="2"/>
      <c r="I3664" s="90"/>
      <c r="J3664" s="90"/>
      <c r="K3664" s="2"/>
      <c r="L3664" s="49"/>
      <c r="M3664" s="49"/>
      <c r="N3664" s="49"/>
      <c r="O3664" s="49" t="str">
        <f t="shared" si="2"/>
        <v/>
      </c>
      <c r="P3664" s="49" t="str">
        <f t="shared" si="3"/>
        <v/>
      </c>
      <c r="Q3664" s="84"/>
      <c r="R3664" s="84"/>
      <c r="S3664" s="84"/>
      <c r="T3664" s="84"/>
      <c r="U3664" s="84"/>
      <c r="V3664" s="84"/>
      <c r="W3664" s="84"/>
      <c r="X3664" s="84"/>
      <c r="Y3664" s="84"/>
      <c r="Z3664" s="84"/>
      <c r="AA3664" s="84"/>
      <c r="AB3664" s="84"/>
    </row>
    <row r="3665">
      <c r="A3665" s="89"/>
      <c r="B3665" s="89"/>
      <c r="C3665" s="89"/>
      <c r="D3665" s="89"/>
      <c r="E3665" s="89"/>
      <c r="F3665" s="89"/>
      <c r="G3665" s="89"/>
      <c r="H3665" s="2"/>
      <c r="I3665" s="90"/>
      <c r="J3665" s="90"/>
      <c r="K3665" s="2"/>
      <c r="L3665" s="48"/>
      <c r="M3665" s="48"/>
      <c r="N3665" s="48"/>
      <c r="O3665" s="48" t="str">
        <f t="shared" si="2"/>
        <v/>
      </c>
      <c r="P3665" s="48" t="str">
        <f t="shared" si="3"/>
        <v/>
      </c>
      <c r="Q3665" s="84"/>
      <c r="R3665" s="84"/>
      <c r="S3665" s="84"/>
      <c r="T3665" s="84"/>
      <c r="U3665" s="84"/>
      <c r="V3665" s="84"/>
      <c r="W3665" s="84"/>
      <c r="X3665" s="84"/>
      <c r="Y3665" s="84"/>
      <c r="Z3665" s="84"/>
      <c r="AA3665" s="84"/>
      <c r="AB3665" s="84"/>
    </row>
    <row r="3666">
      <c r="A3666" s="89"/>
      <c r="B3666" s="89"/>
      <c r="C3666" s="89"/>
      <c r="D3666" s="89"/>
      <c r="E3666" s="89"/>
      <c r="F3666" s="89"/>
      <c r="G3666" s="89"/>
      <c r="H3666" s="2"/>
      <c r="I3666" s="90"/>
      <c r="J3666" s="90"/>
      <c r="K3666" s="2"/>
      <c r="L3666" s="49"/>
      <c r="M3666" s="49"/>
      <c r="N3666" s="49"/>
      <c r="O3666" s="49" t="str">
        <f t="shared" si="2"/>
        <v/>
      </c>
      <c r="P3666" s="49" t="str">
        <f t="shared" si="3"/>
        <v/>
      </c>
      <c r="Q3666" s="84"/>
      <c r="R3666" s="84"/>
      <c r="S3666" s="84"/>
      <c r="T3666" s="84"/>
      <c r="U3666" s="84"/>
      <c r="V3666" s="84"/>
      <c r="W3666" s="84"/>
      <c r="X3666" s="84"/>
      <c r="Y3666" s="84"/>
      <c r="Z3666" s="84"/>
      <c r="AA3666" s="84"/>
      <c r="AB3666" s="84"/>
    </row>
    <row r="3667">
      <c r="A3667" s="89"/>
      <c r="B3667" s="89"/>
      <c r="C3667" s="89"/>
      <c r="D3667" s="89"/>
      <c r="E3667" s="89"/>
      <c r="F3667" s="89"/>
      <c r="G3667" s="89"/>
      <c r="H3667" s="2"/>
      <c r="I3667" s="90"/>
      <c r="J3667" s="90"/>
      <c r="K3667" s="2"/>
      <c r="L3667" s="48"/>
      <c r="M3667" s="48"/>
      <c r="N3667" s="48"/>
      <c r="O3667" s="48" t="str">
        <f t="shared" si="2"/>
        <v/>
      </c>
      <c r="P3667" s="48" t="str">
        <f t="shared" si="3"/>
        <v/>
      </c>
      <c r="Q3667" s="84"/>
      <c r="R3667" s="84"/>
      <c r="S3667" s="84"/>
      <c r="T3667" s="84"/>
      <c r="U3667" s="84"/>
      <c r="V3667" s="84"/>
      <c r="W3667" s="84"/>
      <c r="X3667" s="84"/>
      <c r="Y3667" s="84"/>
      <c r="Z3667" s="84"/>
      <c r="AA3667" s="84"/>
      <c r="AB3667" s="84"/>
    </row>
    <row r="3668">
      <c r="A3668" s="89"/>
      <c r="B3668" s="89"/>
      <c r="C3668" s="89"/>
      <c r="D3668" s="89"/>
      <c r="E3668" s="89"/>
      <c r="F3668" s="89"/>
      <c r="G3668" s="89"/>
      <c r="H3668" s="2"/>
      <c r="I3668" s="90"/>
      <c r="J3668" s="90"/>
      <c r="K3668" s="2"/>
      <c r="L3668" s="49"/>
      <c r="M3668" s="49"/>
      <c r="N3668" s="49"/>
      <c r="O3668" s="49" t="str">
        <f t="shared" si="2"/>
        <v/>
      </c>
      <c r="P3668" s="49" t="str">
        <f t="shared" si="3"/>
        <v/>
      </c>
      <c r="Q3668" s="84"/>
      <c r="R3668" s="84"/>
      <c r="S3668" s="84"/>
      <c r="T3668" s="84"/>
      <c r="U3668" s="84"/>
      <c r="V3668" s="84"/>
      <c r="W3668" s="84"/>
      <c r="X3668" s="84"/>
      <c r="Y3668" s="84"/>
      <c r="Z3668" s="84"/>
      <c r="AA3668" s="84"/>
      <c r="AB3668" s="84"/>
    </row>
    <row r="3669">
      <c r="A3669" s="89"/>
      <c r="B3669" s="89"/>
      <c r="C3669" s="89"/>
      <c r="D3669" s="89"/>
      <c r="E3669" s="89"/>
      <c r="F3669" s="89"/>
      <c r="G3669" s="89"/>
      <c r="H3669" s="2"/>
      <c r="I3669" s="90"/>
      <c r="J3669" s="90"/>
      <c r="K3669" s="2"/>
      <c r="L3669" s="48"/>
      <c r="M3669" s="48"/>
      <c r="N3669" s="48"/>
      <c r="O3669" s="48" t="str">
        <f t="shared" si="2"/>
        <v/>
      </c>
      <c r="P3669" s="48" t="str">
        <f t="shared" si="3"/>
        <v/>
      </c>
      <c r="Q3669" s="84"/>
      <c r="R3669" s="84"/>
      <c r="S3669" s="84"/>
      <c r="T3669" s="84"/>
      <c r="U3669" s="84"/>
      <c r="V3669" s="84"/>
      <c r="W3669" s="84"/>
      <c r="X3669" s="84"/>
      <c r="Y3669" s="84"/>
      <c r="Z3669" s="84"/>
      <c r="AA3669" s="84"/>
      <c r="AB3669" s="84"/>
    </row>
    <row r="3670">
      <c r="A3670" s="89"/>
      <c r="B3670" s="89"/>
      <c r="C3670" s="89"/>
      <c r="D3670" s="89"/>
      <c r="E3670" s="89"/>
      <c r="F3670" s="89"/>
      <c r="G3670" s="89"/>
      <c r="H3670" s="2"/>
      <c r="I3670" s="90"/>
      <c r="J3670" s="90"/>
      <c r="K3670" s="2"/>
      <c r="L3670" s="49"/>
      <c r="M3670" s="49"/>
      <c r="N3670" s="49"/>
      <c r="O3670" s="49" t="str">
        <f t="shared" si="2"/>
        <v/>
      </c>
      <c r="P3670" s="49" t="str">
        <f t="shared" si="3"/>
        <v/>
      </c>
      <c r="Q3670" s="84"/>
      <c r="R3670" s="84"/>
      <c r="S3670" s="84"/>
      <c r="T3670" s="84"/>
      <c r="U3670" s="84"/>
      <c r="V3670" s="84"/>
      <c r="W3670" s="84"/>
      <c r="X3670" s="84"/>
      <c r="Y3670" s="84"/>
      <c r="Z3670" s="84"/>
      <c r="AA3670" s="84"/>
      <c r="AB3670" s="84"/>
    </row>
    <row r="3671">
      <c r="A3671" s="89"/>
      <c r="B3671" s="89"/>
      <c r="C3671" s="89"/>
      <c r="D3671" s="89"/>
      <c r="E3671" s="89"/>
      <c r="F3671" s="89"/>
      <c r="G3671" s="89"/>
      <c r="H3671" s="2"/>
      <c r="I3671" s="90"/>
      <c r="J3671" s="90"/>
      <c r="K3671" s="2"/>
      <c r="L3671" s="48"/>
      <c r="M3671" s="48"/>
      <c r="N3671" s="48"/>
      <c r="O3671" s="48" t="str">
        <f t="shared" si="2"/>
        <v/>
      </c>
      <c r="P3671" s="48" t="str">
        <f t="shared" si="3"/>
        <v/>
      </c>
      <c r="Q3671" s="84"/>
      <c r="R3671" s="84"/>
      <c r="S3671" s="84"/>
      <c r="T3671" s="84"/>
      <c r="U3671" s="84"/>
      <c r="V3671" s="84"/>
      <c r="W3671" s="84"/>
      <c r="X3671" s="84"/>
      <c r="Y3671" s="84"/>
      <c r="Z3671" s="84"/>
      <c r="AA3671" s="84"/>
      <c r="AB3671" s="84"/>
    </row>
    <row r="3672">
      <c r="A3672" s="89"/>
      <c r="B3672" s="89"/>
      <c r="C3672" s="89"/>
      <c r="D3672" s="89"/>
      <c r="E3672" s="89"/>
      <c r="F3672" s="89"/>
      <c r="G3672" s="89"/>
      <c r="H3672" s="2"/>
      <c r="I3672" s="90"/>
      <c r="J3672" s="90"/>
      <c r="K3672" s="2"/>
      <c r="L3672" s="49"/>
      <c r="M3672" s="49"/>
      <c r="N3672" s="49"/>
      <c r="O3672" s="49" t="str">
        <f t="shared" si="2"/>
        <v/>
      </c>
      <c r="P3672" s="49" t="str">
        <f t="shared" si="3"/>
        <v/>
      </c>
      <c r="Q3672" s="84"/>
      <c r="R3672" s="84"/>
      <c r="S3672" s="84"/>
      <c r="T3672" s="84"/>
      <c r="U3672" s="84"/>
      <c r="V3672" s="84"/>
      <c r="W3672" s="84"/>
      <c r="X3672" s="84"/>
      <c r="Y3672" s="84"/>
      <c r="Z3672" s="84"/>
      <c r="AA3672" s="84"/>
      <c r="AB3672" s="84"/>
    </row>
    <row r="3673">
      <c r="A3673" s="89"/>
      <c r="B3673" s="89"/>
      <c r="C3673" s="89"/>
      <c r="D3673" s="89"/>
      <c r="E3673" s="89"/>
      <c r="F3673" s="89"/>
      <c r="G3673" s="89"/>
      <c r="H3673" s="2"/>
      <c r="I3673" s="90"/>
      <c r="J3673" s="90"/>
      <c r="K3673" s="2"/>
      <c r="L3673" s="48"/>
      <c r="M3673" s="48"/>
      <c r="N3673" s="48"/>
      <c r="O3673" s="48" t="str">
        <f t="shared" si="2"/>
        <v/>
      </c>
      <c r="P3673" s="48" t="str">
        <f t="shared" si="3"/>
        <v/>
      </c>
      <c r="Q3673" s="84"/>
      <c r="R3673" s="84"/>
      <c r="S3673" s="84"/>
      <c r="T3673" s="84"/>
      <c r="U3673" s="84"/>
      <c r="V3673" s="84"/>
      <c r="W3673" s="84"/>
      <c r="X3673" s="84"/>
      <c r="Y3673" s="84"/>
      <c r="Z3673" s="84"/>
      <c r="AA3673" s="84"/>
      <c r="AB3673" s="84"/>
    </row>
    <row r="3674">
      <c r="A3674" s="89"/>
      <c r="B3674" s="89"/>
      <c r="C3674" s="89"/>
      <c r="D3674" s="89"/>
      <c r="E3674" s="89"/>
      <c r="F3674" s="89"/>
      <c r="G3674" s="89"/>
      <c r="H3674" s="2"/>
      <c r="I3674" s="90"/>
      <c r="J3674" s="90"/>
      <c r="K3674" s="2"/>
      <c r="L3674" s="49"/>
      <c r="M3674" s="49"/>
      <c r="N3674" s="49"/>
      <c r="O3674" s="49" t="str">
        <f t="shared" si="2"/>
        <v/>
      </c>
      <c r="P3674" s="49" t="str">
        <f t="shared" si="3"/>
        <v/>
      </c>
      <c r="Q3674" s="84"/>
      <c r="R3674" s="84"/>
      <c r="S3674" s="84"/>
      <c r="T3674" s="84"/>
      <c r="U3674" s="84"/>
      <c r="V3674" s="84"/>
      <c r="W3674" s="84"/>
      <c r="X3674" s="84"/>
      <c r="Y3674" s="84"/>
      <c r="Z3674" s="84"/>
      <c r="AA3674" s="84"/>
      <c r="AB3674" s="84"/>
    </row>
    <row r="3675">
      <c r="A3675" s="89"/>
      <c r="B3675" s="89"/>
      <c r="C3675" s="89"/>
      <c r="D3675" s="89"/>
      <c r="E3675" s="89"/>
      <c r="F3675" s="89"/>
      <c r="G3675" s="89"/>
      <c r="H3675" s="2"/>
      <c r="I3675" s="90"/>
      <c r="J3675" s="90"/>
      <c r="K3675" s="2"/>
      <c r="L3675" s="48"/>
      <c r="M3675" s="48"/>
      <c r="N3675" s="48"/>
      <c r="O3675" s="48" t="str">
        <f t="shared" si="2"/>
        <v/>
      </c>
      <c r="P3675" s="48" t="str">
        <f t="shared" si="3"/>
        <v/>
      </c>
      <c r="Q3675" s="84"/>
      <c r="R3675" s="84"/>
      <c r="S3675" s="84"/>
      <c r="T3675" s="84"/>
      <c r="U3675" s="84"/>
      <c r="V3675" s="84"/>
      <c r="W3675" s="84"/>
      <c r="X3675" s="84"/>
      <c r="Y3675" s="84"/>
      <c r="Z3675" s="84"/>
      <c r="AA3675" s="84"/>
      <c r="AB3675" s="84"/>
    </row>
    <row r="3676">
      <c r="A3676" s="89"/>
      <c r="B3676" s="89"/>
      <c r="C3676" s="89"/>
      <c r="D3676" s="89"/>
      <c r="E3676" s="89"/>
      <c r="F3676" s="89"/>
      <c r="G3676" s="89"/>
      <c r="H3676" s="2"/>
      <c r="I3676" s="90"/>
      <c r="J3676" s="90"/>
      <c r="K3676" s="2"/>
      <c r="L3676" s="49"/>
      <c r="M3676" s="49"/>
      <c r="N3676" s="49"/>
      <c r="O3676" s="49" t="str">
        <f t="shared" si="2"/>
        <v/>
      </c>
      <c r="P3676" s="49" t="str">
        <f t="shared" si="3"/>
        <v/>
      </c>
      <c r="Q3676" s="84"/>
      <c r="R3676" s="84"/>
      <c r="S3676" s="84"/>
      <c r="T3676" s="84"/>
      <c r="U3676" s="84"/>
      <c r="V3676" s="84"/>
      <c r="W3676" s="84"/>
      <c r="X3676" s="84"/>
      <c r="Y3676" s="84"/>
      <c r="Z3676" s="84"/>
      <c r="AA3676" s="84"/>
      <c r="AB3676" s="84"/>
    </row>
    <row r="3677">
      <c r="A3677" s="89"/>
      <c r="B3677" s="89"/>
      <c r="C3677" s="89"/>
      <c r="D3677" s="89"/>
      <c r="E3677" s="89"/>
      <c r="F3677" s="89"/>
      <c r="G3677" s="89"/>
      <c r="H3677" s="2"/>
      <c r="I3677" s="90"/>
      <c r="J3677" s="90"/>
      <c r="K3677" s="2"/>
      <c r="L3677" s="48"/>
      <c r="M3677" s="48"/>
      <c r="N3677" s="48"/>
      <c r="O3677" s="48" t="str">
        <f t="shared" si="2"/>
        <v/>
      </c>
      <c r="P3677" s="48" t="str">
        <f t="shared" si="3"/>
        <v/>
      </c>
      <c r="Q3677" s="84"/>
      <c r="R3677" s="84"/>
      <c r="S3677" s="84"/>
      <c r="T3677" s="84"/>
      <c r="U3677" s="84"/>
      <c r="V3677" s="84"/>
      <c r="W3677" s="84"/>
      <c r="X3677" s="84"/>
      <c r="Y3677" s="84"/>
      <c r="Z3677" s="84"/>
      <c r="AA3677" s="84"/>
      <c r="AB3677" s="84"/>
    </row>
    <row r="3678">
      <c r="A3678" s="89"/>
      <c r="B3678" s="89"/>
      <c r="C3678" s="89"/>
      <c r="D3678" s="89"/>
      <c r="E3678" s="89"/>
      <c r="F3678" s="89"/>
      <c r="G3678" s="89"/>
      <c r="H3678" s="2"/>
      <c r="I3678" s="90"/>
      <c r="J3678" s="90"/>
      <c r="K3678" s="2"/>
      <c r="L3678" s="49"/>
      <c r="M3678" s="49"/>
      <c r="N3678" s="49"/>
      <c r="O3678" s="49" t="str">
        <f t="shared" si="2"/>
        <v/>
      </c>
      <c r="P3678" s="49" t="str">
        <f t="shared" si="3"/>
        <v/>
      </c>
      <c r="Q3678" s="84"/>
      <c r="R3678" s="84"/>
      <c r="S3678" s="84"/>
      <c r="T3678" s="84"/>
      <c r="U3678" s="84"/>
      <c r="V3678" s="84"/>
      <c r="W3678" s="84"/>
      <c r="X3678" s="84"/>
      <c r="Y3678" s="84"/>
      <c r="Z3678" s="84"/>
      <c r="AA3678" s="84"/>
      <c r="AB3678" s="84"/>
    </row>
    <row r="3679">
      <c r="A3679" s="89"/>
      <c r="B3679" s="89"/>
      <c r="C3679" s="89"/>
      <c r="D3679" s="89"/>
      <c r="E3679" s="89"/>
      <c r="F3679" s="89"/>
      <c r="G3679" s="89"/>
      <c r="H3679" s="2"/>
      <c r="I3679" s="90"/>
      <c r="J3679" s="90"/>
      <c r="K3679" s="2"/>
      <c r="L3679" s="48"/>
      <c r="M3679" s="48"/>
      <c r="N3679" s="48"/>
      <c r="O3679" s="48" t="str">
        <f t="shared" si="2"/>
        <v/>
      </c>
      <c r="P3679" s="48" t="str">
        <f t="shared" si="3"/>
        <v/>
      </c>
      <c r="Q3679" s="84"/>
      <c r="R3679" s="84"/>
      <c r="S3679" s="84"/>
      <c r="T3679" s="84"/>
      <c r="U3679" s="84"/>
      <c r="V3679" s="84"/>
      <c r="W3679" s="84"/>
      <c r="X3679" s="84"/>
      <c r="Y3679" s="84"/>
      <c r="Z3679" s="84"/>
      <c r="AA3679" s="84"/>
      <c r="AB3679" s="84"/>
    </row>
    <row r="3680">
      <c r="A3680" s="89"/>
      <c r="B3680" s="89"/>
      <c r="C3680" s="89"/>
      <c r="D3680" s="89"/>
      <c r="E3680" s="89"/>
      <c r="F3680" s="89"/>
      <c r="G3680" s="89"/>
      <c r="H3680" s="2"/>
      <c r="I3680" s="90"/>
      <c r="J3680" s="90"/>
      <c r="K3680" s="2"/>
      <c r="L3680" s="49"/>
      <c r="M3680" s="49"/>
      <c r="N3680" s="49"/>
      <c r="O3680" s="49" t="str">
        <f t="shared" si="2"/>
        <v/>
      </c>
      <c r="P3680" s="49" t="str">
        <f t="shared" si="3"/>
        <v/>
      </c>
      <c r="Q3680" s="84"/>
      <c r="R3680" s="84"/>
      <c r="S3680" s="84"/>
      <c r="T3680" s="84"/>
      <c r="U3680" s="84"/>
      <c r="V3680" s="84"/>
      <c r="W3680" s="84"/>
      <c r="X3680" s="84"/>
      <c r="Y3680" s="84"/>
      <c r="Z3680" s="84"/>
      <c r="AA3680" s="84"/>
      <c r="AB3680" s="84"/>
    </row>
    <row r="3681">
      <c r="A3681" s="89"/>
      <c r="B3681" s="89"/>
      <c r="C3681" s="89"/>
      <c r="D3681" s="89"/>
      <c r="E3681" s="89"/>
      <c r="F3681" s="89"/>
      <c r="G3681" s="89"/>
      <c r="H3681" s="2"/>
      <c r="I3681" s="90"/>
      <c r="J3681" s="90"/>
      <c r="K3681" s="2"/>
      <c r="L3681" s="48"/>
      <c r="M3681" s="48"/>
      <c r="N3681" s="48"/>
      <c r="O3681" s="48" t="str">
        <f t="shared" si="2"/>
        <v/>
      </c>
      <c r="P3681" s="48" t="str">
        <f t="shared" si="3"/>
        <v/>
      </c>
      <c r="Q3681" s="84"/>
      <c r="R3681" s="84"/>
      <c r="S3681" s="84"/>
      <c r="T3681" s="84"/>
      <c r="U3681" s="84"/>
      <c r="V3681" s="84"/>
      <c r="W3681" s="84"/>
      <c r="X3681" s="84"/>
      <c r="Y3681" s="84"/>
      <c r="Z3681" s="84"/>
      <c r="AA3681" s="84"/>
      <c r="AB3681" s="84"/>
    </row>
    <row r="3682">
      <c r="A3682" s="89"/>
      <c r="B3682" s="89"/>
      <c r="C3682" s="89"/>
      <c r="D3682" s="89"/>
      <c r="E3682" s="89"/>
      <c r="F3682" s="89"/>
      <c r="G3682" s="89"/>
      <c r="H3682" s="2"/>
      <c r="I3682" s="90"/>
      <c r="J3682" s="90"/>
      <c r="K3682" s="2"/>
      <c r="L3682" s="49"/>
      <c r="M3682" s="49"/>
      <c r="N3682" s="49"/>
      <c r="O3682" s="49" t="str">
        <f t="shared" si="2"/>
        <v/>
      </c>
      <c r="P3682" s="49" t="str">
        <f t="shared" si="3"/>
        <v/>
      </c>
      <c r="Q3682" s="84"/>
      <c r="R3682" s="84"/>
      <c r="S3682" s="84"/>
      <c r="T3682" s="84"/>
      <c r="U3682" s="84"/>
      <c r="V3682" s="84"/>
      <c r="W3682" s="84"/>
      <c r="X3682" s="84"/>
      <c r="Y3682" s="84"/>
      <c r="Z3682" s="84"/>
      <c r="AA3682" s="84"/>
      <c r="AB3682" s="84"/>
    </row>
    <row r="3683">
      <c r="A3683" s="89"/>
      <c r="B3683" s="89"/>
      <c r="C3683" s="89"/>
      <c r="D3683" s="89"/>
      <c r="E3683" s="89"/>
      <c r="F3683" s="89"/>
      <c r="G3683" s="89"/>
      <c r="H3683" s="2"/>
      <c r="I3683" s="90"/>
      <c r="J3683" s="90"/>
      <c r="K3683" s="2"/>
      <c r="L3683" s="48"/>
      <c r="M3683" s="48"/>
      <c r="N3683" s="48"/>
      <c r="O3683" s="48" t="str">
        <f t="shared" si="2"/>
        <v/>
      </c>
      <c r="P3683" s="48" t="str">
        <f t="shared" si="3"/>
        <v/>
      </c>
      <c r="Q3683" s="84"/>
      <c r="R3683" s="84"/>
      <c r="S3683" s="84"/>
      <c r="T3683" s="84"/>
      <c r="U3683" s="84"/>
      <c r="V3683" s="84"/>
      <c r="W3683" s="84"/>
      <c r="X3683" s="84"/>
      <c r="Y3683" s="84"/>
      <c r="Z3683" s="84"/>
      <c r="AA3683" s="84"/>
      <c r="AB3683" s="84"/>
    </row>
    <row r="3684">
      <c r="A3684" s="89"/>
      <c r="B3684" s="89"/>
      <c r="C3684" s="89"/>
      <c r="D3684" s="89"/>
      <c r="E3684" s="89"/>
      <c r="F3684" s="89"/>
      <c r="G3684" s="89"/>
      <c r="H3684" s="2"/>
      <c r="I3684" s="90"/>
      <c r="J3684" s="90"/>
      <c r="K3684" s="2"/>
      <c r="L3684" s="49"/>
      <c r="M3684" s="49"/>
      <c r="N3684" s="49"/>
      <c r="O3684" s="49" t="str">
        <f t="shared" si="2"/>
        <v/>
      </c>
      <c r="P3684" s="49" t="str">
        <f t="shared" si="3"/>
        <v/>
      </c>
      <c r="Q3684" s="84"/>
      <c r="R3684" s="84"/>
      <c r="S3684" s="84"/>
      <c r="T3684" s="84"/>
      <c r="U3684" s="84"/>
      <c r="V3684" s="84"/>
      <c r="W3684" s="84"/>
      <c r="X3684" s="84"/>
      <c r="Y3684" s="84"/>
      <c r="Z3684" s="84"/>
      <c r="AA3684" s="84"/>
      <c r="AB3684" s="84"/>
    </row>
    <row r="3685">
      <c r="A3685" s="89"/>
      <c r="B3685" s="89"/>
      <c r="C3685" s="89"/>
      <c r="D3685" s="89"/>
      <c r="E3685" s="89"/>
      <c r="F3685" s="89"/>
      <c r="G3685" s="89"/>
      <c r="H3685" s="2"/>
      <c r="I3685" s="90"/>
      <c r="J3685" s="90"/>
      <c r="K3685" s="2"/>
      <c r="L3685" s="48"/>
      <c r="M3685" s="48"/>
      <c r="N3685" s="48"/>
      <c r="O3685" s="48" t="str">
        <f t="shared" si="2"/>
        <v/>
      </c>
      <c r="P3685" s="48" t="str">
        <f t="shared" si="3"/>
        <v/>
      </c>
      <c r="Q3685" s="84"/>
      <c r="R3685" s="84"/>
      <c r="S3685" s="84"/>
      <c r="T3685" s="84"/>
      <c r="U3685" s="84"/>
      <c r="V3685" s="84"/>
      <c r="W3685" s="84"/>
      <c r="X3685" s="84"/>
      <c r="Y3685" s="84"/>
      <c r="Z3685" s="84"/>
      <c r="AA3685" s="84"/>
      <c r="AB3685" s="84"/>
    </row>
    <row r="3686">
      <c r="A3686" s="89"/>
      <c r="B3686" s="89"/>
      <c r="C3686" s="89"/>
      <c r="D3686" s="89"/>
      <c r="E3686" s="89"/>
      <c r="F3686" s="89"/>
      <c r="G3686" s="89"/>
      <c r="H3686" s="2"/>
      <c r="I3686" s="90"/>
      <c r="J3686" s="90"/>
      <c r="K3686" s="2"/>
      <c r="L3686" s="49"/>
      <c r="M3686" s="49"/>
      <c r="N3686" s="49"/>
      <c r="O3686" s="49" t="str">
        <f t="shared" si="2"/>
        <v/>
      </c>
      <c r="P3686" s="49" t="str">
        <f t="shared" si="3"/>
        <v/>
      </c>
      <c r="Q3686" s="84"/>
      <c r="R3686" s="84"/>
      <c r="S3686" s="84"/>
      <c r="T3686" s="84"/>
      <c r="U3686" s="84"/>
      <c r="V3686" s="84"/>
      <c r="W3686" s="84"/>
      <c r="X3686" s="84"/>
      <c r="Y3686" s="84"/>
      <c r="Z3686" s="84"/>
      <c r="AA3686" s="84"/>
      <c r="AB3686" s="84"/>
    </row>
    <row r="3687">
      <c r="A3687" s="89"/>
      <c r="B3687" s="89"/>
      <c r="C3687" s="89"/>
      <c r="D3687" s="89"/>
      <c r="E3687" s="89"/>
      <c r="F3687" s="89"/>
      <c r="G3687" s="89"/>
      <c r="H3687" s="2"/>
      <c r="I3687" s="90"/>
      <c r="J3687" s="90"/>
      <c r="K3687" s="2"/>
      <c r="L3687" s="48"/>
      <c r="M3687" s="48"/>
      <c r="N3687" s="48"/>
      <c r="O3687" s="48" t="str">
        <f t="shared" si="2"/>
        <v/>
      </c>
      <c r="P3687" s="48" t="str">
        <f t="shared" si="3"/>
        <v/>
      </c>
      <c r="Q3687" s="84"/>
      <c r="R3687" s="84"/>
      <c r="S3687" s="84"/>
      <c r="T3687" s="84"/>
      <c r="U3687" s="84"/>
      <c r="V3687" s="84"/>
      <c r="W3687" s="84"/>
      <c r="X3687" s="84"/>
      <c r="Y3687" s="84"/>
      <c r="Z3687" s="84"/>
      <c r="AA3687" s="84"/>
      <c r="AB3687" s="84"/>
    </row>
    <row r="3688">
      <c r="A3688" s="89"/>
      <c r="B3688" s="89"/>
      <c r="C3688" s="89"/>
      <c r="D3688" s="89"/>
      <c r="E3688" s="89"/>
      <c r="F3688" s="89"/>
      <c r="G3688" s="89"/>
      <c r="H3688" s="2"/>
      <c r="I3688" s="90"/>
      <c r="J3688" s="90"/>
      <c r="K3688" s="2"/>
      <c r="L3688" s="49"/>
      <c r="M3688" s="49"/>
      <c r="N3688" s="49"/>
      <c r="O3688" s="49" t="str">
        <f t="shared" si="2"/>
        <v/>
      </c>
      <c r="P3688" s="49" t="str">
        <f t="shared" si="3"/>
        <v/>
      </c>
      <c r="Q3688" s="84"/>
      <c r="R3688" s="84"/>
      <c r="S3688" s="84"/>
      <c r="T3688" s="84"/>
      <c r="U3688" s="84"/>
      <c r="V3688" s="84"/>
      <c r="W3688" s="84"/>
      <c r="X3688" s="84"/>
      <c r="Y3688" s="84"/>
      <c r="Z3688" s="84"/>
      <c r="AA3688" s="84"/>
      <c r="AB3688" s="84"/>
    </row>
    <row r="3689">
      <c r="A3689" s="89"/>
      <c r="B3689" s="89"/>
      <c r="C3689" s="89"/>
      <c r="D3689" s="89"/>
      <c r="E3689" s="89"/>
      <c r="F3689" s="89"/>
      <c r="G3689" s="89"/>
      <c r="H3689" s="2"/>
      <c r="I3689" s="90"/>
      <c r="J3689" s="90"/>
      <c r="K3689" s="2"/>
      <c r="L3689" s="48"/>
      <c r="M3689" s="48"/>
      <c r="N3689" s="48"/>
      <c r="O3689" s="48" t="str">
        <f t="shared" si="2"/>
        <v/>
      </c>
      <c r="P3689" s="48" t="str">
        <f t="shared" si="3"/>
        <v/>
      </c>
      <c r="Q3689" s="84"/>
      <c r="R3689" s="84"/>
      <c r="S3689" s="84"/>
      <c r="T3689" s="84"/>
      <c r="U3689" s="84"/>
      <c r="V3689" s="84"/>
      <c r="W3689" s="84"/>
      <c r="X3689" s="84"/>
      <c r="Y3689" s="84"/>
      <c r="Z3689" s="84"/>
      <c r="AA3689" s="84"/>
      <c r="AB3689" s="84"/>
    </row>
    <row r="3690">
      <c r="A3690" s="89"/>
      <c r="B3690" s="89"/>
      <c r="C3690" s="89"/>
      <c r="D3690" s="89"/>
      <c r="E3690" s="89"/>
      <c r="F3690" s="89"/>
      <c r="G3690" s="89"/>
      <c r="H3690" s="2"/>
      <c r="I3690" s="90"/>
      <c r="J3690" s="90"/>
      <c r="K3690" s="2"/>
      <c r="L3690" s="49"/>
      <c r="M3690" s="49"/>
      <c r="N3690" s="49"/>
      <c r="O3690" s="49" t="str">
        <f t="shared" si="2"/>
        <v/>
      </c>
      <c r="P3690" s="49" t="str">
        <f t="shared" si="3"/>
        <v/>
      </c>
      <c r="Q3690" s="84"/>
      <c r="R3690" s="84"/>
      <c r="S3690" s="84"/>
      <c r="T3690" s="84"/>
      <c r="U3690" s="84"/>
      <c r="V3690" s="84"/>
      <c r="W3690" s="84"/>
      <c r="X3690" s="84"/>
      <c r="Y3690" s="84"/>
      <c r="Z3690" s="84"/>
      <c r="AA3690" s="84"/>
      <c r="AB3690" s="84"/>
    </row>
    <row r="3691">
      <c r="A3691" s="89"/>
      <c r="B3691" s="89"/>
      <c r="C3691" s="89"/>
      <c r="D3691" s="89"/>
      <c r="E3691" s="89"/>
      <c r="F3691" s="89"/>
      <c r="G3691" s="89"/>
      <c r="H3691" s="2"/>
      <c r="I3691" s="90"/>
      <c r="J3691" s="90"/>
      <c r="K3691" s="2"/>
      <c r="L3691" s="48"/>
      <c r="M3691" s="48"/>
      <c r="N3691" s="48"/>
      <c r="O3691" s="48" t="str">
        <f t="shared" si="2"/>
        <v/>
      </c>
      <c r="P3691" s="48" t="str">
        <f t="shared" si="3"/>
        <v/>
      </c>
      <c r="Q3691" s="84"/>
      <c r="R3691" s="84"/>
      <c r="S3691" s="84"/>
      <c r="T3691" s="84"/>
      <c r="U3691" s="84"/>
      <c r="V3691" s="84"/>
      <c r="W3691" s="84"/>
      <c r="X3691" s="84"/>
      <c r="Y3691" s="84"/>
      <c r="Z3691" s="84"/>
      <c r="AA3691" s="84"/>
      <c r="AB3691" s="84"/>
    </row>
    <row r="3692">
      <c r="A3692" s="89"/>
      <c r="B3692" s="89"/>
      <c r="C3692" s="89"/>
      <c r="D3692" s="89"/>
      <c r="E3692" s="89"/>
      <c r="F3692" s="89"/>
      <c r="G3692" s="89"/>
      <c r="H3692" s="2"/>
      <c r="I3692" s="90"/>
      <c r="J3692" s="90"/>
      <c r="K3692" s="2"/>
      <c r="L3692" s="49"/>
      <c r="M3692" s="49"/>
      <c r="N3692" s="49"/>
      <c r="O3692" s="49" t="str">
        <f t="shared" si="2"/>
        <v/>
      </c>
      <c r="P3692" s="49" t="str">
        <f t="shared" si="3"/>
        <v/>
      </c>
      <c r="Q3692" s="84"/>
      <c r="R3692" s="84"/>
      <c r="S3692" s="84"/>
      <c r="T3692" s="84"/>
      <c r="U3692" s="84"/>
      <c r="V3692" s="84"/>
      <c r="W3692" s="84"/>
      <c r="X3692" s="84"/>
      <c r="Y3692" s="84"/>
      <c r="Z3692" s="84"/>
      <c r="AA3692" s="84"/>
      <c r="AB3692" s="84"/>
    </row>
    <row r="3693">
      <c r="A3693" s="89"/>
      <c r="B3693" s="89"/>
      <c r="C3693" s="89"/>
      <c r="D3693" s="89"/>
      <c r="E3693" s="89"/>
      <c r="F3693" s="89"/>
      <c r="G3693" s="89"/>
      <c r="H3693" s="2"/>
      <c r="I3693" s="90"/>
      <c r="J3693" s="90"/>
      <c r="K3693" s="2"/>
      <c r="L3693" s="48"/>
      <c r="M3693" s="48"/>
      <c r="N3693" s="48"/>
      <c r="O3693" s="48" t="str">
        <f t="shared" si="2"/>
        <v/>
      </c>
      <c r="P3693" s="48" t="str">
        <f t="shared" si="3"/>
        <v/>
      </c>
      <c r="Q3693" s="84"/>
      <c r="R3693" s="84"/>
      <c r="S3693" s="84"/>
      <c r="T3693" s="84"/>
      <c r="U3693" s="84"/>
      <c r="V3693" s="84"/>
      <c r="W3693" s="84"/>
      <c r="X3693" s="84"/>
      <c r="Y3693" s="84"/>
      <c r="Z3693" s="84"/>
      <c r="AA3693" s="84"/>
      <c r="AB3693" s="84"/>
    </row>
    <row r="3694">
      <c r="A3694" s="89"/>
      <c r="B3694" s="89"/>
      <c r="C3694" s="89"/>
      <c r="D3694" s="89"/>
      <c r="E3694" s="89"/>
      <c r="F3694" s="89"/>
      <c r="G3694" s="89"/>
      <c r="H3694" s="2"/>
      <c r="I3694" s="90"/>
      <c r="J3694" s="90"/>
      <c r="K3694" s="2"/>
      <c r="L3694" s="49"/>
      <c r="M3694" s="49"/>
      <c r="N3694" s="49"/>
      <c r="O3694" s="49" t="str">
        <f t="shared" si="2"/>
        <v/>
      </c>
      <c r="P3694" s="49" t="str">
        <f t="shared" si="3"/>
        <v/>
      </c>
      <c r="Q3694" s="84"/>
      <c r="R3694" s="84"/>
      <c r="S3694" s="84"/>
      <c r="T3694" s="84"/>
      <c r="U3694" s="84"/>
      <c r="V3694" s="84"/>
      <c r="W3694" s="84"/>
      <c r="X3694" s="84"/>
      <c r="Y3694" s="84"/>
      <c r="Z3694" s="84"/>
      <c r="AA3694" s="84"/>
      <c r="AB3694" s="84"/>
    </row>
    <row r="3695">
      <c r="A3695" s="89"/>
      <c r="B3695" s="89"/>
      <c r="C3695" s="89"/>
      <c r="D3695" s="89"/>
      <c r="E3695" s="89"/>
      <c r="F3695" s="89"/>
      <c r="G3695" s="89"/>
      <c r="H3695" s="2"/>
      <c r="I3695" s="90"/>
      <c r="J3695" s="90"/>
      <c r="K3695" s="2"/>
      <c r="L3695" s="48"/>
      <c r="M3695" s="48"/>
      <c r="N3695" s="48"/>
      <c r="O3695" s="48" t="str">
        <f t="shared" si="2"/>
        <v/>
      </c>
      <c r="P3695" s="48" t="str">
        <f t="shared" si="3"/>
        <v/>
      </c>
      <c r="Q3695" s="84"/>
      <c r="R3695" s="84"/>
      <c r="S3695" s="84"/>
      <c r="T3695" s="84"/>
      <c r="U3695" s="84"/>
      <c r="V3695" s="84"/>
      <c r="W3695" s="84"/>
      <c r="X3695" s="84"/>
      <c r="Y3695" s="84"/>
      <c r="Z3695" s="84"/>
      <c r="AA3695" s="84"/>
      <c r="AB3695" s="84"/>
    </row>
    <row r="3696">
      <c r="A3696" s="89"/>
      <c r="B3696" s="89"/>
      <c r="C3696" s="89"/>
      <c r="D3696" s="89"/>
      <c r="E3696" s="89"/>
      <c r="F3696" s="89"/>
      <c r="G3696" s="89"/>
      <c r="H3696" s="2"/>
      <c r="I3696" s="90"/>
      <c r="J3696" s="90"/>
      <c r="K3696" s="2"/>
      <c r="L3696" s="49"/>
      <c r="M3696" s="49"/>
      <c r="N3696" s="49"/>
      <c r="O3696" s="49" t="str">
        <f t="shared" si="2"/>
        <v/>
      </c>
      <c r="P3696" s="49" t="str">
        <f t="shared" si="3"/>
        <v/>
      </c>
      <c r="Q3696" s="84"/>
      <c r="R3696" s="84"/>
      <c r="S3696" s="84"/>
      <c r="T3696" s="84"/>
      <c r="U3696" s="84"/>
      <c r="V3696" s="84"/>
      <c r="W3696" s="84"/>
      <c r="X3696" s="84"/>
      <c r="Y3696" s="84"/>
      <c r="Z3696" s="84"/>
      <c r="AA3696" s="84"/>
      <c r="AB3696" s="84"/>
    </row>
    <row r="3697">
      <c r="A3697" s="89"/>
      <c r="B3697" s="89"/>
      <c r="C3697" s="89"/>
      <c r="D3697" s="89"/>
      <c r="E3697" s="89"/>
      <c r="F3697" s="89"/>
      <c r="G3697" s="89"/>
      <c r="H3697" s="2"/>
      <c r="I3697" s="90"/>
      <c r="J3697" s="90"/>
      <c r="K3697" s="2"/>
      <c r="L3697" s="48"/>
      <c r="M3697" s="48"/>
      <c r="N3697" s="48"/>
      <c r="O3697" s="48" t="str">
        <f t="shared" si="2"/>
        <v/>
      </c>
      <c r="P3697" s="48" t="str">
        <f t="shared" si="3"/>
        <v/>
      </c>
      <c r="Q3697" s="84"/>
      <c r="R3697" s="84"/>
      <c r="S3697" s="84"/>
      <c r="T3697" s="84"/>
      <c r="U3697" s="84"/>
      <c r="V3697" s="84"/>
      <c r="W3697" s="84"/>
      <c r="X3697" s="84"/>
      <c r="Y3697" s="84"/>
      <c r="Z3697" s="84"/>
      <c r="AA3697" s="84"/>
      <c r="AB3697" s="84"/>
    </row>
    <row r="3698">
      <c r="A3698" s="89"/>
      <c r="B3698" s="89"/>
      <c r="C3698" s="89"/>
      <c r="D3698" s="89"/>
      <c r="E3698" s="89"/>
      <c r="F3698" s="89"/>
      <c r="G3698" s="89"/>
      <c r="H3698" s="2"/>
      <c r="I3698" s="90"/>
      <c r="J3698" s="90"/>
      <c r="K3698" s="2"/>
      <c r="L3698" s="49"/>
      <c r="M3698" s="49"/>
      <c r="N3698" s="49"/>
      <c r="O3698" s="49" t="str">
        <f t="shared" si="2"/>
        <v/>
      </c>
      <c r="P3698" s="49" t="str">
        <f t="shared" si="3"/>
        <v/>
      </c>
      <c r="Q3698" s="84"/>
      <c r="R3698" s="84"/>
      <c r="S3698" s="84"/>
      <c r="T3698" s="84"/>
      <c r="U3698" s="84"/>
      <c r="V3698" s="84"/>
      <c r="W3698" s="84"/>
      <c r="X3698" s="84"/>
      <c r="Y3698" s="84"/>
      <c r="Z3698" s="84"/>
      <c r="AA3698" s="84"/>
      <c r="AB3698" s="84"/>
    </row>
    <row r="3699">
      <c r="A3699" s="89"/>
      <c r="B3699" s="89"/>
      <c r="C3699" s="89"/>
      <c r="D3699" s="89"/>
      <c r="E3699" s="89"/>
      <c r="F3699" s="89"/>
      <c r="G3699" s="89"/>
      <c r="H3699" s="2"/>
      <c r="I3699" s="90"/>
      <c r="J3699" s="90"/>
      <c r="K3699" s="2"/>
      <c r="L3699" s="48"/>
      <c r="M3699" s="48"/>
      <c r="N3699" s="48"/>
      <c r="O3699" s="48" t="str">
        <f t="shared" si="2"/>
        <v/>
      </c>
      <c r="P3699" s="48" t="str">
        <f t="shared" si="3"/>
        <v/>
      </c>
      <c r="Q3699" s="84"/>
      <c r="R3699" s="84"/>
      <c r="S3699" s="84"/>
      <c r="T3699" s="84"/>
      <c r="U3699" s="84"/>
      <c r="V3699" s="84"/>
      <c r="W3699" s="84"/>
      <c r="X3699" s="84"/>
      <c r="Y3699" s="84"/>
      <c r="Z3699" s="84"/>
      <c r="AA3699" s="84"/>
      <c r="AB3699" s="84"/>
    </row>
    <row r="3700">
      <c r="A3700" s="89"/>
      <c r="B3700" s="89"/>
      <c r="C3700" s="89"/>
      <c r="D3700" s="89"/>
      <c r="E3700" s="89"/>
      <c r="F3700" s="89"/>
      <c r="G3700" s="89"/>
      <c r="H3700" s="2"/>
      <c r="I3700" s="90"/>
      <c r="J3700" s="90"/>
      <c r="K3700" s="2"/>
      <c r="L3700" s="49"/>
      <c r="M3700" s="49"/>
      <c r="N3700" s="49"/>
      <c r="O3700" s="49" t="str">
        <f t="shared" si="2"/>
        <v/>
      </c>
      <c r="P3700" s="49" t="str">
        <f t="shared" si="3"/>
        <v/>
      </c>
      <c r="Q3700" s="84"/>
      <c r="R3700" s="84"/>
      <c r="S3700" s="84"/>
      <c r="T3700" s="84"/>
      <c r="U3700" s="84"/>
      <c r="V3700" s="84"/>
      <c r="W3700" s="84"/>
      <c r="X3700" s="84"/>
      <c r="Y3700" s="84"/>
      <c r="Z3700" s="84"/>
      <c r="AA3700" s="84"/>
      <c r="AB3700" s="84"/>
    </row>
    <row r="3701">
      <c r="A3701" s="89"/>
      <c r="B3701" s="89"/>
      <c r="C3701" s="89"/>
      <c r="D3701" s="89"/>
      <c r="E3701" s="89"/>
      <c r="F3701" s="89"/>
      <c r="G3701" s="89"/>
      <c r="H3701" s="2"/>
      <c r="I3701" s="90"/>
      <c r="J3701" s="90"/>
      <c r="K3701" s="2"/>
      <c r="L3701" s="48"/>
      <c r="M3701" s="48"/>
      <c r="N3701" s="48"/>
      <c r="O3701" s="48" t="str">
        <f t="shared" si="2"/>
        <v/>
      </c>
      <c r="P3701" s="48" t="str">
        <f t="shared" si="3"/>
        <v/>
      </c>
      <c r="Q3701" s="84"/>
      <c r="R3701" s="84"/>
      <c r="S3701" s="84"/>
      <c r="T3701" s="84"/>
      <c r="U3701" s="84"/>
      <c r="V3701" s="84"/>
      <c r="W3701" s="84"/>
      <c r="X3701" s="84"/>
      <c r="Y3701" s="84"/>
      <c r="Z3701" s="84"/>
      <c r="AA3701" s="84"/>
      <c r="AB3701" s="84"/>
    </row>
    <row r="3702">
      <c r="A3702" s="89"/>
      <c r="B3702" s="89"/>
      <c r="C3702" s="89"/>
      <c r="D3702" s="89"/>
      <c r="E3702" s="89"/>
      <c r="F3702" s="89"/>
      <c r="G3702" s="89"/>
      <c r="H3702" s="2"/>
      <c r="I3702" s="90"/>
      <c r="J3702" s="90"/>
      <c r="K3702" s="2"/>
      <c r="L3702" s="49"/>
      <c r="M3702" s="49"/>
      <c r="N3702" s="49"/>
      <c r="O3702" s="49" t="str">
        <f t="shared" si="2"/>
        <v/>
      </c>
      <c r="P3702" s="49" t="str">
        <f t="shared" si="3"/>
        <v/>
      </c>
      <c r="Q3702" s="84"/>
      <c r="R3702" s="84"/>
      <c r="S3702" s="84"/>
      <c r="T3702" s="84"/>
      <c r="U3702" s="84"/>
      <c r="V3702" s="84"/>
      <c r="W3702" s="84"/>
      <c r="X3702" s="84"/>
      <c r="Y3702" s="84"/>
      <c r="Z3702" s="84"/>
      <c r="AA3702" s="84"/>
      <c r="AB3702" s="84"/>
    </row>
    <row r="3703">
      <c r="A3703" s="89"/>
      <c r="B3703" s="89"/>
      <c r="C3703" s="89"/>
      <c r="D3703" s="89"/>
      <c r="E3703" s="89"/>
      <c r="F3703" s="89"/>
      <c r="G3703" s="89"/>
      <c r="H3703" s="2"/>
      <c r="I3703" s="90"/>
      <c r="J3703" s="90"/>
      <c r="K3703" s="2"/>
      <c r="L3703" s="48"/>
      <c r="M3703" s="48"/>
      <c r="N3703" s="48"/>
      <c r="O3703" s="48" t="str">
        <f t="shared" si="2"/>
        <v/>
      </c>
      <c r="P3703" s="48" t="str">
        <f t="shared" si="3"/>
        <v/>
      </c>
      <c r="Q3703" s="84"/>
      <c r="R3703" s="84"/>
      <c r="S3703" s="84"/>
      <c r="T3703" s="84"/>
      <c r="U3703" s="84"/>
      <c r="V3703" s="84"/>
      <c r="W3703" s="84"/>
      <c r="X3703" s="84"/>
      <c r="Y3703" s="84"/>
      <c r="Z3703" s="84"/>
      <c r="AA3703" s="84"/>
      <c r="AB3703" s="84"/>
    </row>
    <row r="3704">
      <c r="A3704" s="89"/>
      <c r="B3704" s="89"/>
      <c r="C3704" s="89"/>
      <c r="D3704" s="89"/>
      <c r="E3704" s="89"/>
      <c r="F3704" s="89"/>
      <c r="G3704" s="89"/>
      <c r="H3704" s="2"/>
      <c r="I3704" s="90"/>
      <c r="J3704" s="90"/>
      <c r="K3704" s="2"/>
      <c r="L3704" s="49"/>
      <c r="M3704" s="49"/>
      <c r="N3704" s="49"/>
      <c r="O3704" s="49" t="str">
        <f t="shared" si="2"/>
        <v/>
      </c>
      <c r="P3704" s="49" t="str">
        <f t="shared" si="3"/>
        <v/>
      </c>
      <c r="Q3704" s="84"/>
      <c r="R3704" s="84"/>
      <c r="S3704" s="84"/>
      <c r="T3704" s="84"/>
      <c r="U3704" s="84"/>
      <c r="V3704" s="84"/>
      <c r="W3704" s="84"/>
      <c r="X3704" s="84"/>
      <c r="Y3704" s="84"/>
      <c r="Z3704" s="84"/>
      <c r="AA3704" s="84"/>
      <c r="AB3704" s="84"/>
    </row>
    <row r="3705">
      <c r="A3705" s="89"/>
      <c r="B3705" s="89"/>
      <c r="C3705" s="89"/>
      <c r="D3705" s="89"/>
      <c r="E3705" s="89"/>
      <c r="F3705" s="89"/>
      <c r="G3705" s="89"/>
      <c r="H3705" s="2"/>
      <c r="I3705" s="90"/>
      <c r="J3705" s="90"/>
      <c r="K3705" s="2"/>
      <c r="L3705" s="48"/>
      <c r="M3705" s="48"/>
      <c r="N3705" s="48"/>
      <c r="O3705" s="48" t="str">
        <f t="shared" si="2"/>
        <v/>
      </c>
      <c r="P3705" s="48" t="str">
        <f t="shared" si="3"/>
        <v/>
      </c>
      <c r="Q3705" s="84"/>
      <c r="R3705" s="84"/>
      <c r="S3705" s="84"/>
      <c r="T3705" s="84"/>
      <c r="U3705" s="84"/>
      <c r="V3705" s="84"/>
      <c r="W3705" s="84"/>
      <c r="X3705" s="84"/>
      <c r="Y3705" s="84"/>
      <c r="Z3705" s="84"/>
      <c r="AA3705" s="84"/>
      <c r="AB3705" s="84"/>
    </row>
    <row r="3706">
      <c r="A3706" s="89"/>
      <c r="B3706" s="89"/>
      <c r="C3706" s="89"/>
      <c r="D3706" s="89"/>
      <c r="E3706" s="89"/>
      <c r="F3706" s="89"/>
      <c r="G3706" s="89"/>
      <c r="H3706" s="2"/>
      <c r="I3706" s="90"/>
      <c r="J3706" s="90"/>
      <c r="K3706" s="2"/>
      <c r="L3706" s="49"/>
      <c r="M3706" s="49"/>
      <c r="N3706" s="49"/>
      <c r="O3706" s="49" t="str">
        <f t="shared" si="2"/>
        <v/>
      </c>
      <c r="P3706" s="49" t="str">
        <f t="shared" si="3"/>
        <v/>
      </c>
      <c r="Q3706" s="84"/>
      <c r="R3706" s="84"/>
      <c r="S3706" s="84"/>
      <c r="T3706" s="84"/>
      <c r="U3706" s="84"/>
      <c r="V3706" s="84"/>
      <c r="W3706" s="84"/>
      <c r="X3706" s="84"/>
      <c r="Y3706" s="84"/>
      <c r="Z3706" s="84"/>
      <c r="AA3706" s="84"/>
      <c r="AB3706" s="84"/>
    </row>
    <row r="3707">
      <c r="A3707" s="89"/>
      <c r="B3707" s="89"/>
      <c r="C3707" s="89"/>
      <c r="D3707" s="89"/>
      <c r="E3707" s="89"/>
      <c r="F3707" s="89"/>
      <c r="G3707" s="89"/>
      <c r="H3707" s="2"/>
      <c r="I3707" s="90"/>
      <c r="J3707" s="90"/>
      <c r="K3707" s="2"/>
      <c r="L3707" s="48"/>
      <c r="M3707" s="48"/>
      <c r="N3707" s="48"/>
      <c r="O3707" s="48" t="str">
        <f t="shared" si="2"/>
        <v/>
      </c>
      <c r="P3707" s="48" t="str">
        <f t="shared" si="3"/>
        <v/>
      </c>
      <c r="Q3707" s="84"/>
      <c r="R3707" s="84"/>
      <c r="S3707" s="84"/>
      <c r="T3707" s="84"/>
      <c r="U3707" s="84"/>
      <c r="V3707" s="84"/>
      <c r="W3707" s="84"/>
      <c r="X3707" s="84"/>
      <c r="Y3707" s="84"/>
      <c r="Z3707" s="84"/>
      <c r="AA3707" s="84"/>
      <c r="AB3707" s="84"/>
    </row>
    <row r="3708">
      <c r="A3708" s="89"/>
      <c r="B3708" s="89"/>
      <c r="C3708" s="89"/>
      <c r="D3708" s="89"/>
      <c r="E3708" s="89"/>
      <c r="F3708" s="89"/>
      <c r="G3708" s="89"/>
      <c r="H3708" s="2"/>
      <c r="I3708" s="90"/>
      <c r="J3708" s="90"/>
      <c r="K3708" s="2"/>
      <c r="L3708" s="49"/>
      <c r="M3708" s="49"/>
      <c r="N3708" s="49"/>
      <c r="O3708" s="49" t="str">
        <f t="shared" si="2"/>
        <v/>
      </c>
      <c r="P3708" s="49" t="str">
        <f t="shared" si="3"/>
        <v/>
      </c>
      <c r="Q3708" s="84"/>
      <c r="R3708" s="84"/>
      <c r="S3708" s="84"/>
      <c r="T3708" s="84"/>
      <c r="U3708" s="84"/>
      <c r="V3708" s="84"/>
      <c r="W3708" s="84"/>
      <c r="X3708" s="84"/>
      <c r="Y3708" s="84"/>
      <c r="Z3708" s="84"/>
      <c r="AA3708" s="84"/>
      <c r="AB3708" s="84"/>
    </row>
    <row r="3709">
      <c r="A3709" s="89"/>
      <c r="B3709" s="89"/>
      <c r="C3709" s="89"/>
      <c r="D3709" s="89"/>
      <c r="E3709" s="89"/>
      <c r="F3709" s="89"/>
      <c r="G3709" s="89"/>
      <c r="H3709" s="2"/>
      <c r="I3709" s="90"/>
      <c r="J3709" s="90"/>
      <c r="K3709" s="2"/>
      <c r="L3709" s="48"/>
      <c r="M3709" s="48"/>
      <c r="N3709" s="48"/>
      <c r="O3709" s="48" t="str">
        <f t="shared" si="2"/>
        <v/>
      </c>
      <c r="P3709" s="48" t="str">
        <f t="shared" si="3"/>
        <v/>
      </c>
      <c r="Q3709" s="84"/>
      <c r="R3709" s="84"/>
      <c r="S3709" s="84"/>
      <c r="T3709" s="84"/>
      <c r="U3709" s="84"/>
      <c r="V3709" s="84"/>
      <c r="W3709" s="84"/>
      <c r="X3709" s="84"/>
      <c r="Y3709" s="84"/>
      <c r="Z3709" s="84"/>
      <c r="AA3709" s="84"/>
      <c r="AB3709" s="84"/>
    </row>
    <row r="3710">
      <c r="A3710" s="89"/>
      <c r="B3710" s="89"/>
      <c r="C3710" s="89"/>
      <c r="D3710" s="89"/>
      <c r="E3710" s="89"/>
      <c r="F3710" s="89"/>
      <c r="G3710" s="89"/>
      <c r="H3710" s="2"/>
      <c r="I3710" s="90"/>
      <c r="J3710" s="90"/>
      <c r="K3710" s="2"/>
      <c r="L3710" s="49"/>
      <c r="M3710" s="49"/>
      <c r="N3710" s="49"/>
      <c r="O3710" s="49" t="str">
        <f t="shared" si="2"/>
        <v/>
      </c>
      <c r="P3710" s="49" t="str">
        <f t="shared" si="3"/>
        <v/>
      </c>
      <c r="Q3710" s="84"/>
      <c r="R3710" s="84"/>
      <c r="S3710" s="84"/>
      <c r="T3710" s="84"/>
      <c r="U3710" s="84"/>
      <c r="V3710" s="84"/>
      <c r="W3710" s="84"/>
      <c r="X3710" s="84"/>
      <c r="Y3710" s="84"/>
      <c r="Z3710" s="84"/>
      <c r="AA3710" s="84"/>
      <c r="AB3710" s="84"/>
    </row>
    <row r="3711">
      <c r="A3711" s="89"/>
      <c r="B3711" s="89"/>
      <c r="C3711" s="89"/>
      <c r="D3711" s="89"/>
      <c r="E3711" s="89"/>
      <c r="F3711" s="89"/>
      <c r="G3711" s="89"/>
      <c r="H3711" s="2"/>
      <c r="I3711" s="90"/>
      <c r="J3711" s="90"/>
      <c r="K3711" s="2"/>
      <c r="L3711" s="48"/>
      <c r="M3711" s="48"/>
      <c r="N3711" s="48"/>
      <c r="O3711" s="48" t="str">
        <f t="shared" si="2"/>
        <v/>
      </c>
      <c r="P3711" s="48" t="str">
        <f t="shared" si="3"/>
        <v/>
      </c>
      <c r="Q3711" s="84"/>
      <c r="R3711" s="84"/>
      <c r="S3711" s="84"/>
      <c r="T3711" s="84"/>
      <c r="U3711" s="84"/>
      <c r="V3711" s="84"/>
      <c r="W3711" s="84"/>
      <c r="X3711" s="84"/>
      <c r="Y3711" s="84"/>
      <c r="Z3711" s="84"/>
      <c r="AA3711" s="84"/>
      <c r="AB3711" s="84"/>
    </row>
    <row r="3712">
      <c r="A3712" s="89"/>
      <c r="B3712" s="89"/>
      <c r="C3712" s="89"/>
      <c r="D3712" s="89"/>
      <c r="E3712" s="89"/>
      <c r="F3712" s="89"/>
      <c r="G3712" s="89"/>
      <c r="H3712" s="2"/>
      <c r="I3712" s="90"/>
      <c r="J3712" s="90"/>
      <c r="K3712" s="2"/>
      <c r="L3712" s="49"/>
      <c r="M3712" s="49"/>
      <c r="N3712" s="49"/>
      <c r="O3712" s="49" t="str">
        <f t="shared" si="2"/>
        <v/>
      </c>
      <c r="P3712" s="49" t="str">
        <f t="shared" si="3"/>
        <v/>
      </c>
      <c r="Q3712" s="84"/>
      <c r="R3712" s="84"/>
      <c r="S3712" s="84"/>
      <c r="T3712" s="84"/>
      <c r="U3712" s="84"/>
      <c r="V3712" s="84"/>
      <c r="W3712" s="84"/>
      <c r="X3712" s="84"/>
      <c r="Y3712" s="84"/>
      <c r="Z3712" s="84"/>
      <c r="AA3712" s="84"/>
      <c r="AB3712" s="84"/>
    </row>
    <row r="3713">
      <c r="A3713" s="89"/>
      <c r="B3713" s="89"/>
      <c r="C3713" s="89"/>
      <c r="D3713" s="89"/>
      <c r="E3713" s="89"/>
      <c r="F3713" s="89"/>
      <c r="G3713" s="89"/>
      <c r="H3713" s="2"/>
      <c r="I3713" s="90"/>
      <c r="J3713" s="90"/>
      <c r="K3713" s="2"/>
      <c r="L3713" s="48"/>
      <c r="M3713" s="48"/>
      <c r="N3713" s="48"/>
      <c r="O3713" s="48" t="str">
        <f t="shared" si="2"/>
        <v/>
      </c>
      <c r="P3713" s="48" t="str">
        <f t="shared" si="3"/>
        <v/>
      </c>
      <c r="Q3713" s="84"/>
      <c r="R3713" s="84"/>
      <c r="S3713" s="84"/>
      <c r="T3713" s="84"/>
      <c r="U3713" s="84"/>
      <c r="V3713" s="84"/>
      <c r="W3713" s="84"/>
      <c r="X3713" s="84"/>
      <c r="Y3713" s="84"/>
      <c r="Z3713" s="84"/>
      <c r="AA3713" s="84"/>
      <c r="AB3713" s="84"/>
    </row>
    <row r="3714">
      <c r="A3714" s="89"/>
      <c r="B3714" s="89"/>
      <c r="C3714" s="89"/>
      <c r="D3714" s="89"/>
      <c r="E3714" s="89"/>
      <c r="F3714" s="89"/>
      <c r="G3714" s="89"/>
      <c r="H3714" s="2"/>
      <c r="I3714" s="90"/>
      <c r="J3714" s="90"/>
      <c r="K3714" s="2"/>
      <c r="L3714" s="49"/>
      <c r="M3714" s="49"/>
      <c r="N3714" s="49"/>
      <c r="O3714" s="49" t="str">
        <f t="shared" si="2"/>
        <v/>
      </c>
      <c r="P3714" s="49" t="str">
        <f t="shared" si="3"/>
        <v/>
      </c>
      <c r="Q3714" s="84"/>
      <c r="R3714" s="84"/>
      <c r="S3714" s="84"/>
      <c r="T3714" s="84"/>
      <c r="U3714" s="84"/>
      <c r="V3714" s="84"/>
      <c r="W3714" s="84"/>
      <c r="X3714" s="84"/>
      <c r="Y3714" s="84"/>
      <c r="Z3714" s="84"/>
      <c r="AA3714" s="84"/>
      <c r="AB3714" s="84"/>
    </row>
    <row r="3715">
      <c r="A3715" s="89"/>
      <c r="B3715" s="89"/>
      <c r="C3715" s="89"/>
      <c r="D3715" s="89"/>
      <c r="E3715" s="89"/>
      <c r="F3715" s="89"/>
      <c r="G3715" s="89"/>
      <c r="H3715" s="2"/>
      <c r="I3715" s="90"/>
      <c r="J3715" s="90"/>
      <c r="K3715" s="2"/>
      <c r="L3715" s="48"/>
      <c r="M3715" s="48"/>
      <c r="N3715" s="48"/>
      <c r="O3715" s="48" t="str">
        <f t="shared" si="2"/>
        <v/>
      </c>
      <c r="P3715" s="48" t="str">
        <f t="shared" si="3"/>
        <v/>
      </c>
      <c r="Q3715" s="84"/>
      <c r="R3715" s="84"/>
      <c r="S3715" s="84"/>
      <c r="T3715" s="84"/>
      <c r="U3715" s="84"/>
      <c r="V3715" s="84"/>
      <c r="W3715" s="84"/>
      <c r="X3715" s="84"/>
      <c r="Y3715" s="84"/>
      <c r="Z3715" s="84"/>
      <c r="AA3715" s="84"/>
      <c r="AB3715" s="84"/>
    </row>
    <row r="3716">
      <c r="A3716" s="89"/>
      <c r="B3716" s="89"/>
      <c r="C3716" s="89"/>
      <c r="D3716" s="89"/>
      <c r="E3716" s="89"/>
      <c r="F3716" s="89"/>
      <c r="G3716" s="89"/>
      <c r="H3716" s="2"/>
      <c r="I3716" s="90"/>
      <c r="J3716" s="90"/>
      <c r="K3716" s="2"/>
      <c r="L3716" s="49"/>
      <c r="M3716" s="49"/>
      <c r="N3716" s="49"/>
      <c r="O3716" s="49" t="str">
        <f t="shared" si="2"/>
        <v/>
      </c>
      <c r="P3716" s="49" t="str">
        <f t="shared" si="3"/>
        <v/>
      </c>
      <c r="Q3716" s="84"/>
      <c r="R3716" s="84"/>
      <c r="S3716" s="84"/>
      <c r="T3716" s="84"/>
      <c r="U3716" s="84"/>
      <c r="V3716" s="84"/>
      <c r="W3716" s="84"/>
      <c r="X3716" s="84"/>
      <c r="Y3716" s="84"/>
      <c r="Z3716" s="84"/>
      <c r="AA3716" s="84"/>
      <c r="AB3716" s="84"/>
    </row>
    <row r="3717">
      <c r="A3717" s="89"/>
      <c r="B3717" s="89"/>
      <c r="C3717" s="89"/>
      <c r="D3717" s="89"/>
      <c r="E3717" s="89"/>
      <c r="F3717" s="89"/>
      <c r="G3717" s="89"/>
      <c r="H3717" s="2"/>
      <c r="I3717" s="90"/>
      <c r="J3717" s="90"/>
      <c r="K3717" s="2"/>
      <c r="L3717" s="48"/>
      <c r="M3717" s="48"/>
      <c r="N3717" s="48"/>
      <c r="O3717" s="48" t="str">
        <f t="shared" si="2"/>
        <v/>
      </c>
      <c r="P3717" s="48" t="str">
        <f t="shared" si="3"/>
        <v/>
      </c>
      <c r="Q3717" s="84"/>
      <c r="R3717" s="84"/>
      <c r="S3717" s="84"/>
      <c r="T3717" s="84"/>
      <c r="U3717" s="84"/>
      <c r="V3717" s="84"/>
      <c r="W3717" s="84"/>
      <c r="X3717" s="84"/>
      <c r="Y3717" s="84"/>
      <c r="Z3717" s="84"/>
      <c r="AA3717" s="84"/>
      <c r="AB3717" s="84"/>
    </row>
    <row r="3718">
      <c r="A3718" s="89"/>
      <c r="B3718" s="89"/>
      <c r="C3718" s="89"/>
      <c r="D3718" s="89"/>
      <c r="E3718" s="89"/>
      <c r="F3718" s="89"/>
      <c r="G3718" s="89"/>
      <c r="H3718" s="2"/>
      <c r="I3718" s="90"/>
      <c r="J3718" s="90"/>
      <c r="K3718" s="2"/>
      <c r="L3718" s="49"/>
      <c r="M3718" s="49"/>
      <c r="N3718" s="49"/>
      <c r="O3718" s="49" t="str">
        <f t="shared" si="2"/>
        <v/>
      </c>
      <c r="P3718" s="49" t="str">
        <f t="shared" si="3"/>
        <v/>
      </c>
      <c r="Q3718" s="84"/>
      <c r="R3718" s="84"/>
      <c r="S3718" s="84"/>
      <c r="T3718" s="84"/>
      <c r="U3718" s="84"/>
      <c r="V3718" s="84"/>
      <c r="W3718" s="84"/>
      <c r="X3718" s="84"/>
      <c r="Y3718" s="84"/>
      <c r="Z3718" s="84"/>
      <c r="AA3718" s="84"/>
      <c r="AB3718" s="84"/>
    </row>
    <row r="3719">
      <c r="A3719" s="89"/>
      <c r="B3719" s="89"/>
      <c r="C3719" s="89"/>
      <c r="D3719" s="89"/>
      <c r="E3719" s="89"/>
      <c r="F3719" s="89"/>
      <c r="G3719" s="89"/>
      <c r="H3719" s="2"/>
      <c r="I3719" s="90"/>
      <c r="J3719" s="90"/>
      <c r="K3719" s="2"/>
      <c r="L3719" s="48"/>
      <c r="M3719" s="48"/>
      <c r="N3719" s="48"/>
      <c r="O3719" s="48" t="str">
        <f t="shared" si="2"/>
        <v/>
      </c>
      <c r="P3719" s="48" t="str">
        <f t="shared" si="3"/>
        <v/>
      </c>
      <c r="Q3719" s="84"/>
      <c r="R3719" s="84"/>
      <c r="S3719" s="84"/>
      <c r="T3719" s="84"/>
      <c r="U3719" s="84"/>
      <c r="V3719" s="84"/>
      <c r="W3719" s="84"/>
      <c r="X3719" s="84"/>
      <c r="Y3719" s="84"/>
      <c r="Z3719" s="84"/>
      <c r="AA3719" s="84"/>
      <c r="AB3719" s="84"/>
    </row>
    <row r="3720">
      <c r="A3720" s="89"/>
      <c r="B3720" s="89"/>
      <c r="C3720" s="89"/>
      <c r="D3720" s="89"/>
      <c r="E3720" s="89"/>
      <c r="F3720" s="89"/>
      <c r="G3720" s="89"/>
      <c r="H3720" s="2"/>
      <c r="I3720" s="90"/>
      <c r="J3720" s="90"/>
      <c r="K3720" s="2"/>
      <c r="L3720" s="49"/>
      <c r="M3720" s="49"/>
      <c r="N3720" s="49"/>
      <c r="O3720" s="49" t="str">
        <f t="shared" si="2"/>
        <v/>
      </c>
      <c r="P3720" s="49" t="str">
        <f t="shared" si="3"/>
        <v/>
      </c>
      <c r="Q3720" s="84"/>
      <c r="R3720" s="84"/>
      <c r="S3720" s="84"/>
      <c r="T3720" s="84"/>
      <c r="U3720" s="84"/>
      <c r="V3720" s="84"/>
      <c r="W3720" s="84"/>
      <c r="X3720" s="84"/>
      <c r="Y3720" s="84"/>
      <c r="Z3720" s="84"/>
      <c r="AA3720" s="84"/>
      <c r="AB3720" s="84"/>
    </row>
    <row r="3721">
      <c r="A3721" s="89"/>
      <c r="B3721" s="89"/>
      <c r="C3721" s="89"/>
      <c r="D3721" s="89"/>
      <c r="E3721" s="89"/>
      <c r="F3721" s="89"/>
      <c r="G3721" s="89"/>
      <c r="H3721" s="2"/>
      <c r="I3721" s="90"/>
      <c r="J3721" s="90"/>
      <c r="K3721" s="2"/>
      <c r="L3721" s="48"/>
      <c r="M3721" s="48"/>
      <c r="N3721" s="48"/>
      <c r="O3721" s="48" t="str">
        <f t="shared" si="2"/>
        <v/>
      </c>
      <c r="P3721" s="48" t="str">
        <f t="shared" si="3"/>
        <v/>
      </c>
      <c r="Q3721" s="84"/>
      <c r="R3721" s="84"/>
      <c r="S3721" s="84"/>
      <c r="T3721" s="84"/>
      <c r="U3721" s="84"/>
      <c r="V3721" s="84"/>
      <c r="W3721" s="84"/>
      <c r="X3721" s="84"/>
      <c r="Y3721" s="84"/>
      <c r="Z3721" s="84"/>
      <c r="AA3721" s="84"/>
      <c r="AB3721" s="84"/>
    </row>
    <row r="3722">
      <c r="A3722" s="89"/>
      <c r="B3722" s="89"/>
      <c r="C3722" s="89"/>
      <c r="D3722" s="89"/>
      <c r="E3722" s="89"/>
      <c r="F3722" s="89"/>
      <c r="G3722" s="89"/>
      <c r="H3722" s="2"/>
      <c r="I3722" s="90"/>
      <c r="J3722" s="90"/>
      <c r="K3722" s="2"/>
      <c r="L3722" s="49"/>
      <c r="M3722" s="49"/>
      <c r="N3722" s="49"/>
      <c r="O3722" s="49" t="str">
        <f t="shared" si="2"/>
        <v/>
      </c>
      <c r="P3722" s="49" t="str">
        <f t="shared" si="3"/>
        <v/>
      </c>
      <c r="Q3722" s="84"/>
      <c r="R3722" s="84"/>
      <c r="S3722" s="84"/>
      <c r="T3722" s="84"/>
      <c r="U3722" s="84"/>
      <c r="V3722" s="84"/>
      <c r="W3722" s="84"/>
      <c r="X3722" s="84"/>
      <c r="Y3722" s="84"/>
      <c r="Z3722" s="84"/>
      <c r="AA3722" s="84"/>
      <c r="AB3722" s="84"/>
    </row>
    <row r="3723">
      <c r="A3723" s="89"/>
      <c r="B3723" s="89"/>
      <c r="C3723" s="89"/>
      <c r="D3723" s="89"/>
      <c r="E3723" s="89"/>
      <c r="F3723" s="89"/>
      <c r="G3723" s="89"/>
      <c r="H3723" s="2"/>
      <c r="I3723" s="90"/>
      <c r="J3723" s="90"/>
      <c r="K3723" s="2"/>
      <c r="L3723" s="48"/>
      <c r="M3723" s="48"/>
      <c r="N3723" s="48"/>
      <c r="O3723" s="48" t="str">
        <f t="shared" si="2"/>
        <v/>
      </c>
      <c r="P3723" s="48" t="str">
        <f t="shared" si="3"/>
        <v/>
      </c>
      <c r="Q3723" s="84"/>
      <c r="R3723" s="84"/>
      <c r="S3723" s="84"/>
      <c r="T3723" s="84"/>
      <c r="U3723" s="84"/>
      <c r="V3723" s="84"/>
      <c r="W3723" s="84"/>
      <c r="X3723" s="84"/>
      <c r="Y3723" s="84"/>
      <c r="Z3723" s="84"/>
      <c r="AA3723" s="84"/>
      <c r="AB3723" s="84"/>
    </row>
    <row r="3724">
      <c r="A3724" s="89"/>
      <c r="B3724" s="89"/>
      <c r="C3724" s="89"/>
      <c r="D3724" s="89"/>
      <c r="E3724" s="89"/>
      <c r="F3724" s="89"/>
      <c r="G3724" s="89"/>
      <c r="H3724" s="2"/>
      <c r="I3724" s="90"/>
      <c r="J3724" s="90"/>
      <c r="K3724" s="2"/>
      <c r="L3724" s="49"/>
      <c r="M3724" s="49"/>
      <c r="N3724" s="49"/>
      <c r="O3724" s="49" t="str">
        <f t="shared" si="2"/>
        <v/>
      </c>
      <c r="P3724" s="49" t="str">
        <f t="shared" si="3"/>
        <v/>
      </c>
      <c r="Q3724" s="84"/>
      <c r="R3724" s="84"/>
      <c r="S3724" s="84"/>
      <c r="T3724" s="84"/>
      <c r="U3724" s="84"/>
      <c r="V3724" s="84"/>
      <c r="W3724" s="84"/>
      <c r="X3724" s="84"/>
      <c r="Y3724" s="84"/>
      <c r="Z3724" s="84"/>
      <c r="AA3724" s="84"/>
      <c r="AB3724" s="84"/>
    </row>
    <row r="3725">
      <c r="A3725" s="89"/>
      <c r="B3725" s="89"/>
      <c r="C3725" s="89"/>
      <c r="D3725" s="89"/>
      <c r="E3725" s="89"/>
      <c r="F3725" s="89"/>
      <c r="G3725" s="89"/>
      <c r="H3725" s="2"/>
      <c r="I3725" s="90"/>
      <c r="J3725" s="90"/>
      <c r="K3725" s="2"/>
      <c r="L3725" s="48"/>
      <c r="M3725" s="48"/>
      <c r="N3725" s="48"/>
      <c r="O3725" s="48" t="str">
        <f t="shared" si="2"/>
        <v/>
      </c>
      <c r="P3725" s="48" t="str">
        <f t="shared" si="3"/>
        <v/>
      </c>
      <c r="Q3725" s="84"/>
      <c r="R3725" s="84"/>
      <c r="S3725" s="84"/>
      <c r="T3725" s="84"/>
      <c r="U3725" s="84"/>
      <c r="V3725" s="84"/>
      <c r="W3725" s="84"/>
      <c r="X3725" s="84"/>
      <c r="Y3725" s="84"/>
      <c r="Z3725" s="84"/>
      <c r="AA3725" s="84"/>
      <c r="AB3725" s="84"/>
    </row>
    <row r="3726">
      <c r="A3726" s="89"/>
      <c r="B3726" s="89"/>
      <c r="C3726" s="89"/>
      <c r="D3726" s="89"/>
      <c r="E3726" s="89"/>
      <c r="F3726" s="89"/>
      <c r="G3726" s="89"/>
      <c r="H3726" s="2"/>
      <c r="I3726" s="90"/>
      <c r="J3726" s="90"/>
      <c r="K3726" s="2"/>
      <c r="L3726" s="49"/>
      <c r="M3726" s="49"/>
      <c r="N3726" s="49"/>
      <c r="O3726" s="49" t="str">
        <f t="shared" si="2"/>
        <v/>
      </c>
      <c r="P3726" s="49" t="str">
        <f t="shared" si="3"/>
        <v/>
      </c>
      <c r="Q3726" s="84"/>
      <c r="R3726" s="84"/>
      <c r="S3726" s="84"/>
      <c r="T3726" s="84"/>
      <c r="U3726" s="84"/>
      <c r="V3726" s="84"/>
      <c r="W3726" s="84"/>
      <c r="X3726" s="84"/>
      <c r="Y3726" s="84"/>
      <c r="Z3726" s="84"/>
      <c r="AA3726" s="84"/>
      <c r="AB3726" s="84"/>
    </row>
    <row r="3727">
      <c r="A3727" s="89"/>
      <c r="B3727" s="89"/>
      <c r="C3727" s="89"/>
      <c r="D3727" s="89"/>
      <c r="E3727" s="89"/>
      <c r="F3727" s="89"/>
      <c r="G3727" s="89"/>
      <c r="H3727" s="2"/>
      <c r="I3727" s="90"/>
      <c r="J3727" s="90"/>
      <c r="K3727" s="2"/>
      <c r="L3727" s="48"/>
      <c r="M3727" s="48"/>
      <c r="N3727" s="48"/>
      <c r="O3727" s="48" t="str">
        <f t="shared" si="2"/>
        <v/>
      </c>
      <c r="P3727" s="48" t="str">
        <f t="shared" si="3"/>
        <v/>
      </c>
      <c r="Q3727" s="84"/>
      <c r="R3727" s="84"/>
      <c r="S3727" s="84"/>
      <c r="T3727" s="84"/>
      <c r="U3727" s="84"/>
      <c r="V3727" s="84"/>
      <c r="W3727" s="84"/>
      <c r="X3727" s="84"/>
      <c r="Y3727" s="84"/>
      <c r="Z3727" s="84"/>
      <c r="AA3727" s="84"/>
      <c r="AB3727" s="84"/>
    </row>
    <row r="3728">
      <c r="A3728" s="89"/>
      <c r="B3728" s="89"/>
      <c r="C3728" s="89"/>
      <c r="D3728" s="89"/>
      <c r="E3728" s="89"/>
      <c r="F3728" s="89"/>
      <c r="G3728" s="89"/>
      <c r="H3728" s="2"/>
      <c r="I3728" s="90"/>
      <c r="J3728" s="90"/>
      <c r="K3728" s="2"/>
      <c r="L3728" s="49"/>
      <c r="M3728" s="49"/>
      <c r="N3728" s="49"/>
      <c r="O3728" s="49" t="str">
        <f t="shared" si="2"/>
        <v/>
      </c>
      <c r="P3728" s="49" t="str">
        <f t="shared" si="3"/>
        <v/>
      </c>
      <c r="Q3728" s="84"/>
      <c r="R3728" s="84"/>
      <c r="S3728" s="84"/>
      <c r="T3728" s="84"/>
      <c r="U3728" s="84"/>
      <c r="V3728" s="84"/>
      <c r="W3728" s="84"/>
      <c r="X3728" s="84"/>
      <c r="Y3728" s="84"/>
      <c r="Z3728" s="84"/>
      <c r="AA3728" s="84"/>
      <c r="AB3728" s="84"/>
    </row>
    <row r="3729">
      <c r="A3729" s="89"/>
      <c r="B3729" s="89"/>
      <c r="C3729" s="89"/>
      <c r="D3729" s="89"/>
      <c r="E3729" s="89"/>
      <c r="F3729" s="89"/>
      <c r="G3729" s="89"/>
      <c r="H3729" s="2"/>
      <c r="I3729" s="90"/>
      <c r="J3729" s="90"/>
      <c r="K3729" s="2"/>
      <c r="L3729" s="48"/>
      <c r="M3729" s="48"/>
      <c r="N3729" s="48"/>
      <c r="O3729" s="48" t="str">
        <f t="shared" si="2"/>
        <v/>
      </c>
      <c r="P3729" s="48" t="str">
        <f t="shared" si="3"/>
        <v/>
      </c>
      <c r="Q3729" s="84"/>
      <c r="R3729" s="84"/>
      <c r="S3729" s="84"/>
      <c r="T3729" s="84"/>
      <c r="U3729" s="84"/>
      <c r="V3729" s="84"/>
      <c r="W3729" s="84"/>
      <c r="X3729" s="84"/>
      <c r="Y3729" s="84"/>
      <c r="Z3729" s="84"/>
      <c r="AA3729" s="84"/>
      <c r="AB3729" s="84"/>
    </row>
    <row r="3730">
      <c r="A3730" s="89"/>
      <c r="B3730" s="89"/>
      <c r="C3730" s="89"/>
      <c r="D3730" s="89"/>
      <c r="E3730" s="89"/>
      <c r="F3730" s="89"/>
      <c r="G3730" s="89"/>
      <c r="H3730" s="2"/>
      <c r="I3730" s="90"/>
      <c r="J3730" s="90"/>
      <c r="K3730" s="2"/>
      <c r="L3730" s="49"/>
      <c r="M3730" s="49"/>
      <c r="N3730" s="49"/>
      <c r="O3730" s="49" t="str">
        <f t="shared" si="2"/>
        <v/>
      </c>
      <c r="P3730" s="49" t="str">
        <f t="shared" si="3"/>
        <v/>
      </c>
      <c r="Q3730" s="84"/>
      <c r="R3730" s="84"/>
      <c r="S3730" s="84"/>
      <c r="T3730" s="84"/>
      <c r="U3730" s="84"/>
      <c r="V3730" s="84"/>
      <c r="W3730" s="84"/>
      <c r="X3730" s="84"/>
      <c r="Y3730" s="84"/>
      <c r="Z3730" s="84"/>
      <c r="AA3730" s="84"/>
      <c r="AB3730" s="84"/>
    </row>
    <row r="3731">
      <c r="A3731" s="89"/>
      <c r="B3731" s="89"/>
      <c r="C3731" s="89"/>
      <c r="D3731" s="89"/>
      <c r="E3731" s="89"/>
      <c r="F3731" s="89"/>
      <c r="G3731" s="89"/>
      <c r="H3731" s="2"/>
      <c r="I3731" s="90"/>
      <c r="J3731" s="90"/>
      <c r="K3731" s="2"/>
      <c r="L3731" s="48"/>
      <c r="M3731" s="48"/>
      <c r="N3731" s="48"/>
      <c r="O3731" s="48" t="str">
        <f t="shared" si="2"/>
        <v/>
      </c>
      <c r="P3731" s="48" t="str">
        <f t="shared" si="3"/>
        <v/>
      </c>
      <c r="Q3731" s="84"/>
      <c r="R3731" s="84"/>
      <c r="S3731" s="84"/>
      <c r="T3731" s="84"/>
      <c r="U3731" s="84"/>
      <c r="V3731" s="84"/>
      <c r="W3731" s="84"/>
      <c r="X3731" s="84"/>
      <c r="Y3731" s="84"/>
      <c r="Z3731" s="84"/>
      <c r="AA3731" s="84"/>
      <c r="AB3731" s="84"/>
    </row>
    <row r="3732">
      <c r="A3732" s="89"/>
      <c r="B3732" s="89"/>
      <c r="C3732" s="89"/>
      <c r="D3732" s="89"/>
      <c r="E3732" s="89"/>
      <c r="F3732" s="89"/>
      <c r="G3732" s="89"/>
      <c r="H3732" s="2"/>
      <c r="I3732" s="90"/>
      <c r="J3732" s="90"/>
      <c r="K3732" s="2"/>
      <c r="L3732" s="49"/>
      <c r="M3732" s="49"/>
      <c r="N3732" s="49"/>
      <c r="O3732" s="49" t="str">
        <f t="shared" si="2"/>
        <v/>
      </c>
      <c r="P3732" s="49" t="str">
        <f t="shared" si="3"/>
        <v/>
      </c>
      <c r="Q3732" s="84"/>
      <c r="R3732" s="84"/>
      <c r="S3732" s="84"/>
      <c r="T3732" s="84"/>
      <c r="U3732" s="84"/>
      <c r="V3732" s="84"/>
      <c r="W3732" s="84"/>
      <c r="X3732" s="84"/>
      <c r="Y3732" s="84"/>
      <c r="Z3732" s="84"/>
      <c r="AA3732" s="84"/>
      <c r="AB3732" s="84"/>
    </row>
    <row r="3733">
      <c r="A3733" s="89"/>
      <c r="B3733" s="89"/>
      <c r="C3733" s="89"/>
      <c r="D3733" s="89"/>
      <c r="E3733" s="89"/>
      <c r="F3733" s="89"/>
      <c r="G3733" s="89"/>
      <c r="H3733" s="2"/>
      <c r="I3733" s="90"/>
      <c r="J3733" s="90"/>
      <c r="K3733" s="2"/>
      <c r="L3733" s="48"/>
      <c r="M3733" s="48"/>
      <c r="N3733" s="48"/>
      <c r="O3733" s="48" t="str">
        <f t="shared" si="2"/>
        <v/>
      </c>
      <c r="P3733" s="48" t="str">
        <f t="shared" si="3"/>
        <v/>
      </c>
      <c r="Q3733" s="84"/>
      <c r="R3733" s="84"/>
      <c r="S3733" s="84"/>
      <c r="T3733" s="84"/>
      <c r="U3733" s="84"/>
      <c r="V3733" s="84"/>
      <c r="W3733" s="84"/>
      <c r="X3733" s="84"/>
      <c r="Y3733" s="84"/>
      <c r="Z3733" s="84"/>
      <c r="AA3733" s="84"/>
      <c r="AB3733" s="84"/>
    </row>
    <row r="3734">
      <c r="A3734" s="89"/>
      <c r="B3734" s="89"/>
      <c r="C3734" s="89"/>
      <c r="D3734" s="89"/>
      <c r="E3734" s="89"/>
      <c r="F3734" s="89"/>
      <c r="G3734" s="89"/>
      <c r="H3734" s="2"/>
      <c r="I3734" s="90"/>
      <c r="J3734" s="90"/>
      <c r="K3734" s="2"/>
      <c r="L3734" s="49"/>
      <c r="M3734" s="49"/>
      <c r="N3734" s="49"/>
      <c r="O3734" s="49" t="str">
        <f t="shared" si="2"/>
        <v/>
      </c>
      <c r="P3734" s="49" t="str">
        <f t="shared" si="3"/>
        <v/>
      </c>
      <c r="Q3734" s="84"/>
      <c r="R3734" s="84"/>
      <c r="S3734" s="84"/>
      <c r="T3734" s="84"/>
      <c r="U3734" s="84"/>
      <c r="V3734" s="84"/>
      <c r="W3734" s="84"/>
      <c r="X3734" s="84"/>
      <c r="Y3734" s="84"/>
      <c r="Z3734" s="84"/>
      <c r="AA3734" s="84"/>
      <c r="AB3734" s="84"/>
    </row>
    <row r="3735">
      <c r="A3735" s="89"/>
      <c r="B3735" s="89"/>
      <c r="C3735" s="89"/>
      <c r="D3735" s="89"/>
      <c r="E3735" s="89"/>
      <c r="F3735" s="89"/>
      <c r="G3735" s="89"/>
      <c r="H3735" s="2"/>
      <c r="I3735" s="90"/>
      <c r="J3735" s="90"/>
      <c r="K3735" s="2"/>
      <c r="L3735" s="48"/>
      <c r="M3735" s="48"/>
      <c r="N3735" s="48"/>
      <c r="O3735" s="48" t="str">
        <f t="shared" si="2"/>
        <v/>
      </c>
      <c r="P3735" s="48" t="str">
        <f t="shared" si="3"/>
        <v/>
      </c>
      <c r="Q3735" s="84"/>
      <c r="R3735" s="84"/>
      <c r="S3735" s="84"/>
      <c r="T3735" s="84"/>
      <c r="U3735" s="84"/>
      <c r="V3735" s="84"/>
      <c r="W3735" s="84"/>
      <c r="X3735" s="84"/>
      <c r="Y3735" s="84"/>
      <c r="Z3735" s="84"/>
      <c r="AA3735" s="84"/>
      <c r="AB3735" s="84"/>
    </row>
    <row r="3736">
      <c r="A3736" s="89"/>
      <c r="B3736" s="89"/>
      <c r="C3736" s="89"/>
      <c r="D3736" s="89"/>
      <c r="E3736" s="89"/>
      <c r="F3736" s="89"/>
      <c r="G3736" s="89"/>
      <c r="H3736" s="2"/>
      <c r="I3736" s="90"/>
      <c r="J3736" s="90"/>
      <c r="K3736" s="2"/>
      <c r="L3736" s="49"/>
      <c r="M3736" s="49"/>
      <c r="N3736" s="49"/>
      <c r="O3736" s="49" t="str">
        <f t="shared" si="2"/>
        <v/>
      </c>
      <c r="P3736" s="49" t="str">
        <f t="shared" si="3"/>
        <v/>
      </c>
      <c r="Q3736" s="84"/>
      <c r="R3736" s="84"/>
      <c r="S3736" s="84"/>
      <c r="T3736" s="84"/>
      <c r="U3736" s="84"/>
      <c r="V3736" s="84"/>
      <c r="W3736" s="84"/>
      <c r="X3736" s="84"/>
      <c r="Y3736" s="84"/>
      <c r="Z3736" s="84"/>
      <c r="AA3736" s="84"/>
      <c r="AB3736" s="84"/>
    </row>
    <row r="3737">
      <c r="A3737" s="89"/>
      <c r="B3737" s="89"/>
      <c r="C3737" s="89"/>
      <c r="D3737" s="89"/>
      <c r="E3737" s="89"/>
      <c r="F3737" s="89"/>
      <c r="G3737" s="89"/>
      <c r="H3737" s="2"/>
      <c r="I3737" s="90"/>
      <c r="J3737" s="90"/>
      <c r="K3737" s="2"/>
      <c r="L3737" s="48"/>
      <c r="M3737" s="48"/>
      <c r="N3737" s="48"/>
      <c r="O3737" s="48" t="str">
        <f t="shared" si="2"/>
        <v/>
      </c>
      <c r="P3737" s="48" t="str">
        <f t="shared" si="3"/>
        <v/>
      </c>
      <c r="Q3737" s="84"/>
      <c r="R3737" s="84"/>
      <c r="S3737" s="84"/>
      <c r="T3737" s="84"/>
      <c r="U3737" s="84"/>
      <c r="V3737" s="84"/>
      <c r="W3737" s="84"/>
      <c r="X3737" s="84"/>
      <c r="Y3737" s="84"/>
      <c r="Z3737" s="84"/>
      <c r="AA3737" s="84"/>
      <c r="AB3737" s="84"/>
    </row>
    <row r="3738">
      <c r="A3738" s="89"/>
      <c r="B3738" s="89"/>
      <c r="C3738" s="89"/>
      <c r="D3738" s="89"/>
      <c r="E3738" s="89"/>
      <c r="F3738" s="89"/>
      <c r="G3738" s="89"/>
      <c r="H3738" s="2"/>
      <c r="I3738" s="90"/>
      <c r="J3738" s="90"/>
      <c r="K3738" s="2"/>
      <c r="L3738" s="49"/>
      <c r="M3738" s="49"/>
      <c r="N3738" s="49"/>
      <c r="O3738" s="49" t="str">
        <f t="shared" si="2"/>
        <v/>
      </c>
      <c r="P3738" s="49" t="str">
        <f t="shared" si="3"/>
        <v/>
      </c>
      <c r="Q3738" s="84"/>
      <c r="R3738" s="84"/>
      <c r="S3738" s="84"/>
      <c r="T3738" s="84"/>
      <c r="U3738" s="84"/>
      <c r="V3738" s="84"/>
      <c r="W3738" s="84"/>
      <c r="X3738" s="84"/>
      <c r="Y3738" s="84"/>
      <c r="Z3738" s="84"/>
      <c r="AA3738" s="84"/>
      <c r="AB3738" s="84"/>
    </row>
    <row r="3739">
      <c r="A3739" s="89"/>
      <c r="B3739" s="89"/>
      <c r="C3739" s="89"/>
      <c r="D3739" s="89"/>
      <c r="E3739" s="89"/>
      <c r="F3739" s="89"/>
      <c r="G3739" s="89"/>
      <c r="H3739" s="2"/>
      <c r="I3739" s="90"/>
      <c r="J3739" s="90"/>
      <c r="K3739" s="2"/>
      <c r="L3739" s="48"/>
      <c r="M3739" s="48"/>
      <c r="N3739" s="48"/>
      <c r="O3739" s="48" t="str">
        <f t="shared" si="2"/>
        <v/>
      </c>
      <c r="P3739" s="48" t="str">
        <f t="shared" si="3"/>
        <v/>
      </c>
      <c r="Q3739" s="84"/>
      <c r="R3739" s="84"/>
      <c r="S3739" s="84"/>
      <c r="T3739" s="84"/>
      <c r="U3739" s="84"/>
      <c r="V3739" s="84"/>
      <c r="W3739" s="84"/>
      <c r="X3739" s="84"/>
      <c r="Y3739" s="84"/>
      <c r="Z3739" s="84"/>
      <c r="AA3739" s="84"/>
      <c r="AB3739" s="84"/>
    </row>
    <row r="3740">
      <c r="A3740" s="89"/>
      <c r="B3740" s="89"/>
      <c r="C3740" s="89"/>
      <c r="D3740" s="89"/>
      <c r="E3740" s="89"/>
      <c r="F3740" s="89"/>
      <c r="G3740" s="89"/>
      <c r="H3740" s="2"/>
      <c r="I3740" s="90"/>
      <c r="J3740" s="90"/>
      <c r="K3740" s="2"/>
      <c r="L3740" s="49"/>
      <c r="M3740" s="49"/>
      <c r="N3740" s="49"/>
      <c r="O3740" s="49" t="str">
        <f t="shared" si="2"/>
        <v/>
      </c>
      <c r="P3740" s="49" t="str">
        <f t="shared" si="3"/>
        <v/>
      </c>
      <c r="Q3740" s="84"/>
      <c r="R3740" s="84"/>
      <c r="S3740" s="84"/>
      <c r="T3740" s="84"/>
      <c r="U3740" s="84"/>
      <c r="V3740" s="84"/>
      <c r="W3740" s="84"/>
      <c r="X3740" s="84"/>
      <c r="Y3740" s="84"/>
      <c r="Z3740" s="84"/>
      <c r="AA3740" s="84"/>
      <c r="AB3740" s="84"/>
    </row>
    <row r="3741">
      <c r="A3741" s="89"/>
      <c r="B3741" s="89"/>
      <c r="C3741" s="89"/>
      <c r="D3741" s="89"/>
      <c r="E3741" s="89"/>
      <c r="F3741" s="89"/>
      <c r="G3741" s="89"/>
      <c r="H3741" s="2"/>
      <c r="I3741" s="90"/>
      <c r="J3741" s="90"/>
      <c r="K3741" s="2"/>
      <c r="L3741" s="48"/>
      <c r="M3741" s="48"/>
      <c r="N3741" s="48"/>
      <c r="O3741" s="48" t="str">
        <f t="shared" si="2"/>
        <v/>
      </c>
      <c r="P3741" s="48" t="str">
        <f t="shared" si="3"/>
        <v/>
      </c>
      <c r="Q3741" s="84"/>
      <c r="R3741" s="84"/>
      <c r="S3741" s="84"/>
      <c r="T3741" s="84"/>
      <c r="U3741" s="84"/>
      <c r="V3741" s="84"/>
      <c r="W3741" s="84"/>
      <c r="X3741" s="84"/>
      <c r="Y3741" s="84"/>
      <c r="Z3741" s="84"/>
      <c r="AA3741" s="84"/>
      <c r="AB3741" s="84"/>
    </row>
    <row r="3742">
      <c r="A3742" s="89"/>
      <c r="B3742" s="89"/>
      <c r="C3742" s="89"/>
      <c r="D3742" s="89"/>
      <c r="E3742" s="89"/>
      <c r="F3742" s="89"/>
      <c r="G3742" s="89"/>
      <c r="H3742" s="2"/>
      <c r="I3742" s="90"/>
      <c r="J3742" s="90"/>
      <c r="K3742" s="2"/>
      <c r="L3742" s="49"/>
      <c r="M3742" s="49"/>
      <c r="N3742" s="49"/>
      <c r="O3742" s="49" t="str">
        <f t="shared" si="2"/>
        <v/>
      </c>
      <c r="P3742" s="49" t="str">
        <f t="shared" si="3"/>
        <v/>
      </c>
      <c r="Q3742" s="84"/>
      <c r="R3742" s="84"/>
      <c r="S3742" s="84"/>
      <c r="T3742" s="84"/>
      <c r="U3742" s="84"/>
      <c r="V3742" s="84"/>
      <c r="W3742" s="84"/>
      <c r="X3742" s="84"/>
      <c r="Y3742" s="84"/>
      <c r="Z3742" s="84"/>
      <c r="AA3742" s="84"/>
      <c r="AB3742" s="84"/>
    </row>
    <row r="3743">
      <c r="A3743" s="89"/>
      <c r="B3743" s="89"/>
      <c r="C3743" s="89"/>
      <c r="D3743" s="89"/>
      <c r="E3743" s="89"/>
      <c r="F3743" s="89"/>
      <c r="G3743" s="89"/>
      <c r="H3743" s="2"/>
      <c r="I3743" s="90"/>
      <c r="J3743" s="90"/>
      <c r="K3743" s="2"/>
      <c r="L3743" s="48"/>
      <c r="M3743" s="48"/>
      <c r="N3743" s="48"/>
      <c r="O3743" s="48" t="str">
        <f t="shared" si="2"/>
        <v/>
      </c>
      <c r="P3743" s="48" t="str">
        <f t="shared" si="3"/>
        <v/>
      </c>
      <c r="Q3743" s="84"/>
      <c r="R3743" s="84"/>
      <c r="S3743" s="84"/>
      <c r="T3743" s="84"/>
      <c r="U3743" s="84"/>
      <c r="V3743" s="84"/>
      <c r="W3743" s="84"/>
      <c r="X3743" s="84"/>
      <c r="Y3743" s="84"/>
      <c r="Z3743" s="84"/>
      <c r="AA3743" s="84"/>
      <c r="AB3743" s="84"/>
    </row>
    <row r="3744">
      <c r="A3744" s="89"/>
      <c r="B3744" s="89"/>
      <c r="C3744" s="89"/>
      <c r="D3744" s="89"/>
      <c r="E3744" s="89"/>
      <c r="F3744" s="89"/>
      <c r="G3744" s="89"/>
      <c r="H3744" s="2"/>
      <c r="I3744" s="90"/>
      <c r="J3744" s="90"/>
      <c r="K3744" s="2"/>
      <c r="L3744" s="49"/>
      <c r="M3744" s="49"/>
      <c r="N3744" s="49"/>
      <c r="O3744" s="49" t="str">
        <f t="shared" si="2"/>
        <v/>
      </c>
      <c r="P3744" s="49" t="str">
        <f t="shared" si="3"/>
        <v/>
      </c>
      <c r="Q3744" s="84"/>
      <c r="R3744" s="84"/>
      <c r="S3744" s="84"/>
      <c r="T3744" s="84"/>
      <c r="U3744" s="84"/>
      <c r="V3744" s="84"/>
      <c r="W3744" s="84"/>
      <c r="X3744" s="84"/>
      <c r="Y3744" s="84"/>
      <c r="Z3744" s="84"/>
      <c r="AA3744" s="84"/>
      <c r="AB3744" s="84"/>
    </row>
    <row r="3745">
      <c r="A3745" s="89"/>
      <c r="B3745" s="89"/>
      <c r="C3745" s="89"/>
      <c r="D3745" s="89"/>
      <c r="E3745" s="89"/>
      <c r="F3745" s="89"/>
      <c r="G3745" s="89"/>
      <c r="H3745" s="2"/>
      <c r="I3745" s="90"/>
      <c r="J3745" s="90"/>
      <c r="K3745" s="2"/>
      <c r="L3745" s="48"/>
      <c r="M3745" s="48"/>
      <c r="N3745" s="48"/>
      <c r="O3745" s="48" t="str">
        <f t="shared" si="2"/>
        <v/>
      </c>
      <c r="P3745" s="48" t="str">
        <f t="shared" si="3"/>
        <v/>
      </c>
      <c r="Q3745" s="84"/>
      <c r="R3745" s="84"/>
      <c r="S3745" s="84"/>
      <c r="T3745" s="84"/>
      <c r="U3745" s="84"/>
      <c r="V3745" s="84"/>
      <c r="W3745" s="84"/>
      <c r="X3745" s="84"/>
      <c r="Y3745" s="84"/>
      <c r="Z3745" s="84"/>
      <c r="AA3745" s="84"/>
      <c r="AB3745" s="84"/>
    </row>
    <row r="3746">
      <c r="A3746" s="89"/>
      <c r="B3746" s="89"/>
      <c r="C3746" s="89"/>
      <c r="D3746" s="89"/>
      <c r="E3746" s="89"/>
      <c r="F3746" s="89"/>
      <c r="G3746" s="89"/>
      <c r="H3746" s="2"/>
      <c r="I3746" s="90"/>
      <c r="J3746" s="90"/>
      <c r="K3746" s="2"/>
      <c r="L3746" s="49"/>
      <c r="M3746" s="49"/>
      <c r="N3746" s="49"/>
      <c r="O3746" s="49" t="str">
        <f t="shared" si="2"/>
        <v/>
      </c>
      <c r="P3746" s="49" t="str">
        <f t="shared" si="3"/>
        <v/>
      </c>
      <c r="Q3746" s="84"/>
      <c r="R3746" s="84"/>
      <c r="S3746" s="84"/>
      <c r="T3746" s="84"/>
      <c r="U3746" s="84"/>
      <c r="V3746" s="84"/>
      <c r="W3746" s="84"/>
      <c r="X3746" s="84"/>
      <c r="Y3746" s="84"/>
      <c r="Z3746" s="84"/>
      <c r="AA3746" s="84"/>
      <c r="AB3746" s="84"/>
    </row>
    <row r="3747">
      <c r="A3747" s="89"/>
      <c r="B3747" s="89"/>
      <c r="C3747" s="89"/>
      <c r="D3747" s="89"/>
      <c r="E3747" s="89"/>
      <c r="F3747" s="89"/>
      <c r="G3747" s="89"/>
      <c r="H3747" s="2"/>
      <c r="I3747" s="90"/>
      <c r="J3747" s="90"/>
      <c r="K3747" s="2"/>
      <c r="L3747" s="48"/>
      <c r="M3747" s="48"/>
      <c r="N3747" s="48"/>
      <c r="O3747" s="48" t="str">
        <f t="shared" si="2"/>
        <v/>
      </c>
      <c r="P3747" s="48" t="str">
        <f t="shared" si="3"/>
        <v/>
      </c>
      <c r="Q3747" s="84"/>
      <c r="R3747" s="84"/>
      <c r="S3747" s="84"/>
      <c r="T3747" s="84"/>
      <c r="U3747" s="84"/>
      <c r="V3747" s="84"/>
      <c r="W3747" s="84"/>
      <c r="X3747" s="84"/>
      <c r="Y3747" s="84"/>
      <c r="Z3747" s="84"/>
      <c r="AA3747" s="84"/>
      <c r="AB3747" s="84"/>
    </row>
    <row r="3748">
      <c r="A3748" s="89"/>
      <c r="B3748" s="89"/>
      <c r="C3748" s="89"/>
      <c r="D3748" s="89"/>
      <c r="E3748" s="89"/>
      <c r="F3748" s="89"/>
      <c r="G3748" s="89"/>
      <c r="H3748" s="2"/>
      <c r="I3748" s="90"/>
      <c r="J3748" s="90"/>
      <c r="K3748" s="2"/>
      <c r="L3748" s="49"/>
      <c r="M3748" s="49"/>
      <c r="N3748" s="49"/>
      <c r="O3748" s="49" t="str">
        <f t="shared" si="2"/>
        <v/>
      </c>
      <c r="P3748" s="49" t="str">
        <f t="shared" si="3"/>
        <v/>
      </c>
      <c r="Q3748" s="84"/>
      <c r="R3748" s="84"/>
      <c r="S3748" s="84"/>
      <c r="T3748" s="84"/>
      <c r="U3748" s="84"/>
      <c r="V3748" s="84"/>
      <c r="W3748" s="84"/>
      <c r="X3748" s="84"/>
      <c r="Y3748" s="84"/>
      <c r="Z3748" s="84"/>
      <c r="AA3748" s="84"/>
      <c r="AB3748" s="84"/>
    </row>
    <row r="3749">
      <c r="A3749" s="89"/>
      <c r="B3749" s="89"/>
      <c r="C3749" s="89"/>
      <c r="D3749" s="89"/>
      <c r="E3749" s="89"/>
      <c r="F3749" s="89"/>
      <c r="G3749" s="89"/>
      <c r="H3749" s="2"/>
      <c r="I3749" s="90"/>
      <c r="J3749" s="90"/>
      <c r="K3749" s="2"/>
      <c r="L3749" s="48"/>
      <c r="M3749" s="48"/>
      <c r="N3749" s="48"/>
      <c r="O3749" s="48" t="str">
        <f t="shared" si="2"/>
        <v/>
      </c>
      <c r="P3749" s="48" t="str">
        <f t="shared" si="3"/>
        <v/>
      </c>
      <c r="Q3749" s="84"/>
      <c r="R3749" s="84"/>
      <c r="S3749" s="84"/>
      <c r="T3749" s="84"/>
      <c r="U3749" s="84"/>
      <c r="V3749" s="84"/>
      <c r="W3749" s="84"/>
      <c r="X3749" s="84"/>
      <c r="Y3749" s="84"/>
      <c r="Z3749" s="84"/>
      <c r="AA3749" s="84"/>
      <c r="AB3749" s="84"/>
    </row>
    <row r="3750">
      <c r="A3750" s="89"/>
      <c r="B3750" s="89"/>
      <c r="C3750" s="89"/>
      <c r="D3750" s="89"/>
      <c r="E3750" s="89"/>
      <c r="F3750" s="89"/>
      <c r="G3750" s="89"/>
      <c r="H3750" s="2"/>
      <c r="I3750" s="90"/>
      <c r="J3750" s="90"/>
      <c r="K3750" s="2"/>
      <c r="L3750" s="49"/>
      <c r="M3750" s="49"/>
      <c r="N3750" s="49"/>
      <c r="O3750" s="49" t="str">
        <f t="shared" si="2"/>
        <v/>
      </c>
      <c r="P3750" s="49" t="str">
        <f t="shared" si="3"/>
        <v/>
      </c>
      <c r="Q3750" s="84"/>
      <c r="R3750" s="84"/>
      <c r="S3750" s="84"/>
      <c r="T3750" s="84"/>
      <c r="U3750" s="84"/>
      <c r="V3750" s="84"/>
      <c r="W3750" s="84"/>
      <c r="X3750" s="84"/>
      <c r="Y3750" s="84"/>
      <c r="Z3750" s="84"/>
      <c r="AA3750" s="84"/>
      <c r="AB3750" s="84"/>
    </row>
    <row r="3751">
      <c r="A3751" s="89"/>
      <c r="B3751" s="89"/>
      <c r="C3751" s="89"/>
      <c r="D3751" s="89"/>
      <c r="E3751" s="89"/>
      <c r="F3751" s="89"/>
      <c r="G3751" s="89"/>
      <c r="H3751" s="2"/>
      <c r="I3751" s="90"/>
      <c r="J3751" s="90"/>
      <c r="K3751" s="2"/>
      <c r="L3751" s="48"/>
      <c r="M3751" s="48"/>
      <c r="N3751" s="48"/>
      <c r="O3751" s="48" t="str">
        <f t="shared" si="2"/>
        <v/>
      </c>
      <c r="P3751" s="48" t="str">
        <f t="shared" si="3"/>
        <v/>
      </c>
      <c r="Q3751" s="84"/>
      <c r="R3751" s="84"/>
      <c r="S3751" s="84"/>
      <c r="T3751" s="84"/>
      <c r="U3751" s="84"/>
      <c r="V3751" s="84"/>
      <c r="W3751" s="84"/>
      <c r="X3751" s="84"/>
      <c r="Y3751" s="84"/>
      <c r="Z3751" s="84"/>
      <c r="AA3751" s="84"/>
      <c r="AB3751" s="84"/>
    </row>
    <row r="3752">
      <c r="A3752" s="89"/>
      <c r="B3752" s="89"/>
      <c r="C3752" s="89"/>
      <c r="D3752" s="89"/>
      <c r="E3752" s="89"/>
      <c r="F3752" s="89"/>
      <c r="G3752" s="89"/>
      <c r="H3752" s="2"/>
      <c r="I3752" s="90"/>
      <c r="J3752" s="90"/>
      <c r="K3752" s="2"/>
      <c r="L3752" s="49"/>
      <c r="M3752" s="49"/>
      <c r="N3752" s="49"/>
      <c r="O3752" s="49" t="str">
        <f t="shared" si="2"/>
        <v/>
      </c>
      <c r="P3752" s="49" t="str">
        <f t="shared" si="3"/>
        <v/>
      </c>
      <c r="Q3752" s="84"/>
      <c r="R3752" s="84"/>
      <c r="S3752" s="84"/>
      <c r="T3752" s="84"/>
      <c r="U3752" s="84"/>
      <c r="V3752" s="84"/>
      <c r="W3752" s="84"/>
      <c r="X3752" s="84"/>
      <c r="Y3752" s="84"/>
      <c r="Z3752" s="84"/>
      <c r="AA3752" s="84"/>
      <c r="AB3752" s="84"/>
    </row>
    <row r="3753">
      <c r="A3753" s="89"/>
      <c r="B3753" s="89"/>
      <c r="C3753" s="89"/>
      <c r="D3753" s="89"/>
      <c r="E3753" s="89"/>
      <c r="F3753" s="89"/>
      <c r="G3753" s="89"/>
      <c r="H3753" s="2"/>
      <c r="I3753" s="90"/>
      <c r="J3753" s="90"/>
      <c r="K3753" s="2"/>
      <c r="L3753" s="48"/>
      <c r="M3753" s="48"/>
      <c r="N3753" s="48"/>
      <c r="O3753" s="48" t="str">
        <f t="shared" si="2"/>
        <v/>
      </c>
      <c r="P3753" s="48" t="str">
        <f t="shared" si="3"/>
        <v/>
      </c>
      <c r="Q3753" s="84"/>
      <c r="R3753" s="84"/>
      <c r="S3753" s="84"/>
      <c r="T3753" s="84"/>
      <c r="U3753" s="84"/>
      <c r="V3753" s="84"/>
      <c r="W3753" s="84"/>
      <c r="X3753" s="84"/>
      <c r="Y3753" s="84"/>
      <c r="Z3753" s="84"/>
      <c r="AA3753" s="84"/>
      <c r="AB3753" s="84"/>
    </row>
    <row r="3754">
      <c r="A3754" s="89"/>
      <c r="B3754" s="89"/>
      <c r="C3754" s="89"/>
      <c r="D3754" s="89"/>
      <c r="E3754" s="89"/>
      <c r="F3754" s="89"/>
      <c r="G3754" s="89"/>
      <c r="H3754" s="2"/>
      <c r="I3754" s="90"/>
      <c r="J3754" s="90"/>
      <c r="K3754" s="2"/>
      <c r="L3754" s="49"/>
      <c r="M3754" s="49"/>
      <c r="N3754" s="49"/>
      <c r="O3754" s="49" t="str">
        <f t="shared" si="2"/>
        <v/>
      </c>
      <c r="P3754" s="49" t="str">
        <f t="shared" si="3"/>
        <v/>
      </c>
      <c r="Q3754" s="84"/>
      <c r="R3754" s="84"/>
      <c r="S3754" s="84"/>
      <c r="T3754" s="84"/>
      <c r="U3754" s="84"/>
      <c r="V3754" s="84"/>
      <c r="W3754" s="84"/>
      <c r="X3754" s="84"/>
      <c r="Y3754" s="84"/>
      <c r="Z3754" s="84"/>
      <c r="AA3754" s="84"/>
      <c r="AB3754" s="84"/>
    </row>
    <row r="3755">
      <c r="A3755" s="89"/>
      <c r="B3755" s="89"/>
      <c r="C3755" s="89"/>
      <c r="D3755" s="89"/>
      <c r="E3755" s="89"/>
      <c r="F3755" s="89"/>
      <c r="G3755" s="89"/>
      <c r="H3755" s="2"/>
      <c r="I3755" s="90"/>
      <c r="J3755" s="90"/>
      <c r="K3755" s="2"/>
      <c r="L3755" s="48"/>
      <c r="M3755" s="48"/>
      <c r="N3755" s="48"/>
      <c r="O3755" s="48" t="str">
        <f t="shared" si="2"/>
        <v/>
      </c>
      <c r="P3755" s="48" t="str">
        <f t="shared" si="3"/>
        <v/>
      </c>
      <c r="Q3755" s="84"/>
      <c r="R3755" s="84"/>
      <c r="S3755" s="84"/>
      <c r="T3755" s="84"/>
      <c r="U3755" s="84"/>
      <c r="V3755" s="84"/>
      <c r="W3755" s="84"/>
      <c r="X3755" s="84"/>
      <c r="Y3755" s="84"/>
      <c r="Z3755" s="84"/>
      <c r="AA3755" s="84"/>
      <c r="AB3755" s="84"/>
    </row>
    <row r="3756">
      <c r="A3756" s="89"/>
      <c r="B3756" s="89"/>
      <c r="C3756" s="89"/>
      <c r="D3756" s="89"/>
      <c r="E3756" s="89"/>
      <c r="F3756" s="89"/>
      <c r="G3756" s="89"/>
      <c r="H3756" s="2"/>
      <c r="I3756" s="90"/>
      <c r="J3756" s="90"/>
      <c r="K3756" s="2"/>
      <c r="L3756" s="49"/>
      <c r="M3756" s="49"/>
      <c r="N3756" s="49"/>
      <c r="O3756" s="49" t="str">
        <f t="shared" si="2"/>
        <v/>
      </c>
      <c r="P3756" s="49" t="str">
        <f t="shared" si="3"/>
        <v/>
      </c>
      <c r="Q3756" s="84"/>
      <c r="R3756" s="84"/>
      <c r="S3756" s="84"/>
      <c r="T3756" s="84"/>
      <c r="U3756" s="84"/>
      <c r="V3756" s="84"/>
      <c r="W3756" s="84"/>
      <c r="X3756" s="84"/>
      <c r="Y3756" s="84"/>
      <c r="Z3756" s="84"/>
      <c r="AA3756" s="84"/>
      <c r="AB3756" s="84"/>
    </row>
    <row r="3757">
      <c r="A3757" s="89"/>
      <c r="B3757" s="89"/>
      <c r="C3757" s="89"/>
      <c r="D3757" s="89"/>
      <c r="E3757" s="89"/>
      <c r="F3757" s="89"/>
      <c r="G3757" s="89"/>
      <c r="H3757" s="2"/>
      <c r="I3757" s="90"/>
      <c r="J3757" s="90"/>
      <c r="K3757" s="2"/>
      <c r="L3757" s="48"/>
      <c r="M3757" s="48"/>
      <c r="N3757" s="48"/>
      <c r="O3757" s="48" t="str">
        <f t="shared" si="2"/>
        <v/>
      </c>
      <c r="P3757" s="48" t="str">
        <f t="shared" si="3"/>
        <v/>
      </c>
      <c r="Q3757" s="84"/>
      <c r="R3757" s="84"/>
      <c r="S3757" s="84"/>
      <c r="T3757" s="84"/>
      <c r="U3757" s="84"/>
      <c r="V3757" s="84"/>
      <c r="W3757" s="84"/>
      <c r="X3757" s="84"/>
      <c r="Y3757" s="84"/>
      <c r="Z3757" s="84"/>
      <c r="AA3757" s="84"/>
      <c r="AB3757" s="84"/>
    </row>
    <row r="3758">
      <c r="A3758" s="89"/>
      <c r="B3758" s="89"/>
      <c r="C3758" s="89"/>
      <c r="D3758" s="89"/>
      <c r="E3758" s="89"/>
      <c r="F3758" s="89"/>
      <c r="G3758" s="89"/>
      <c r="H3758" s="2"/>
      <c r="I3758" s="90"/>
      <c r="J3758" s="90"/>
      <c r="K3758" s="2"/>
      <c r="L3758" s="49"/>
      <c r="M3758" s="49"/>
      <c r="N3758" s="49"/>
      <c r="O3758" s="49" t="str">
        <f t="shared" si="2"/>
        <v/>
      </c>
      <c r="P3758" s="49" t="str">
        <f t="shared" si="3"/>
        <v/>
      </c>
      <c r="Q3758" s="84"/>
      <c r="R3758" s="84"/>
      <c r="S3758" s="84"/>
      <c r="T3758" s="84"/>
      <c r="U3758" s="84"/>
      <c r="V3758" s="84"/>
      <c r="W3758" s="84"/>
      <c r="X3758" s="84"/>
      <c r="Y3758" s="84"/>
      <c r="Z3758" s="84"/>
      <c r="AA3758" s="84"/>
      <c r="AB3758" s="84"/>
    </row>
    <row r="3759">
      <c r="A3759" s="89"/>
      <c r="B3759" s="89"/>
      <c r="C3759" s="89"/>
      <c r="D3759" s="89"/>
      <c r="E3759" s="89"/>
      <c r="F3759" s="89"/>
      <c r="G3759" s="89"/>
      <c r="H3759" s="2"/>
      <c r="I3759" s="90"/>
      <c r="J3759" s="90"/>
      <c r="K3759" s="2"/>
      <c r="L3759" s="48"/>
      <c r="M3759" s="48"/>
      <c r="N3759" s="48"/>
      <c r="O3759" s="48" t="str">
        <f t="shared" si="2"/>
        <v/>
      </c>
      <c r="P3759" s="48" t="str">
        <f t="shared" si="3"/>
        <v/>
      </c>
      <c r="Q3759" s="84"/>
      <c r="R3759" s="84"/>
      <c r="S3759" s="84"/>
      <c r="T3759" s="84"/>
      <c r="U3759" s="84"/>
      <c r="V3759" s="84"/>
      <c r="W3759" s="84"/>
      <c r="X3759" s="84"/>
      <c r="Y3759" s="84"/>
      <c r="Z3759" s="84"/>
      <c r="AA3759" s="84"/>
      <c r="AB3759" s="84"/>
    </row>
    <row r="3760">
      <c r="A3760" s="89"/>
      <c r="B3760" s="89"/>
      <c r="C3760" s="89"/>
      <c r="D3760" s="89"/>
      <c r="E3760" s="89"/>
      <c r="F3760" s="89"/>
      <c r="G3760" s="89"/>
      <c r="H3760" s="2"/>
      <c r="I3760" s="90"/>
      <c r="J3760" s="90"/>
      <c r="K3760" s="2"/>
      <c r="L3760" s="49"/>
      <c r="M3760" s="49"/>
      <c r="N3760" s="49"/>
      <c r="O3760" s="49" t="str">
        <f t="shared" si="2"/>
        <v/>
      </c>
      <c r="P3760" s="49" t="str">
        <f t="shared" si="3"/>
        <v/>
      </c>
      <c r="Q3760" s="84"/>
      <c r="R3760" s="84"/>
      <c r="S3760" s="84"/>
      <c r="T3760" s="84"/>
      <c r="U3760" s="84"/>
      <c r="V3760" s="84"/>
      <c r="W3760" s="84"/>
      <c r="X3760" s="84"/>
      <c r="Y3760" s="84"/>
      <c r="Z3760" s="84"/>
      <c r="AA3760" s="84"/>
      <c r="AB3760" s="84"/>
    </row>
    <row r="3761">
      <c r="A3761" s="89"/>
      <c r="B3761" s="89"/>
      <c r="C3761" s="89"/>
      <c r="D3761" s="89"/>
      <c r="E3761" s="89"/>
      <c r="F3761" s="89"/>
      <c r="G3761" s="89"/>
      <c r="H3761" s="2"/>
      <c r="I3761" s="90"/>
      <c r="J3761" s="90"/>
      <c r="K3761" s="2"/>
      <c r="L3761" s="48"/>
      <c r="M3761" s="48"/>
      <c r="N3761" s="48"/>
      <c r="O3761" s="48" t="str">
        <f t="shared" si="2"/>
        <v/>
      </c>
      <c r="P3761" s="48" t="str">
        <f t="shared" si="3"/>
        <v/>
      </c>
      <c r="Q3761" s="84"/>
      <c r="R3761" s="84"/>
      <c r="S3761" s="84"/>
      <c r="T3761" s="84"/>
      <c r="U3761" s="84"/>
      <c r="V3761" s="84"/>
      <c r="W3761" s="84"/>
      <c r="X3761" s="84"/>
      <c r="Y3761" s="84"/>
      <c r="Z3761" s="84"/>
      <c r="AA3761" s="84"/>
      <c r="AB3761" s="84"/>
    </row>
    <row r="3762">
      <c r="A3762" s="89"/>
      <c r="B3762" s="89"/>
      <c r="C3762" s="89"/>
      <c r="D3762" s="89"/>
      <c r="E3762" s="89"/>
      <c r="F3762" s="89"/>
      <c r="G3762" s="89"/>
      <c r="H3762" s="2"/>
      <c r="I3762" s="90"/>
      <c r="J3762" s="90"/>
      <c r="K3762" s="2"/>
      <c r="L3762" s="49"/>
      <c r="M3762" s="49"/>
      <c r="N3762" s="49"/>
      <c r="O3762" s="49" t="str">
        <f t="shared" si="2"/>
        <v/>
      </c>
      <c r="P3762" s="49" t="str">
        <f t="shared" si="3"/>
        <v/>
      </c>
      <c r="Q3762" s="84"/>
      <c r="R3762" s="84"/>
      <c r="S3762" s="84"/>
      <c r="T3762" s="84"/>
      <c r="U3762" s="84"/>
      <c r="V3762" s="84"/>
      <c r="W3762" s="84"/>
      <c r="X3762" s="84"/>
      <c r="Y3762" s="84"/>
      <c r="Z3762" s="84"/>
      <c r="AA3762" s="84"/>
      <c r="AB3762" s="84"/>
    </row>
    <row r="3763">
      <c r="A3763" s="89"/>
      <c r="B3763" s="89"/>
      <c r="C3763" s="89"/>
      <c r="D3763" s="89"/>
      <c r="E3763" s="89"/>
      <c r="F3763" s="89"/>
      <c r="G3763" s="89"/>
      <c r="H3763" s="2"/>
      <c r="I3763" s="90"/>
      <c r="J3763" s="90"/>
      <c r="K3763" s="2"/>
      <c r="L3763" s="48"/>
      <c r="M3763" s="48"/>
      <c r="N3763" s="48"/>
      <c r="O3763" s="48" t="str">
        <f t="shared" si="2"/>
        <v/>
      </c>
      <c r="P3763" s="48" t="str">
        <f t="shared" si="3"/>
        <v/>
      </c>
      <c r="Q3763" s="84"/>
      <c r="R3763" s="84"/>
      <c r="S3763" s="84"/>
      <c r="T3763" s="84"/>
      <c r="U3763" s="84"/>
      <c r="V3763" s="84"/>
      <c r="W3763" s="84"/>
      <c r="X3763" s="84"/>
      <c r="Y3763" s="84"/>
      <c r="Z3763" s="84"/>
      <c r="AA3763" s="84"/>
      <c r="AB3763" s="84"/>
    </row>
    <row r="3764">
      <c r="A3764" s="89"/>
      <c r="B3764" s="89"/>
      <c r="C3764" s="89"/>
      <c r="D3764" s="89"/>
      <c r="E3764" s="89"/>
      <c r="F3764" s="89"/>
      <c r="G3764" s="89"/>
      <c r="H3764" s="2"/>
      <c r="I3764" s="90"/>
      <c r="J3764" s="90"/>
      <c r="K3764" s="2"/>
      <c r="L3764" s="49"/>
      <c r="M3764" s="49"/>
      <c r="N3764" s="49"/>
      <c r="O3764" s="49" t="str">
        <f t="shared" si="2"/>
        <v/>
      </c>
      <c r="P3764" s="49" t="str">
        <f t="shared" si="3"/>
        <v/>
      </c>
      <c r="Q3764" s="84"/>
      <c r="R3764" s="84"/>
      <c r="S3764" s="84"/>
      <c r="T3764" s="84"/>
      <c r="U3764" s="84"/>
      <c r="V3764" s="84"/>
      <c r="W3764" s="84"/>
      <c r="X3764" s="84"/>
      <c r="Y3764" s="84"/>
      <c r="Z3764" s="84"/>
      <c r="AA3764" s="84"/>
      <c r="AB3764" s="84"/>
    </row>
    <row r="3765">
      <c r="A3765" s="89"/>
      <c r="B3765" s="89"/>
      <c r="C3765" s="89"/>
      <c r="D3765" s="89"/>
      <c r="E3765" s="89"/>
      <c r="F3765" s="89"/>
      <c r="G3765" s="89"/>
      <c r="H3765" s="2"/>
      <c r="I3765" s="90"/>
      <c r="J3765" s="90"/>
      <c r="K3765" s="2"/>
      <c r="L3765" s="48"/>
      <c r="M3765" s="48"/>
      <c r="N3765" s="48"/>
      <c r="O3765" s="48" t="str">
        <f t="shared" si="2"/>
        <v/>
      </c>
      <c r="P3765" s="48" t="str">
        <f t="shared" si="3"/>
        <v/>
      </c>
      <c r="Q3765" s="84"/>
      <c r="R3765" s="84"/>
      <c r="S3765" s="84"/>
      <c r="T3765" s="84"/>
      <c r="U3765" s="84"/>
      <c r="V3765" s="84"/>
      <c r="W3765" s="84"/>
      <c r="X3765" s="84"/>
      <c r="Y3765" s="84"/>
      <c r="Z3765" s="84"/>
      <c r="AA3765" s="84"/>
      <c r="AB3765" s="84"/>
    </row>
    <row r="3766">
      <c r="A3766" s="89"/>
      <c r="B3766" s="89"/>
      <c r="C3766" s="89"/>
      <c r="D3766" s="89"/>
      <c r="E3766" s="89"/>
      <c r="F3766" s="89"/>
      <c r="G3766" s="89"/>
      <c r="H3766" s="2"/>
      <c r="I3766" s="90"/>
      <c r="J3766" s="90"/>
      <c r="K3766" s="2"/>
      <c r="L3766" s="49"/>
      <c r="M3766" s="49"/>
      <c r="N3766" s="49"/>
      <c r="O3766" s="49" t="str">
        <f t="shared" si="2"/>
        <v/>
      </c>
      <c r="P3766" s="49" t="str">
        <f t="shared" si="3"/>
        <v/>
      </c>
      <c r="Q3766" s="84"/>
      <c r="R3766" s="84"/>
      <c r="S3766" s="84"/>
      <c r="T3766" s="84"/>
      <c r="U3766" s="84"/>
      <c r="V3766" s="84"/>
      <c r="W3766" s="84"/>
      <c r="X3766" s="84"/>
      <c r="Y3766" s="84"/>
      <c r="Z3766" s="84"/>
      <c r="AA3766" s="84"/>
      <c r="AB3766" s="84"/>
    </row>
    <row r="3767">
      <c r="A3767" s="89"/>
      <c r="B3767" s="89"/>
      <c r="C3767" s="89"/>
      <c r="D3767" s="89"/>
      <c r="E3767" s="89"/>
      <c r="F3767" s="89"/>
      <c r="G3767" s="89"/>
      <c r="H3767" s="2"/>
      <c r="I3767" s="90"/>
      <c r="J3767" s="90"/>
      <c r="K3767" s="2"/>
      <c r="L3767" s="48"/>
      <c r="M3767" s="48"/>
      <c r="N3767" s="48"/>
      <c r="O3767" s="48" t="str">
        <f t="shared" si="2"/>
        <v/>
      </c>
      <c r="P3767" s="48" t="str">
        <f t="shared" si="3"/>
        <v/>
      </c>
      <c r="Q3767" s="84"/>
      <c r="R3767" s="84"/>
      <c r="S3767" s="84"/>
      <c r="T3767" s="84"/>
      <c r="U3767" s="84"/>
      <c r="V3767" s="84"/>
      <c r="W3767" s="84"/>
      <c r="X3767" s="84"/>
      <c r="Y3767" s="84"/>
      <c r="Z3767" s="84"/>
      <c r="AA3767" s="84"/>
      <c r="AB3767" s="84"/>
    </row>
    <row r="3768">
      <c r="A3768" s="89"/>
      <c r="B3768" s="89"/>
      <c r="C3768" s="89"/>
      <c r="D3768" s="89"/>
      <c r="E3768" s="89"/>
      <c r="F3768" s="89"/>
      <c r="G3768" s="89"/>
      <c r="H3768" s="2"/>
      <c r="I3768" s="90"/>
      <c r="J3768" s="90"/>
      <c r="K3768" s="2"/>
      <c r="L3768" s="49"/>
      <c r="M3768" s="49"/>
      <c r="N3768" s="49"/>
      <c r="O3768" s="49" t="str">
        <f t="shared" si="2"/>
        <v/>
      </c>
      <c r="P3768" s="49" t="str">
        <f t="shared" si="3"/>
        <v/>
      </c>
      <c r="Q3768" s="84"/>
      <c r="R3768" s="84"/>
      <c r="S3768" s="84"/>
      <c r="T3768" s="84"/>
      <c r="U3768" s="84"/>
      <c r="V3768" s="84"/>
      <c r="W3768" s="84"/>
      <c r="X3768" s="84"/>
      <c r="Y3768" s="84"/>
      <c r="Z3768" s="84"/>
      <c r="AA3768" s="84"/>
      <c r="AB3768" s="84"/>
    </row>
    <row r="3769">
      <c r="A3769" s="89"/>
      <c r="B3769" s="89"/>
      <c r="C3769" s="89"/>
      <c r="D3769" s="89"/>
      <c r="E3769" s="89"/>
      <c r="F3769" s="89"/>
      <c r="G3769" s="89"/>
      <c r="H3769" s="2"/>
      <c r="I3769" s="90"/>
      <c r="J3769" s="90"/>
      <c r="K3769" s="2"/>
      <c r="L3769" s="48"/>
      <c r="M3769" s="48"/>
      <c r="N3769" s="48"/>
      <c r="O3769" s="48" t="str">
        <f t="shared" si="2"/>
        <v/>
      </c>
      <c r="P3769" s="48" t="str">
        <f t="shared" si="3"/>
        <v/>
      </c>
      <c r="Q3769" s="84"/>
      <c r="R3769" s="84"/>
      <c r="S3769" s="84"/>
      <c r="T3769" s="84"/>
      <c r="U3769" s="84"/>
      <c r="V3769" s="84"/>
      <c r="W3769" s="84"/>
      <c r="X3769" s="84"/>
      <c r="Y3769" s="84"/>
      <c r="Z3769" s="84"/>
      <c r="AA3769" s="84"/>
      <c r="AB3769" s="84"/>
    </row>
    <row r="3770">
      <c r="A3770" s="89"/>
      <c r="B3770" s="89"/>
      <c r="C3770" s="89"/>
      <c r="D3770" s="89"/>
      <c r="E3770" s="89"/>
      <c r="F3770" s="89"/>
      <c r="G3770" s="89"/>
      <c r="H3770" s="2"/>
      <c r="I3770" s="90"/>
      <c r="J3770" s="90"/>
      <c r="K3770" s="2"/>
      <c r="L3770" s="49"/>
      <c r="M3770" s="49"/>
      <c r="N3770" s="49"/>
      <c r="O3770" s="49" t="str">
        <f t="shared" si="2"/>
        <v/>
      </c>
      <c r="P3770" s="49" t="str">
        <f t="shared" si="3"/>
        <v/>
      </c>
      <c r="Q3770" s="84"/>
      <c r="R3770" s="84"/>
      <c r="S3770" s="84"/>
      <c r="T3770" s="84"/>
      <c r="U3770" s="84"/>
      <c r="V3770" s="84"/>
      <c r="W3770" s="84"/>
      <c r="X3770" s="84"/>
      <c r="Y3770" s="84"/>
      <c r="Z3770" s="84"/>
      <c r="AA3770" s="84"/>
      <c r="AB3770" s="84"/>
    </row>
    <row r="3771">
      <c r="A3771" s="89"/>
      <c r="B3771" s="89"/>
      <c r="C3771" s="89"/>
      <c r="D3771" s="89"/>
      <c r="E3771" s="89"/>
      <c r="F3771" s="89"/>
      <c r="G3771" s="89"/>
      <c r="H3771" s="2"/>
      <c r="I3771" s="90"/>
      <c r="J3771" s="90"/>
      <c r="K3771" s="2"/>
      <c r="L3771" s="48"/>
      <c r="M3771" s="48"/>
      <c r="N3771" s="48"/>
      <c r="O3771" s="48" t="str">
        <f t="shared" si="2"/>
        <v/>
      </c>
      <c r="P3771" s="48" t="str">
        <f t="shared" si="3"/>
        <v/>
      </c>
      <c r="Q3771" s="84"/>
      <c r="R3771" s="84"/>
      <c r="S3771" s="84"/>
      <c r="T3771" s="84"/>
      <c r="U3771" s="84"/>
      <c r="V3771" s="84"/>
      <c r="W3771" s="84"/>
      <c r="X3771" s="84"/>
      <c r="Y3771" s="84"/>
      <c r="Z3771" s="84"/>
      <c r="AA3771" s="84"/>
      <c r="AB3771" s="84"/>
    </row>
    <row r="3772">
      <c r="A3772" s="89"/>
      <c r="B3772" s="89"/>
      <c r="C3772" s="89"/>
      <c r="D3772" s="89"/>
      <c r="E3772" s="89"/>
      <c r="F3772" s="89"/>
      <c r="G3772" s="89"/>
      <c r="H3772" s="2"/>
      <c r="I3772" s="90"/>
      <c r="J3772" s="90"/>
      <c r="K3772" s="2"/>
      <c r="L3772" s="49"/>
      <c r="M3772" s="49"/>
      <c r="N3772" s="49"/>
      <c r="O3772" s="49" t="str">
        <f t="shared" si="2"/>
        <v/>
      </c>
      <c r="P3772" s="49" t="str">
        <f t="shared" si="3"/>
        <v/>
      </c>
      <c r="Q3772" s="84"/>
      <c r="R3772" s="84"/>
      <c r="S3772" s="84"/>
      <c r="T3772" s="84"/>
      <c r="U3772" s="84"/>
      <c r="V3772" s="84"/>
      <c r="W3772" s="84"/>
      <c r="X3772" s="84"/>
      <c r="Y3772" s="84"/>
      <c r="Z3772" s="84"/>
      <c r="AA3772" s="84"/>
      <c r="AB3772" s="84"/>
    </row>
    <row r="3773">
      <c r="A3773" s="89"/>
      <c r="B3773" s="89"/>
      <c r="C3773" s="89"/>
      <c r="D3773" s="89"/>
      <c r="E3773" s="89"/>
      <c r="F3773" s="89"/>
      <c r="G3773" s="89"/>
      <c r="H3773" s="2"/>
      <c r="I3773" s="90"/>
      <c r="J3773" s="90"/>
      <c r="K3773" s="2"/>
      <c r="L3773" s="48"/>
      <c r="M3773" s="48"/>
      <c r="N3773" s="48"/>
      <c r="O3773" s="48" t="str">
        <f t="shared" si="2"/>
        <v/>
      </c>
      <c r="P3773" s="48" t="str">
        <f t="shared" si="3"/>
        <v/>
      </c>
      <c r="Q3773" s="84"/>
      <c r="R3773" s="84"/>
      <c r="S3773" s="84"/>
      <c r="T3773" s="84"/>
      <c r="U3773" s="84"/>
      <c r="V3773" s="84"/>
      <c r="W3773" s="84"/>
      <c r="X3773" s="84"/>
      <c r="Y3773" s="84"/>
      <c r="Z3773" s="84"/>
      <c r="AA3773" s="84"/>
      <c r="AB3773" s="84"/>
    </row>
    <row r="3774">
      <c r="A3774" s="89"/>
      <c r="B3774" s="89"/>
      <c r="C3774" s="89"/>
      <c r="D3774" s="89"/>
      <c r="E3774" s="89"/>
      <c r="F3774" s="89"/>
      <c r="G3774" s="89"/>
      <c r="H3774" s="2"/>
      <c r="I3774" s="90"/>
      <c r="J3774" s="90"/>
      <c r="K3774" s="2"/>
      <c r="L3774" s="49"/>
      <c r="M3774" s="49"/>
      <c r="N3774" s="49"/>
      <c r="O3774" s="49" t="str">
        <f t="shared" si="2"/>
        <v/>
      </c>
      <c r="P3774" s="49" t="str">
        <f t="shared" si="3"/>
        <v/>
      </c>
      <c r="Q3774" s="84"/>
      <c r="R3774" s="84"/>
      <c r="S3774" s="84"/>
      <c r="T3774" s="84"/>
      <c r="U3774" s="84"/>
      <c r="V3774" s="84"/>
      <c r="W3774" s="84"/>
      <c r="X3774" s="84"/>
      <c r="Y3774" s="84"/>
      <c r="Z3774" s="84"/>
      <c r="AA3774" s="84"/>
      <c r="AB3774" s="84"/>
    </row>
    <row r="3775">
      <c r="A3775" s="89"/>
      <c r="B3775" s="89"/>
      <c r="C3775" s="89"/>
      <c r="D3775" s="89"/>
      <c r="E3775" s="89"/>
      <c r="F3775" s="89"/>
      <c r="G3775" s="89"/>
      <c r="H3775" s="2"/>
      <c r="I3775" s="90"/>
      <c r="J3775" s="90"/>
      <c r="K3775" s="2"/>
      <c r="L3775" s="48"/>
      <c r="M3775" s="48"/>
      <c r="N3775" s="48"/>
      <c r="O3775" s="48" t="str">
        <f t="shared" si="2"/>
        <v/>
      </c>
      <c r="P3775" s="48" t="str">
        <f t="shared" si="3"/>
        <v/>
      </c>
      <c r="Q3775" s="84"/>
      <c r="R3775" s="84"/>
      <c r="S3775" s="84"/>
      <c r="T3775" s="84"/>
      <c r="U3775" s="84"/>
      <c r="V3775" s="84"/>
      <c r="W3775" s="84"/>
      <c r="X3775" s="84"/>
      <c r="Y3775" s="84"/>
      <c r="Z3775" s="84"/>
      <c r="AA3775" s="84"/>
      <c r="AB3775" s="84"/>
    </row>
    <row r="3776">
      <c r="A3776" s="89"/>
      <c r="B3776" s="89"/>
      <c r="C3776" s="89"/>
      <c r="D3776" s="89"/>
      <c r="E3776" s="89"/>
      <c r="F3776" s="89"/>
      <c r="G3776" s="89"/>
      <c r="H3776" s="2"/>
      <c r="I3776" s="90"/>
      <c r="J3776" s="90"/>
      <c r="K3776" s="2"/>
      <c r="L3776" s="49"/>
      <c r="M3776" s="49"/>
      <c r="N3776" s="49"/>
      <c r="O3776" s="49" t="str">
        <f t="shared" si="2"/>
        <v/>
      </c>
      <c r="P3776" s="49" t="str">
        <f t="shared" si="3"/>
        <v/>
      </c>
      <c r="Q3776" s="84"/>
      <c r="R3776" s="84"/>
      <c r="S3776" s="84"/>
      <c r="T3776" s="84"/>
      <c r="U3776" s="84"/>
      <c r="V3776" s="84"/>
      <c r="W3776" s="84"/>
      <c r="X3776" s="84"/>
      <c r="Y3776" s="84"/>
      <c r="Z3776" s="84"/>
      <c r="AA3776" s="84"/>
      <c r="AB3776" s="84"/>
    </row>
    <row r="3777">
      <c r="A3777" s="89"/>
      <c r="B3777" s="89"/>
      <c r="C3777" s="89"/>
      <c r="D3777" s="89"/>
      <c r="E3777" s="89"/>
      <c r="F3777" s="89"/>
      <c r="G3777" s="89"/>
      <c r="H3777" s="2"/>
      <c r="I3777" s="90"/>
      <c r="J3777" s="90"/>
      <c r="K3777" s="2"/>
      <c r="L3777" s="48"/>
      <c r="M3777" s="48"/>
      <c r="N3777" s="48"/>
      <c r="O3777" s="48" t="str">
        <f t="shared" si="2"/>
        <v/>
      </c>
      <c r="P3777" s="48" t="str">
        <f t="shared" si="3"/>
        <v/>
      </c>
      <c r="Q3777" s="84"/>
      <c r="R3777" s="84"/>
      <c r="S3777" s="84"/>
      <c r="T3777" s="84"/>
      <c r="U3777" s="84"/>
      <c r="V3777" s="84"/>
      <c r="W3777" s="84"/>
      <c r="X3777" s="84"/>
      <c r="Y3777" s="84"/>
      <c r="Z3777" s="84"/>
      <c r="AA3777" s="84"/>
      <c r="AB3777" s="84"/>
    </row>
    <row r="3778">
      <c r="A3778" s="89"/>
      <c r="B3778" s="89"/>
      <c r="C3778" s="89"/>
      <c r="D3778" s="89"/>
      <c r="E3778" s="89"/>
      <c r="F3778" s="89"/>
      <c r="G3778" s="89"/>
      <c r="H3778" s="2"/>
      <c r="I3778" s="90"/>
      <c r="J3778" s="90"/>
      <c r="K3778" s="2"/>
      <c r="L3778" s="49"/>
      <c r="M3778" s="49"/>
      <c r="N3778" s="49"/>
      <c r="O3778" s="49" t="str">
        <f t="shared" si="2"/>
        <v/>
      </c>
      <c r="P3778" s="49" t="str">
        <f t="shared" si="3"/>
        <v/>
      </c>
      <c r="Q3778" s="84"/>
      <c r="R3778" s="84"/>
      <c r="S3778" s="84"/>
      <c r="T3778" s="84"/>
      <c r="U3778" s="84"/>
      <c r="V3778" s="84"/>
      <c r="W3778" s="84"/>
      <c r="X3778" s="84"/>
      <c r="Y3778" s="84"/>
      <c r="Z3778" s="84"/>
      <c r="AA3778" s="84"/>
      <c r="AB3778" s="84"/>
    </row>
    <row r="3779">
      <c r="A3779" s="89"/>
      <c r="B3779" s="89"/>
      <c r="C3779" s="89"/>
      <c r="D3779" s="89"/>
      <c r="E3779" s="89"/>
      <c r="F3779" s="89"/>
      <c r="G3779" s="89"/>
      <c r="H3779" s="2"/>
      <c r="I3779" s="90"/>
      <c r="J3779" s="90"/>
      <c r="K3779" s="2"/>
      <c r="L3779" s="48"/>
      <c r="M3779" s="48"/>
      <c r="N3779" s="48"/>
      <c r="O3779" s="48" t="str">
        <f t="shared" si="2"/>
        <v/>
      </c>
      <c r="P3779" s="48" t="str">
        <f t="shared" si="3"/>
        <v/>
      </c>
      <c r="Q3779" s="84"/>
      <c r="R3779" s="84"/>
      <c r="S3779" s="84"/>
      <c r="T3779" s="84"/>
      <c r="U3779" s="84"/>
      <c r="V3779" s="84"/>
      <c r="W3779" s="84"/>
      <c r="X3779" s="84"/>
      <c r="Y3779" s="84"/>
      <c r="Z3779" s="84"/>
      <c r="AA3779" s="84"/>
      <c r="AB3779" s="84"/>
    </row>
    <row r="3780">
      <c r="A3780" s="89"/>
      <c r="B3780" s="89"/>
      <c r="C3780" s="89"/>
      <c r="D3780" s="89"/>
      <c r="E3780" s="89"/>
      <c r="F3780" s="89"/>
      <c r="G3780" s="89"/>
      <c r="H3780" s="2"/>
      <c r="I3780" s="90"/>
      <c r="J3780" s="90"/>
      <c r="K3780" s="2"/>
      <c r="L3780" s="49"/>
      <c r="M3780" s="49"/>
      <c r="N3780" s="49"/>
      <c r="O3780" s="49" t="str">
        <f t="shared" si="2"/>
        <v/>
      </c>
      <c r="P3780" s="49" t="str">
        <f t="shared" si="3"/>
        <v/>
      </c>
      <c r="Q3780" s="84"/>
      <c r="R3780" s="84"/>
      <c r="S3780" s="84"/>
      <c r="T3780" s="84"/>
      <c r="U3780" s="84"/>
      <c r="V3780" s="84"/>
      <c r="W3780" s="84"/>
      <c r="X3780" s="84"/>
      <c r="Y3780" s="84"/>
      <c r="Z3780" s="84"/>
      <c r="AA3780" s="84"/>
      <c r="AB3780" s="84"/>
    </row>
    <row r="3781">
      <c r="A3781" s="89"/>
      <c r="B3781" s="89"/>
      <c r="C3781" s="89"/>
      <c r="D3781" s="89"/>
      <c r="E3781" s="89"/>
      <c r="F3781" s="89"/>
      <c r="G3781" s="89"/>
      <c r="H3781" s="2"/>
      <c r="I3781" s="90"/>
      <c r="J3781" s="90"/>
      <c r="K3781" s="2"/>
      <c r="L3781" s="48"/>
      <c r="M3781" s="48"/>
      <c r="N3781" s="48"/>
      <c r="O3781" s="48" t="str">
        <f t="shared" si="2"/>
        <v/>
      </c>
      <c r="P3781" s="48" t="str">
        <f t="shared" si="3"/>
        <v/>
      </c>
      <c r="Q3781" s="84"/>
      <c r="R3781" s="84"/>
      <c r="S3781" s="84"/>
      <c r="T3781" s="84"/>
      <c r="U3781" s="84"/>
      <c r="V3781" s="84"/>
      <c r="W3781" s="84"/>
      <c r="X3781" s="84"/>
      <c r="Y3781" s="84"/>
      <c r="Z3781" s="84"/>
      <c r="AA3781" s="84"/>
      <c r="AB3781" s="84"/>
    </row>
    <row r="3782">
      <c r="A3782" s="89"/>
      <c r="B3782" s="89"/>
      <c r="C3782" s="89"/>
      <c r="D3782" s="89"/>
      <c r="E3782" s="89"/>
      <c r="F3782" s="89"/>
      <c r="G3782" s="89"/>
      <c r="H3782" s="2"/>
      <c r="I3782" s="90"/>
      <c r="J3782" s="90"/>
      <c r="K3782" s="2"/>
      <c r="L3782" s="49"/>
      <c r="M3782" s="49"/>
      <c r="N3782" s="49"/>
      <c r="O3782" s="49" t="str">
        <f t="shared" si="2"/>
        <v/>
      </c>
      <c r="P3782" s="49" t="str">
        <f t="shared" si="3"/>
        <v/>
      </c>
      <c r="Q3782" s="84"/>
      <c r="R3782" s="84"/>
      <c r="S3782" s="84"/>
      <c r="T3782" s="84"/>
      <c r="U3782" s="84"/>
      <c r="V3782" s="84"/>
      <c r="W3782" s="84"/>
      <c r="X3782" s="84"/>
      <c r="Y3782" s="84"/>
      <c r="Z3782" s="84"/>
      <c r="AA3782" s="84"/>
      <c r="AB3782" s="84"/>
    </row>
    <row r="3783">
      <c r="A3783" s="89"/>
      <c r="B3783" s="89"/>
      <c r="C3783" s="89"/>
      <c r="D3783" s="89"/>
      <c r="E3783" s="89"/>
      <c r="F3783" s="89"/>
      <c r="G3783" s="89"/>
      <c r="H3783" s="2"/>
      <c r="I3783" s="90"/>
      <c r="J3783" s="90"/>
      <c r="K3783" s="2"/>
      <c r="L3783" s="48"/>
      <c r="M3783" s="48"/>
      <c r="N3783" s="48"/>
      <c r="O3783" s="48" t="str">
        <f t="shared" si="2"/>
        <v/>
      </c>
      <c r="P3783" s="48" t="str">
        <f t="shared" si="3"/>
        <v/>
      </c>
      <c r="Q3783" s="84"/>
      <c r="R3783" s="84"/>
      <c r="S3783" s="84"/>
      <c r="T3783" s="84"/>
      <c r="U3783" s="84"/>
      <c r="V3783" s="84"/>
      <c r="W3783" s="84"/>
      <c r="X3783" s="84"/>
      <c r="Y3783" s="84"/>
      <c r="Z3783" s="84"/>
      <c r="AA3783" s="84"/>
      <c r="AB3783" s="84"/>
    </row>
    <row r="3784">
      <c r="A3784" s="89"/>
      <c r="B3784" s="89"/>
      <c r="C3784" s="89"/>
      <c r="D3784" s="89"/>
      <c r="E3784" s="89"/>
      <c r="F3784" s="89"/>
      <c r="G3784" s="89"/>
      <c r="H3784" s="2"/>
      <c r="I3784" s="90"/>
      <c r="J3784" s="90"/>
      <c r="K3784" s="2"/>
      <c r="L3784" s="49"/>
      <c r="M3784" s="49"/>
      <c r="N3784" s="49"/>
      <c r="O3784" s="49" t="str">
        <f t="shared" si="2"/>
        <v/>
      </c>
      <c r="P3784" s="49" t="str">
        <f t="shared" si="3"/>
        <v/>
      </c>
      <c r="Q3784" s="84"/>
      <c r="R3784" s="84"/>
      <c r="S3784" s="84"/>
      <c r="T3784" s="84"/>
      <c r="U3784" s="84"/>
      <c r="V3784" s="84"/>
      <c r="W3784" s="84"/>
      <c r="X3784" s="84"/>
      <c r="Y3784" s="84"/>
      <c r="Z3784" s="84"/>
      <c r="AA3784" s="84"/>
      <c r="AB3784" s="84"/>
    </row>
    <row r="3785">
      <c r="A3785" s="89"/>
      <c r="B3785" s="89"/>
      <c r="C3785" s="89"/>
      <c r="D3785" s="89"/>
      <c r="E3785" s="89"/>
      <c r="F3785" s="89"/>
      <c r="G3785" s="89"/>
      <c r="H3785" s="2"/>
      <c r="I3785" s="90"/>
      <c r="J3785" s="90"/>
      <c r="K3785" s="2"/>
      <c r="L3785" s="48"/>
      <c r="M3785" s="48"/>
      <c r="N3785" s="48"/>
      <c r="O3785" s="48" t="str">
        <f t="shared" si="2"/>
        <v/>
      </c>
      <c r="P3785" s="48" t="str">
        <f t="shared" si="3"/>
        <v/>
      </c>
      <c r="Q3785" s="84"/>
      <c r="R3785" s="84"/>
      <c r="S3785" s="84"/>
      <c r="T3785" s="84"/>
      <c r="U3785" s="84"/>
      <c r="V3785" s="84"/>
      <c r="W3785" s="84"/>
      <c r="X3785" s="84"/>
      <c r="Y3785" s="84"/>
      <c r="Z3785" s="84"/>
      <c r="AA3785" s="84"/>
      <c r="AB3785" s="84"/>
    </row>
    <row r="3786">
      <c r="A3786" s="89"/>
      <c r="B3786" s="89"/>
      <c r="C3786" s="89"/>
      <c r="D3786" s="89"/>
      <c r="E3786" s="89"/>
      <c r="F3786" s="89"/>
      <c r="G3786" s="89"/>
      <c r="H3786" s="2"/>
      <c r="I3786" s="90"/>
      <c r="J3786" s="90"/>
      <c r="K3786" s="2"/>
      <c r="L3786" s="49"/>
      <c r="M3786" s="49"/>
      <c r="N3786" s="49"/>
      <c r="O3786" s="49" t="str">
        <f t="shared" si="2"/>
        <v/>
      </c>
      <c r="P3786" s="49" t="str">
        <f t="shared" si="3"/>
        <v/>
      </c>
      <c r="Q3786" s="84"/>
      <c r="R3786" s="84"/>
      <c r="S3786" s="84"/>
      <c r="T3786" s="84"/>
      <c r="U3786" s="84"/>
      <c r="V3786" s="84"/>
      <c r="W3786" s="84"/>
      <c r="X3786" s="84"/>
      <c r="Y3786" s="84"/>
      <c r="Z3786" s="84"/>
      <c r="AA3786" s="84"/>
      <c r="AB3786" s="84"/>
    </row>
    <row r="3787">
      <c r="A3787" s="89"/>
      <c r="B3787" s="89"/>
      <c r="C3787" s="89"/>
      <c r="D3787" s="89"/>
      <c r="E3787" s="89"/>
      <c r="F3787" s="89"/>
      <c r="G3787" s="89"/>
      <c r="H3787" s="2"/>
      <c r="I3787" s="90"/>
      <c r="J3787" s="90"/>
      <c r="K3787" s="2"/>
      <c r="L3787" s="48"/>
      <c r="M3787" s="48"/>
      <c r="N3787" s="48"/>
      <c r="O3787" s="48" t="str">
        <f t="shared" si="2"/>
        <v/>
      </c>
      <c r="P3787" s="48" t="str">
        <f t="shared" si="3"/>
        <v/>
      </c>
      <c r="Q3787" s="84"/>
      <c r="R3787" s="84"/>
      <c r="S3787" s="84"/>
      <c r="T3787" s="84"/>
      <c r="U3787" s="84"/>
      <c r="V3787" s="84"/>
      <c r="W3787" s="84"/>
      <c r="X3787" s="84"/>
      <c r="Y3787" s="84"/>
      <c r="Z3787" s="84"/>
      <c r="AA3787" s="84"/>
      <c r="AB3787" s="84"/>
    </row>
    <row r="3788">
      <c r="A3788" s="89"/>
      <c r="B3788" s="89"/>
      <c r="C3788" s="89"/>
      <c r="D3788" s="89"/>
      <c r="E3788" s="89"/>
      <c r="F3788" s="89"/>
      <c r="G3788" s="89"/>
      <c r="H3788" s="2"/>
      <c r="I3788" s="90"/>
      <c r="J3788" s="90"/>
      <c r="K3788" s="2"/>
      <c r="L3788" s="49"/>
      <c r="M3788" s="49"/>
      <c r="N3788" s="49"/>
      <c r="O3788" s="49" t="str">
        <f t="shared" si="2"/>
        <v/>
      </c>
      <c r="P3788" s="49" t="str">
        <f t="shared" si="3"/>
        <v/>
      </c>
      <c r="Q3788" s="84"/>
      <c r="R3788" s="84"/>
      <c r="S3788" s="84"/>
      <c r="T3788" s="84"/>
      <c r="U3788" s="84"/>
      <c r="V3788" s="84"/>
      <c r="W3788" s="84"/>
      <c r="X3788" s="84"/>
      <c r="Y3788" s="84"/>
      <c r="Z3788" s="84"/>
      <c r="AA3788" s="84"/>
      <c r="AB3788" s="84"/>
    </row>
    <row r="3789">
      <c r="A3789" s="89"/>
      <c r="B3789" s="89"/>
      <c r="C3789" s="89"/>
      <c r="D3789" s="89"/>
      <c r="E3789" s="89"/>
      <c r="F3789" s="89"/>
      <c r="G3789" s="89"/>
      <c r="H3789" s="2"/>
      <c r="I3789" s="90"/>
      <c r="J3789" s="90"/>
      <c r="K3789" s="2"/>
      <c r="L3789" s="48"/>
      <c r="M3789" s="48"/>
      <c r="N3789" s="48"/>
      <c r="O3789" s="48" t="str">
        <f t="shared" si="2"/>
        <v/>
      </c>
      <c r="P3789" s="48" t="str">
        <f t="shared" si="3"/>
        <v/>
      </c>
      <c r="Q3789" s="84"/>
      <c r="R3789" s="84"/>
      <c r="S3789" s="84"/>
      <c r="T3789" s="84"/>
      <c r="U3789" s="84"/>
      <c r="V3789" s="84"/>
      <c r="W3789" s="84"/>
      <c r="X3789" s="84"/>
      <c r="Y3789" s="84"/>
      <c r="Z3789" s="84"/>
      <c r="AA3789" s="84"/>
      <c r="AB3789" s="84"/>
    </row>
    <row r="3790">
      <c r="A3790" s="89"/>
      <c r="B3790" s="89"/>
      <c r="C3790" s="89"/>
      <c r="D3790" s="89"/>
      <c r="E3790" s="89"/>
      <c r="F3790" s="89"/>
      <c r="G3790" s="89"/>
      <c r="H3790" s="2"/>
      <c r="I3790" s="90"/>
      <c r="J3790" s="90"/>
      <c r="K3790" s="2"/>
      <c r="L3790" s="49"/>
      <c r="M3790" s="49"/>
      <c r="N3790" s="49"/>
      <c r="O3790" s="49" t="str">
        <f t="shared" si="2"/>
        <v/>
      </c>
      <c r="P3790" s="49" t="str">
        <f t="shared" si="3"/>
        <v/>
      </c>
      <c r="Q3790" s="84"/>
      <c r="R3790" s="84"/>
      <c r="S3790" s="84"/>
      <c r="T3790" s="84"/>
      <c r="U3790" s="84"/>
      <c r="V3790" s="84"/>
      <c r="W3790" s="84"/>
      <c r="X3790" s="84"/>
      <c r="Y3790" s="84"/>
      <c r="Z3790" s="84"/>
      <c r="AA3790" s="84"/>
      <c r="AB3790" s="84"/>
    </row>
    <row r="3791">
      <c r="A3791" s="89"/>
      <c r="B3791" s="89"/>
      <c r="C3791" s="89"/>
      <c r="D3791" s="89"/>
      <c r="E3791" s="89"/>
      <c r="F3791" s="89"/>
      <c r="G3791" s="89"/>
      <c r="H3791" s="2"/>
      <c r="I3791" s="90"/>
      <c r="J3791" s="90"/>
      <c r="K3791" s="2"/>
      <c r="L3791" s="48"/>
      <c r="M3791" s="48"/>
      <c r="N3791" s="48"/>
      <c r="O3791" s="48" t="str">
        <f t="shared" si="2"/>
        <v/>
      </c>
      <c r="P3791" s="48" t="str">
        <f t="shared" si="3"/>
        <v/>
      </c>
      <c r="Q3791" s="84"/>
      <c r="R3791" s="84"/>
      <c r="S3791" s="84"/>
      <c r="T3791" s="84"/>
      <c r="U3791" s="84"/>
      <c r="V3791" s="84"/>
      <c r="W3791" s="84"/>
      <c r="X3791" s="84"/>
      <c r="Y3791" s="84"/>
      <c r="Z3791" s="84"/>
      <c r="AA3791" s="84"/>
      <c r="AB3791" s="84"/>
    </row>
    <row r="3792">
      <c r="A3792" s="89"/>
      <c r="B3792" s="89"/>
      <c r="C3792" s="89"/>
      <c r="D3792" s="89"/>
      <c r="E3792" s="89"/>
      <c r="F3792" s="89"/>
      <c r="G3792" s="89"/>
      <c r="H3792" s="2"/>
      <c r="I3792" s="90"/>
      <c r="J3792" s="90"/>
      <c r="K3792" s="2"/>
      <c r="L3792" s="49"/>
      <c r="M3792" s="49"/>
      <c r="N3792" s="49"/>
      <c r="O3792" s="49" t="str">
        <f t="shared" si="2"/>
        <v/>
      </c>
      <c r="P3792" s="49" t="str">
        <f t="shared" si="3"/>
        <v/>
      </c>
      <c r="Q3792" s="84"/>
      <c r="R3792" s="84"/>
      <c r="S3792" s="84"/>
      <c r="T3792" s="84"/>
      <c r="U3792" s="84"/>
      <c r="V3792" s="84"/>
      <c r="W3792" s="84"/>
      <c r="X3792" s="84"/>
      <c r="Y3792" s="84"/>
      <c r="Z3792" s="84"/>
      <c r="AA3792" s="84"/>
      <c r="AB3792" s="84"/>
    </row>
    <row r="3793">
      <c r="A3793" s="89"/>
      <c r="B3793" s="89"/>
      <c r="C3793" s="89"/>
      <c r="D3793" s="89"/>
      <c r="E3793" s="89"/>
      <c r="F3793" s="89"/>
      <c r="G3793" s="89"/>
      <c r="H3793" s="2"/>
      <c r="I3793" s="90"/>
      <c r="J3793" s="90"/>
      <c r="K3793" s="2"/>
      <c r="L3793" s="48"/>
      <c r="M3793" s="48"/>
      <c r="N3793" s="48"/>
      <c r="O3793" s="48" t="str">
        <f t="shared" si="2"/>
        <v/>
      </c>
      <c r="P3793" s="48" t="str">
        <f t="shared" si="3"/>
        <v/>
      </c>
      <c r="Q3793" s="84"/>
      <c r="R3793" s="84"/>
      <c r="S3793" s="84"/>
      <c r="T3793" s="84"/>
      <c r="U3793" s="84"/>
      <c r="V3793" s="84"/>
      <c r="W3793" s="84"/>
      <c r="X3793" s="84"/>
      <c r="Y3793" s="84"/>
      <c r="Z3793" s="84"/>
      <c r="AA3793" s="84"/>
      <c r="AB3793" s="84"/>
    </row>
    <row r="3794">
      <c r="A3794" s="89"/>
      <c r="B3794" s="89"/>
      <c r="C3794" s="89"/>
      <c r="D3794" s="89"/>
      <c r="E3794" s="89"/>
      <c r="F3794" s="89"/>
      <c r="G3794" s="89"/>
      <c r="H3794" s="2"/>
      <c r="I3794" s="90"/>
      <c r="J3794" s="90"/>
      <c r="K3794" s="2"/>
      <c r="L3794" s="49"/>
      <c r="M3794" s="49"/>
      <c r="N3794" s="49"/>
      <c r="O3794" s="49" t="str">
        <f t="shared" si="2"/>
        <v/>
      </c>
      <c r="P3794" s="49" t="str">
        <f t="shared" si="3"/>
        <v/>
      </c>
      <c r="Q3794" s="84"/>
      <c r="R3794" s="84"/>
      <c r="S3794" s="84"/>
      <c r="T3794" s="84"/>
      <c r="U3794" s="84"/>
      <c r="V3794" s="84"/>
      <c r="W3794" s="84"/>
      <c r="X3794" s="84"/>
      <c r="Y3794" s="84"/>
      <c r="Z3794" s="84"/>
      <c r="AA3794" s="84"/>
      <c r="AB3794" s="84"/>
    </row>
    <row r="3795">
      <c r="A3795" s="89"/>
      <c r="B3795" s="89"/>
      <c r="C3795" s="89"/>
      <c r="D3795" s="89"/>
      <c r="E3795" s="89"/>
      <c r="F3795" s="89"/>
      <c r="G3795" s="89"/>
      <c r="H3795" s="2"/>
      <c r="I3795" s="90"/>
      <c r="J3795" s="90"/>
      <c r="K3795" s="2"/>
      <c r="L3795" s="48"/>
      <c r="M3795" s="48"/>
      <c r="N3795" s="48"/>
      <c r="O3795" s="48" t="str">
        <f t="shared" si="2"/>
        <v/>
      </c>
      <c r="P3795" s="48" t="str">
        <f t="shared" si="3"/>
        <v/>
      </c>
      <c r="Q3795" s="84"/>
      <c r="R3795" s="84"/>
      <c r="S3795" s="84"/>
      <c r="T3795" s="84"/>
      <c r="U3795" s="84"/>
      <c r="V3795" s="84"/>
      <c r="W3795" s="84"/>
      <c r="X3795" s="84"/>
      <c r="Y3795" s="84"/>
      <c r="Z3795" s="84"/>
      <c r="AA3795" s="84"/>
      <c r="AB3795" s="84"/>
    </row>
    <row r="3796">
      <c r="A3796" s="89"/>
      <c r="B3796" s="89"/>
      <c r="C3796" s="89"/>
      <c r="D3796" s="89"/>
      <c r="E3796" s="89"/>
      <c r="F3796" s="89"/>
      <c r="G3796" s="89"/>
      <c r="H3796" s="2"/>
      <c r="I3796" s="90"/>
      <c r="J3796" s="90"/>
      <c r="K3796" s="2"/>
      <c r="L3796" s="49"/>
      <c r="M3796" s="49"/>
      <c r="N3796" s="49"/>
      <c r="O3796" s="49" t="str">
        <f t="shared" si="2"/>
        <v/>
      </c>
      <c r="P3796" s="49" t="str">
        <f t="shared" si="3"/>
        <v/>
      </c>
      <c r="Q3796" s="84"/>
      <c r="R3796" s="84"/>
      <c r="S3796" s="84"/>
      <c r="T3796" s="84"/>
      <c r="U3796" s="84"/>
      <c r="V3796" s="84"/>
      <c r="W3796" s="84"/>
      <c r="X3796" s="84"/>
      <c r="Y3796" s="84"/>
      <c r="Z3796" s="84"/>
      <c r="AA3796" s="84"/>
      <c r="AB3796" s="84"/>
    </row>
    <row r="3797">
      <c r="A3797" s="89"/>
      <c r="B3797" s="89"/>
      <c r="C3797" s="89"/>
      <c r="D3797" s="89"/>
      <c r="E3797" s="89"/>
      <c r="F3797" s="89"/>
      <c r="G3797" s="89"/>
      <c r="H3797" s="2"/>
      <c r="I3797" s="90"/>
      <c r="J3797" s="90"/>
      <c r="K3797" s="2"/>
      <c r="L3797" s="48"/>
      <c r="M3797" s="48"/>
      <c r="N3797" s="48"/>
      <c r="O3797" s="48" t="str">
        <f t="shared" si="2"/>
        <v/>
      </c>
      <c r="P3797" s="48" t="str">
        <f t="shared" si="3"/>
        <v/>
      </c>
      <c r="Q3797" s="84"/>
      <c r="R3797" s="84"/>
      <c r="S3797" s="84"/>
      <c r="T3797" s="84"/>
      <c r="U3797" s="84"/>
      <c r="V3797" s="84"/>
      <c r="W3797" s="84"/>
      <c r="X3797" s="84"/>
      <c r="Y3797" s="84"/>
      <c r="Z3797" s="84"/>
      <c r="AA3797" s="84"/>
      <c r="AB3797" s="84"/>
    </row>
    <row r="3798">
      <c r="A3798" s="89"/>
      <c r="B3798" s="89"/>
      <c r="C3798" s="89"/>
      <c r="D3798" s="89"/>
      <c r="E3798" s="89"/>
      <c r="F3798" s="89"/>
      <c r="G3798" s="89"/>
      <c r="H3798" s="2"/>
      <c r="I3798" s="90"/>
      <c r="J3798" s="90"/>
      <c r="K3798" s="2"/>
      <c r="L3798" s="49"/>
      <c r="M3798" s="49"/>
      <c r="N3798" s="49"/>
      <c r="O3798" s="49" t="str">
        <f t="shared" si="2"/>
        <v/>
      </c>
      <c r="P3798" s="49" t="str">
        <f t="shared" si="3"/>
        <v/>
      </c>
      <c r="Q3798" s="84"/>
      <c r="R3798" s="84"/>
      <c r="S3798" s="84"/>
      <c r="T3798" s="84"/>
      <c r="U3798" s="84"/>
      <c r="V3798" s="84"/>
      <c r="W3798" s="84"/>
      <c r="X3798" s="84"/>
      <c r="Y3798" s="84"/>
      <c r="Z3798" s="84"/>
      <c r="AA3798" s="84"/>
      <c r="AB3798" s="84"/>
    </row>
    <row r="3799">
      <c r="A3799" s="89"/>
      <c r="B3799" s="89"/>
      <c r="C3799" s="89"/>
      <c r="D3799" s="89"/>
      <c r="E3799" s="89"/>
      <c r="F3799" s="89"/>
      <c r="G3799" s="89"/>
      <c r="H3799" s="2"/>
      <c r="I3799" s="90"/>
      <c r="J3799" s="90"/>
      <c r="K3799" s="2"/>
      <c r="L3799" s="48"/>
      <c r="M3799" s="48"/>
      <c r="N3799" s="48"/>
      <c r="O3799" s="48" t="str">
        <f t="shared" si="2"/>
        <v/>
      </c>
      <c r="P3799" s="48" t="str">
        <f t="shared" si="3"/>
        <v/>
      </c>
      <c r="Q3799" s="84"/>
      <c r="R3799" s="84"/>
      <c r="S3799" s="84"/>
      <c r="T3799" s="84"/>
      <c r="U3799" s="84"/>
      <c r="V3799" s="84"/>
      <c r="W3799" s="84"/>
      <c r="X3799" s="84"/>
      <c r="Y3799" s="84"/>
      <c r="Z3799" s="84"/>
      <c r="AA3799" s="84"/>
      <c r="AB3799" s="84"/>
    </row>
    <row r="3800">
      <c r="A3800" s="89"/>
      <c r="B3800" s="89"/>
      <c r="C3800" s="89"/>
      <c r="D3800" s="89"/>
      <c r="E3800" s="89"/>
      <c r="F3800" s="89"/>
      <c r="G3800" s="89"/>
      <c r="H3800" s="2"/>
      <c r="I3800" s="90"/>
      <c r="J3800" s="90"/>
      <c r="K3800" s="2"/>
      <c r="L3800" s="49"/>
      <c r="M3800" s="49"/>
      <c r="N3800" s="49"/>
      <c r="O3800" s="49" t="str">
        <f t="shared" si="2"/>
        <v/>
      </c>
      <c r="P3800" s="49" t="str">
        <f t="shared" si="3"/>
        <v/>
      </c>
      <c r="Q3800" s="84"/>
      <c r="R3800" s="84"/>
      <c r="S3800" s="84"/>
      <c r="T3800" s="84"/>
      <c r="U3800" s="84"/>
      <c r="V3800" s="84"/>
      <c r="W3800" s="84"/>
      <c r="X3800" s="84"/>
      <c r="Y3800" s="84"/>
      <c r="Z3800" s="84"/>
      <c r="AA3800" s="84"/>
      <c r="AB3800" s="84"/>
    </row>
    <row r="3801">
      <c r="A3801" s="89"/>
      <c r="B3801" s="89"/>
      <c r="C3801" s="89"/>
      <c r="D3801" s="89"/>
      <c r="E3801" s="89"/>
      <c r="F3801" s="89"/>
      <c r="G3801" s="89"/>
      <c r="H3801" s="2"/>
      <c r="I3801" s="90"/>
      <c r="J3801" s="90"/>
      <c r="K3801" s="2"/>
      <c r="L3801" s="48"/>
      <c r="M3801" s="48"/>
      <c r="N3801" s="48"/>
      <c r="O3801" s="48" t="str">
        <f t="shared" si="2"/>
        <v/>
      </c>
      <c r="P3801" s="48" t="str">
        <f t="shared" si="3"/>
        <v/>
      </c>
      <c r="Q3801" s="84"/>
      <c r="R3801" s="84"/>
      <c r="S3801" s="84"/>
      <c r="T3801" s="84"/>
      <c r="U3801" s="84"/>
      <c r="V3801" s="84"/>
      <c r="W3801" s="84"/>
      <c r="X3801" s="84"/>
      <c r="Y3801" s="84"/>
      <c r="Z3801" s="84"/>
      <c r="AA3801" s="84"/>
      <c r="AB3801" s="84"/>
    </row>
    <row r="3802">
      <c r="A3802" s="89"/>
      <c r="B3802" s="89"/>
      <c r="C3802" s="89"/>
      <c r="D3802" s="89"/>
      <c r="E3802" s="89"/>
      <c r="F3802" s="89"/>
      <c r="G3802" s="89"/>
      <c r="H3802" s="2"/>
      <c r="I3802" s="90"/>
      <c r="J3802" s="90"/>
      <c r="K3802" s="2"/>
      <c r="L3802" s="49"/>
      <c r="M3802" s="49"/>
      <c r="N3802" s="49"/>
      <c r="O3802" s="49" t="str">
        <f t="shared" si="2"/>
        <v/>
      </c>
      <c r="P3802" s="49" t="str">
        <f t="shared" si="3"/>
        <v/>
      </c>
      <c r="Q3802" s="84"/>
      <c r="R3802" s="84"/>
      <c r="S3802" s="84"/>
      <c r="T3802" s="84"/>
      <c r="U3802" s="84"/>
      <c r="V3802" s="84"/>
      <c r="W3802" s="84"/>
      <c r="X3802" s="84"/>
      <c r="Y3802" s="84"/>
      <c r="Z3802" s="84"/>
      <c r="AA3802" s="84"/>
      <c r="AB3802" s="84"/>
    </row>
    <row r="3803">
      <c r="A3803" s="89"/>
      <c r="B3803" s="89"/>
      <c r="C3803" s="89"/>
      <c r="D3803" s="89"/>
      <c r="E3803" s="89"/>
      <c r="F3803" s="89"/>
      <c r="G3803" s="89"/>
      <c r="H3803" s="2"/>
      <c r="I3803" s="90"/>
      <c r="J3803" s="90"/>
      <c r="K3803" s="2"/>
      <c r="L3803" s="48"/>
      <c r="M3803" s="48"/>
      <c r="N3803" s="48"/>
      <c r="O3803" s="48" t="str">
        <f t="shared" si="2"/>
        <v/>
      </c>
      <c r="P3803" s="48" t="str">
        <f t="shared" si="3"/>
        <v/>
      </c>
      <c r="Q3803" s="84"/>
      <c r="R3803" s="84"/>
      <c r="S3803" s="84"/>
      <c r="T3803" s="84"/>
      <c r="U3803" s="84"/>
      <c r="V3803" s="84"/>
      <c r="W3803" s="84"/>
      <c r="X3803" s="84"/>
      <c r="Y3803" s="84"/>
      <c r="Z3803" s="84"/>
      <c r="AA3803" s="84"/>
      <c r="AB3803" s="84"/>
    </row>
    <row r="3804">
      <c r="A3804" s="89"/>
      <c r="B3804" s="89"/>
      <c r="C3804" s="89"/>
      <c r="D3804" s="89"/>
      <c r="E3804" s="89"/>
      <c r="F3804" s="89"/>
      <c r="G3804" s="89"/>
      <c r="H3804" s="2"/>
      <c r="I3804" s="90"/>
      <c r="J3804" s="90"/>
      <c r="K3804" s="2"/>
      <c r="L3804" s="49"/>
      <c r="M3804" s="49"/>
      <c r="N3804" s="49"/>
      <c r="O3804" s="49" t="str">
        <f t="shared" si="2"/>
        <v/>
      </c>
      <c r="P3804" s="49" t="str">
        <f t="shared" si="3"/>
        <v/>
      </c>
      <c r="Q3804" s="84"/>
      <c r="R3804" s="84"/>
      <c r="S3804" s="84"/>
      <c r="T3804" s="84"/>
      <c r="U3804" s="84"/>
      <c r="V3804" s="84"/>
      <c r="W3804" s="84"/>
      <c r="X3804" s="84"/>
      <c r="Y3804" s="84"/>
      <c r="Z3804" s="84"/>
      <c r="AA3804" s="84"/>
      <c r="AB3804" s="84"/>
    </row>
    <row r="3805">
      <c r="A3805" s="89"/>
      <c r="B3805" s="89"/>
      <c r="C3805" s="89"/>
      <c r="D3805" s="89"/>
      <c r="E3805" s="89"/>
      <c r="F3805" s="89"/>
      <c r="G3805" s="89"/>
      <c r="H3805" s="2"/>
      <c r="I3805" s="90"/>
      <c r="J3805" s="90"/>
      <c r="K3805" s="2"/>
      <c r="L3805" s="48"/>
      <c r="M3805" s="48"/>
      <c r="N3805" s="48"/>
      <c r="O3805" s="48" t="str">
        <f t="shared" si="2"/>
        <v/>
      </c>
      <c r="P3805" s="48" t="str">
        <f t="shared" si="3"/>
        <v/>
      </c>
      <c r="Q3805" s="84"/>
      <c r="R3805" s="84"/>
      <c r="S3805" s="84"/>
      <c r="T3805" s="84"/>
      <c r="U3805" s="84"/>
      <c r="V3805" s="84"/>
      <c r="W3805" s="84"/>
      <c r="X3805" s="84"/>
      <c r="Y3805" s="84"/>
      <c r="Z3805" s="84"/>
      <c r="AA3805" s="84"/>
      <c r="AB3805" s="84"/>
    </row>
    <row r="3806">
      <c r="A3806" s="89"/>
      <c r="B3806" s="89"/>
      <c r="C3806" s="89"/>
      <c r="D3806" s="89"/>
      <c r="E3806" s="89"/>
      <c r="F3806" s="89"/>
      <c r="G3806" s="89"/>
      <c r="H3806" s="2"/>
      <c r="I3806" s="90"/>
      <c r="J3806" s="90"/>
      <c r="K3806" s="2"/>
      <c r="L3806" s="49"/>
      <c r="M3806" s="49"/>
      <c r="N3806" s="49"/>
      <c r="O3806" s="49" t="str">
        <f t="shared" si="2"/>
        <v/>
      </c>
      <c r="P3806" s="49" t="str">
        <f t="shared" si="3"/>
        <v/>
      </c>
      <c r="Q3806" s="84"/>
      <c r="R3806" s="84"/>
      <c r="S3806" s="84"/>
      <c r="T3806" s="84"/>
      <c r="U3806" s="84"/>
      <c r="V3806" s="84"/>
      <c r="W3806" s="84"/>
      <c r="X3806" s="84"/>
      <c r="Y3806" s="84"/>
      <c r="Z3806" s="84"/>
      <c r="AA3806" s="84"/>
      <c r="AB3806" s="84"/>
    </row>
    <row r="3807">
      <c r="A3807" s="89"/>
      <c r="B3807" s="89"/>
      <c r="C3807" s="89"/>
      <c r="D3807" s="89"/>
      <c r="E3807" s="89"/>
      <c r="F3807" s="89"/>
      <c r="G3807" s="89"/>
      <c r="H3807" s="2"/>
      <c r="I3807" s="90"/>
      <c r="J3807" s="90"/>
      <c r="K3807" s="2"/>
      <c r="L3807" s="48"/>
      <c r="M3807" s="48"/>
      <c r="N3807" s="48"/>
      <c r="O3807" s="48" t="str">
        <f t="shared" si="2"/>
        <v/>
      </c>
      <c r="P3807" s="48" t="str">
        <f t="shared" si="3"/>
        <v/>
      </c>
      <c r="Q3807" s="84"/>
      <c r="R3807" s="84"/>
      <c r="S3807" s="84"/>
      <c r="T3807" s="84"/>
      <c r="U3807" s="84"/>
      <c r="V3807" s="84"/>
      <c r="W3807" s="84"/>
      <c r="X3807" s="84"/>
      <c r="Y3807" s="84"/>
      <c r="Z3807" s="84"/>
      <c r="AA3807" s="84"/>
      <c r="AB3807" s="84"/>
    </row>
    <row r="3808">
      <c r="A3808" s="89"/>
      <c r="B3808" s="89"/>
      <c r="C3808" s="89"/>
      <c r="D3808" s="89"/>
      <c r="E3808" s="89"/>
      <c r="F3808" s="89"/>
      <c r="G3808" s="89"/>
      <c r="H3808" s="2"/>
      <c r="I3808" s="90"/>
      <c r="J3808" s="90"/>
      <c r="K3808" s="2"/>
      <c r="L3808" s="49"/>
      <c r="M3808" s="49"/>
      <c r="N3808" s="49"/>
      <c r="O3808" s="49" t="str">
        <f t="shared" si="2"/>
        <v/>
      </c>
      <c r="P3808" s="49" t="str">
        <f t="shared" si="3"/>
        <v/>
      </c>
      <c r="Q3808" s="84"/>
      <c r="R3808" s="84"/>
      <c r="S3808" s="84"/>
      <c r="T3808" s="84"/>
      <c r="U3808" s="84"/>
      <c r="V3808" s="84"/>
      <c r="W3808" s="84"/>
      <c r="X3808" s="84"/>
      <c r="Y3808" s="84"/>
      <c r="Z3808" s="84"/>
      <c r="AA3808" s="84"/>
      <c r="AB3808" s="84"/>
    </row>
    <row r="3809">
      <c r="A3809" s="89"/>
      <c r="B3809" s="89"/>
      <c r="C3809" s="89"/>
      <c r="D3809" s="89"/>
      <c r="E3809" s="89"/>
      <c r="F3809" s="89"/>
      <c r="G3809" s="89"/>
      <c r="H3809" s="2"/>
      <c r="I3809" s="90"/>
      <c r="J3809" s="90"/>
      <c r="K3809" s="2"/>
      <c r="L3809" s="48"/>
      <c r="M3809" s="48"/>
      <c r="N3809" s="48"/>
      <c r="O3809" s="48" t="str">
        <f t="shared" si="2"/>
        <v/>
      </c>
      <c r="P3809" s="48" t="str">
        <f t="shared" si="3"/>
        <v/>
      </c>
      <c r="Q3809" s="84"/>
      <c r="R3809" s="84"/>
      <c r="S3809" s="84"/>
      <c r="T3809" s="84"/>
      <c r="U3809" s="84"/>
      <c r="V3809" s="84"/>
      <c r="W3809" s="84"/>
      <c r="X3809" s="84"/>
      <c r="Y3809" s="84"/>
      <c r="Z3809" s="84"/>
      <c r="AA3809" s="84"/>
      <c r="AB3809" s="84"/>
    </row>
    <row r="3810">
      <c r="A3810" s="89"/>
      <c r="B3810" s="89"/>
      <c r="C3810" s="89"/>
      <c r="D3810" s="89"/>
      <c r="E3810" s="89"/>
      <c r="F3810" s="89"/>
      <c r="G3810" s="89"/>
      <c r="H3810" s="2"/>
      <c r="I3810" s="90"/>
      <c r="J3810" s="90"/>
      <c r="K3810" s="2"/>
      <c r="L3810" s="49"/>
      <c r="M3810" s="49"/>
      <c r="N3810" s="49"/>
      <c r="O3810" s="49" t="str">
        <f t="shared" si="2"/>
        <v/>
      </c>
      <c r="P3810" s="49" t="str">
        <f t="shared" si="3"/>
        <v/>
      </c>
      <c r="Q3810" s="84"/>
      <c r="R3810" s="84"/>
      <c r="S3810" s="84"/>
      <c r="T3810" s="84"/>
      <c r="U3810" s="84"/>
      <c r="V3810" s="84"/>
      <c r="W3810" s="84"/>
      <c r="X3810" s="84"/>
      <c r="Y3810" s="84"/>
      <c r="Z3810" s="84"/>
      <c r="AA3810" s="84"/>
      <c r="AB3810" s="84"/>
    </row>
    <row r="3811">
      <c r="A3811" s="89"/>
      <c r="B3811" s="89"/>
      <c r="C3811" s="89"/>
      <c r="D3811" s="89"/>
      <c r="E3811" s="89"/>
      <c r="F3811" s="89"/>
      <c r="G3811" s="89"/>
      <c r="H3811" s="2"/>
      <c r="I3811" s="90"/>
      <c r="J3811" s="90"/>
      <c r="K3811" s="2"/>
      <c r="L3811" s="48"/>
      <c r="M3811" s="48"/>
      <c r="N3811" s="48"/>
      <c r="O3811" s="48" t="str">
        <f t="shared" si="2"/>
        <v/>
      </c>
      <c r="P3811" s="48" t="str">
        <f t="shared" si="3"/>
        <v/>
      </c>
      <c r="Q3811" s="84"/>
      <c r="R3811" s="84"/>
      <c r="S3811" s="84"/>
      <c r="T3811" s="84"/>
      <c r="U3811" s="84"/>
      <c r="V3811" s="84"/>
      <c r="W3811" s="84"/>
      <c r="X3811" s="84"/>
      <c r="Y3811" s="84"/>
      <c r="Z3811" s="84"/>
      <c r="AA3811" s="84"/>
      <c r="AB3811" s="84"/>
    </row>
    <row r="3812">
      <c r="A3812" s="89"/>
      <c r="B3812" s="89"/>
      <c r="C3812" s="89"/>
      <c r="D3812" s="89"/>
      <c r="E3812" s="89"/>
      <c r="F3812" s="89"/>
      <c r="G3812" s="89"/>
      <c r="H3812" s="2"/>
      <c r="I3812" s="90"/>
      <c r="J3812" s="90"/>
      <c r="K3812" s="2"/>
      <c r="L3812" s="49"/>
      <c r="M3812" s="49"/>
      <c r="N3812" s="49"/>
      <c r="O3812" s="49" t="str">
        <f t="shared" si="2"/>
        <v/>
      </c>
      <c r="P3812" s="49" t="str">
        <f t="shared" si="3"/>
        <v/>
      </c>
      <c r="Q3812" s="84"/>
      <c r="R3812" s="84"/>
      <c r="S3812" s="84"/>
      <c r="T3812" s="84"/>
      <c r="U3812" s="84"/>
      <c r="V3812" s="84"/>
      <c r="W3812" s="84"/>
      <c r="X3812" s="84"/>
      <c r="Y3812" s="84"/>
      <c r="Z3812" s="84"/>
      <c r="AA3812" s="84"/>
      <c r="AB3812" s="84"/>
    </row>
    <row r="3813">
      <c r="A3813" s="89"/>
      <c r="B3813" s="89"/>
      <c r="C3813" s="89"/>
      <c r="D3813" s="89"/>
      <c r="E3813" s="89"/>
      <c r="F3813" s="89"/>
      <c r="G3813" s="89"/>
      <c r="H3813" s="2"/>
      <c r="I3813" s="90"/>
      <c r="J3813" s="90"/>
      <c r="K3813" s="2"/>
      <c r="L3813" s="48"/>
      <c r="M3813" s="48"/>
      <c r="N3813" s="48"/>
      <c r="O3813" s="48" t="str">
        <f t="shared" si="2"/>
        <v/>
      </c>
      <c r="P3813" s="48" t="str">
        <f t="shared" si="3"/>
        <v/>
      </c>
      <c r="Q3813" s="84"/>
      <c r="R3813" s="84"/>
      <c r="S3813" s="84"/>
      <c r="T3813" s="84"/>
      <c r="U3813" s="84"/>
      <c r="V3813" s="84"/>
      <c r="W3813" s="84"/>
      <c r="X3813" s="84"/>
      <c r="Y3813" s="84"/>
      <c r="Z3813" s="84"/>
      <c r="AA3813" s="84"/>
      <c r="AB3813" s="84"/>
    </row>
    <row r="3814">
      <c r="A3814" s="89"/>
      <c r="B3814" s="89"/>
      <c r="C3814" s="89"/>
      <c r="D3814" s="89"/>
      <c r="E3814" s="89"/>
      <c r="F3814" s="89"/>
      <c r="G3814" s="89"/>
      <c r="H3814" s="2"/>
      <c r="I3814" s="90"/>
      <c r="J3814" s="90"/>
      <c r="K3814" s="2"/>
      <c r="L3814" s="49"/>
      <c r="M3814" s="49"/>
      <c r="N3814" s="49"/>
      <c r="O3814" s="49" t="str">
        <f t="shared" si="2"/>
        <v/>
      </c>
      <c r="P3814" s="49" t="str">
        <f t="shared" si="3"/>
        <v/>
      </c>
      <c r="Q3814" s="84"/>
      <c r="R3814" s="84"/>
      <c r="S3814" s="84"/>
      <c r="T3814" s="84"/>
      <c r="U3814" s="84"/>
      <c r="V3814" s="84"/>
      <c r="W3814" s="84"/>
      <c r="X3814" s="84"/>
      <c r="Y3814" s="84"/>
      <c r="Z3814" s="84"/>
      <c r="AA3814" s="84"/>
      <c r="AB3814" s="84"/>
    </row>
    <row r="3815">
      <c r="A3815" s="89"/>
      <c r="B3815" s="89"/>
      <c r="C3815" s="89"/>
      <c r="D3815" s="89"/>
      <c r="E3815" s="89"/>
      <c r="F3815" s="89"/>
      <c r="G3815" s="89"/>
      <c r="H3815" s="2"/>
      <c r="I3815" s="90"/>
      <c r="J3815" s="90"/>
      <c r="K3815" s="2"/>
      <c r="L3815" s="48"/>
      <c r="M3815" s="48"/>
      <c r="N3815" s="48"/>
      <c r="O3815" s="48" t="str">
        <f t="shared" si="2"/>
        <v/>
      </c>
      <c r="P3815" s="48" t="str">
        <f t="shared" si="3"/>
        <v/>
      </c>
      <c r="Q3815" s="84"/>
      <c r="R3815" s="84"/>
      <c r="S3815" s="84"/>
      <c r="T3815" s="84"/>
      <c r="U3815" s="84"/>
      <c r="V3815" s="84"/>
      <c r="W3815" s="84"/>
      <c r="X3815" s="84"/>
      <c r="Y3815" s="84"/>
      <c r="Z3815" s="84"/>
      <c r="AA3815" s="84"/>
      <c r="AB3815" s="84"/>
    </row>
    <row r="3816">
      <c r="A3816" s="89"/>
      <c r="B3816" s="89"/>
      <c r="C3816" s="89"/>
      <c r="D3816" s="89"/>
      <c r="E3816" s="89"/>
      <c r="F3816" s="89"/>
      <c r="G3816" s="89"/>
      <c r="H3816" s="2"/>
      <c r="I3816" s="90"/>
      <c r="J3816" s="90"/>
      <c r="K3816" s="2"/>
      <c r="L3816" s="49"/>
      <c r="M3816" s="49"/>
      <c r="N3816" s="49"/>
      <c r="O3816" s="49" t="str">
        <f t="shared" si="2"/>
        <v/>
      </c>
      <c r="P3816" s="49" t="str">
        <f t="shared" si="3"/>
        <v/>
      </c>
      <c r="Q3816" s="84"/>
      <c r="R3816" s="84"/>
      <c r="S3816" s="84"/>
      <c r="T3816" s="84"/>
      <c r="U3816" s="84"/>
      <c r="V3816" s="84"/>
      <c r="W3816" s="84"/>
      <c r="X3816" s="84"/>
      <c r="Y3816" s="84"/>
      <c r="Z3816" s="84"/>
      <c r="AA3816" s="84"/>
      <c r="AB3816" s="84"/>
    </row>
    <row r="3817">
      <c r="A3817" s="89"/>
      <c r="B3817" s="89"/>
      <c r="C3817" s="89"/>
      <c r="D3817" s="89"/>
      <c r="E3817" s="89"/>
      <c r="F3817" s="89"/>
      <c r="G3817" s="89"/>
      <c r="H3817" s="2"/>
      <c r="I3817" s="90"/>
      <c r="J3817" s="90"/>
      <c r="K3817" s="2"/>
      <c r="L3817" s="48"/>
      <c r="M3817" s="48"/>
      <c r="N3817" s="48"/>
      <c r="O3817" s="48" t="str">
        <f t="shared" si="2"/>
        <v/>
      </c>
      <c r="P3817" s="48" t="str">
        <f t="shared" si="3"/>
        <v/>
      </c>
      <c r="Q3817" s="84"/>
      <c r="R3817" s="84"/>
      <c r="S3817" s="84"/>
      <c r="T3817" s="84"/>
      <c r="U3817" s="84"/>
      <c r="V3817" s="84"/>
      <c r="W3817" s="84"/>
      <c r="X3817" s="84"/>
      <c r="Y3817" s="84"/>
      <c r="Z3817" s="84"/>
      <c r="AA3817" s="84"/>
      <c r="AB3817" s="84"/>
    </row>
    <row r="3818">
      <c r="A3818" s="89"/>
      <c r="B3818" s="89"/>
      <c r="C3818" s="89"/>
      <c r="D3818" s="89"/>
      <c r="E3818" s="89"/>
      <c r="F3818" s="89"/>
      <c r="G3818" s="89"/>
      <c r="H3818" s="2"/>
      <c r="I3818" s="90"/>
      <c r="J3818" s="90"/>
      <c r="K3818" s="2"/>
      <c r="L3818" s="49"/>
      <c r="M3818" s="49"/>
      <c r="N3818" s="49"/>
      <c r="O3818" s="49" t="str">
        <f t="shared" si="2"/>
        <v/>
      </c>
      <c r="P3818" s="49" t="str">
        <f t="shared" si="3"/>
        <v/>
      </c>
      <c r="Q3818" s="84"/>
      <c r="R3818" s="84"/>
      <c r="S3818" s="84"/>
      <c r="T3818" s="84"/>
      <c r="U3818" s="84"/>
      <c r="V3818" s="84"/>
      <c r="W3818" s="84"/>
      <c r="X3818" s="84"/>
      <c r="Y3818" s="84"/>
      <c r="Z3818" s="84"/>
      <c r="AA3818" s="84"/>
      <c r="AB3818" s="84"/>
    </row>
    <row r="3819">
      <c r="A3819" s="89"/>
      <c r="B3819" s="89"/>
      <c r="C3819" s="89"/>
      <c r="D3819" s="89"/>
      <c r="E3819" s="89"/>
      <c r="F3819" s="89"/>
      <c r="G3819" s="89"/>
      <c r="H3819" s="2"/>
      <c r="I3819" s="90"/>
      <c r="J3819" s="90"/>
      <c r="K3819" s="2"/>
      <c r="L3819" s="48"/>
      <c r="M3819" s="48"/>
      <c r="N3819" s="48"/>
      <c r="O3819" s="48" t="str">
        <f t="shared" si="2"/>
        <v/>
      </c>
      <c r="P3819" s="48" t="str">
        <f t="shared" si="3"/>
        <v/>
      </c>
      <c r="Q3819" s="84"/>
      <c r="R3819" s="84"/>
      <c r="S3819" s="84"/>
      <c r="T3819" s="84"/>
      <c r="U3819" s="84"/>
      <c r="V3819" s="84"/>
      <c r="W3819" s="84"/>
      <c r="X3819" s="84"/>
      <c r="Y3819" s="84"/>
      <c r="Z3819" s="84"/>
      <c r="AA3819" s="84"/>
      <c r="AB3819" s="84"/>
    </row>
    <row r="3820">
      <c r="A3820" s="89"/>
      <c r="B3820" s="89"/>
      <c r="C3820" s="89"/>
      <c r="D3820" s="89"/>
      <c r="E3820" s="89"/>
      <c r="F3820" s="89"/>
      <c r="G3820" s="89"/>
      <c r="H3820" s="2"/>
      <c r="I3820" s="90"/>
      <c r="J3820" s="90"/>
      <c r="K3820" s="2"/>
      <c r="L3820" s="49"/>
      <c r="M3820" s="49"/>
      <c r="N3820" s="49"/>
      <c r="O3820" s="49" t="str">
        <f t="shared" si="2"/>
        <v/>
      </c>
      <c r="P3820" s="49" t="str">
        <f t="shared" si="3"/>
        <v/>
      </c>
      <c r="Q3820" s="84"/>
      <c r="R3820" s="84"/>
      <c r="S3820" s="84"/>
      <c r="T3820" s="84"/>
      <c r="U3820" s="84"/>
      <c r="V3820" s="84"/>
      <c r="W3820" s="84"/>
      <c r="X3820" s="84"/>
      <c r="Y3820" s="84"/>
      <c r="Z3820" s="84"/>
      <c r="AA3820" s="84"/>
      <c r="AB3820" s="84"/>
    </row>
    <row r="3821">
      <c r="A3821" s="89"/>
      <c r="B3821" s="89"/>
      <c r="C3821" s="89"/>
      <c r="D3821" s="89"/>
      <c r="E3821" s="89"/>
      <c r="F3821" s="89"/>
      <c r="G3821" s="89"/>
      <c r="H3821" s="2"/>
      <c r="I3821" s="90"/>
      <c r="J3821" s="90"/>
      <c r="K3821" s="2"/>
      <c r="L3821" s="48"/>
      <c r="M3821" s="48"/>
      <c r="N3821" s="48"/>
      <c r="O3821" s="48" t="str">
        <f t="shared" si="2"/>
        <v/>
      </c>
      <c r="P3821" s="48" t="str">
        <f t="shared" si="3"/>
        <v/>
      </c>
      <c r="Q3821" s="84"/>
      <c r="R3821" s="84"/>
      <c r="S3821" s="84"/>
      <c r="T3821" s="84"/>
      <c r="U3821" s="84"/>
      <c r="V3821" s="84"/>
      <c r="W3821" s="84"/>
      <c r="X3821" s="84"/>
      <c r="Y3821" s="84"/>
      <c r="Z3821" s="84"/>
      <c r="AA3821" s="84"/>
      <c r="AB3821" s="84"/>
    </row>
    <row r="3822">
      <c r="A3822" s="89"/>
      <c r="B3822" s="89"/>
      <c r="C3822" s="89"/>
      <c r="D3822" s="89"/>
      <c r="E3822" s="89"/>
      <c r="F3822" s="89"/>
      <c r="G3822" s="89"/>
      <c r="H3822" s="2"/>
      <c r="I3822" s="90"/>
      <c r="J3822" s="90"/>
      <c r="K3822" s="2"/>
      <c r="L3822" s="49"/>
      <c r="M3822" s="49"/>
      <c r="N3822" s="49"/>
      <c r="O3822" s="49" t="str">
        <f t="shared" si="2"/>
        <v/>
      </c>
      <c r="P3822" s="49" t="str">
        <f t="shared" si="3"/>
        <v/>
      </c>
      <c r="Q3822" s="84"/>
      <c r="R3822" s="84"/>
      <c r="S3822" s="84"/>
      <c r="T3822" s="84"/>
      <c r="U3822" s="84"/>
      <c r="V3822" s="84"/>
      <c r="W3822" s="84"/>
      <c r="X3822" s="84"/>
      <c r="Y3822" s="84"/>
      <c r="Z3822" s="84"/>
      <c r="AA3822" s="84"/>
      <c r="AB3822" s="84"/>
    </row>
    <row r="3823">
      <c r="A3823" s="89"/>
      <c r="B3823" s="89"/>
      <c r="C3823" s="89"/>
      <c r="D3823" s="89"/>
      <c r="E3823" s="89"/>
      <c r="F3823" s="89"/>
      <c r="G3823" s="89"/>
      <c r="H3823" s="2"/>
      <c r="I3823" s="90"/>
      <c r="J3823" s="90"/>
      <c r="K3823" s="2"/>
      <c r="L3823" s="48"/>
      <c r="M3823" s="48"/>
      <c r="N3823" s="48"/>
      <c r="O3823" s="48" t="str">
        <f t="shared" si="2"/>
        <v/>
      </c>
      <c r="P3823" s="48" t="str">
        <f t="shared" si="3"/>
        <v/>
      </c>
      <c r="Q3823" s="84"/>
      <c r="R3823" s="84"/>
      <c r="S3823" s="84"/>
      <c r="T3823" s="84"/>
      <c r="U3823" s="84"/>
      <c r="V3823" s="84"/>
      <c r="W3823" s="84"/>
      <c r="X3823" s="84"/>
      <c r="Y3823" s="84"/>
      <c r="Z3823" s="84"/>
      <c r="AA3823" s="84"/>
      <c r="AB3823" s="84"/>
    </row>
    <row r="3824">
      <c r="A3824" s="89"/>
      <c r="B3824" s="89"/>
      <c r="C3824" s="89"/>
      <c r="D3824" s="89"/>
      <c r="E3824" s="89"/>
      <c r="F3824" s="89"/>
      <c r="G3824" s="89"/>
      <c r="H3824" s="2"/>
      <c r="I3824" s="90"/>
      <c r="J3824" s="90"/>
      <c r="K3824" s="2"/>
      <c r="L3824" s="49"/>
      <c r="M3824" s="49"/>
      <c r="N3824" s="49"/>
      <c r="O3824" s="49" t="str">
        <f t="shared" si="2"/>
        <v/>
      </c>
      <c r="P3824" s="49" t="str">
        <f t="shared" si="3"/>
        <v/>
      </c>
      <c r="Q3824" s="84"/>
      <c r="R3824" s="84"/>
      <c r="S3824" s="84"/>
      <c r="T3824" s="84"/>
      <c r="U3824" s="84"/>
      <c r="V3824" s="84"/>
      <c r="W3824" s="84"/>
      <c r="X3824" s="84"/>
      <c r="Y3824" s="84"/>
      <c r="Z3824" s="84"/>
      <c r="AA3824" s="84"/>
      <c r="AB3824" s="84"/>
    </row>
    <row r="3825">
      <c r="A3825" s="89"/>
      <c r="B3825" s="89"/>
      <c r="C3825" s="89"/>
      <c r="D3825" s="89"/>
      <c r="E3825" s="89"/>
      <c r="F3825" s="89"/>
      <c r="G3825" s="89"/>
      <c r="H3825" s="2"/>
      <c r="I3825" s="90"/>
      <c r="J3825" s="90"/>
      <c r="K3825" s="2"/>
      <c r="L3825" s="48"/>
      <c r="M3825" s="48"/>
      <c r="N3825" s="48"/>
      <c r="O3825" s="48" t="str">
        <f t="shared" si="2"/>
        <v/>
      </c>
      <c r="P3825" s="48" t="str">
        <f t="shared" si="3"/>
        <v/>
      </c>
      <c r="Q3825" s="84"/>
      <c r="R3825" s="84"/>
      <c r="S3825" s="84"/>
      <c r="T3825" s="84"/>
      <c r="U3825" s="84"/>
      <c r="V3825" s="84"/>
      <c r="W3825" s="84"/>
      <c r="X3825" s="84"/>
      <c r="Y3825" s="84"/>
      <c r="Z3825" s="84"/>
      <c r="AA3825" s="84"/>
      <c r="AB3825" s="84"/>
    </row>
    <row r="3826">
      <c r="A3826" s="89"/>
      <c r="B3826" s="89"/>
      <c r="C3826" s="89"/>
      <c r="D3826" s="89"/>
      <c r="E3826" s="89"/>
      <c r="F3826" s="89"/>
      <c r="G3826" s="89"/>
      <c r="H3826" s="2"/>
      <c r="I3826" s="90"/>
      <c r="J3826" s="90"/>
      <c r="K3826" s="2"/>
      <c r="L3826" s="49"/>
      <c r="M3826" s="49"/>
      <c r="N3826" s="49"/>
      <c r="O3826" s="49" t="str">
        <f t="shared" si="2"/>
        <v/>
      </c>
      <c r="P3826" s="49" t="str">
        <f t="shared" si="3"/>
        <v/>
      </c>
      <c r="Q3826" s="84"/>
      <c r="R3826" s="84"/>
      <c r="S3826" s="84"/>
      <c r="T3826" s="84"/>
      <c r="U3826" s="84"/>
      <c r="V3826" s="84"/>
      <c r="W3826" s="84"/>
      <c r="X3826" s="84"/>
      <c r="Y3826" s="84"/>
      <c r="Z3826" s="84"/>
      <c r="AA3826" s="84"/>
      <c r="AB3826" s="84"/>
    </row>
    <row r="3827">
      <c r="A3827" s="89"/>
      <c r="B3827" s="89"/>
      <c r="C3827" s="89"/>
      <c r="D3827" s="89"/>
      <c r="E3827" s="89"/>
      <c r="F3827" s="89"/>
      <c r="G3827" s="89"/>
      <c r="H3827" s="2"/>
      <c r="I3827" s="90"/>
      <c r="J3827" s="90"/>
      <c r="K3827" s="2"/>
      <c r="L3827" s="48"/>
      <c r="M3827" s="48"/>
      <c r="N3827" s="48"/>
      <c r="O3827" s="48" t="str">
        <f t="shared" si="2"/>
        <v/>
      </c>
      <c r="P3827" s="48" t="str">
        <f t="shared" si="3"/>
        <v/>
      </c>
      <c r="Q3827" s="84"/>
      <c r="R3827" s="84"/>
      <c r="S3827" s="84"/>
      <c r="T3827" s="84"/>
      <c r="U3827" s="84"/>
      <c r="V3827" s="84"/>
      <c r="W3827" s="84"/>
      <c r="X3827" s="84"/>
      <c r="Y3827" s="84"/>
      <c r="Z3827" s="84"/>
      <c r="AA3827" s="84"/>
      <c r="AB3827" s="84"/>
    </row>
    <row r="3828">
      <c r="A3828" s="89"/>
      <c r="B3828" s="89"/>
      <c r="C3828" s="89"/>
      <c r="D3828" s="89"/>
      <c r="E3828" s="89"/>
      <c r="F3828" s="89"/>
      <c r="G3828" s="89"/>
      <c r="H3828" s="2"/>
      <c r="I3828" s="90"/>
      <c r="J3828" s="90"/>
      <c r="K3828" s="2"/>
      <c r="L3828" s="49"/>
      <c r="M3828" s="49"/>
      <c r="N3828" s="49"/>
      <c r="O3828" s="49" t="str">
        <f t="shared" si="2"/>
        <v/>
      </c>
      <c r="P3828" s="49" t="str">
        <f t="shared" si="3"/>
        <v/>
      </c>
      <c r="Q3828" s="84"/>
      <c r="R3828" s="84"/>
      <c r="S3828" s="84"/>
      <c r="T3828" s="84"/>
      <c r="U3828" s="84"/>
      <c r="V3828" s="84"/>
      <c r="W3828" s="84"/>
      <c r="X3828" s="84"/>
      <c r="Y3828" s="84"/>
      <c r="Z3828" s="84"/>
      <c r="AA3828" s="84"/>
      <c r="AB3828" s="84"/>
    </row>
    <row r="3829">
      <c r="A3829" s="89"/>
      <c r="B3829" s="89"/>
      <c r="C3829" s="89"/>
      <c r="D3829" s="89"/>
      <c r="E3829" s="89"/>
      <c r="F3829" s="89"/>
      <c r="G3829" s="89"/>
      <c r="H3829" s="2"/>
      <c r="I3829" s="90"/>
      <c r="J3829" s="90"/>
      <c r="K3829" s="2"/>
      <c r="L3829" s="48"/>
      <c r="M3829" s="48"/>
      <c r="N3829" s="48"/>
      <c r="O3829" s="48" t="str">
        <f t="shared" si="2"/>
        <v/>
      </c>
      <c r="P3829" s="48" t="str">
        <f t="shared" si="3"/>
        <v/>
      </c>
      <c r="Q3829" s="84"/>
      <c r="R3829" s="84"/>
      <c r="S3829" s="84"/>
      <c r="T3829" s="84"/>
      <c r="U3829" s="84"/>
      <c r="V3829" s="84"/>
      <c r="W3829" s="84"/>
      <c r="X3829" s="84"/>
      <c r="Y3829" s="84"/>
      <c r="Z3829" s="84"/>
      <c r="AA3829" s="84"/>
      <c r="AB3829" s="84"/>
    </row>
    <row r="3830">
      <c r="A3830" s="89"/>
      <c r="B3830" s="89"/>
      <c r="C3830" s="89"/>
      <c r="D3830" s="89"/>
      <c r="E3830" s="89"/>
      <c r="F3830" s="89"/>
      <c r="G3830" s="89"/>
      <c r="H3830" s="2"/>
      <c r="I3830" s="90"/>
      <c r="J3830" s="90"/>
      <c r="K3830" s="2"/>
      <c r="L3830" s="49"/>
      <c r="M3830" s="49"/>
      <c r="N3830" s="49"/>
      <c r="O3830" s="49" t="str">
        <f t="shared" si="2"/>
        <v/>
      </c>
      <c r="P3830" s="49" t="str">
        <f t="shared" si="3"/>
        <v/>
      </c>
      <c r="Q3830" s="84"/>
      <c r="R3830" s="84"/>
      <c r="S3830" s="84"/>
      <c r="T3830" s="84"/>
      <c r="U3830" s="84"/>
      <c r="V3830" s="84"/>
      <c r="W3830" s="84"/>
      <c r="X3830" s="84"/>
      <c r="Y3830" s="84"/>
      <c r="Z3830" s="84"/>
      <c r="AA3830" s="84"/>
      <c r="AB3830" s="84"/>
    </row>
    <row r="3831">
      <c r="A3831" s="89"/>
      <c r="B3831" s="89"/>
      <c r="C3831" s="89"/>
      <c r="D3831" s="89"/>
      <c r="E3831" s="89"/>
      <c r="F3831" s="89"/>
      <c r="G3831" s="89"/>
      <c r="H3831" s="2"/>
      <c r="I3831" s="90"/>
      <c r="J3831" s="90"/>
      <c r="K3831" s="2"/>
      <c r="L3831" s="48"/>
      <c r="M3831" s="48"/>
      <c r="N3831" s="48"/>
      <c r="O3831" s="48" t="str">
        <f t="shared" si="2"/>
        <v/>
      </c>
      <c r="P3831" s="48" t="str">
        <f t="shared" si="3"/>
        <v/>
      </c>
      <c r="Q3831" s="84"/>
      <c r="R3831" s="84"/>
      <c r="S3831" s="84"/>
      <c r="T3831" s="84"/>
      <c r="U3831" s="84"/>
      <c r="V3831" s="84"/>
      <c r="W3831" s="84"/>
      <c r="X3831" s="84"/>
      <c r="Y3831" s="84"/>
      <c r="Z3831" s="84"/>
      <c r="AA3831" s="84"/>
      <c r="AB3831" s="84"/>
    </row>
    <row r="3832">
      <c r="A3832" s="89"/>
      <c r="B3832" s="89"/>
      <c r="C3832" s="89"/>
      <c r="D3832" s="89"/>
      <c r="E3832" s="89"/>
      <c r="F3832" s="89"/>
      <c r="G3832" s="89"/>
      <c r="H3832" s="2"/>
      <c r="I3832" s="90"/>
      <c r="J3832" s="90"/>
      <c r="K3832" s="2"/>
      <c r="L3832" s="49"/>
      <c r="M3832" s="49"/>
      <c r="N3832" s="49"/>
      <c r="O3832" s="49" t="str">
        <f t="shared" si="2"/>
        <v/>
      </c>
      <c r="P3832" s="49" t="str">
        <f t="shared" si="3"/>
        <v/>
      </c>
      <c r="Q3832" s="84"/>
      <c r="R3832" s="84"/>
      <c r="S3832" s="84"/>
      <c r="T3832" s="84"/>
      <c r="U3832" s="84"/>
      <c r="V3832" s="84"/>
      <c r="W3832" s="84"/>
      <c r="X3832" s="84"/>
      <c r="Y3832" s="84"/>
      <c r="Z3832" s="84"/>
      <c r="AA3832" s="84"/>
      <c r="AB3832" s="84"/>
    </row>
    <row r="3833">
      <c r="A3833" s="89"/>
      <c r="B3833" s="89"/>
      <c r="C3833" s="89"/>
      <c r="D3833" s="89"/>
      <c r="E3833" s="89"/>
      <c r="F3833" s="89"/>
      <c r="G3833" s="89"/>
      <c r="H3833" s="2"/>
      <c r="I3833" s="90"/>
      <c r="J3833" s="90"/>
      <c r="K3833" s="2"/>
      <c r="L3833" s="48"/>
      <c r="M3833" s="48"/>
      <c r="N3833" s="48"/>
      <c r="O3833" s="48" t="str">
        <f t="shared" si="2"/>
        <v/>
      </c>
      <c r="P3833" s="48" t="str">
        <f t="shared" si="3"/>
        <v/>
      </c>
      <c r="Q3833" s="84"/>
      <c r="R3833" s="84"/>
      <c r="S3833" s="84"/>
      <c r="T3833" s="84"/>
      <c r="U3833" s="84"/>
      <c r="V3833" s="84"/>
      <c r="W3833" s="84"/>
      <c r="X3833" s="84"/>
      <c r="Y3833" s="84"/>
      <c r="Z3833" s="84"/>
      <c r="AA3833" s="84"/>
      <c r="AB3833" s="84"/>
    </row>
    <row r="3834">
      <c r="A3834" s="89"/>
      <c r="B3834" s="89"/>
      <c r="C3834" s="89"/>
      <c r="D3834" s="89"/>
      <c r="E3834" s="89"/>
      <c r="F3834" s="89"/>
      <c r="G3834" s="89"/>
      <c r="H3834" s="2"/>
      <c r="I3834" s="90"/>
      <c r="J3834" s="90"/>
      <c r="K3834" s="2"/>
      <c r="L3834" s="49"/>
      <c r="M3834" s="49"/>
      <c r="N3834" s="49"/>
      <c r="O3834" s="49" t="str">
        <f t="shared" si="2"/>
        <v/>
      </c>
      <c r="P3834" s="49" t="str">
        <f t="shared" si="3"/>
        <v/>
      </c>
      <c r="Q3834" s="84"/>
      <c r="R3834" s="84"/>
      <c r="S3834" s="84"/>
      <c r="T3834" s="84"/>
      <c r="U3834" s="84"/>
      <c r="V3834" s="84"/>
      <c r="W3834" s="84"/>
      <c r="X3834" s="84"/>
      <c r="Y3834" s="84"/>
      <c r="Z3834" s="84"/>
      <c r="AA3834" s="84"/>
      <c r="AB3834" s="84"/>
    </row>
    <row r="3835">
      <c r="A3835" s="89"/>
      <c r="B3835" s="89"/>
      <c r="C3835" s="89"/>
      <c r="D3835" s="89"/>
      <c r="E3835" s="89"/>
      <c r="F3835" s="89"/>
      <c r="G3835" s="89"/>
      <c r="H3835" s="2"/>
      <c r="I3835" s="90"/>
      <c r="J3835" s="90"/>
      <c r="K3835" s="2"/>
      <c r="L3835" s="48"/>
      <c r="M3835" s="48"/>
      <c r="N3835" s="48"/>
      <c r="O3835" s="48" t="str">
        <f t="shared" si="2"/>
        <v/>
      </c>
      <c r="P3835" s="48" t="str">
        <f t="shared" si="3"/>
        <v/>
      </c>
      <c r="Q3835" s="84"/>
      <c r="R3835" s="84"/>
      <c r="S3835" s="84"/>
      <c r="T3835" s="84"/>
      <c r="U3835" s="84"/>
      <c r="V3835" s="84"/>
      <c r="W3835" s="84"/>
      <c r="X3835" s="84"/>
      <c r="Y3835" s="84"/>
      <c r="Z3835" s="84"/>
      <c r="AA3835" s="84"/>
      <c r="AB3835" s="84"/>
    </row>
    <row r="3836">
      <c r="A3836" s="89"/>
      <c r="B3836" s="89"/>
      <c r="C3836" s="89"/>
      <c r="D3836" s="89"/>
      <c r="E3836" s="89"/>
      <c r="F3836" s="89"/>
      <c r="G3836" s="89"/>
      <c r="H3836" s="2"/>
      <c r="I3836" s="90"/>
      <c r="J3836" s="90"/>
      <c r="K3836" s="2"/>
      <c r="L3836" s="49"/>
      <c r="M3836" s="49"/>
      <c r="N3836" s="49"/>
      <c r="O3836" s="49" t="str">
        <f t="shared" si="2"/>
        <v/>
      </c>
      <c r="P3836" s="49" t="str">
        <f t="shared" si="3"/>
        <v/>
      </c>
      <c r="Q3836" s="84"/>
      <c r="R3836" s="84"/>
      <c r="S3836" s="84"/>
      <c r="T3836" s="84"/>
      <c r="U3836" s="84"/>
      <c r="V3836" s="84"/>
      <c r="W3836" s="84"/>
      <c r="X3836" s="84"/>
      <c r="Y3836" s="84"/>
      <c r="Z3836" s="84"/>
      <c r="AA3836" s="84"/>
      <c r="AB3836" s="84"/>
    </row>
    <row r="3837">
      <c r="A3837" s="89"/>
      <c r="B3837" s="89"/>
      <c r="C3837" s="89"/>
      <c r="D3837" s="89"/>
      <c r="E3837" s="89"/>
      <c r="F3837" s="89"/>
      <c r="G3837" s="89"/>
      <c r="H3837" s="2"/>
      <c r="I3837" s="90"/>
      <c r="J3837" s="90"/>
      <c r="K3837" s="2"/>
      <c r="L3837" s="48"/>
      <c r="M3837" s="48"/>
      <c r="N3837" s="48"/>
      <c r="O3837" s="48" t="str">
        <f t="shared" si="2"/>
        <v/>
      </c>
      <c r="P3837" s="48" t="str">
        <f t="shared" si="3"/>
        <v/>
      </c>
      <c r="Q3837" s="84"/>
      <c r="R3837" s="84"/>
      <c r="S3837" s="84"/>
      <c r="T3837" s="84"/>
      <c r="U3837" s="84"/>
      <c r="V3837" s="84"/>
      <c r="W3837" s="84"/>
      <c r="X3837" s="84"/>
      <c r="Y3837" s="84"/>
      <c r="Z3837" s="84"/>
      <c r="AA3837" s="84"/>
      <c r="AB3837" s="84"/>
    </row>
    <row r="3838">
      <c r="A3838" s="89"/>
      <c r="B3838" s="89"/>
      <c r="C3838" s="89"/>
      <c r="D3838" s="89"/>
      <c r="E3838" s="89"/>
      <c r="F3838" s="89"/>
      <c r="G3838" s="89"/>
      <c r="H3838" s="2"/>
      <c r="I3838" s="90"/>
      <c r="J3838" s="90"/>
      <c r="K3838" s="2"/>
      <c r="L3838" s="49"/>
      <c r="M3838" s="49"/>
      <c r="N3838" s="49"/>
      <c r="O3838" s="49" t="str">
        <f t="shared" si="2"/>
        <v/>
      </c>
      <c r="P3838" s="49" t="str">
        <f t="shared" si="3"/>
        <v/>
      </c>
      <c r="Q3838" s="84"/>
      <c r="R3838" s="84"/>
      <c r="S3838" s="84"/>
      <c r="T3838" s="84"/>
      <c r="U3838" s="84"/>
      <c r="V3838" s="84"/>
      <c r="W3838" s="84"/>
      <c r="X3838" s="84"/>
      <c r="Y3838" s="84"/>
      <c r="Z3838" s="84"/>
      <c r="AA3838" s="84"/>
      <c r="AB3838" s="84"/>
    </row>
    <row r="3839">
      <c r="A3839" s="89"/>
      <c r="B3839" s="89"/>
      <c r="C3839" s="89"/>
      <c r="D3839" s="89"/>
      <c r="E3839" s="89"/>
      <c r="F3839" s="89"/>
      <c r="G3839" s="89"/>
      <c r="H3839" s="2"/>
      <c r="I3839" s="90"/>
      <c r="J3839" s="90"/>
      <c r="K3839" s="2"/>
      <c r="L3839" s="48"/>
      <c r="M3839" s="48"/>
      <c r="N3839" s="48"/>
      <c r="O3839" s="48" t="str">
        <f t="shared" si="2"/>
        <v/>
      </c>
      <c r="P3839" s="48" t="str">
        <f t="shared" si="3"/>
        <v/>
      </c>
      <c r="Q3839" s="84"/>
      <c r="R3839" s="84"/>
      <c r="S3839" s="84"/>
      <c r="T3839" s="84"/>
      <c r="U3839" s="84"/>
      <c r="V3839" s="84"/>
      <c r="W3839" s="84"/>
      <c r="X3839" s="84"/>
      <c r="Y3839" s="84"/>
      <c r="Z3839" s="84"/>
      <c r="AA3839" s="84"/>
      <c r="AB3839" s="84"/>
    </row>
    <row r="3840">
      <c r="A3840" s="89"/>
      <c r="B3840" s="89"/>
      <c r="C3840" s="89"/>
      <c r="D3840" s="89"/>
      <c r="E3840" s="89"/>
      <c r="F3840" s="89"/>
      <c r="G3840" s="89"/>
      <c r="H3840" s="2"/>
      <c r="I3840" s="90"/>
      <c r="J3840" s="90"/>
      <c r="K3840" s="2"/>
      <c r="L3840" s="49"/>
      <c r="M3840" s="49"/>
      <c r="N3840" s="49"/>
      <c r="O3840" s="49" t="str">
        <f t="shared" si="2"/>
        <v/>
      </c>
      <c r="P3840" s="49" t="str">
        <f t="shared" si="3"/>
        <v/>
      </c>
      <c r="Q3840" s="84"/>
      <c r="R3840" s="84"/>
      <c r="S3840" s="84"/>
      <c r="T3840" s="84"/>
      <c r="U3840" s="84"/>
      <c r="V3840" s="84"/>
      <c r="W3840" s="84"/>
      <c r="X3840" s="84"/>
      <c r="Y3840" s="84"/>
      <c r="Z3840" s="84"/>
      <c r="AA3840" s="84"/>
      <c r="AB3840" s="84"/>
    </row>
    <row r="3841">
      <c r="A3841" s="89"/>
      <c r="B3841" s="89"/>
      <c r="C3841" s="89"/>
      <c r="D3841" s="89"/>
      <c r="E3841" s="89"/>
      <c r="F3841" s="89"/>
      <c r="G3841" s="89"/>
      <c r="H3841" s="2"/>
      <c r="I3841" s="90"/>
      <c r="J3841" s="90"/>
      <c r="K3841" s="2"/>
      <c r="L3841" s="48"/>
      <c r="M3841" s="48"/>
      <c r="N3841" s="48"/>
      <c r="O3841" s="48" t="str">
        <f t="shared" si="2"/>
        <v/>
      </c>
      <c r="P3841" s="48" t="str">
        <f t="shared" si="3"/>
        <v/>
      </c>
      <c r="Q3841" s="84"/>
      <c r="R3841" s="84"/>
      <c r="S3841" s="84"/>
      <c r="T3841" s="84"/>
      <c r="U3841" s="84"/>
      <c r="V3841" s="84"/>
      <c r="W3841" s="84"/>
      <c r="X3841" s="84"/>
      <c r="Y3841" s="84"/>
      <c r="Z3841" s="84"/>
      <c r="AA3841" s="84"/>
      <c r="AB3841" s="84"/>
    </row>
    <row r="3842">
      <c r="A3842" s="89"/>
      <c r="B3842" s="89"/>
      <c r="C3842" s="89"/>
      <c r="D3842" s="89"/>
      <c r="E3842" s="89"/>
      <c r="F3842" s="89"/>
      <c r="G3842" s="89"/>
      <c r="H3842" s="2"/>
      <c r="I3842" s="90"/>
      <c r="J3842" s="90"/>
      <c r="K3842" s="2"/>
      <c r="L3842" s="49"/>
      <c r="M3842" s="49"/>
      <c r="N3842" s="49"/>
      <c r="O3842" s="49" t="str">
        <f t="shared" si="2"/>
        <v/>
      </c>
      <c r="P3842" s="49" t="str">
        <f t="shared" si="3"/>
        <v/>
      </c>
      <c r="Q3842" s="84"/>
      <c r="R3842" s="84"/>
      <c r="S3842" s="84"/>
      <c r="T3842" s="84"/>
      <c r="U3842" s="84"/>
      <c r="V3842" s="84"/>
      <c r="W3842" s="84"/>
      <c r="X3842" s="84"/>
      <c r="Y3842" s="84"/>
      <c r="Z3842" s="84"/>
      <c r="AA3842" s="84"/>
      <c r="AB3842" s="84"/>
    </row>
    <row r="3843">
      <c r="A3843" s="89"/>
      <c r="B3843" s="89"/>
      <c r="C3843" s="89"/>
      <c r="D3843" s="89"/>
      <c r="E3843" s="89"/>
      <c r="F3843" s="89"/>
      <c r="G3843" s="89"/>
      <c r="H3843" s="2"/>
      <c r="I3843" s="90"/>
      <c r="J3843" s="90"/>
      <c r="K3843" s="2"/>
      <c r="L3843" s="48"/>
      <c r="M3843" s="48"/>
      <c r="N3843" s="48"/>
      <c r="O3843" s="48" t="str">
        <f t="shared" si="2"/>
        <v/>
      </c>
      <c r="P3843" s="48" t="str">
        <f t="shared" si="3"/>
        <v/>
      </c>
      <c r="Q3843" s="84"/>
      <c r="R3843" s="84"/>
      <c r="S3843" s="84"/>
      <c r="T3843" s="84"/>
      <c r="U3843" s="84"/>
      <c r="V3843" s="84"/>
      <c r="W3843" s="84"/>
      <c r="X3843" s="84"/>
      <c r="Y3843" s="84"/>
      <c r="Z3843" s="84"/>
      <c r="AA3843" s="84"/>
      <c r="AB3843" s="84"/>
    </row>
    <row r="3844">
      <c r="A3844" s="89"/>
      <c r="B3844" s="89"/>
      <c r="C3844" s="89"/>
      <c r="D3844" s="89"/>
      <c r="E3844" s="89"/>
      <c r="F3844" s="89"/>
      <c r="G3844" s="89"/>
      <c r="H3844" s="2"/>
      <c r="I3844" s="90"/>
      <c r="J3844" s="90"/>
      <c r="K3844" s="2"/>
      <c r="L3844" s="49"/>
      <c r="M3844" s="49"/>
      <c r="N3844" s="49"/>
      <c r="O3844" s="49" t="str">
        <f t="shared" si="2"/>
        <v/>
      </c>
      <c r="P3844" s="49" t="str">
        <f t="shared" si="3"/>
        <v/>
      </c>
      <c r="Q3844" s="84"/>
      <c r="R3844" s="84"/>
      <c r="S3844" s="84"/>
      <c r="T3844" s="84"/>
      <c r="U3844" s="84"/>
      <c r="V3844" s="84"/>
      <c r="W3844" s="84"/>
      <c r="X3844" s="84"/>
      <c r="Y3844" s="84"/>
      <c r="Z3844" s="84"/>
      <c r="AA3844" s="84"/>
      <c r="AB3844" s="84"/>
    </row>
    <row r="3845">
      <c r="A3845" s="89"/>
      <c r="B3845" s="89"/>
      <c r="C3845" s="89"/>
      <c r="D3845" s="89"/>
      <c r="E3845" s="89"/>
      <c r="F3845" s="89"/>
      <c r="G3845" s="89"/>
      <c r="H3845" s="2"/>
      <c r="I3845" s="90"/>
      <c r="J3845" s="90"/>
      <c r="K3845" s="2"/>
      <c r="L3845" s="48"/>
      <c r="M3845" s="48"/>
      <c r="N3845" s="48"/>
      <c r="O3845" s="48" t="str">
        <f t="shared" si="2"/>
        <v/>
      </c>
      <c r="P3845" s="48" t="str">
        <f t="shared" si="3"/>
        <v/>
      </c>
      <c r="Q3845" s="84"/>
      <c r="R3845" s="84"/>
      <c r="S3845" s="84"/>
      <c r="T3845" s="84"/>
      <c r="U3845" s="84"/>
      <c r="V3845" s="84"/>
      <c r="W3845" s="84"/>
      <c r="X3845" s="84"/>
      <c r="Y3845" s="84"/>
      <c r="Z3845" s="84"/>
      <c r="AA3845" s="84"/>
      <c r="AB3845" s="84"/>
    </row>
    <row r="3846">
      <c r="A3846" s="89"/>
      <c r="B3846" s="89"/>
      <c r="C3846" s="89"/>
      <c r="D3846" s="89"/>
      <c r="E3846" s="89"/>
      <c r="F3846" s="89"/>
      <c r="G3846" s="89"/>
      <c r="H3846" s="2"/>
      <c r="I3846" s="90"/>
      <c r="J3846" s="90"/>
      <c r="K3846" s="2"/>
      <c r="L3846" s="49"/>
      <c r="M3846" s="49"/>
      <c r="N3846" s="49"/>
      <c r="O3846" s="49" t="str">
        <f t="shared" si="2"/>
        <v/>
      </c>
      <c r="P3846" s="49" t="str">
        <f t="shared" si="3"/>
        <v/>
      </c>
      <c r="Q3846" s="84"/>
      <c r="R3846" s="84"/>
      <c r="S3846" s="84"/>
      <c r="T3846" s="84"/>
      <c r="U3846" s="84"/>
      <c r="V3846" s="84"/>
      <c r="W3846" s="84"/>
      <c r="X3846" s="84"/>
      <c r="Y3846" s="84"/>
      <c r="Z3846" s="84"/>
      <c r="AA3846" s="84"/>
      <c r="AB3846" s="84"/>
    </row>
    <row r="3847">
      <c r="A3847" s="89"/>
      <c r="B3847" s="89"/>
      <c r="C3847" s="89"/>
      <c r="D3847" s="89"/>
      <c r="E3847" s="89"/>
      <c r="F3847" s="89"/>
      <c r="G3847" s="89"/>
      <c r="H3847" s="2"/>
      <c r="I3847" s="90"/>
      <c r="J3847" s="90"/>
      <c r="K3847" s="2"/>
      <c r="L3847" s="48"/>
      <c r="M3847" s="48"/>
      <c r="N3847" s="48"/>
      <c r="O3847" s="48" t="str">
        <f t="shared" si="2"/>
        <v/>
      </c>
      <c r="P3847" s="48" t="str">
        <f t="shared" si="3"/>
        <v/>
      </c>
      <c r="Q3847" s="84"/>
      <c r="R3847" s="84"/>
      <c r="S3847" s="84"/>
      <c r="T3847" s="84"/>
      <c r="U3847" s="84"/>
      <c r="V3847" s="84"/>
      <c r="W3847" s="84"/>
      <c r="X3847" s="84"/>
      <c r="Y3847" s="84"/>
      <c r="Z3847" s="84"/>
      <c r="AA3847" s="84"/>
      <c r="AB3847" s="84"/>
    </row>
    <row r="3848">
      <c r="A3848" s="89"/>
      <c r="B3848" s="89"/>
      <c r="C3848" s="89"/>
      <c r="D3848" s="89"/>
      <c r="E3848" s="89"/>
      <c r="F3848" s="89"/>
      <c r="G3848" s="89"/>
      <c r="H3848" s="2"/>
      <c r="I3848" s="90"/>
      <c r="J3848" s="90"/>
      <c r="K3848" s="2"/>
      <c r="L3848" s="49"/>
      <c r="M3848" s="49"/>
      <c r="N3848" s="49"/>
      <c r="O3848" s="49" t="str">
        <f t="shared" si="2"/>
        <v/>
      </c>
      <c r="P3848" s="49" t="str">
        <f t="shared" si="3"/>
        <v/>
      </c>
      <c r="Q3848" s="84"/>
      <c r="R3848" s="84"/>
      <c r="S3848" s="84"/>
      <c r="T3848" s="84"/>
      <c r="U3848" s="84"/>
      <c r="V3848" s="84"/>
      <c r="W3848" s="84"/>
      <c r="X3848" s="84"/>
      <c r="Y3848" s="84"/>
      <c r="Z3848" s="84"/>
      <c r="AA3848" s="84"/>
      <c r="AB3848" s="84"/>
    </row>
    <row r="3849">
      <c r="A3849" s="89"/>
      <c r="B3849" s="89"/>
      <c r="C3849" s="89"/>
      <c r="D3849" s="89"/>
      <c r="E3849" s="89"/>
      <c r="F3849" s="89"/>
      <c r="G3849" s="89"/>
      <c r="H3849" s="2"/>
      <c r="I3849" s="90"/>
      <c r="J3849" s="90"/>
      <c r="K3849" s="2"/>
      <c r="L3849" s="48"/>
      <c r="M3849" s="48"/>
      <c r="N3849" s="48"/>
      <c r="O3849" s="48" t="str">
        <f t="shared" si="2"/>
        <v/>
      </c>
      <c r="P3849" s="48" t="str">
        <f t="shared" si="3"/>
        <v/>
      </c>
      <c r="Q3849" s="84"/>
      <c r="R3849" s="84"/>
      <c r="S3849" s="84"/>
      <c r="T3849" s="84"/>
      <c r="U3849" s="84"/>
      <c r="V3849" s="84"/>
      <c r="W3849" s="84"/>
      <c r="X3849" s="84"/>
      <c r="Y3849" s="84"/>
      <c r="Z3849" s="84"/>
      <c r="AA3849" s="84"/>
      <c r="AB3849" s="84"/>
    </row>
    <row r="3850">
      <c r="A3850" s="89"/>
      <c r="B3850" s="89"/>
      <c r="C3850" s="89"/>
      <c r="D3850" s="89"/>
      <c r="E3850" s="89"/>
      <c r="F3850" s="89"/>
      <c r="G3850" s="89"/>
      <c r="H3850" s="2"/>
      <c r="I3850" s="90"/>
      <c r="J3850" s="90"/>
      <c r="K3850" s="2"/>
      <c r="L3850" s="49"/>
      <c r="M3850" s="49"/>
      <c r="N3850" s="49"/>
      <c r="O3850" s="49" t="str">
        <f t="shared" si="2"/>
        <v/>
      </c>
      <c r="P3850" s="49" t="str">
        <f t="shared" si="3"/>
        <v/>
      </c>
      <c r="Q3850" s="84"/>
      <c r="R3850" s="84"/>
      <c r="S3850" s="84"/>
      <c r="T3850" s="84"/>
      <c r="U3850" s="84"/>
      <c r="V3850" s="84"/>
      <c r="W3850" s="84"/>
      <c r="X3850" s="84"/>
      <c r="Y3850" s="84"/>
      <c r="Z3850" s="84"/>
      <c r="AA3850" s="84"/>
      <c r="AB3850" s="84"/>
    </row>
    <row r="3851">
      <c r="A3851" s="89"/>
      <c r="B3851" s="89"/>
      <c r="C3851" s="89"/>
      <c r="D3851" s="89"/>
      <c r="E3851" s="89"/>
      <c r="F3851" s="89"/>
      <c r="G3851" s="89"/>
      <c r="H3851" s="2"/>
      <c r="I3851" s="90"/>
      <c r="J3851" s="90"/>
      <c r="K3851" s="2"/>
      <c r="L3851" s="48"/>
      <c r="M3851" s="48"/>
      <c r="N3851" s="48"/>
      <c r="O3851" s="48" t="str">
        <f t="shared" si="2"/>
        <v/>
      </c>
      <c r="P3851" s="48" t="str">
        <f t="shared" si="3"/>
        <v/>
      </c>
      <c r="Q3851" s="84"/>
      <c r="R3851" s="84"/>
      <c r="S3851" s="84"/>
      <c r="T3851" s="84"/>
      <c r="U3851" s="84"/>
      <c r="V3851" s="84"/>
      <c r="W3851" s="84"/>
      <c r="X3851" s="84"/>
      <c r="Y3851" s="84"/>
      <c r="Z3851" s="84"/>
      <c r="AA3851" s="84"/>
      <c r="AB3851" s="84"/>
    </row>
    <row r="3852">
      <c r="A3852" s="89"/>
      <c r="B3852" s="89"/>
      <c r="C3852" s="89"/>
      <c r="D3852" s="89"/>
      <c r="E3852" s="89"/>
      <c r="F3852" s="89"/>
      <c r="G3852" s="89"/>
      <c r="H3852" s="2"/>
      <c r="I3852" s="90"/>
      <c r="J3852" s="90"/>
      <c r="K3852" s="2"/>
      <c r="L3852" s="49"/>
      <c r="M3852" s="49"/>
      <c r="N3852" s="49"/>
      <c r="O3852" s="49" t="str">
        <f t="shared" si="2"/>
        <v/>
      </c>
      <c r="P3852" s="49" t="str">
        <f t="shared" si="3"/>
        <v/>
      </c>
      <c r="Q3852" s="84"/>
      <c r="R3852" s="84"/>
      <c r="S3852" s="84"/>
      <c r="T3852" s="84"/>
      <c r="U3852" s="84"/>
      <c r="V3852" s="84"/>
      <c r="W3852" s="84"/>
      <c r="X3852" s="84"/>
      <c r="Y3852" s="84"/>
      <c r="Z3852" s="84"/>
      <c r="AA3852" s="84"/>
      <c r="AB3852" s="84"/>
    </row>
    <row r="3853">
      <c r="A3853" s="89"/>
      <c r="B3853" s="89"/>
      <c r="C3853" s="89"/>
      <c r="D3853" s="89"/>
      <c r="E3853" s="89"/>
      <c r="F3853" s="89"/>
      <c r="G3853" s="89"/>
      <c r="H3853" s="2"/>
      <c r="I3853" s="90"/>
      <c r="J3853" s="90"/>
      <c r="K3853" s="2"/>
      <c r="L3853" s="48"/>
      <c r="M3853" s="48"/>
      <c r="N3853" s="48"/>
      <c r="O3853" s="48" t="str">
        <f t="shared" si="2"/>
        <v/>
      </c>
      <c r="P3853" s="48" t="str">
        <f t="shared" si="3"/>
        <v/>
      </c>
      <c r="Q3853" s="84"/>
      <c r="R3853" s="84"/>
      <c r="S3853" s="84"/>
      <c r="T3853" s="84"/>
      <c r="U3853" s="84"/>
      <c r="V3853" s="84"/>
      <c r="W3853" s="84"/>
      <c r="X3853" s="84"/>
      <c r="Y3853" s="84"/>
      <c r="Z3853" s="84"/>
      <c r="AA3853" s="84"/>
      <c r="AB3853" s="84"/>
    </row>
    <row r="3854">
      <c r="A3854" s="89"/>
      <c r="B3854" s="89"/>
      <c r="C3854" s="89"/>
      <c r="D3854" s="89"/>
      <c r="E3854" s="89"/>
      <c r="F3854" s="89"/>
      <c r="G3854" s="89"/>
      <c r="H3854" s="2"/>
      <c r="I3854" s="90"/>
      <c r="J3854" s="90"/>
      <c r="K3854" s="2"/>
      <c r="L3854" s="49"/>
      <c r="M3854" s="49"/>
      <c r="N3854" s="49"/>
      <c r="O3854" s="49" t="str">
        <f t="shared" si="2"/>
        <v/>
      </c>
      <c r="P3854" s="49" t="str">
        <f t="shared" si="3"/>
        <v/>
      </c>
      <c r="Q3854" s="84"/>
      <c r="R3854" s="84"/>
      <c r="S3854" s="84"/>
      <c r="T3854" s="84"/>
      <c r="U3854" s="84"/>
      <c r="V3854" s="84"/>
      <c r="W3854" s="84"/>
      <c r="X3854" s="84"/>
      <c r="Y3854" s="84"/>
      <c r="Z3854" s="84"/>
      <c r="AA3854" s="84"/>
      <c r="AB3854" s="84"/>
    </row>
    <row r="3855">
      <c r="A3855" s="89"/>
      <c r="B3855" s="89"/>
      <c r="C3855" s="89"/>
      <c r="D3855" s="89"/>
      <c r="E3855" s="89"/>
      <c r="F3855" s="89"/>
      <c r="G3855" s="89"/>
      <c r="H3855" s="2"/>
      <c r="I3855" s="90"/>
      <c r="J3855" s="90"/>
      <c r="K3855" s="2"/>
      <c r="L3855" s="48"/>
      <c r="M3855" s="48"/>
      <c r="N3855" s="48"/>
      <c r="O3855" s="48" t="str">
        <f t="shared" si="2"/>
        <v/>
      </c>
      <c r="P3855" s="48" t="str">
        <f t="shared" si="3"/>
        <v/>
      </c>
      <c r="Q3855" s="84"/>
      <c r="R3855" s="84"/>
      <c r="S3855" s="84"/>
      <c r="T3855" s="84"/>
      <c r="U3855" s="84"/>
      <c r="V3855" s="84"/>
      <c r="W3855" s="84"/>
      <c r="X3855" s="84"/>
      <c r="Y3855" s="84"/>
      <c r="Z3855" s="84"/>
      <c r="AA3855" s="84"/>
      <c r="AB3855" s="84"/>
    </row>
    <row r="3856">
      <c r="A3856" s="89"/>
      <c r="B3856" s="89"/>
      <c r="C3856" s="89"/>
      <c r="D3856" s="89"/>
      <c r="E3856" s="89"/>
      <c r="F3856" s="89"/>
      <c r="G3856" s="89"/>
      <c r="H3856" s="2"/>
      <c r="I3856" s="90"/>
      <c r="J3856" s="90"/>
      <c r="K3856" s="2"/>
      <c r="L3856" s="49"/>
      <c r="M3856" s="49"/>
      <c r="N3856" s="49"/>
      <c r="O3856" s="49" t="str">
        <f t="shared" si="2"/>
        <v/>
      </c>
      <c r="P3856" s="49" t="str">
        <f t="shared" si="3"/>
        <v/>
      </c>
      <c r="Q3856" s="84"/>
      <c r="R3856" s="84"/>
      <c r="S3856" s="84"/>
      <c r="T3856" s="84"/>
      <c r="U3856" s="84"/>
      <c r="V3856" s="84"/>
      <c r="W3856" s="84"/>
      <c r="X3856" s="84"/>
      <c r="Y3856" s="84"/>
      <c r="Z3856" s="84"/>
      <c r="AA3856" s="84"/>
      <c r="AB3856" s="84"/>
    </row>
    <row r="3857">
      <c r="A3857" s="89"/>
      <c r="B3857" s="89"/>
      <c r="C3857" s="89"/>
      <c r="D3857" s="89"/>
      <c r="E3857" s="89"/>
      <c r="F3857" s="89"/>
      <c r="G3857" s="89"/>
      <c r="H3857" s="2"/>
      <c r="I3857" s="90"/>
      <c r="J3857" s="90"/>
      <c r="K3857" s="2"/>
      <c r="L3857" s="48"/>
      <c r="M3857" s="48"/>
      <c r="N3857" s="48"/>
      <c r="O3857" s="48" t="str">
        <f t="shared" si="2"/>
        <v/>
      </c>
      <c r="P3857" s="48" t="str">
        <f t="shared" si="3"/>
        <v/>
      </c>
      <c r="Q3857" s="84"/>
      <c r="R3857" s="84"/>
      <c r="S3857" s="84"/>
      <c r="T3857" s="84"/>
      <c r="U3857" s="84"/>
      <c r="V3857" s="84"/>
      <c r="W3857" s="84"/>
      <c r="X3857" s="84"/>
      <c r="Y3857" s="84"/>
      <c r="Z3857" s="84"/>
      <c r="AA3857" s="84"/>
      <c r="AB3857" s="84"/>
    </row>
    <row r="3858">
      <c r="A3858" s="89"/>
      <c r="B3858" s="89"/>
      <c r="C3858" s="89"/>
      <c r="D3858" s="89"/>
      <c r="E3858" s="89"/>
      <c r="F3858" s="89"/>
      <c r="G3858" s="89"/>
      <c r="H3858" s="2"/>
      <c r="I3858" s="90"/>
      <c r="J3858" s="90"/>
      <c r="K3858" s="2"/>
      <c r="L3858" s="49"/>
      <c r="M3858" s="49"/>
      <c r="N3858" s="49"/>
      <c r="O3858" s="49" t="str">
        <f t="shared" si="2"/>
        <v/>
      </c>
      <c r="P3858" s="49" t="str">
        <f t="shared" si="3"/>
        <v/>
      </c>
      <c r="Q3858" s="84"/>
      <c r="R3858" s="84"/>
      <c r="S3858" s="84"/>
      <c r="T3858" s="84"/>
      <c r="U3858" s="84"/>
      <c r="V3858" s="84"/>
      <c r="W3858" s="84"/>
      <c r="X3858" s="84"/>
      <c r="Y3858" s="84"/>
      <c r="Z3858" s="84"/>
      <c r="AA3858" s="84"/>
      <c r="AB3858" s="84"/>
    </row>
    <row r="3859">
      <c r="A3859" s="89"/>
      <c r="B3859" s="89"/>
      <c r="C3859" s="89"/>
      <c r="D3859" s="89"/>
      <c r="E3859" s="89"/>
      <c r="F3859" s="89"/>
      <c r="G3859" s="89"/>
      <c r="H3859" s="2"/>
      <c r="I3859" s="90"/>
      <c r="J3859" s="90"/>
      <c r="K3859" s="2"/>
      <c r="L3859" s="48"/>
      <c r="M3859" s="48"/>
      <c r="N3859" s="48"/>
      <c r="O3859" s="48" t="str">
        <f t="shared" si="2"/>
        <v/>
      </c>
      <c r="P3859" s="48" t="str">
        <f t="shared" si="3"/>
        <v/>
      </c>
      <c r="Q3859" s="84"/>
      <c r="R3859" s="84"/>
      <c r="S3859" s="84"/>
      <c r="T3859" s="84"/>
      <c r="U3859" s="84"/>
      <c r="V3859" s="84"/>
      <c r="W3859" s="84"/>
      <c r="X3859" s="84"/>
      <c r="Y3859" s="84"/>
      <c r="Z3859" s="84"/>
      <c r="AA3859" s="84"/>
      <c r="AB3859" s="84"/>
    </row>
    <row r="3860">
      <c r="A3860" s="89"/>
      <c r="B3860" s="89"/>
      <c r="C3860" s="89"/>
      <c r="D3860" s="89"/>
      <c r="E3860" s="89"/>
      <c r="F3860" s="89"/>
      <c r="G3860" s="89"/>
      <c r="H3860" s="2"/>
      <c r="I3860" s="90"/>
      <c r="J3860" s="90"/>
      <c r="K3860" s="2"/>
      <c r="L3860" s="49"/>
      <c r="M3860" s="49"/>
      <c r="N3860" s="49"/>
      <c r="O3860" s="49" t="str">
        <f t="shared" si="2"/>
        <v/>
      </c>
      <c r="P3860" s="49" t="str">
        <f t="shared" si="3"/>
        <v/>
      </c>
      <c r="Q3860" s="84"/>
      <c r="R3860" s="84"/>
      <c r="S3860" s="84"/>
      <c r="T3860" s="84"/>
      <c r="U3860" s="84"/>
      <c r="V3860" s="84"/>
      <c r="W3860" s="84"/>
      <c r="X3860" s="84"/>
      <c r="Y3860" s="84"/>
      <c r="Z3860" s="84"/>
      <c r="AA3860" s="84"/>
      <c r="AB3860" s="84"/>
    </row>
    <row r="3861">
      <c r="A3861" s="89"/>
      <c r="B3861" s="89"/>
      <c r="C3861" s="89"/>
      <c r="D3861" s="89"/>
      <c r="E3861" s="89"/>
      <c r="F3861" s="89"/>
      <c r="G3861" s="89"/>
      <c r="H3861" s="2"/>
      <c r="I3861" s="90"/>
      <c r="J3861" s="90"/>
      <c r="K3861" s="2"/>
      <c r="L3861" s="48"/>
      <c r="M3861" s="48"/>
      <c r="N3861" s="48"/>
      <c r="O3861" s="48" t="str">
        <f t="shared" si="2"/>
        <v/>
      </c>
      <c r="P3861" s="48" t="str">
        <f t="shared" si="3"/>
        <v/>
      </c>
      <c r="Q3861" s="84"/>
      <c r="R3861" s="84"/>
      <c r="S3861" s="84"/>
      <c r="T3861" s="84"/>
      <c r="U3861" s="84"/>
      <c r="V3861" s="84"/>
      <c r="W3861" s="84"/>
      <c r="X3861" s="84"/>
      <c r="Y3861" s="84"/>
      <c r="Z3861" s="84"/>
      <c r="AA3861" s="84"/>
      <c r="AB3861" s="84"/>
    </row>
    <row r="3862">
      <c r="A3862" s="89"/>
      <c r="B3862" s="89"/>
      <c r="C3862" s="89"/>
      <c r="D3862" s="89"/>
      <c r="E3862" s="89"/>
      <c r="F3862" s="89"/>
      <c r="G3862" s="89"/>
      <c r="H3862" s="2"/>
      <c r="I3862" s="90"/>
      <c r="J3862" s="90"/>
      <c r="K3862" s="2"/>
      <c r="L3862" s="49"/>
      <c r="M3862" s="49"/>
      <c r="N3862" s="49"/>
      <c r="O3862" s="49" t="str">
        <f t="shared" si="2"/>
        <v/>
      </c>
      <c r="P3862" s="49" t="str">
        <f t="shared" si="3"/>
        <v/>
      </c>
      <c r="Q3862" s="84"/>
      <c r="R3862" s="84"/>
      <c r="S3862" s="84"/>
      <c r="T3862" s="84"/>
      <c r="U3862" s="84"/>
      <c r="V3862" s="84"/>
      <c r="W3862" s="84"/>
      <c r="X3862" s="84"/>
      <c r="Y3862" s="84"/>
      <c r="Z3862" s="84"/>
      <c r="AA3862" s="84"/>
      <c r="AB3862" s="84"/>
    </row>
    <row r="3863">
      <c r="A3863" s="89"/>
      <c r="B3863" s="89"/>
      <c r="C3863" s="89"/>
      <c r="D3863" s="89"/>
      <c r="E3863" s="89"/>
      <c r="F3863" s="89"/>
      <c r="G3863" s="89"/>
      <c r="H3863" s="2"/>
      <c r="I3863" s="90"/>
      <c r="J3863" s="90"/>
      <c r="K3863" s="2"/>
      <c r="L3863" s="48"/>
      <c r="M3863" s="48"/>
      <c r="N3863" s="48"/>
      <c r="O3863" s="48" t="str">
        <f t="shared" si="2"/>
        <v/>
      </c>
      <c r="P3863" s="48" t="str">
        <f t="shared" si="3"/>
        <v/>
      </c>
      <c r="Q3863" s="84"/>
      <c r="R3863" s="84"/>
      <c r="S3863" s="84"/>
      <c r="T3863" s="84"/>
      <c r="U3863" s="84"/>
      <c r="V3863" s="84"/>
      <c r="W3863" s="84"/>
      <c r="X3863" s="84"/>
      <c r="Y3863" s="84"/>
      <c r="Z3863" s="84"/>
      <c r="AA3863" s="84"/>
      <c r="AB3863" s="84"/>
    </row>
    <row r="3864">
      <c r="A3864" s="89"/>
      <c r="B3864" s="89"/>
      <c r="C3864" s="89"/>
      <c r="D3864" s="89"/>
      <c r="E3864" s="89"/>
      <c r="F3864" s="89"/>
      <c r="G3864" s="89"/>
      <c r="H3864" s="2"/>
      <c r="I3864" s="90"/>
      <c r="J3864" s="90"/>
      <c r="K3864" s="2"/>
      <c r="L3864" s="49"/>
      <c r="M3864" s="49"/>
      <c r="N3864" s="49"/>
      <c r="O3864" s="49" t="str">
        <f t="shared" si="2"/>
        <v/>
      </c>
      <c r="P3864" s="49" t="str">
        <f t="shared" si="3"/>
        <v/>
      </c>
      <c r="Q3864" s="84"/>
      <c r="R3864" s="84"/>
      <c r="S3864" s="84"/>
      <c r="T3864" s="84"/>
      <c r="U3864" s="84"/>
      <c r="V3864" s="84"/>
      <c r="W3864" s="84"/>
      <c r="X3864" s="84"/>
      <c r="Y3864" s="84"/>
      <c r="Z3864" s="84"/>
      <c r="AA3864" s="84"/>
      <c r="AB3864" s="84"/>
    </row>
    <row r="3865">
      <c r="A3865" s="89"/>
      <c r="B3865" s="89"/>
      <c r="C3865" s="89"/>
      <c r="D3865" s="89"/>
      <c r="E3865" s="89"/>
      <c r="F3865" s="89"/>
      <c r="G3865" s="89"/>
      <c r="H3865" s="2"/>
      <c r="I3865" s="90"/>
      <c r="J3865" s="90"/>
      <c r="K3865" s="2"/>
      <c r="L3865" s="48"/>
      <c r="M3865" s="48"/>
      <c r="N3865" s="48"/>
      <c r="O3865" s="48" t="str">
        <f t="shared" si="2"/>
        <v/>
      </c>
      <c r="P3865" s="48" t="str">
        <f t="shared" si="3"/>
        <v/>
      </c>
      <c r="Q3865" s="84"/>
      <c r="R3865" s="84"/>
      <c r="S3865" s="84"/>
      <c r="T3865" s="84"/>
      <c r="U3865" s="84"/>
      <c r="V3865" s="84"/>
      <c r="W3865" s="84"/>
      <c r="X3865" s="84"/>
      <c r="Y3865" s="84"/>
      <c r="Z3865" s="84"/>
      <c r="AA3865" s="84"/>
      <c r="AB3865" s="84"/>
    </row>
    <row r="3866">
      <c r="A3866" s="89"/>
      <c r="B3866" s="89"/>
      <c r="C3866" s="89"/>
      <c r="D3866" s="89"/>
      <c r="E3866" s="89"/>
      <c r="F3866" s="89"/>
      <c r="G3866" s="89"/>
      <c r="H3866" s="2"/>
      <c r="I3866" s="90"/>
      <c r="J3866" s="90"/>
      <c r="K3866" s="2"/>
      <c r="L3866" s="49"/>
      <c r="M3866" s="49"/>
      <c r="N3866" s="49"/>
      <c r="O3866" s="49" t="str">
        <f t="shared" si="2"/>
        <v/>
      </c>
      <c r="P3866" s="49" t="str">
        <f t="shared" si="3"/>
        <v/>
      </c>
      <c r="Q3866" s="84"/>
      <c r="R3866" s="84"/>
      <c r="S3866" s="84"/>
      <c r="T3866" s="84"/>
      <c r="U3866" s="84"/>
      <c r="V3866" s="84"/>
      <c r="W3866" s="84"/>
      <c r="X3866" s="84"/>
      <c r="Y3866" s="84"/>
      <c r="Z3866" s="84"/>
      <c r="AA3866" s="84"/>
      <c r="AB3866" s="84"/>
    </row>
    <row r="3867">
      <c r="A3867" s="89"/>
      <c r="B3867" s="89"/>
      <c r="C3867" s="89"/>
      <c r="D3867" s="89"/>
      <c r="E3867" s="89"/>
      <c r="F3867" s="89"/>
      <c r="G3867" s="89"/>
      <c r="H3867" s="2"/>
      <c r="I3867" s="90"/>
      <c r="J3867" s="90"/>
      <c r="K3867" s="2"/>
      <c r="L3867" s="48"/>
      <c r="M3867" s="48"/>
      <c r="N3867" s="48"/>
      <c r="O3867" s="48" t="str">
        <f t="shared" si="2"/>
        <v/>
      </c>
      <c r="P3867" s="48" t="str">
        <f t="shared" si="3"/>
        <v/>
      </c>
      <c r="Q3867" s="84"/>
      <c r="R3867" s="84"/>
      <c r="S3867" s="84"/>
      <c r="T3867" s="84"/>
      <c r="U3867" s="84"/>
      <c r="V3867" s="84"/>
      <c r="W3867" s="84"/>
      <c r="X3867" s="84"/>
      <c r="Y3867" s="84"/>
      <c r="Z3867" s="84"/>
      <c r="AA3867" s="84"/>
      <c r="AB3867" s="84"/>
    </row>
    <row r="3868">
      <c r="A3868" s="89"/>
      <c r="B3868" s="89"/>
      <c r="C3868" s="89"/>
      <c r="D3868" s="89"/>
      <c r="E3868" s="89"/>
      <c r="F3868" s="89"/>
      <c r="G3868" s="89"/>
      <c r="H3868" s="2"/>
      <c r="I3868" s="90"/>
      <c r="J3868" s="90"/>
      <c r="K3868" s="2"/>
      <c r="L3868" s="49"/>
      <c r="M3868" s="49"/>
      <c r="N3868" s="49"/>
      <c r="O3868" s="49" t="str">
        <f t="shared" si="2"/>
        <v/>
      </c>
      <c r="P3868" s="49" t="str">
        <f t="shared" si="3"/>
        <v/>
      </c>
      <c r="Q3868" s="84"/>
      <c r="R3868" s="84"/>
      <c r="S3868" s="84"/>
      <c r="T3868" s="84"/>
      <c r="U3868" s="84"/>
      <c r="V3868" s="84"/>
      <c r="W3868" s="84"/>
      <c r="X3868" s="84"/>
      <c r="Y3868" s="84"/>
      <c r="Z3868" s="84"/>
      <c r="AA3868" s="84"/>
      <c r="AB3868" s="84"/>
    </row>
    <row r="3869">
      <c r="A3869" s="89"/>
      <c r="B3869" s="89"/>
      <c r="C3869" s="89"/>
      <c r="D3869" s="89"/>
      <c r="E3869" s="89"/>
      <c r="F3869" s="89"/>
      <c r="G3869" s="89"/>
      <c r="H3869" s="2"/>
      <c r="I3869" s="90"/>
      <c r="J3869" s="90"/>
      <c r="K3869" s="2"/>
      <c r="L3869" s="48"/>
      <c r="M3869" s="48"/>
      <c r="N3869" s="48"/>
      <c r="O3869" s="48" t="str">
        <f t="shared" si="2"/>
        <v/>
      </c>
      <c r="P3869" s="48" t="str">
        <f t="shared" si="3"/>
        <v/>
      </c>
      <c r="Q3869" s="84"/>
      <c r="R3869" s="84"/>
      <c r="S3869" s="84"/>
      <c r="T3869" s="84"/>
      <c r="U3869" s="84"/>
      <c r="V3869" s="84"/>
      <c r="W3869" s="84"/>
      <c r="X3869" s="84"/>
      <c r="Y3869" s="84"/>
      <c r="Z3869" s="84"/>
      <c r="AA3869" s="84"/>
      <c r="AB3869" s="84"/>
    </row>
    <row r="3870">
      <c r="A3870" s="89"/>
      <c r="B3870" s="89"/>
      <c r="C3870" s="89"/>
      <c r="D3870" s="89"/>
      <c r="E3870" s="89"/>
      <c r="F3870" s="89"/>
      <c r="G3870" s="89"/>
      <c r="H3870" s="2"/>
      <c r="I3870" s="90"/>
      <c r="J3870" s="90"/>
      <c r="K3870" s="2"/>
      <c r="L3870" s="49"/>
      <c r="M3870" s="49"/>
      <c r="N3870" s="49"/>
      <c r="O3870" s="49" t="str">
        <f t="shared" si="2"/>
        <v/>
      </c>
      <c r="P3870" s="49" t="str">
        <f t="shared" si="3"/>
        <v/>
      </c>
      <c r="Q3870" s="84"/>
      <c r="R3870" s="84"/>
      <c r="S3870" s="84"/>
      <c r="T3870" s="84"/>
      <c r="U3870" s="84"/>
      <c r="V3870" s="84"/>
      <c r="W3870" s="84"/>
      <c r="X3870" s="84"/>
      <c r="Y3870" s="84"/>
      <c r="Z3870" s="84"/>
      <c r="AA3870" s="84"/>
      <c r="AB3870" s="84"/>
    </row>
    <row r="3871">
      <c r="A3871" s="89"/>
      <c r="B3871" s="89"/>
      <c r="C3871" s="89"/>
      <c r="D3871" s="89"/>
      <c r="E3871" s="89"/>
      <c r="F3871" s="89"/>
      <c r="G3871" s="89"/>
      <c r="H3871" s="2"/>
      <c r="I3871" s="90"/>
      <c r="J3871" s="90"/>
      <c r="K3871" s="2"/>
      <c r="L3871" s="48"/>
      <c r="M3871" s="48"/>
      <c r="N3871" s="48"/>
      <c r="O3871" s="48" t="str">
        <f t="shared" si="2"/>
        <v/>
      </c>
      <c r="P3871" s="48" t="str">
        <f t="shared" si="3"/>
        <v/>
      </c>
      <c r="Q3871" s="84"/>
      <c r="R3871" s="84"/>
      <c r="S3871" s="84"/>
      <c r="T3871" s="84"/>
      <c r="U3871" s="84"/>
      <c r="V3871" s="84"/>
      <c r="W3871" s="84"/>
      <c r="X3871" s="84"/>
      <c r="Y3871" s="84"/>
      <c r="Z3871" s="84"/>
      <c r="AA3871" s="84"/>
      <c r="AB3871" s="84"/>
    </row>
    <row r="3872">
      <c r="A3872" s="89"/>
      <c r="B3872" s="89"/>
      <c r="C3872" s="89"/>
      <c r="D3872" s="89"/>
      <c r="E3872" s="89"/>
      <c r="F3872" s="89"/>
      <c r="G3872" s="89"/>
      <c r="H3872" s="2"/>
      <c r="I3872" s="90"/>
      <c r="J3872" s="90"/>
      <c r="K3872" s="2"/>
      <c r="L3872" s="49"/>
      <c r="M3872" s="49"/>
      <c r="N3872" s="49"/>
      <c r="O3872" s="49" t="str">
        <f t="shared" si="2"/>
        <v/>
      </c>
      <c r="P3872" s="49" t="str">
        <f t="shared" si="3"/>
        <v/>
      </c>
      <c r="Q3872" s="84"/>
      <c r="R3872" s="84"/>
      <c r="S3872" s="84"/>
      <c r="T3872" s="84"/>
      <c r="U3872" s="84"/>
      <c r="V3872" s="84"/>
      <c r="W3872" s="84"/>
      <c r="X3872" s="84"/>
      <c r="Y3872" s="84"/>
      <c r="Z3872" s="84"/>
      <c r="AA3872" s="84"/>
      <c r="AB3872" s="84"/>
    </row>
    <row r="3873">
      <c r="A3873" s="89"/>
      <c r="B3873" s="89"/>
      <c r="C3873" s="89"/>
      <c r="D3873" s="89"/>
      <c r="E3873" s="89"/>
      <c r="F3873" s="89"/>
      <c r="G3873" s="89"/>
      <c r="H3873" s="2"/>
      <c r="I3873" s="90"/>
      <c r="J3873" s="90"/>
      <c r="K3873" s="2"/>
      <c r="L3873" s="48"/>
      <c r="M3873" s="48"/>
      <c r="N3873" s="48"/>
      <c r="O3873" s="48" t="str">
        <f t="shared" si="2"/>
        <v/>
      </c>
      <c r="P3873" s="48" t="str">
        <f t="shared" si="3"/>
        <v/>
      </c>
      <c r="Q3873" s="84"/>
      <c r="R3873" s="84"/>
      <c r="S3873" s="84"/>
      <c r="T3873" s="84"/>
      <c r="U3873" s="84"/>
      <c r="V3873" s="84"/>
      <c r="W3873" s="84"/>
      <c r="X3873" s="84"/>
      <c r="Y3873" s="84"/>
      <c r="Z3873" s="84"/>
      <c r="AA3873" s="84"/>
      <c r="AB3873" s="84"/>
    </row>
    <row r="3874">
      <c r="A3874" s="89"/>
      <c r="B3874" s="89"/>
      <c r="C3874" s="89"/>
      <c r="D3874" s="89"/>
      <c r="E3874" s="89"/>
      <c r="F3874" s="89"/>
      <c r="G3874" s="89"/>
      <c r="H3874" s="2"/>
      <c r="I3874" s="90"/>
      <c r="J3874" s="90"/>
      <c r="K3874" s="2"/>
      <c r="L3874" s="49"/>
      <c r="M3874" s="49"/>
      <c r="N3874" s="49"/>
      <c r="O3874" s="49" t="str">
        <f t="shared" si="2"/>
        <v/>
      </c>
      <c r="P3874" s="49" t="str">
        <f t="shared" si="3"/>
        <v/>
      </c>
      <c r="Q3874" s="84"/>
      <c r="R3874" s="84"/>
      <c r="S3874" s="84"/>
      <c r="T3874" s="84"/>
      <c r="U3874" s="84"/>
      <c r="V3874" s="84"/>
      <c r="W3874" s="84"/>
      <c r="X3874" s="84"/>
      <c r="Y3874" s="84"/>
      <c r="Z3874" s="84"/>
      <c r="AA3874" s="84"/>
      <c r="AB3874" s="84"/>
    </row>
    <row r="3875">
      <c r="A3875" s="89"/>
      <c r="B3875" s="89"/>
      <c r="C3875" s="89"/>
      <c r="D3875" s="89"/>
      <c r="E3875" s="89"/>
      <c r="F3875" s="89"/>
      <c r="G3875" s="89"/>
      <c r="H3875" s="2"/>
      <c r="I3875" s="90"/>
      <c r="J3875" s="90"/>
      <c r="K3875" s="2"/>
      <c r="L3875" s="48"/>
      <c r="M3875" s="48"/>
      <c r="N3875" s="48"/>
      <c r="O3875" s="48" t="str">
        <f t="shared" si="2"/>
        <v/>
      </c>
      <c r="P3875" s="48" t="str">
        <f t="shared" si="3"/>
        <v/>
      </c>
      <c r="Q3875" s="84"/>
      <c r="R3875" s="84"/>
      <c r="S3875" s="84"/>
      <c r="T3875" s="84"/>
      <c r="U3875" s="84"/>
      <c r="V3875" s="84"/>
      <c r="W3875" s="84"/>
      <c r="X3875" s="84"/>
      <c r="Y3875" s="84"/>
      <c r="Z3875" s="84"/>
      <c r="AA3875" s="84"/>
      <c r="AB3875" s="84"/>
    </row>
    <row r="3876">
      <c r="A3876" s="89"/>
      <c r="B3876" s="89"/>
      <c r="C3876" s="89"/>
      <c r="D3876" s="89"/>
      <c r="E3876" s="89"/>
      <c r="F3876" s="89"/>
      <c r="G3876" s="89"/>
      <c r="H3876" s="2"/>
      <c r="I3876" s="90"/>
      <c r="J3876" s="90"/>
      <c r="K3876" s="2"/>
      <c r="L3876" s="49"/>
      <c r="M3876" s="49"/>
      <c r="N3876" s="49"/>
      <c r="O3876" s="49" t="str">
        <f t="shared" si="2"/>
        <v/>
      </c>
      <c r="P3876" s="49" t="str">
        <f t="shared" si="3"/>
        <v/>
      </c>
      <c r="Q3876" s="84"/>
      <c r="R3876" s="84"/>
      <c r="S3876" s="84"/>
      <c r="T3876" s="84"/>
      <c r="U3876" s="84"/>
      <c r="V3876" s="84"/>
      <c r="W3876" s="84"/>
      <c r="X3876" s="84"/>
      <c r="Y3876" s="84"/>
      <c r="Z3876" s="84"/>
      <c r="AA3876" s="84"/>
      <c r="AB3876" s="84"/>
    </row>
    <row r="3877">
      <c r="A3877" s="89"/>
      <c r="B3877" s="89"/>
      <c r="C3877" s="89"/>
      <c r="D3877" s="89"/>
      <c r="E3877" s="89"/>
      <c r="F3877" s="89"/>
      <c r="G3877" s="89"/>
      <c r="H3877" s="2"/>
      <c r="I3877" s="90"/>
      <c r="J3877" s="90"/>
      <c r="K3877" s="2"/>
      <c r="L3877" s="48"/>
      <c r="M3877" s="48"/>
      <c r="N3877" s="48"/>
      <c r="O3877" s="48" t="str">
        <f t="shared" si="2"/>
        <v/>
      </c>
      <c r="P3877" s="48" t="str">
        <f t="shared" si="3"/>
        <v/>
      </c>
      <c r="Q3877" s="84"/>
      <c r="R3877" s="84"/>
      <c r="S3877" s="84"/>
      <c r="T3877" s="84"/>
      <c r="U3877" s="84"/>
      <c r="V3877" s="84"/>
      <c r="W3877" s="84"/>
      <c r="X3877" s="84"/>
      <c r="Y3877" s="84"/>
      <c r="Z3877" s="84"/>
      <c r="AA3877" s="84"/>
      <c r="AB3877" s="84"/>
    </row>
    <row r="3878">
      <c r="A3878" s="89"/>
      <c r="B3878" s="89"/>
      <c r="C3878" s="89"/>
      <c r="D3878" s="89"/>
      <c r="E3878" s="89"/>
      <c r="F3878" s="89"/>
      <c r="G3878" s="89"/>
      <c r="H3878" s="2"/>
      <c r="I3878" s="90"/>
      <c r="J3878" s="90"/>
      <c r="K3878" s="2"/>
      <c r="L3878" s="49"/>
      <c r="M3878" s="49"/>
      <c r="N3878" s="49"/>
      <c r="O3878" s="49" t="str">
        <f t="shared" si="2"/>
        <v/>
      </c>
      <c r="P3878" s="49" t="str">
        <f t="shared" si="3"/>
        <v/>
      </c>
      <c r="Q3878" s="84"/>
      <c r="R3878" s="84"/>
      <c r="S3878" s="84"/>
      <c r="T3878" s="84"/>
      <c r="U3878" s="84"/>
      <c r="V3878" s="84"/>
      <c r="W3878" s="84"/>
      <c r="X3878" s="84"/>
      <c r="Y3878" s="84"/>
      <c r="Z3878" s="84"/>
      <c r="AA3878" s="84"/>
      <c r="AB3878" s="84"/>
    </row>
    <row r="3879">
      <c r="A3879" s="89"/>
      <c r="B3879" s="89"/>
      <c r="C3879" s="89"/>
      <c r="D3879" s="89"/>
      <c r="E3879" s="89"/>
      <c r="F3879" s="89"/>
      <c r="G3879" s="89"/>
      <c r="H3879" s="2"/>
      <c r="I3879" s="90"/>
      <c r="J3879" s="90"/>
      <c r="K3879" s="2"/>
      <c r="L3879" s="48"/>
      <c r="M3879" s="48"/>
      <c r="N3879" s="48"/>
      <c r="O3879" s="48" t="str">
        <f t="shared" si="2"/>
        <v/>
      </c>
      <c r="P3879" s="48" t="str">
        <f t="shared" si="3"/>
        <v/>
      </c>
      <c r="Q3879" s="84"/>
      <c r="R3879" s="84"/>
      <c r="S3879" s="84"/>
      <c r="T3879" s="84"/>
      <c r="U3879" s="84"/>
      <c r="V3879" s="84"/>
      <c r="W3879" s="84"/>
      <c r="X3879" s="84"/>
      <c r="Y3879" s="84"/>
      <c r="Z3879" s="84"/>
      <c r="AA3879" s="84"/>
      <c r="AB3879" s="84"/>
    </row>
    <row r="3880">
      <c r="A3880" s="89"/>
      <c r="B3880" s="89"/>
      <c r="C3880" s="89"/>
      <c r="D3880" s="89"/>
      <c r="E3880" s="89"/>
      <c r="F3880" s="89"/>
      <c r="G3880" s="89"/>
      <c r="H3880" s="2"/>
      <c r="I3880" s="90"/>
      <c r="J3880" s="90"/>
      <c r="K3880" s="2"/>
      <c r="L3880" s="49"/>
      <c r="M3880" s="49"/>
      <c r="N3880" s="49"/>
      <c r="O3880" s="49" t="str">
        <f t="shared" si="2"/>
        <v/>
      </c>
      <c r="P3880" s="49" t="str">
        <f t="shared" si="3"/>
        <v/>
      </c>
      <c r="Q3880" s="84"/>
      <c r="R3880" s="84"/>
      <c r="S3880" s="84"/>
      <c r="T3880" s="84"/>
      <c r="U3880" s="84"/>
      <c r="V3880" s="84"/>
      <c r="W3880" s="84"/>
      <c r="X3880" s="84"/>
      <c r="Y3880" s="84"/>
      <c r="Z3880" s="84"/>
      <c r="AA3880" s="84"/>
      <c r="AB3880" s="84"/>
    </row>
    <row r="3881">
      <c r="A3881" s="89"/>
      <c r="B3881" s="89"/>
      <c r="C3881" s="89"/>
      <c r="D3881" s="89"/>
      <c r="E3881" s="89"/>
      <c r="F3881" s="89"/>
      <c r="G3881" s="89"/>
      <c r="H3881" s="2"/>
      <c r="I3881" s="90"/>
      <c r="J3881" s="90"/>
      <c r="K3881" s="2"/>
      <c r="L3881" s="48"/>
      <c r="M3881" s="48"/>
      <c r="N3881" s="48"/>
      <c r="O3881" s="48" t="str">
        <f t="shared" si="2"/>
        <v/>
      </c>
      <c r="P3881" s="48" t="str">
        <f t="shared" si="3"/>
        <v/>
      </c>
      <c r="Q3881" s="84"/>
      <c r="R3881" s="84"/>
      <c r="S3881" s="84"/>
      <c r="T3881" s="84"/>
      <c r="U3881" s="84"/>
      <c r="V3881" s="84"/>
      <c r="W3881" s="84"/>
      <c r="X3881" s="84"/>
      <c r="Y3881" s="84"/>
      <c r="Z3881" s="84"/>
      <c r="AA3881" s="84"/>
      <c r="AB3881" s="84"/>
    </row>
    <row r="3882">
      <c r="A3882" s="89"/>
      <c r="B3882" s="89"/>
      <c r="C3882" s="89"/>
      <c r="D3882" s="89"/>
      <c r="E3882" s="89"/>
      <c r="F3882" s="89"/>
      <c r="G3882" s="89"/>
      <c r="H3882" s="2"/>
      <c r="I3882" s="90"/>
      <c r="J3882" s="90"/>
      <c r="K3882" s="2"/>
      <c r="L3882" s="49"/>
      <c r="M3882" s="49"/>
      <c r="N3882" s="49"/>
      <c r="O3882" s="49" t="str">
        <f t="shared" si="2"/>
        <v/>
      </c>
      <c r="P3882" s="49" t="str">
        <f t="shared" si="3"/>
        <v/>
      </c>
      <c r="Q3882" s="84"/>
      <c r="R3882" s="84"/>
      <c r="S3882" s="84"/>
      <c r="T3882" s="84"/>
      <c r="U3882" s="84"/>
      <c r="V3882" s="84"/>
      <c r="W3882" s="84"/>
      <c r="X3882" s="84"/>
      <c r="Y3882" s="84"/>
      <c r="Z3882" s="84"/>
      <c r="AA3882" s="84"/>
      <c r="AB3882" s="84"/>
    </row>
    <row r="3883">
      <c r="A3883" s="89"/>
      <c r="B3883" s="89"/>
      <c r="C3883" s="89"/>
      <c r="D3883" s="89"/>
      <c r="E3883" s="89"/>
      <c r="F3883" s="89"/>
      <c r="G3883" s="89"/>
      <c r="H3883" s="2"/>
      <c r="I3883" s="90"/>
      <c r="J3883" s="90"/>
      <c r="K3883" s="2"/>
      <c r="L3883" s="48"/>
      <c r="M3883" s="48"/>
      <c r="N3883" s="48"/>
      <c r="O3883" s="48" t="str">
        <f t="shared" si="2"/>
        <v/>
      </c>
      <c r="P3883" s="48" t="str">
        <f t="shared" si="3"/>
        <v/>
      </c>
      <c r="Q3883" s="84"/>
      <c r="R3883" s="84"/>
      <c r="S3883" s="84"/>
      <c r="T3883" s="84"/>
      <c r="U3883" s="84"/>
      <c r="V3883" s="84"/>
      <c r="W3883" s="84"/>
      <c r="X3883" s="84"/>
      <c r="Y3883" s="84"/>
      <c r="Z3883" s="84"/>
      <c r="AA3883" s="84"/>
      <c r="AB3883" s="84"/>
    </row>
    <row r="3884">
      <c r="A3884" s="89"/>
      <c r="B3884" s="89"/>
      <c r="C3884" s="89"/>
      <c r="D3884" s="89"/>
      <c r="E3884" s="89"/>
      <c r="F3884" s="89"/>
      <c r="G3884" s="89"/>
      <c r="H3884" s="2"/>
      <c r="I3884" s="90"/>
      <c r="J3884" s="90"/>
      <c r="K3884" s="2"/>
      <c r="L3884" s="49"/>
      <c r="M3884" s="49"/>
      <c r="N3884" s="49"/>
      <c r="O3884" s="49" t="str">
        <f t="shared" si="2"/>
        <v/>
      </c>
      <c r="P3884" s="49" t="str">
        <f t="shared" si="3"/>
        <v/>
      </c>
      <c r="Q3884" s="84"/>
      <c r="R3884" s="84"/>
      <c r="S3884" s="84"/>
      <c r="T3884" s="84"/>
      <c r="U3884" s="84"/>
      <c r="V3884" s="84"/>
      <c r="W3884" s="84"/>
      <c r="X3884" s="84"/>
      <c r="Y3884" s="84"/>
      <c r="Z3884" s="84"/>
      <c r="AA3884" s="84"/>
      <c r="AB3884" s="84"/>
    </row>
    <row r="3885">
      <c r="A3885" s="89"/>
      <c r="B3885" s="89"/>
      <c r="C3885" s="89"/>
      <c r="D3885" s="89"/>
      <c r="E3885" s="89"/>
      <c r="F3885" s="89"/>
      <c r="G3885" s="89"/>
      <c r="H3885" s="2"/>
      <c r="I3885" s="90"/>
      <c r="J3885" s="90"/>
      <c r="K3885" s="2"/>
      <c r="L3885" s="48"/>
      <c r="M3885" s="48"/>
      <c r="N3885" s="48"/>
      <c r="O3885" s="48" t="str">
        <f t="shared" si="2"/>
        <v/>
      </c>
      <c r="P3885" s="48" t="str">
        <f t="shared" si="3"/>
        <v/>
      </c>
      <c r="Q3885" s="84"/>
      <c r="R3885" s="84"/>
      <c r="S3885" s="84"/>
      <c r="T3885" s="84"/>
      <c r="U3885" s="84"/>
      <c r="V3885" s="84"/>
      <c r="W3885" s="84"/>
      <c r="X3885" s="84"/>
      <c r="Y3885" s="84"/>
      <c r="Z3885" s="84"/>
      <c r="AA3885" s="84"/>
      <c r="AB3885" s="84"/>
    </row>
    <row r="3886">
      <c r="A3886" s="89"/>
      <c r="B3886" s="89"/>
      <c r="C3886" s="89"/>
      <c r="D3886" s="89"/>
      <c r="E3886" s="89"/>
      <c r="F3886" s="89"/>
      <c r="G3886" s="89"/>
      <c r="H3886" s="2"/>
      <c r="I3886" s="90"/>
      <c r="J3886" s="90"/>
      <c r="K3886" s="2"/>
      <c r="L3886" s="49"/>
      <c r="M3886" s="49"/>
      <c r="N3886" s="49"/>
      <c r="O3886" s="49" t="str">
        <f t="shared" si="2"/>
        <v/>
      </c>
      <c r="P3886" s="49" t="str">
        <f t="shared" si="3"/>
        <v/>
      </c>
      <c r="Q3886" s="84"/>
      <c r="R3886" s="84"/>
      <c r="S3886" s="84"/>
      <c r="T3886" s="84"/>
      <c r="U3886" s="84"/>
      <c r="V3886" s="84"/>
      <c r="W3886" s="84"/>
      <c r="X3886" s="84"/>
      <c r="Y3886" s="84"/>
      <c r="Z3886" s="84"/>
      <c r="AA3886" s="84"/>
      <c r="AB3886" s="84"/>
    </row>
    <row r="3887">
      <c r="A3887" s="89"/>
      <c r="B3887" s="89"/>
      <c r="C3887" s="89"/>
      <c r="D3887" s="89"/>
      <c r="E3887" s="89"/>
      <c r="F3887" s="89"/>
      <c r="G3887" s="89"/>
      <c r="H3887" s="2"/>
      <c r="I3887" s="90"/>
      <c r="J3887" s="90"/>
      <c r="K3887" s="2"/>
      <c r="L3887" s="48"/>
      <c r="M3887" s="48"/>
      <c r="N3887" s="48"/>
      <c r="O3887" s="48" t="str">
        <f t="shared" si="2"/>
        <v/>
      </c>
      <c r="P3887" s="48" t="str">
        <f t="shared" si="3"/>
        <v/>
      </c>
      <c r="Q3887" s="84"/>
      <c r="R3887" s="84"/>
      <c r="S3887" s="84"/>
      <c r="T3887" s="84"/>
      <c r="U3887" s="84"/>
      <c r="V3887" s="84"/>
      <c r="W3887" s="84"/>
      <c r="X3887" s="84"/>
      <c r="Y3887" s="84"/>
      <c r="Z3887" s="84"/>
      <c r="AA3887" s="84"/>
      <c r="AB3887" s="84"/>
    </row>
    <row r="3888">
      <c r="A3888" s="89"/>
      <c r="B3888" s="89"/>
      <c r="C3888" s="89"/>
      <c r="D3888" s="89"/>
      <c r="E3888" s="89"/>
      <c r="F3888" s="89"/>
      <c r="G3888" s="89"/>
      <c r="H3888" s="2"/>
      <c r="I3888" s="90"/>
      <c r="J3888" s="90"/>
      <c r="K3888" s="2"/>
      <c r="L3888" s="49"/>
      <c r="M3888" s="49"/>
      <c r="N3888" s="49"/>
      <c r="O3888" s="49" t="str">
        <f t="shared" si="2"/>
        <v/>
      </c>
      <c r="P3888" s="49" t="str">
        <f t="shared" si="3"/>
        <v/>
      </c>
      <c r="Q3888" s="84"/>
      <c r="R3888" s="84"/>
      <c r="S3888" s="84"/>
      <c r="T3888" s="84"/>
      <c r="U3888" s="84"/>
      <c r="V3888" s="84"/>
      <c r="W3888" s="84"/>
      <c r="X3888" s="84"/>
      <c r="Y3888" s="84"/>
      <c r="Z3888" s="84"/>
      <c r="AA3888" s="84"/>
      <c r="AB3888" s="84"/>
    </row>
    <row r="3889">
      <c r="A3889" s="89"/>
      <c r="B3889" s="89"/>
      <c r="C3889" s="89"/>
      <c r="D3889" s="89"/>
      <c r="E3889" s="89"/>
      <c r="F3889" s="89"/>
      <c r="G3889" s="89"/>
      <c r="H3889" s="2"/>
      <c r="I3889" s="90"/>
      <c r="J3889" s="90"/>
      <c r="K3889" s="2"/>
      <c r="L3889" s="48"/>
      <c r="M3889" s="48"/>
      <c r="N3889" s="48"/>
      <c r="O3889" s="48" t="str">
        <f t="shared" si="2"/>
        <v/>
      </c>
      <c r="P3889" s="48" t="str">
        <f t="shared" si="3"/>
        <v/>
      </c>
      <c r="Q3889" s="84"/>
      <c r="R3889" s="84"/>
      <c r="S3889" s="84"/>
      <c r="T3889" s="84"/>
      <c r="U3889" s="84"/>
      <c r="V3889" s="84"/>
      <c r="W3889" s="84"/>
      <c r="X3889" s="84"/>
      <c r="Y3889" s="84"/>
      <c r="Z3889" s="84"/>
      <c r="AA3889" s="84"/>
      <c r="AB3889" s="84"/>
    </row>
    <row r="3890">
      <c r="A3890" s="89"/>
      <c r="B3890" s="89"/>
      <c r="C3890" s="89"/>
      <c r="D3890" s="89"/>
      <c r="E3890" s="89"/>
      <c r="F3890" s="89"/>
      <c r="G3890" s="89"/>
      <c r="H3890" s="2"/>
      <c r="I3890" s="90"/>
      <c r="J3890" s="90"/>
      <c r="K3890" s="2"/>
      <c r="L3890" s="49"/>
      <c r="M3890" s="49"/>
      <c r="N3890" s="49"/>
      <c r="O3890" s="49" t="str">
        <f t="shared" si="2"/>
        <v/>
      </c>
      <c r="P3890" s="49" t="str">
        <f t="shared" si="3"/>
        <v/>
      </c>
      <c r="Q3890" s="84"/>
      <c r="R3890" s="84"/>
      <c r="S3890" s="84"/>
      <c r="T3890" s="84"/>
      <c r="U3890" s="84"/>
      <c r="V3890" s="84"/>
      <c r="W3890" s="84"/>
      <c r="X3890" s="84"/>
      <c r="Y3890" s="84"/>
      <c r="Z3890" s="84"/>
      <c r="AA3890" s="84"/>
      <c r="AB3890" s="84"/>
    </row>
    <row r="3891">
      <c r="A3891" s="89"/>
      <c r="B3891" s="89"/>
      <c r="C3891" s="89"/>
      <c r="D3891" s="89"/>
      <c r="E3891" s="89"/>
      <c r="F3891" s="89"/>
      <c r="G3891" s="89"/>
      <c r="H3891" s="2"/>
      <c r="I3891" s="90"/>
      <c r="J3891" s="90"/>
      <c r="K3891" s="2"/>
      <c r="L3891" s="48"/>
      <c r="M3891" s="48"/>
      <c r="N3891" s="48"/>
      <c r="O3891" s="48" t="str">
        <f t="shared" si="2"/>
        <v/>
      </c>
      <c r="P3891" s="48" t="str">
        <f t="shared" si="3"/>
        <v/>
      </c>
      <c r="Q3891" s="84"/>
      <c r="R3891" s="84"/>
      <c r="S3891" s="84"/>
      <c r="T3891" s="84"/>
      <c r="U3891" s="84"/>
      <c r="V3891" s="84"/>
      <c r="W3891" s="84"/>
      <c r="X3891" s="84"/>
      <c r="Y3891" s="84"/>
      <c r="Z3891" s="84"/>
      <c r="AA3891" s="84"/>
      <c r="AB3891" s="84"/>
    </row>
    <row r="3892">
      <c r="A3892" s="89"/>
      <c r="B3892" s="89"/>
      <c r="C3892" s="89"/>
      <c r="D3892" s="89"/>
      <c r="E3892" s="89"/>
      <c r="F3892" s="89"/>
      <c r="G3892" s="89"/>
      <c r="H3892" s="2"/>
      <c r="I3892" s="90"/>
      <c r="J3892" s="90"/>
      <c r="K3892" s="2"/>
      <c r="L3892" s="49"/>
      <c r="M3892" s="49"/>
      <c r="N3892" s="49"/>
      <c r="O3892" s="49" t="str">
        <f t="shared" si="2"/>
        <v/>
      </c>
      <c r="P3892" s="49" t="str">
        <f t="shared" si="3"/>
        <v/>
      </c>
      <c r="Q3892" s="84"/>
      <c r="R3892" s="84"/>
      <c r="S3892" s="84"/>
      <c r="T3892" s="84"/>
      <c r="U3892" s="84"/>
      <c r="V3892" s="84"/>
      <c r="W3892" s="84"/>
      <c r="X3892" s="84"/>
      <c r="Y3892" s="84"/>
      <c r="Z3892" s="84"/>
      <c r="AA3892" s="84"/>
      <c r="AB3892" s="84"/>
    </row>
    <row r="3893">
      <c r="A3893" s="89"/>
      <c r="B3893" s="89"/>
      <c r="C3893" s="89"/>
      <c r="D3893" s="89"/>
      <c r="E3893" s="89"/>
      <c r="F3893" s="89"/>
      <c r="G3893" s="89"/>
      <c r="H3893" s="2"/>
      <c r="I3893" s="90"/>
      <c r="J3893" s="90"/>
      <c r="K3893" s="2"/>
      <c r="L3893" s="48"/>
      <c r="M3893" s="48"/>
      <c r="N3893" s="48"/>
      <c r="O3893" s="48" t="str">
        <f t="shared" si="2"/>
        <v/>
      </c>
      <c r="P3893" s="48" t="str">
        <f t="shared" si="3"/>
        <v/>
      </c>
      <c r="Q3893" s="84"/>
      <c r="R3893" s="84"/>
      <c r="S3893" s="84"/>
      <c r="T3893" s="84"/>
      <c r="U3893" s="84"/>
      <c r="V3893" s="84"/>
      <c r="W3893" s="84"/>
      <c r="X3893" s="84"/>
      <c r="Y3893" s="84"/>
      <c r="Z3893" s="84"/>
      <c r="AA3893" s="84"/>
      <c r="AB3893" s="84"/>
    </row>
    <row r="3894">
      <c r="A3894" s="89"/>
      <c r="B3894" s="89"/>
      <c r="C3894" s="89"/>
      <c r="D3894" s="89"/>
      <c r="E3894" s="89"/>
      <c r="F3894" s="89"/>
      <c r="G3894" s="89"/>
      <c r="H3894" s="2"/>
      <c r="I3894" s="90"/>
      <c r="J3894" s="90"/>
      <c r="K3894" s="2"/>
      <c r="L3894" s="49"/>
      <c r="M3894" s="49"/>
      <c r="N3894" s="49"/>
      <c r="O3894" s="49" t="str">
        <f t="shared" si="2"/>
        <v/>
      </c>
      <c r="P3894" s="49" t="str">
        <f t="shared" si="3"/>
        <v/>
      </c>
      <c r="Q3894" s="84"/>
      <c r="R3894" s="84"/>
      <c r="S3894" s="84"/>
      <c r="T3894" s="84"/>
      <c r="U3894" s="84"/>
      <c r="V3894" s="84"/>
      <c r="W3894" s="84"/>
      <c r="X3894" s="84"/>
      <c r="Y3894" s="84"/>
      <c r="Z3894" s="84"/>
      <c r="AA3894" s="84"/>
      <c r="AB3894" s="84"/>
    </row>
    <row r="3895">
      <c r="A3895" s="89"/>
      <c r="B3895" s="89"/>
      <c r="C3895" s="89"/>
      <c r="D3895" s="89"/>
      <c r="E3895" s="89"/>
      <c r="F3895" s="89"/>
      <c r="G3895" s="89"/>
      <c r="H3895" s="2"/>
      <c r="I3895" s="90"/>
      <c r="J3895" s="90"/>
      <c r="K3895" s="2"/>
      <c r="L3895" s="48"/>
      <c r="M3895" s="48"/>
      <c r="N3895" s="48"/>
      <c r="O3895" s="48" t="str">
        <f t="shared" si="2"/>
        <v/>
      </c>
      <c r="P3895" s="48" t="str">
        <f t="shared" si="3"/>
        <v/>
      </c>
      <c r="Q3895" s="84"/>
      <c r="R3895" s="84"/>
      <c r="S3895" s="84"/>
      <c r="T3895" s="84"/>
      <c r="U3895" s="84"/>
      <c r="V3895" s="84"/>
      <c r="W3895" s="84"/>
      <c r="X3895" s="84"/>
      <c r="Y3895" s="84"/>
      <c r="Z3895" s="84"/>
      <c r="AA3895" s="84"/>
      <c r="AB3895" s="84"/>
    </row>
    <row r="3896">
      <c r="A3896" s="89"/>
      <c r="B3896" s="89"/>
      <c r="C3896" s="89"/>
      <c r="D3896" s="89"/>
      <c r="E3896" s="89"/>
      <c r="F3896" s="89"/>
      <c r="G3896" s="89"/>
      <c r="H3896" s="2"/>
      <c r="I3896" s="90"/>
      <c r="J3896" s="90"/>
      <c r="K3896" s="2"/>
      <c r="L3896" s="49"/>
      <c r="M3896" s="49"/>
      <c r="N3896" s="49"/>
      <c r="O3896" s="49" t="str">
        <f t="shared" si="2"/>
        <v/>
      </c>
      <c r="P3896" s="49" t="str">
        <f t="shared" si="3"/>
        <v/>
      </c>
      <c r="Q3896" s="84"/>
      <c r="R3896" s="84"/>
      <c r="S3896" s="84"/>
      <c r="T3896" s="84"/>
      <c r="U3896" s="84"/>
      <c r="V3896" s="84"/>
      <c r="W3896" s="84"/>
      <c r="X3896" s="84"/>
      <c r="Y3896" s="84"/>
      <c r="Z3896" s="84"/>
      <c r="AA3896" s="84"/>
      <c r="AB3896" s="84"/>
    </row>
    <row r="3897">
      <c r="A3897" s="89"/>
      <c r="B3897" s="89"/>
      <c r="C3897" s="89"/>
      <c r="D3897" s="89"/>
      <c r="E3897" s="89"/>
      <c r="F3897" s="89"/>
      <c r="G3897" s="89"/>
      <c r="H3897" s="2"/>
      <c r="I3897" s="90"/>
      <c r="J3897" s="90"/>
      <c r="K3897" s="2"/>
      <c r="L3897" s="48"/>
      <c r="M3897" s="48"/>
      <c r="N3897" s="48"/>
      <c r="O3897" s="48" t="str">
        <f t="shared" si="2"/>
        <v/>
      </c>
      <c r="P3897" s="48" t="str">
        <f t="shared" si="3"/>
        <v/>
      </c>
      <c r="Q3897" s="84"/>
      <c r="R3897" s="84"/>
      <c r="S3897" s="84"/>
      <c r="T3897" s="84"/>
      <c r="U3897" s="84"/>
      <c r="V3897" s="84"/>
      <c r="W3897" s="84"/>
      <c r="X3897" s="84"/>
      <c r="Y3897" s="84"/>
      <c r="Z3897" s="84"/>
      <c r="AA3897" s="84"/>
      <c r="AB3897" s="84"/>
    </row>
    <row r="3898">
      <c r="A3898" s="89"/>
      <c r="B3898" s="89"/>
      <c r="C3898" s="89"/>
      <c r="D3898" s="89"/>
      <c r="E3898" s="89"/>
      <c r="F3898" s="89"/>
      <c r="G3898" s="89"/>
      <c r="H3898" s="2"/>
      <c r="I3898" s="90"/>
      <c r="J3898" s="90"/>
      <c r="K3898" s="2"/>
      <c r="L3898" s="49"/>
      <c r="M3898" s="49"/>
      <c r="N3898" s="49"/>
      <c r="O3898" s="49" t="str">
        <f t="shared" si="2"/>
        <v/>
      </c>
      <c r="P3898" s="49" t="str">
        <f t="shared" si="3"/>
        <v/>
      </c>
      <c r="Q3898" s="84"/>
      <c r="R3898" s="84"/>
      <c r="S3898" s="84"/>
      <c r="T3898" s="84"/>
      <c r="U3898" s="84"/>
      <c r="V3898" s="84"/>
      <c r="W3898" s="84"/>
      <c r="X3898" s="84"/>
      <c r="Y3898" s="84"/>
      <c r="Z3898" s="84"/>
      <c r="AA3898" s="84"/>
      <c r="AB3898" s="84"/>
    </row>
    <row r="3899">
      <c r="A3899" s="89"/>
      <c r="B3899" s="89"/>
      <c r="C3899" s="89"/>
      <c r="D3899" s="89"/>
      <c r="E3899" s="89"/>
      <c r="F3899" s="89"/>
      <c r="G3899" s="89"/>
      <c r="H3899" s="2"/>
      <c r="I3899" s="90"/>
      <c r="J3899" s="90"/>
      <c r="K3899" s="2"/>
      <c r="L3899" s="48"/>
      <c r="M3899" s="48"/>
      <c r="N3899" s="48"/>
      <c r="O3899" s="48" t="str">
        <f t="shared" si="2"/>
        <v/>
      </c>
      <c r="P3899" s="48" t="str">
        <f t="shared" si="3"/>
        <v/>
      </c>
      <c r="Q3899" s="84"/>
      <c r="R3899" s="84"/>
      <c r="S3899" s="84"/>
      <c r="T3899" s="84"/>
      <c r="U3899" s="84"/>
      <c r="V3899" s="84"/>
      <c r="W3899" s="84"/>
      <c r="X3899" s="84"/>
      <c r="Y3899" s="84"/>
      <c r="Z3899" s="84"/>
      <c r="AA3899" s="84"/>
      <c r="AB3899" s="84"/>
    </row>
    <row r="3900">
      <c r="A3900" s="89"/>
      <c r="B3900" s="89"/>
      <c r="C3900" s="89"/>
      <c r="D3900" s="89"/>
      <c r="E3900" s="89"/>
      <c r="F3900" s="89"/>
      <c r="G3900" s="89"/>
      <c r="H3900" s="2"/>
      <c r="I3900" s="90"/>
      <c r="J3900" s="90"/>
      <c r="K3900" s="2"/>
      <c r="L3900" s="49"/>
      <c r="M3900" s="49"/>
      <c r="N3900" s="49"/>
      <c r="O3900" s="49" t="str">
        <f t="shared" si="2"/>
        <v/>
      </c>
      <c r="P3900" s="49" t="str">
        <f t="shared" si="3"/>
        <v/>
      </c>
      <c r="Q3900" s="84"/>
      <c r="R3900" s="84"/>
      <c r="S3900" s="84"/>
      <c r="T3900" s="84"/>
      <c r="U3900" s="84"/>
      <c r="V3900" s="84"/>
      <c r="W3900" s="84"/>
      <c r="X3900" s="84"/>
      <c r="Y3900" s="84"/>
      <c r="Z3900" s="84"/>
      <c r="AA3900" s="84"/>
      <c r="AB3900" s="84"/>
    </row>
    <row r="3901">
      <c r="A3901" s="89"/>
      <c r="B3901" s="89"/>
      <c r="C3901" s="89"/>
      <c r="D3901" s="89"/>
      <c r="E3901" s="89"/>
      <c r="F3901" s="89"/>
      <c r="G3901" s="89"/>
      <c r="H3901" s="2"/>
      <c r="I3901" s="90"/>
      <c r="J3901" s="90"/>
      <c r="K3901" s="2"/>
      <c r="L3901" s="48"/>
      <c r="M3901" s="48"/>
      <c r="N3901" s="48"/>
      <c r="O3901" s="48" t="str">
        <f t="shared" si="2"/>
        <v/>
      </c>
      <c r="P3901" s="48" t="str">
        <f t="shared" si="3"/>
        <v/>
      </c>
      <c r="Q3901" s="84"/>
      <c r="R3901" s="84"/>
      <c r="S3901" s="84"/>
      <c r="T3901" s="84"/>
      <c r="U3901" s="84"/>
      <c r="V3901" s="84"/>
      <c r="W3901" s="84"/>
      <c r="X3901" s="84"/>
      <c r="Y3901" s="84"/>
      <c r="Z3901" s="84"/>
      <c r="AA3901" s="84"/>
      <c r="AB3901" s="84"/>
    </row>
    <row r="3902">
      <c r="A3902" s="89"/>
      <c r="B3902" s="89"/>
      <c r="C3902" s="89"/>
      <c r="D3902" s="89"/>
      <c r="E3902" s="89"/>
      <c r="F3902" s="89"/>
      <c r="G3902" s="89"/>
      <c r="H3902" s="2"/>
      <c r="I3902" s="90"/>
      <c r="J3902" s="90"/>
      <c r="K3902" s="2"/>
      <c r="L3902" s="49"/>
      <c r="M3902" s="49"/>
      <c r="N3902" s="49"/>
      <c r="O3902" s="49" t="str">
        <f t="shared" si="2"/>
        <v/>
      </c>
      <c r="P3902" s="49" t="str">
        <f t="shared" si="3"/>
        <v/>
      </c>
      <c r="Q3902" s="84"/>
      <c r="R3902" s="84"/>
      <c r="S3902" s="84"/>
      <c r="T3902" s="84"/>
      <c r="U3902" s="84"/>
      <c r="V3902" s="84"/>
      <c r="W3902" s="84"/>
      <c r="X3902" s="84"/>
      <c r="Y3902" s="84"/>
      <c r="Z3902" s="84"/>
      <c r="AA3902" s="84"/>
      <c r="AB3902" s="84"/>
    </row>
    <row r="3903">
      <c r="A3903" s="89"/>
      <c r="B3903" s="89"/>
      <c r="C3903" s="89"/>
      <c r="D3903" s="89"/>
      <c r="E3903" s="89"/>
      <c r="F3903" s="89"/>
      <c r="G3903" s="89"/>
      <c r="H3903" s="2"/>
      <c r="I3903" s="90"/>
      <c r="J3903" s="90"/>
      <c r="K3903" s="2"/>
      <c r="L3903" s="48"/>
      <c r="M3903" s="48"/>
      <c r="N3903" s="48"/>
      <c r="O3903" s="48" t="str">
        <f t="shared" si="2"/>
        <v/>
      </c>
      <c r="P3903" s="48" t="str">
        <f t="shared" si="3"/>
        <v/>
      </c>
      <c r="Q3903" s="84"/>
      <c r="R3903" s="84"/>
      <c r="S3903" s="84"/>
      <c r="T3903" s="84"/>
      <c r="U3903" s="84"/>
      <c r="V3903" s="84"/>
      <c r="W3903" s="84"/>
      <c r="X3903" s="84"/>
      <c r="Y3903" s="84"/>
      <c r="Z3903" s="84"/>
      <c r="AA3903" s="84"/>
      <c r="AB3903" s="84"/>
    </row>
    <row r="3904">
      <c r="A3904" s="89"/>
      <c r="B3904" s="89"/>
      <c r="C3904" s="89"/>
      <c r="D3904" s="89"/>
      <c r="E3904" s="89"/>
      <c r="F3904" s="89"/>
      <c r="G3904" s="89"/>
      <c r="H3904" s="2"/>
      <c r="I3904" s="90"/>
      <c r="J3904" s="90"/>
      <c r="K3904" s="2"/>
      <c r="L3904" s="49"/>
      <c r="M3904" s="49"/>
      <c r="N3904" s="49"/>
      <c r="O3904" s="49" t="str">
        <f t="shared" si="2"/>
        <v/>
      </c>
      <c r="P3904" s="49" t="str">
        <f t="shared" si="3"/>
        <v/>
      </c>
      <c r="Q3904" s="84"/>
      <c r="R3904" s="84"/>
      <c r="S3904" s="84"/>
      <c r="T3904" s="84"/>
      <c r="U3904" s="84"/>
      <c r="V3904" s="84"/>
      <c r="W3904" s="84"/>
      <c r="X3904" s="84"/>
      <c r="Y3904" s="84"/>
      <c r="Z3904" s="84"/>
      <c r="AA3904" s="84"/>
      <c r="AB3904" s="84"/>
    </row>
    <row r="3905">
      <c r="A3905" s="89"/>
      <c r="B3905" s="89"/>
      <c r="C3905" s="89"/>
      <c r="D3905" s="89"/>
      <c r="E3905" s="89"/>
      <c r="F3905" s="89"/>
      <c r="G3905" s="89"/>
      <c r="H3905" s="2"/>
      <c r="I3905" s="90"/>
      <c r="J3905" s="90"/>
      <c r="K3905" s="2"/>
      <c r="L3905" s="48"/>
      <c r="M3905" s="48"/>
      <c r="N3905" s="48"/>
      <c r="O3905" s="48" t="str">
        <f t="shared" si="2"/>
        <v/>
      </c>
      <c r="P3905" s="48" t="str">
        <f t="shared" si="3"/>
        <v/>
      </c>
      <c r="Q3905" s="84"/>
      <c r="R3905" s="84"/>
      <c r="S3905" s="84"/>
      <c r="T3905" s="84"/>
      <c r="U3905" s="84"/>
      <c r="V3905" s="84"/>
      <c r="W3905" s="84"/>
      <c r="X3905" s="84"/>
      <c r="Y3905" s="84"/>
      <c r="Z3905" s="84"/>
      <c r="AA3905" s="84"/>
      <c r="AB3905" s="84"/>
    </row>
    <row r="3906">
      <c r="A3906" s="89"/>
      <c r="B3906" s="89"/>
      <c r="C3906" s="89"/>
      <c r="D3906" s="89"/>
      <c r="E3906" s="89"/>
      <c r="F3906" s="89"/>
      <c r="G3906" s="89"/>
      <c r="H3906" s="2"/>
      <c r="I3906" s="90"/>
      <c r="J3906" s="90"/>
      <c r="K3906" s="2"/>
      <c r="L3906" s="49"/>
      <c r="M3906" s="49"/>
      <c r="N3906" s="49"/>
      <c r="O3906" s="49" t="str">
        <f t="shared" si="2"/>
        <v/>
      </c>
      <c r="P3906" s="49" t="str">
        <f t="shared" si="3"/>
        <v/>
      </c>
      <c r="Q3906" s="84"/>
      <c r="R3906" s="84"/>
      <c r="S3906" s="84"/>
      <c r="T3906" s="84"/>
      <c r="U3906" s="84"/>
      <c r="V3906" s="84"/>
      <c r="W3906" s="84"/>
      <c r="X3906" s="84"/>
      <c r="Y3906" s="84"/>
      <c r="Z3906" s="84"/>
      <c r="AA3906" s="84"/>
      <c r="AB3906" s="84"/>
    </row>
    <row r="3907">
      <c r="A3907" s="89"/>
      <c r="B3907" s="89"/>
      <c r="C3907" s="89"/>
      <c r="D3907" s="89"/>
      <c r="E3907" s="89"/>
      <c r="F3907" s="89"/>
      <c r="G3907" s="89"/>
      <c r="H3907" s="2"/>
      <c r="I3907" s="90"/>
      <c r="J3907" s="90"/>
      <c r="K3907" s="2"/>
      <c r="L3907" s="48"/>
      <c r="M3907" s="48"/>
      <c r="N3907" s="48"/>
      <c r="O3907" s="48" t="str">
        <f t="shared" si="2"/>
        <v/>
      </c>
      <c r="P3907" s="48" t="str">
        <f t="shared" si="3"/>
        <v/>
      </c>
      <c r="Q3907" s="84"/>
      <c r="R3907" s="84"/>
      <c r="S3907" s="84"/>
      <c r="T3907" s="84"/>
      <c r="U3907" s="84"/>
      <c r="V3907" s="84"/>
      <c r="W3907" s="84"/>
      <c r="X3907" s="84"/>
      <c r="Y3907" s="84"/>
      <c r="Z3907" s="84"/>
      <c r="AA3907" s="84"/>
      <c r="AB3907" s="84"/>
    </row>
    <row r="3908">
      <c r="A3908" s="89"/>
      <c r="B3908" s="89"/>
      <c r="C3908" s="89"/>
      <c r="D3908" s="89"/>
      <c r="E3908" s="89"/>
      <c r="F3908" s="89"/>
      <c r="G3908" s="89"/>
      <c r="H3908" s="2"/>
      <c r="I3908" s="90"/>
      <c r="J3908" s="90"/>
      <c r="K3908" s="2"/>
      <c r="L3908" s="49"/>
      <c r="M3908" s="49"/>
      <c r="N3908" s="49"/>
      <c r="O3908" s="49" t="str">
        <f t="shared" si="2"/>
        <v/>
      </c>
      <c r="P3908" s="49" t="str">
        <f t="shared" si="3"/>
        <v/>
      </c>
      <c r="Q3908" s="84"/>
      <c r="R3908" s="84"/>
      <c r="S3908" s="84"/>
      <c r="T3908" s="84"/>
      <c r="U3908" s="84"/>
      <c r="V3908" s="84"/>
      <c r="W3908" s="84"/>
      <c r="X3908" s="84"/>
      <c r="Y3908" s="84"/>
      <c r="Z3908" s="84"/>
      <c r="AA3908" s="84"/>
      <c r="AB3908" s="84"/>
    </row>
    <row r="3909">
      <c r="A3909" s="89"/>
      <c r="B3909" s="89"/>
      <c r="C3909" s="89"/>
      <c r="D3909" s="89"/>
      <c r="E3909" s="89"/>
      <c r="F3909" s="89"/>
      <c r="G3909" s="89"/>
      <c r="H3909" s="2"/>
      <c r="I3909" s="90"/>
      <c r="J3909" s="90"/>
      <c r="K3909" s="2"/>
      <c r="L3909" s="48"/>
      <c r="M3909" s="48"/>
      <c r="N3909" s="48"/>
      <c r="O3909" s="48" t="str">
        <f t="shared" si="2"/>
        <v/>
      </c>
      <c r="P3909" s="48" t="str">
        <f t="shared" si="3"/>
        <v/>
      </c>
      <c r="Q3909" s="84"/>
      <c r="R3909" s="84"/>
      <c r="S3909" s="84"/>
      <c r="T3909" s="84"/>
      <c r="U3909" s="84"/>
      <c r="V3909" s="84"/>
      <c r="W3909" s="84"/>
      <c r="X3909" s="84"/>
      <c r="Y3909" s="84"/>
      <c r="Z3909" s="84"/>
      <c r="AA3909" s="84"/>
      <c r="AB3909" s="84"/>
    </row>
    <row r="3910">
      <c r="A3910" s="89"/>
      <c r="B3910" s="89"/>
      <c r="C3910" s="89"/>
      <c r="D3910" s="89"/>
      <c r="E3910" s="89"/>
      <c r="F3910" s="89"/>
      <c r="G3910" s="89"/>
      <c r="H3910" s="2"/>
      <c r="I3910" s="90"/>
      <c r="J3910" s="90"/>
      <c r="K3910" s="2"/>
      <c r="L3910" s="49"/>
      <c r="M3910" s="49"/>
      <c r="N3910" s="49"/>
      <c r="O3910" s="49" t="str">
        <f t="shared" si="2"/>
        <v/>
      </c>
      <c r="P3910" s="49" t="str">
        <f t="shared" si="3"/>
        <v/>
      </c>
      <c r="Q3910" s="84"/>
      <c r="R3910" s="84"/>
      <c r="S3910" s="84"/>
      <c r="T3910" s="84"/>
      <c r="U3910" s="84"/>
      <c r="V3910" s="84"/>
      <c r="W3910" s="84"/>
      <c r="X3910" s="84"/>
      <c r="Y3910" s="84"/>
      <c r="Z3910" s="84"/>
      <c r="AA3910" s="84"/>
      <c r="AB3910" s="84"/>
    </row>
    <row r="3911">
      <c r="A3911" s="89"/>
      <c r="B3911" s="89"/>
      <c r="C3911" s="89"/>
      <c r="D3911" s="89"/>
      <c r="E3911" s="89"/>
      <c r="F3911" s="89"/>
      <c r="G3911" s="89"/>
      <c r="H3911" s="2"/>
      <c r="I3911" s="90"/>
      <c r="J3911" s="90"/>
      <c r="K3911" s="2"/>
      <c r="L3911" s="48"/>
      <c r="M3911" s="48"/>
      <c r="N3911" s="48"/>
      <c r="O3911" s="48" t="str">
        <f t="shared" si="2"/>
        <v/>
      </c>
      <c r="P3911" s="48" t="str">
        <f t="shared" si="3"/>
        <v/>
      </c>
      <c r="Q3911" s="84"/>
      <c r="R3911" s="84"/>
      <c r="S3911" s="84"/>
      <c r="T3911" s="84"/>
      <c r="U3911" s="84"/>
      <c r="V3911" s="84"/>
      <c r="W3911" s="84"/>
      <c r="X3911" s="84"/>
      <c r="Y3911" s="84"/>
      <c r="Z3911" s="84"/>
      <c r="AA3911" s="84"/>
      <c r="AB3911" s="84"/>
    </row>
    <row r="3912">
      <c r="A3912" s="89"/>
      <c r="B3912" s="89"/>
      <c r="C3912" s="89"/>
      <c r="D3912" s="89"/>
      <c r="E3912" s="89"/>
      <c r="F3912" s="89"/>
      <c r="G3912" s="89"/>
      <c r="H3912" s="2"/>
      <c r="I3912" s="90"/>
      <c r="J3912" s="90"/>
      <c r="K3912" s="2"/>
      <c r="L3912" s="49"/>
      <c r="M3912" s="49"/>
      <c r="N3912" s="49"/>
      <c r="O3912" s="49" t="str">
        <f t="shared" si="2"/>
        <v/>
      </c>
      <c r="P3912" s="49" t="str">
        <f t="shared" si="3"/>
        <v/>
      </c>
      <c r="Q3912" s="84"/>
      <c r="R3912" s="84"/>
      <c r="S3912" s="84"/>
      <c r="T3912" s="84"/>
      <c r="U3912" s="84"/>
      <c r="V3912" s="84"/>
      <c r="W3912" s="84"/>
      <c r="X3912" s="84"/>
      <c r="Y3912" s="84"/>
      <c r="Z3912" s="84"/>
      <c r="AA3912" s="84"/>
      <c r="AB3912" s="84"/>
    </row>
    <row r="3913">
      <c r="A3913" s="89"/>
      <c r="B3913" s="89"/>
      <c r="C3913" s="89"/>
      <c r="D3913" s="89"/>
      <c r="E3913" s="89"/>
      <c r="F3913" s="89"/>
      <c r="G3913" s="89"/>
      <c r="H3913" s="2"/>
      <c r="I3913" s="90"/>
      <c r="J3913" s="90"/>
      <c r="K3913" s="2"/>
      <c r="L3913" s="48"/>
      <c r="M3913" s="48"/>
      <c r="N3913" s="48"/>
      <c r="O3913" s="48" t="str">
        <f t="shared" si="2"/>
        <v/>
      </c>
      <c r="P3913" s="48" t="str">
        <f t="shared" si="3"/>
        <v/>
      </c>
      <c r="Q3913" s="84"/>
      <c r="R3913" s="84"/>
      <c r="S3913" s="84"/>
      <c r="T3913" s="84"/>
      <c r="U3913" s="84"/>
      <c r="V3913" s="84"/>
      <c r="W3913" s="84"/>
      <c r="X3913" s="84"/>
      <c r="Y3913" s="84"/>
      <c r="Z3913" s="84"/>
      <c r="AA3913" s="84"/>
      <c r="AB3913" s="84"/>
    </row>
    <row r="3914">
      <c r="A3914" s="89"/>
      <c r="B3914" s="89"/>
      <c r="C3914" s="89"/>
      <c r="D3914" s="89"/>
      <c r="E3914" s="89"/>
      <c r="F3914" s="89"/>
      <c r="G3914" s="89"/>
      <c r="H3914" s="2"/>
      <c r="I3914" s="90"/>
      <c r="J3914" s="90"/>
      <c r="K3914" s="2"/>
      <c r="L3914" s="49"/>
      <c r="M3914" s="49"/>
      <c r="N3914" s="49"/>
      <c r="O3914" s="49" t="str">
        <f t="shared" si="2"/>
        <v/>
      </c>
      <c r="P3914" s="49" t="str">
        <f t="shared" si="3"/>
        <v/>
      </c>
      <c r="Q3914" s="84"/>
      <c r="R3914" s="84"/>
      <c r="S3914" s="84"/>
      <c r="T3914" s="84"/>
      <c r="U3914" s="84"/>
      <c r="V3914" s="84"/>
      <c r="W3914" s="84"/>
      <c r="X3914" s="84"/>
      <c r="Y3914" s="84"/>
      <c r="Z3914" s="84"/>
      <c r="AA3914" s="84"/>
      <c r="AB3914" s="84"/>
    </row>
    <row r="3915">
      <c r="A3915" s="89"/>
      <c r="B3915" s="89"/>
      <c r="C3915" s="89"/>
      <c r="D3915" s="89"/>
      <c r="E3915" s="89"/>
      <c r="F3915" s="89"/>
      <c r="G3915" s="89"/>
      <c r="H3915" s="2"/>
      <c r="I3915" s="90"/>
      <c r="J3915" s="90"/>
      <c r="K3915" s="2"/>
      <c r="L3915" s="48"/>
      <c r="M3915" s="48"/>
      <c r="N3915" s="48"/>
      <c r="O3915" s="48" t="str">
        <f t="shared" si="2"/>
        <v/>
      </c>
      <c r="P3915" s="48" t="str">
        <f t="shared" si="3"/>
        <v/>
      </c>
      <c r="Q3915" s="84"/>
      <c r="R3915" s="84"/>
      <c r="S3915" s="84"/>
      <c r="T3915" s="84"/>
      <c r="U3915" s="84"/>
      <c r="V3915" s="84"/>
      <c r="W3915" s="84"/>
      <c r="X3915" s="84"/>
      <c r="Y3915" s="84"/>
      <c r="Z3915" s="84"/>
      <c r="AA3915" s="84"/>
      <c r="AB3915" s="84"/>
    </row>
    <row r="3916">
      <c r="A3916" s="89"/>
      <c r="B3916" s="89"/>
      <c r="C3916" s="89"/>
      <c r="D3916" s="89"/>
      <c r="E3916" s="89"/>
      <c r="F3916" s="89"/>
      <c r="G3916" s="89"/>
      <c r="H3916" s="2"/>
      <c r="I3916" s="90"/>
      <c r="J3916" s="90"/>
      <c r="K3916" s="2"/>
      <c r="L3916" s="49"/>
      <c r="M3916" s="49"/>
      <c r="N3916" s="49"/>
      <c r="O3916" s="49" t="str">
        <f t="shared" si="2"/>
        <v/>
      </c>
      <c r="P3916" s="49" t="str">
        <f t="shared" si="3"/>
        <v/>
      </c>
      <c r="Q3916" s="84"/>
      <c r="R3916" s="84"/>
      <c r="S3916" s="84"/>
      <c r="T3916" s="84"/>
      <c r="U3916" s="84"/>
      <c r="V3916" s="84"/>
      <c r="W3916" s="84"/>
      <c r="X3916" s="84"/>
      <c r="Y3916" s="84"/>
      <c r="Z3916" s="84"/>
      <c r="AA3916" s="84"/>
      <c r="AB3916" s="84"/>
    </row>
    <row r="3917">
      <c r="A3917" s="89"/>
      <c r="B3917" s="89"/>
      <c r="C3917" s="89"/>
      <c r="D3917" s="89"/>
      <c r="E3917" s="89"/>
      <c r="F3917" s="89"/>
      <c r="G3917" s="89"/>
      <c r="H3917" s="2"/>
      <c r="I3917" s="90"/>
      <c r="J3917" s="90"/>
      <c r="K3917" s="2"/>
      <c r="L3917" s="48"/>
      <c r="M3917" s="48"/>
      <c r="N3917" s="48"/>
      <c r="O3917" s="48" t="str">
        <f t="shared" si="2"/>
        <v/>
      </c>
      <c r="P3917" s="48" t="str">
        <f t="shared" si="3"/>
        <v/>
      </c>
      <c r="Q3917" s="84"/>
      <c r="R3917" s="84"/>
      <c r="S3917" s="84"/>
      <c r="T3917" s="84"/>
      <c r="U3917" s="84"/>
      <c r="V3917" s="84"/>
      <c r="W3917" s="84"/>
      <c r="X3917" s="84"/>
      <c r="Y3917" s="84"/>
      <c r="Z3917" s="84"/>
      <c r="AA3917" s="84"/>
      <c r="AB3917" s="84"/>
    </row>
    <row r="3918">
      <c r="A3918" s="89"/>
      <c r="B3918" s="89"/>
      <c r="C3918" s="89"/>
      <c r="D3918" s="89"/>
      <c r="E3918" s="89"/>
      <c r="F3918" s="89"/>
      <c r="G3918" s="89"/>
      <c r="H3918" s="2"/>
      <c r="I3918" s="90"/>
      <c r="J3918" s="90"/>
      <c r="K3918" s="2"/>
      <c r="L3918" s="49"/>
      <c r="M3918" s="49"/>
      <c r="N3918" s="49"/>
      <c r="O3918" s="49" t="str">
        <f t="shared" si="2"/>
        <v/>
      </c>
      <c r="P3918" s="49" t="str">
        <f t="shared" si="3"/>
        <v/>
      </c>
      <c r="Q3918" s="84"/>
      <c r="R3918" s="84"/>
      <c r="S3918" s="84"/>
      <c r="T3918" s="84"/>
      <c r="U3918" s="84"/>
      <c r="V3918" s="84"/>
      <c r="W3918" s="84"/>
      <c r="X3918" s="84"/>
      <c r="Y3918" s="84"/>
      <c r="Z3918" s="84"/>
      <c r="AA3918" s="84"/>
      <c r="AB3918" s="84"/>
    </row>
    <row r="3919">
      <c r="A3919" s="89"/>
      <c r="B3919" s="89"/>
      <c r="C3919" s="89"/>
      <c r="D3919" s="89"/>
      <c r="E3919" s="89"/>
      <c r="F3919" s="89"/>
      <c r="G3919" s="89"/>
      <c r="H3919" s="2"/>
      <c r="I3919" s="90"/>
      <c r="J3919" s="90"/>
      <c r="K3919" s="2"/>
      <c r="L3919" s="48"/>
      <c r="M3919" s="48"/>
      <c r="N3919" s="48"/>
      <c r="O3919" s="48" t="str">
        <f t="shared" si="2"/>
        <v/>
      </c>
      <c r="P3919" s="48" t="str">
        <f t="shared" si="3"/>
        <v/>
      </c>
      <c r="Q3919" s="84"/>
      <c r="R3919" s="84"/>
      <c r="S3919" s="84"/>
      <c r="T3919" s="84"/>
      <c r="U3919" s="84"/>
      <c r="V3919" s="84"/>
      <c r="W3919" s="84"/>
      <c r="X3919" s="84"/>
      <c r="Y3919" s="84"/>
      <c r="Z3919" s="84"/>
      <c r="AA3919" s="84"/>
      <c r="AB3919" s="84"/>
    </row>
    <row r="3920">
      <c r="A3920" s="89"/>
      <c r="B3920" s="89"/>
      <c r="C3920" s="89"/>
      <c r="D3920" s="89"/>
      <c r="E3920" s="89"/>
      <c r="F3920" s="89"/>
      <c r="G3920" s="89"/>
      <c r="H3920" s="2"/>
      <c r="I3920" s="90"/>
      <c r="J3920" s="90"/>
      <c r="K3920" s="2"/>
      <c r="L3920" s="49"/>
      <c r="M3920" s="49"/>
      <c r="N3920" s="49"/>
      <c r="O3920" s="49" t="str">
        <f t="shared" si="2"/>
        <v/>
      </c>
      <c r="P3920" s="49" t="str">
        <f t="shared" si="3"/>
        <v/>
      </c>
      <c r="Q3920" s="84"/>
      <c r="R3920" s="84"/>
      <c r="S3920" s="84"/>
      <c r="T3920" s="84"/>
      <c r="U3920" s="84"/>
      <c r="V3920" s="84"/>
      <c r="W3920" s="84"/>
      <c r="X3920" s="84"/>
      <c r="Y3920" s="84"/>
      <c r="Z3920" s="84"/>
      <c r="AA3920" s="84"/>
      <c r="AB3920" s="84"/>
    </row>
    <row r="3921">
      <c r="A3921" s="89"/>
      <c r="B3921" s="89"/>
      <c r="C3921" s="89"/>
      <c r="D3921" s="89"/>
      <c r="E3921" s="89"/>
      <c r="F3921" s="89"/>
      <c r="G3921" s="89"/>
      <c r="H3921" s="2"/>
      <c r="I3921" s="90"/>
      <c r="J3921" s="90"/>
      <c r="K3921" s="2"/>
      <c r="L3921" s="48"/>
      <c r="M3921" s="48"/>
      <c r="N3921" s="48"/>
      <c r="O3921" s="48" t="str">
        <f t="shared" si="2"/>
        <v/>
      </c>
      <c r="P3921" s="48" t="str">
        <f t="shared" si="3"/>
        <v/>
      </c>
      <c r="Q3921" s="84"/>
      <c r="R3921" s="84"/>
      <c r="S3921" s="84"/>
      <c r="T3921" s="84"/>
      <c r="U3921" s="84"/>
      <c r="V3921" s="84"/>
      <c r="W3921" s="84"/>
      <c r="X3921" s="84"/>
      <c r="Y3921" s="84"/>
      <c r="Z3921" s="84"/>
      <c r="AA3921" s="84"/>
      <c r="AB3921" s="84"/>
    </row>
    <row r="3922">
      <c r="A3922" s="89"/>
      <c r="B3922" s="89"/>
      <c r="C3922" s="89"/>
      <c r="D3922" s="89"/>
      <c r="E3922" s="89"/>
      <c r="F3922" s="89"/>
      <c r="G3922" s="89"/>
      <c r="H3922" s="2"/>
      <c r="I3922" s="90"/>
      <c r="J3922" s="90"/>
      <c r="K3922" s="2"/>
      <c r="L3922" s="49"/>
      <c r="M3922" s="49"/>
      <c r="N3922" s="49"/>
      <c r="O3922" s="49" t="str">
        <f t="shared" si="2"/>
        <v/>
      </c>
      <c r="P3922" s="49" t="str">
        <f t="shared" si="3"/>
        <v/>
      </c>
      <c r="Q3922" s="84"/>
      <c r="R3922" s="84"/>
      <c r="S3922" s="84"/>
      <c r="T3922" s="84"/>
      <c r="U3922" s="84"/>
      <c r="V3922" s="84"/>
      <c r="W3922" s="84"/>
      <c r="X3922" s="84"/>
      <c r="Y3922" s="84"/>
      <c r="Z3922" s="84"/>
      <c r="AA3922" s="84"/>
      <c r="AB3922" s="84"/>
    </row>
    <row r="3923">
      <c r="A3923" s="89"/>
      <c r="B3923" s="89"/>
      <c r="C3923" s="89"/>
      <c r="D3923" s="89"/>
      <c r="E3923" s="89"/>
      <c r="F3923" s="89"/>
      <c r="G3923" s="89"/>
      <c r="H3923" s="2"/>
      <c r="I3923" s="90"/>
      <c r="J3923" s="90"/>
      <c r="K3923" s="2"/>
      <c r="L3923" s="48"/>
      <c r="M3923" s="48"/>
      <c r="N3923" s="48"/>
      <c r="O3923" s="48" t="str">
        <f t="shared" si="2"/>
        <v/>
      </c>
      <c r="P3923" s="48" t="str">
        <f t="shared" si="3"/>
        <v/>
      </c>
      <c r="Q3923" s="84"/>
      <c r="R3923" s="84"/>
      <c r="S3923" s="84"/>
      <c r="T3923" s="84"/>
      <c r="U3923" s="84"/>
      <c r="V3923" s="84"/>
      <c r="W3923" s="84"/>
      <c r="X3923" s="84"/>
      <c r="Y3923" s="84"/>
      <c r="Z3923" s="84"/>
      <c r="AA3923" s="84"/>
      <c r="AB3923" s="84"/>
    </row>
    <row r="3924">
      <c r="A3924" s="89"/>
      <c r="B3924" s="89"/>
      <c r="C3924" s="89"/>
      <c r="D3924" s="89"/>
      <c r="E3924" s="89"/>
      <c r="F3924" s="89"/>
      <c r="G3924" s="89"/>
      <c r="H3924" s="2"/>
      <c r="I3924" s="90"/>
      <c r="J3924" s="90"/>
      <c r="K3924" s="2"/>
      <c r="L3924" s="49"/>
      <c r="M3924" s="49"/>
      <c r="N3924" s="49"/>
      <c r="O3924" s="49" t="str">
        <f t="shared" si="2"/>
        <v/>
      </c>
      <c r="P3924" s="49" t="str">
        <f t="shared" si="3"/>
        <v/>
      </c>
      <c r="Q3924" s="84"/>
      <c r="R3924" s="84"/>
      <c r="S3924" s="84"/>
      <c r="T3924" s="84"/>
      <c r="U3924" s="84"/>
      <c r="V3924" s="84"/>
      <c r="W3924" s="84"/>
      <c r="X3924" s="84"/>
      <c r="Y3924" s="84"/>
      <c r="Z3924" s="84"/>
      <c r="AA3924" s="84"/>
      <c r="AB3924" s="84"/>
    </row>
    <row r="3925">
      <c r="A3925" s="89"/>
      <c r="B3925" s="89"/>
      <c r="C3925" s="89"/>
      <c r="D3925" s="89"/>
      <c r="E3925" s="89"/>
      <c r="F3925" s="89"/>
      <c r="G3925" s="89"/>
      <c r="H3925" s="2"/>
      <c r="I3925" s="90"/>
      <c r="J3925" s="90"/>
      <c r="K3925" s="2"/>
      <c r="L3925" s="48"/>
      <c r="M3925" s="48"/>
      <c r="N3925" s="48"/>
      <c r="O3925" s="48" t="str">
        <f t="shared" si="2"/>
        <v/>
      </c>
      <c r="P3925" s="48" t="str">
        <f t="shared" si="3"/>
        <v/>
      </c>
      <c r="Q3925" s="84"/>
      <c r="R3925" s="84"/>
      <c r="S3925" s="84"/>
      <c r="T3925" s="84"/>
      <c r="U3925" s="84"/>
      <c r="V3925" s="84"/>
      <c r="W3925" s="84"/>
      <c r="X3925" s="84"/>
      <c r="Y3925" s="84"/>
      <c r="Z3925" s="84"/>
      <c r="AA3925" s="84"/>
      <c r="AB3925" s="84"/>
    </row>
    <row r="3926">
      <c r="A3926" s="89"/>
      <c r="B3926" s="89"/>
      <c r="C3926" s="89"/>
      <c r="D3926" s="89"/>
      <c r="E3926" s="89"/>
      <c r="F3926" s="89"/>
      <c r="G3926" s="89"/>
      <c r="H3926" s="2"/>
      <c r="I3926" s="90"/>
      <c r="J3926" s="90"/>
      <c r="K3926" s="2"/>
      <c r="L3926" s="49"/>
      <c r="M3926" s="49"/>
      <c r="N3926" s="49"/>
      <c r="O3926" s="49" t="str">
        <f t="shared" si="2"/>
        <v/>
      </c>
      <c r="P3926" s="49" t="str">
        <f t="shared" si="3"/>
        <v/>
      </c>
      <c r="Q3926" s="84"/>
      <c r="R3926" s="84"/>
      <c r="S3926" s="84"/>
      <c r="T3926" s="84"/>
      <c r="U3926" s="84"/>
      <c r="V3926" s="84"/>
      <c r="W3926" s="84"/>
      <c r="X3926" s="84"/>
      <c r="Y3926" s="84"/>
      <c r="Z3926" s="84"/>
      <c r="AA3926" s="84"/>
      <c r="AB3926" s="84"/>
    </row>
    <row r="3927">
      <c r="A3927" s="89"/>
      <c r="B3927" s="89"/>
      <c r="C3927" s="89"/>
      <c r="D3927" s="89"/>
      <c r="E3927" s="89"/>
      <c r="F3927" s="89"/>
      <c r="G3927" s="89"/>
      <c r="H3927" s="2"/>
      <c r="I3927" s="90"/>
      <c r="J3927" s="90"/>
      <c r="K3927" s="2"/>
      <c r="L3927" s="48"/>
      <c r="M3927" s="48"/>
      <c r="N3927" s="48"/>
      <c r="O3927" s="48" t="str">
        <f t="shared" si="2"/>
        <v/>
      </c>
      <c r="P3927" s="48" t="str">
        <f t="shared" si="3"/>
        <v/>
      </c>
      <c r="Q3927" s="84"/>
      <c r="R3927" s="84"/>
      <c r="S3927" s="84"/>
      <c r="T3927" s="84"/>
      <c r="U3927" s="84"/>
      <c r="V3927" s="84"/>
      <c r="W3927" s="84"/>
      <c r="X3927" s="84"/>
      <c r="Y3927" s="84"/>
      <c r="Z3927" s="84"/>
      <c r="AA3927" s="84"/>
      <c r="AB3927" s="84"/>
    </row>
    <row r="3928">
      <c r="A3928" s="89"/>
      <c r="B3928" s="89"/>
      <c r="C3928" s="89"/>
      <c r="D3928" s="89"/>
      <c r="E3928" s="89"/>
      <c r="F3928" s="89"/>
      <c r="G3928" s="89"/>
      <c r="H3928" s="2"/>
      <c r="I3928" s="90"/>
      <c r="J3928" s="90"/>
      <c r="K3928" s="2"/>
      <c r="L3928" s="49"/>
      <c r="M3928" s="49"/>
      <c r="N3928" s="49"/>
      <c r="O3928" s="49" t="str">
        <f t="shared" si="2"/>
        <v/>
      </c>
      <c r="P3928" s="49" t="str">
        <f t="shared" si="3"/>
        <v/>
      </c>
      <c r="Q3928" s="84"/>
      <c r="R3928" s="84"/>
      <c r="S3928" s="84"/>
      <c r="T3928" s="84"/>
      <c r="U3928" s="84"/>
      <c r="V3928" s="84"/>
      <c r="W3928" s="84"/>
      <c r="X3928" s="84"/>
      <c r="Y3928" s="84"/>
      <c r="Z3928" s="84"/>
      <c r="AA3928" s="84"/>
      <c r="AB3928" s="84"/>
    </row>
    <row r="3929">
      <c r="A3929" s="89"/>
      <c r="B3929" s="89"/>
      <c r="C3929" s="89"/>
      <c r="D3929" s="89"/>
      <c r="E3929" s="89"/>
      <c r="F3929" s="89"/>
      <c r="G3929" s="89"/>
      <c r="H3929" s="2"/>
      <c r="I3929" s="90"/>
      <c r="J3929" s="90"/>
      <c r="K3929" s="2"/>
      <c r="L3929" s="48"/>
      <c r="M3929" s="48"/>
      <c r="N3929" s="48"/>
      <c r="O3929" s="48" t="str">
        <f t="shared" si="2"/>
        <v/>
      </c>
      <c r="P3929" s="48" t="str">
        <f t="shared" si="3"/>
        <v/>
      </c>
      <c r="Q3929" s="84"/>
      <c r="R3929" s="84"/>
      <c r="S3929" s="84"/>
      <c r="T3929" s="84"/>
      <c r="U3929" s="84"/>
      <c r="V3929" s="84"/>
      <c r="W3929" s="84"/>
      <c r="X3929" s="84"/>
      <c r="Y3929" s="84"/>
      <c r="Z3929" s="84"/>
      <c r="AA3929" s="84"/>
      <c r="AB3929" s="84"/>
    </row>
    <row r="3930">
      <c r="A3930" s="89"/>
      <c r="B3930" s="89"/>
      <c r="C3930" s="89"/>
      <c r="D3930" s="89"/>
      <c r="E3930" s="89"/>
      <c r="F3930" s="89"/>
      <c r="G3930" s="89"/>
      <c r="H3930" s="2"/>
      <c r="I3930" s="90"/>
      <c r="J3930" s="90"/>
      <c r="K3930" s="2"/>
      <c r="L3930" s="49"/>
      <c r="M3930" s="49"/>
      <c r="N3930" s="49"/>
      <c r="O3930" s="49" t="str">
        <f t="shared" si="2"/>
        <v/>
      </c>
      <c r="P3930" s="49" t="str">
        <f t="shared" si="3"/>
        <v/>
      </c>
      <c r="Q3930" s="84"/>
      <c r="R3930" s="84"/>
      <c r="S3930" s="84"/>
      <c r="T3930" s="84"/>
      <c r="U3930" s="84"/>
      <c r="V3930" s="84"/>
      <c r="W3930" s="84"/>
      <c r="X3930" s="84"/>
      <c r="Y3930" s="84"/>
      <c r="Z3930" s="84"/>
      <c r="AA3930" s="84"/>
      <c r="AB3930" s="84"/>
    </row>
    <row r="3931">
      <c r="A3931" s="89"/>
      <c r="B3931" s="89"/>
      <c r="C3931" s="89"/>
      <c r="D3931" s="89"/>
      <c r="E3931" s="89"/>
      <c r="F3931" s="89"/>
      <c r="G3931" s="89"/>
      <c r="H3931" s="2"/>
      <c r="I3931" s="90"/>
      <c r="J3931" s="90"/>
      <c r="K3931" s="2"/>
      <c r="L3931" s="48"/>
      <c r="M3931" s="48"/>
      <c r="N3931" s="48"/>
      <c r="O3931" s="48" t="str">
        <f t="shared" si="2"/>
        <v/>
      </c>
      <c r="P3931" s="48" t="str">
        <f t="shared" si="3"/>
        <v/>
      </c>
      <c r="Q3931" s="84"/>
      <c r="R3931" s="84"/>
      <c r="S3931" s="84"/>
      <c r="T3931" s="84"/>
      <c r="U3931" s="84"/>
      <c r="V3931" s="84"/>
      <c r="W3931" s="84"/>
      <c r="X3931" s="84"/>
      <c r="Y3931" s="84"/>
      <c r="Z3931" s="84"/>
      <c r="AA3931" s="84"/>
      <c r="AB3931" s="84"/>
    </row>
    <row r="3932">
      <c r="A3932" s="89"/>
      <c r="B3932" s="89"/>
      <c r="C3932" s="89"/>
      <c r="D3932" s="89"/>
      <c r="E3932" s="89"/>
      <c r="F3932" s="89"/>
      <c r="G3932" s="89"/>
      <c r="H3932" s="2"/>
      <c r="I3932" s="90"/>
      <c r="J3932" s="90"/>
      <c r="K3932" s="2"/>
      <c r="L3932" s="49"/>
      <c r="M3932" s="49"/>
      <c r="N3932" s="49"/>
      <c r="O3932" s="49" t="str">
        <f t="shared" si="2"/>
        <v/>
      </c>
      <c r="P3932" s="49" t="str">
        <f t="shared" si="3"/>
        <v/>
      </c>
      <c r="Q3932" s="84"/>
      <c r="R3932" s="84"/>
      <c r="S3932" s="84"/>
      <c r="T3932" s="84"/>
      <c r="U3932" s="84"/>
      <c r="V3932" s="84"/>
      <c r="W3932" s="84"/>
      <c r="X3932" s="84"/>
      <c r="Y3932" s="84"/>
      <c r="Z3932" s="84"/>
      <c r="AA3932" s="84"/>
      <c r="AB3932" s="84"/>
    </row>
    <row r="3933">
      <c r="A3933" s="89"/>
      <c r="B3933" s="89"/>
      <c r="C3933" s="89"/>
      <c r="D3933" s="89"/>
      <c r="E3933" s="89"/>
      <c r="F3933" s="89"/>
      <c r="G3933" s="89"/>
      <c r="H3933" s="2"/>
      <c r="I3933" s="90"/>
      <c r="J3933" s="90"/>
      <c r="K3933" s="2"/>
      <c r="L3933" s="48"/>
      <c r="M3933" s="48"/>
      <c r="N3933" s="48"/>
      <c r="O3933" s="48" t="str">
        <f t="shared" si="2"/>
        <v/>
      </c>
      <c r="P3933" s="48" t="str">
        <f t="shared" si="3"/>
        <v/>
      </c>
      <c r="Q3933" s="84"/>
      <c r="R3933" s="84"/>
      <c r="S3933" s="84"/>
      <c r="T3933" s="84"/>
      <c r="U3933" s="84"/>
      <c r="V3933" s="84"/>
      <c r="W3933" s="84"/>
      <c r="X3933" s="84"/>
      <c r="Y3933" s="84"/>
      <c r="Z3933" s="84"/>
      <c r="AA3933" s="84"/>
      <c r="AB3933" s="84"/>
    </row>
    <row r="3934">
      <c r="A3934" s="89"/>
      <c r="B3934" s="89"/>
      <c r="C3934" s="89"/>
      <c r="D3934" s="89"/>
      <c r="E3934" s="89"/>
      <c r="F3934" s="89"/>
      <c r="G3934" s="89"/>
      <c r="H3934" s="2"/>
      <c r="I3934" s="90"/>
      <c r="J3934" s="90"/>
      <c r="K3934" s="2"/>
      <c r="L3934" s="49"/>
      <c r="M3934" s="49"/>
      <c r="N3934" s="49"/>
      <c r="O3934" s="49" t="str">
        <f t="shared" si="2"/>
        <v/>
      </c>
      <c r="P3934" s="49" t="str">
        <f t="shared" si="3"/>
        <v/>
      </c>
      <c r="Q3934" s="84"/>
      <c r="R3934" s="84"/>
      <c r="S3934" s="84"/>
      <c r="T3934" s="84"/>
      <c r="U3934" s="84"/>
      <c r="V3934" s="84"/>
      <c r="W3934" s="84"/>
      <c r="X3934" s="84"/>
      <c r="Y3934" s="84"/>
      <c r="Z3934" s="84"/>
      <c r="AA3934" s="84"/>
      <c r="AB3934" s="84"/>
    </row>
    <row r="3935">
      <c r="A3935" s="89"/>
      <c r="B3935" s="89"/>
      <c r="C3935" s="89"/>
      <c r="D3935" s="89"/>
      <c r="E3935" s="89"/>
      <c r="F3935" s="89"/>
      <c r="G3935" s="89"/>
      <c r="H3935" s="2"/>
      <c r="I3935" s="90"/>
      <c r="J3935" s="90"/>
      <c r="K3935" s="2"/>
      <c r="L3935" s="48"/>
      <c r="M3935" s="48"/>
      <c r="N3935" s="48"/>
      <c r="O3935" s="48" t="str">
        <f t="shared" si="2"/>
        <v/>
      </c>
      <c r="P3935" s="48" t="str">
        <f t="shared" si="3"/>
        <v/>
      </c>
      <c r="Q3935" s="84"/>
      <c r="R3935" s="84"/>
      <c r="S3935" s="84"/>
      <c r="T3935" s="84"/>
      <c r="U3935" s="84"/>
      <c r="V3935" s="84"/>
      <c r="W3935" s="84"/>
      <c r="X3935" s="84"/>
      <c r="Y3935" s="84"/>
      <c r="Z3935" s="84"/>
      <c r="AA3935" s="84"/>
      <c r="AB3935" s="84"/>
    </row>
    <row r="3936">
      <c r="A3936" s="89"/>
      <c r="B3936" s="89"/>
      <c r="C3936" s="89"/>
      <c r="D3936" s="89"/>
      <c r="E3936" s="89"/>
      <c r="F3936" s="89"/>
      <c r="G3936" s="89"/>
      <c r="H3936" s="2"/>
      <c r="I3936" s="90"/>
      <c r="J3936" s="90"/>
      <c r="K3936" s="2"/>
      <c r="L3936" s="49"/>
      <c r="M3936" s="49"/>
      <c r="N3936" s="49"/>
      <c r="O3936" s="49" t="str">
        <f t="shared" si="2"/>
        <v/>
      </c>
      <c r="P3936" s="49" t="str">
        <f t="shared" si="3"/>
        <v/>
      </c>
      <c r="Q3936" s="84"/>
      <c r="R3936" s="84"/>
      <c r="S3936" s="84"/>
      <c r="T3936" s="84"/>
      <c r="U3936" s="84"/>
      <c r="V3936" s="84"/>
      <c r="W3936" s="84"/>
      <c r="X3936" s="84"/>
      <c r="Y3936" s="84"/>
      <c r="Z3936" s="84"/>
      <c r="AA3936" s="84"/>
      <c r="AB3936" s="84"/>
    </row>
    <row r="3937">
      <c r="A3937" s="89"/>
      <c r="B3937" s="89"/>
      <c r="C3937" s="89"/>
      <c r="D3937" s="89"/>
      <c r="E3937" s="89"/>
      <c r="F3937" s="89"/>
      <c r="G3937" s="89"/>
      <c r="H3937" s="2"/>
      <c r="I3937" s="90"/>
      <c r="J3937" s="90"/>
      <c r="K3937" s="2"/>
      <c r="L3937" s="48"/>
      <c r="M3937" s="48"/>
      <c r="N3937" s="48"/>
      <c r="O3937" s="48" t="str">
        <f t="shared" si="2"/>
        <v/>
      </c>
      <c r="P3937" s="48" t="str">
        <f t="shared" si="3"/>
        <v/>
      </c>
      <c r="Q3937" s="84"/>
      <c r="R3937" s="84"/>
      <c r="S3937" s="84"/>
      <c r="T3937" s="84"/>
      <c r="U3937" s="84"/>
      <c r="V3937" s="84"/>
      <c r="W3937" s="84"/>
      <c r="X3937" s="84"/>
      <c r="Y3937" s="84"/>
      <c r="Z3937" s="84"/>
      <c r="AA3937" s="84"/>
      <c r="AB3937" s="84"/>
    </row>
    <row r="3938">
      <c r="A3938" s="89"/>
      <c r="B3938" s="89"/>
      <c r="C3938" s="89"/>
      <c r="D3938" s="89"/>
      <c r="E3938" s="89"/>
      <c r="F3938" s="89"/>
      <c r="G3938" s="89"/>
      <c r="H3938" s="2"/>
      <c r="I3938" s="90"/>
      <c r="J3938" s="90"/>
      <c r="K3938" s="2"/>
      <c r="L3938" s="49"/>
      <c r="M3938" s="49"/>
      <c r="N3938" s="49"/>
      <c r="O3938" s="49" t="str">
        <f t="shared" si="2"/>
        <v/>
      </c>
      <c r="P3938" s="49" t="str">
        <f t="shared" si="3"/>
        <v/>
      </c>
      <c r="Q3938" s="84"/>
      <c r="R3938" s="84"/>
      <c r="S3938" s="84"/>
      <c r="T3938" s="84"/>
      <c r="U3938" s="84"/>
      <c r="V3938" s="84"/>
      <c r="W3938" s="84"/>
      <c r="X3938" s="84"/>
      <c r="Y3938" s="84"/>
      <c r="Z3938" s="84"/>
      <c r="AA3938" s="84"/>
      <c r="AB3938" s="84"/>
    </row>
    <row r="3939">
      <c r="A3939" s="89"/>
      <c r="B3939" s="89"/>
      <c r="C3939" s="89"/>
      <c r="D3939" s="89"/>
      <c r="E3939" s="89"/>
      <c r="F3939" s="89"/>
      <c r="G3939" s="89"/>
      <c r="H3939" s="2"/>
      <c r="I3939" s="90"/>
      <c r="J3939" s="90"/>
      <c r="K3939" s="2"/>
      <c r="L3939" s="48"/>
      <c r="M3939" s="48"/>
      <c r="N3939" s="48"/>
      <c r="O3939" s="48" t="str">
        <f t="shared" si="2"/>
        <v/>
      </c>
      <c r="P3939" s="48" t="str">
        <f t="shared" si="3"/>
        <v/>
      </c>
      <c r="Q3939" s="84"/>
      <c r="R3939" s="84"/>
      <c r="S3939" s="84"/>
      <c r="T3939" s="84"/>
      <c r="U3939" s="84"/>
      <c r="V3939" s="84"/>
      <c r="W3939" s="84"/>
      <c r="X3939" s="84"/>
      <c r="Y3939" s="84"/>
      <c r="Z3939" s="84"/>
      <c r="AA3939" s="84"/>
      <c r="AB3939" s="84"/>
    </row>
    <row r="3940">
      <c r="A3940" s="89"/>
      <c r="B3940" s="89"/>
      <c r="C3940" s="89"/>
      <c r="D3940" s="89"/>
      <c r="E3940" s="89"/>
      <c r="F3940" s="89"/>
      <c r="G3940" s="89"/>
      <c r="H3940" s="2"/>
      <c r="I3940" s="90"/>
      <c r="J3940" s="90"/>
      <c r="K3940" s="2"/>
      <c r="L3940" s="49"/>
      <c r="M3940" s="49"/>
      <c r="N3940" s="49"/>
      <c r="O3940" s="49" t="str">
        <f t="shared" si="2"/>
        <v/>
      </c>
      <c r="P3940" s="49" t="str">
        <f t="shared" si="3"/>
        <v/>
      </c>
      <c r="Q3940" s="84"/>
      <c r="R3940" s="84"/>
      <c r="S3940" s="84"/>
      <c r="T3940" s="84"/>
      <c r="U3940" s="84"/>
      <c r="V3940" s="84"/>
      <c r="W3940" s="84"/>
      <c r="X3940" s="84"/>
      <c r="Y3940" s="84"/>
      <c r="Z3940" s="84"/>
      <c r="AA3940" s="84"/>
      <c r="AB3940" s="84"/>
    </row>
    <row r="3941">
      <c r="A3941" s="89"/>
      <c r="B3941" s="89"/>
      <c r="C3941" s="89"/>
      <c r="D3941" s="89"/>
      <c r="E3941" s="89"/>
      <c r="F3941" s="89"/>
      <c r="G3941" s="89"/>
      <c r="H3941" s="2"/>
      <c r="I3941" s="90"/>
      <c r="J3941" s="90"/>
      <c r="K3941" s="2"/>
      <c r="L3941" s="48"/>
      <c r="M3941" s="48"/>
      <c r="N3941" s="48"/>
      <c r="O3941" s="48" t="str">
        <f t="shared" si="2"/>
        <v/>
      </c>
      <c r="P3941" s="48" t="str">
        <f t="shared" si="3"/>
        <v/>
      </c>
      <c r="Q3941" s="84"/>
      <c r="R3941" s="84"/>
      <c r="S3941" s="84"/>
      <c r="T3941" s="84"/>
      <c r="U3941" s="84"/>
      <c r="V3941" s="84"/>
      <c r="W3941" s="84"/>
      <c r="X3941" s="84"/>
      <c r="Y3941" s="84"/>
      <c r="Z3941" s="84"/>
      <c r="AA3941" s="84"/>
      <c r="AB3941" s="84"/>
    </row>
    <row r="3942">
      <c r="A3942" s="89"/>
      <c r="B3942" s="89"/>
      <c r="C3942" s="89"/>
      <c r="D3942" s="89"/>
      <c r="E3942" s="89"/>
      <c r="F3942" s="89"/>
      <c r="G3942" s="89"/>
      <c r="H3942" s="2"/>
      <c r="I3942" s="90"/>
      <c r="J3942" s="90"/>
      <c r="K3942" s="2"/>
      <c r="L3942" s="49"/>
      <c r="M3942" s="49"/>
      <c r="N3942" s="49"/>
      <c r="O3942" s="49" t="str">
        <f t="shared" si="2"/>
        <v/>
      </c>
      <c r="P3942" s="49" t="str">
        <f t="shared" si="3"/>
        <v/>
      </c>
      <c r="Q3942" s="84"/>
      <c r="R3942" s="84"/>
      <c r="S3942" s="84"/>
      <c r="T3942" s="84"/>
      <c r="U3942" s="84"/>
      <c r="V3942" s="84"/>
      <c r="W3942" s="84"/>
      <c r="X3942" s="84"/>
      <c r="Y3942" s="84"/>
      <c r="Z3942" s="84"/>
      <c r="AA3942" s="84"/>
      <c r="AB3942" s="84"/>
    </row>
    <row r="3943">
      <c r="A3943" s="89"/>
      <c r="B3943" s="89"/>
      <c r="C3943" s="89"/>
      <c r="D3943" s="89"/>
      <c r="E3943" s="89"/>
      <c r="F3943" s="89"/>
      <c r="G3943" s="89"/>
      <c r="H3943" s="2"/>
      <c r="I3943" s="90"/>
      <c r="J3943" s="90"/>
      <c r="K3943" s="2"/>
      <c r="L3943" s="48"/>
      <c r="M3943" s="48"/>
      <c r="N3943" s="48"/>
      <c r="O3943" s="48" t="str">
        <f t="shared" si="2"/>
        <v/>
      </c>
      <c r="P3943" s="48" t="str">
        <f t="shared" si="3"/>
        <v/>
      </c>
      <c r="Q3943" s="84"/>
      <c r="R3943" s="84"/>
      <c r="S3943" s="84"/>
      <c r="T3943" s="84"/>
      <c r="U3943" s="84"/>
      <c r="V3943" s="84"/>
      <c r="W3943" s="84"/>
      <c r="X3943" s="84"/>
      <c r="Y3943" s="84"/>
      <c r="Z3943" s="84"/>
      <c r="AA3943" s="84"/>
      <c r="AB3943" s="84"/>
    </row>
    <row r="3944">
      <c r="A3944" s="89"/>
      <c r="B3944" s="89"/>
      <c r="C3944" s="89"/>
      <c r="D3944" s="89"/>
      <c r="E3944" s="89"/>
      <c r="F3944" s="89"/>
      <c r="G3944" s="89"/>
      <c r="H3944" s="2"/>
      <c r="I3944" s="90"/>
      <c r="J3944" s="90"/>
      <c r="K3944" s="2"/>
      <c r="L3944" s="49"/>
      <c r="M3944" s="49"/>
      <c r="N3944" s="49"/>
      <c r="O3944" s="49" t="str">
        <f t="shared" si="2"/>
        <v/>
      </c>
      <c r="P3944" s="49" t="str">
        <f t="shared" si="3"/>
        <v/>
      </c>
      <c r="Q3944" s="84"/>
      <c r="R3944" s="84"/>
      <c r="S3944" s="84"/>
      <c r="T3944" s="84"/>
      <c r="U3944" s="84"/>
      <c r="V3944" s="84"/>
      <c r="W3944" s="84"/>
      <c r="X3944" s="84"/>
      <c r="Y3944" s="84"/>
      <c r="Z3944" s="84"/>
      <c r="AA3944" s="84"/>
      <c r="AB3944" s="84"/>
    </row>
    <row r="3945">
      <c r="A3945" s="89"/>
      <c r="B3945" s="89"/>
      <c r="C3945" s="89"/>
      <c r="D3945" s="89"/>
      <c r="E3945" s="89"/>
      <c r="F3945" s="89"/>
      <c r="G3945" s="89"/>
      <c r="H3945" s="2"/>
      <c r="I3945" s="90"/>
      <c r="J3945" s="90"/>
      <c r="K3945" s="2"/>
      <c r="L3945" s="48"/>
      <c r="M3945" s="48"/>
      <c r="N3945" s="48"/>
      <c r="O3945" s="48" t="str">
        <f t="shared" si="2"/>
        <v/>
      </c>
      <c r="P3945" s="48" t="str">
        <f t="shared" si="3"/>
        <v/>
      </c>
      <c r="Q3945" s="84"/>
      <c r="R3945" s="84"/>
      <c r="S3945" s="84"/>
      <c r="T3945" s="84"/>
      <c r="U3945" s="84"/>
      <c r="V3945" s="84"/>
      <c r="W3945" s="84"/>
      <c r="X3945" s="84"/>
      <c r="Y3945" s="84"/>
      <c r="Z3945" s="84"/>
      <c r="AA3945" s="84"/>
      <c r="AB3945" s="84"/>
    </row>
    <row r="3946">
      <c r="A3946" s="89"/>
      <c r="B3946" s="89"/>
      <c r="C3946" s="89"/>
      <c r="D3946" s="89"/>
      <c r="E3946" s="89"/>
      <c r="F3946" s="89"/>
      <c r="G3946" s="89"/>
      <c r="H3946" s="2"/>
      <c r="I3946" s="90"/>
      <c r="J3946" s="90"/>
      <c r="K3946" s="2"/>
      <c r="L3946" s="49"/>
      <c r="M3946" s="49"/>
      <c r="N3946" s="49"/>
      <c r="O3946" s="49" t="str">
        <f t="shared" si="2"/>
        <v/>
      </c>
      <c r="P3946" s="49" t="str">
        <f t="shared" si="3"/>
        <v/>
      </c>
      <c r="Q3946" s="84"/>
      <c r="R3946" s="84"/>
      <c r="S3946" s="84"/>
      <c r="T3946" s="84"/>
      <c r="U3946" s="84"/>
      <c r="V3946" s="84"/>
      <c r="W3946" s="84"/>
      <c r="X3946" s="84"/>
      <c r="Y3946" s="84"/>
      <c r="Z3946" s="84"/>
      <c r="AA3946" s="84"/>
      <c r="AB3946" s="84"/>
    </row>
    <row r="3947">
      <c r="A3947" s="89"/>
      <c r="B3947" s="89"/>
      <c r="C3947" s="89"/>
      <c r="D3947" s="89"/>
      <c r="E3947" s="89"/>
      <c r="F3947" s="89"/>
      <c r="G3947" s="89"/>
      <c r="H3947" s="2"/>
      <c r="I3947" s="90"/>
      <c r="J3947" s="90"/>
      <c r="K3947" s="2"/>
      <c r="L3947" s="48"/>
      <c r="M3947" s="48"/>
      <c r="N3947" s="48"/>
      <c r="O3947" s="48" t="str">
        <f t="shared" si="2"/>
        <v/>
      </c>
      <c r="P3947" s="48" t="str">
        <f t="shared" si="3"/>
        <v/>
      </c>
      <c r="Q3947" s="84"/>
      <c r="R3947" s="84"/>
      <c r="S3947" s="84"/>
      <c r="T3947" s="84"/>
      <c r="U3947" s="84"/>
      <c r="V3947" s="84"/>
      <c r="W3947" s="84"/>
      <c r="X3947" s="84"/>
      <c r="Y3947" s="84"/>
      <c r="Z3947" s="84"/>
      <c r="AA3947" s="84"/>
      <c r="AB3947" s="84"/>
    </row>
    <row r="3948">
      <c r="A3948" s="89"/>
      <c r="B3948" s="89"/>
      <c r="C3948" s="89"/>
      <c r="D3948" s="89"/>
      <c r="E3948" s="89"/>
      <c r="F3948" s="89"/>
      <c r="G3948" s="89"/>
      <c r="H3948" s="2"/>
      <c r="I3948" s="90"/>
      <c r="J3948" s="90"/>
      <c r="K3948" s="2"/>
      <c r="L3948" s="49"/>
      <c r="M3948" s="49"/>
      <c r="N3948" s="49"/>
      <c r="O3948" s="49" t="str">
        <f t="shared" si="2"/>
        <v/>
      </c>
      <c r="P3948" s="49" t="str">
        <f t="shared" si="3"/>
        <v/>
      </c>
      <c r="Q3948" s="84"/>
      <c r="R3948" s="84"/>
      <c r="S3948" s="84"/>
      <c r="T3948" s="84"/>
      <c r="U3948" s="84"/>
      <c r="V3948" s="84"/>
      <c r="W3948" s="84"/>
      <c r="X3948" s="84"/>
      <c r="Y3948" s="84"/>
      <c r="Z3948" s="84"/>
      <c r="AA3948" s="84"/>
      <c r="AB3948" s="84"/>
    </row>
    <row r="3949">
      <c r="A3949" s="89"/>
      <c r="B3949" s="89"/>
      <c r="C3949" s="89"/>
      <c r="D3949" s="89"/>
      <c r="E3949" s="89"/>
      <c r="F3949" s="89"/>
      <c r="G3949" s="89"/>
      <c r="H3949" s="2"/>
      <c r="I3949" s="90"/>
      <c r="J3949" s="90"/>
      <c r="K3949" s="2"/>
      <c r="L3949" s="48"/>
      <c r="M3949" s="48"/>
      <c r="N3949" s="48"/>
      <c r="O3949" s="48" t="str">
        <f t="shared" si="2"/>
        <v/>
      </c>
      <c r="P3949" s="48" t="str">
        <f t="shared" si="3"/>
        <v/>
      </c>
      <c r="Q3949" s="84"/>
      <c r="R3949" s="84"/>
      <c r="S3949" s="84"/>
      <c r="T3949" s="84"/>
      <c r="U3949" s="84"/>
      <c r="V3949" s="84"/>
      <c r="W3949" s="84"/>
      <c r="X3949" s="84"/>
      <c r="Y3949" s="84"/>
      <c r="Z3949" s="84"/>
      <c r="AA3949" s="84"/>
      <c r="AB3949" s="84"/>
    </row>
    <row r="3950">
      <c r="A3950" s="89"/>
      <c r="B3950" s="89"/>
      <c r="C3950" s="89"/>
      <c r="D3950" s="89"/>
      <c r="E3950" s="89"/>
      <c r="F3950" s="89"/>
      <c r="G3950" s="89"/>
      <c r="H3950" s="2"/>
      <c r="I3950" s="90"/>
      <c r="J3950" s="90"/>
      <c r="K3950" s="2"/>
      <c r="L3950" s="49"/>
      <c r="M3950" s="49"/>
      <c r="N3950" s="49"/>
      <c r="O3950" s="49" t="str">
        <f t="shared" si="2"/>
        <v/>
      </c>
      <c r="P3950" s="49" t="str">
        <f t="shared" si="3"/>
        <v/>
      </c>
      <c r="Q3950" s="84"/>
      <c r="R3950" s="84"/>
      <c r="S3950" s="84"/>
      <c r="T3950" s="84"/>
      <c r="U3950" s="84"/>
      <c r="V3950" s="84"/>
      <c r="W3950" s="84"/>
      <c r="X3950" s="84"/>
      <c r="Y3950" s="84"/>
      <c r="Z3950" s="84"/>
      <c r="AA3950" s="84"/>
      <c r="AB3950" s="84"/>
    </row>
    <row r="3951">
      <c r="A3951" s="89"/>
      <c r="B3951" s="89"/>
      <c r="C3951" s="89"/>
      <c r="D3951" s="89"/>
      <c r="E3951" s="89"/>
      <c r="F3951" s="89"/>
      <c r="G3951" s="89"/>
      <c r="H3951" s="2"/>
      <c r="I3951" s="90"/>
      <c r="J3951" s="90"/>
      <c r="K3951" s="2"/>
      <c r="L3951" s="48"/>
      <c r="M3951" s="48"/>
      <c r="N3951" s="48"/>
      <c r="O3951" s="48" t="str">
        <f t="shared" si="2"/>
        <v/>
      </c>
      <c r="P3951" s="48" t="str">
        <f t="shared" si="3"/>
        <v/>
      </c>
      <c r="Q3951" s="84"/>
      <c r="R3951" s="84"/>
      <c r="S3951" s="84"/>
      <c r="T3951" s="84"/>
      <c r="U3951" s="84"/>
      <c r="V3951" s="84"/>
      <c r="W3951" s="84"/>
      <c r="X3951" s="84"/>
      <c r="Y3951" s="84"/>
      <c r="Z3951" s="84"/>
      <c r="AA3951" s="84"/>
      <c r="AB3951" s="84"/>
    </row>
    <row r="3952">
      <c r="A3952" s="89"/>
      <c r="B3952" s="89"/>
      <c r="C3952" s="89"/>
      <c r="D3952" s="89"/>
      <c r="E3952" s="89"/>
      <c r="F3952" s="89"/>
      <c r="G3952" s="89"/>
      <c r="H3952" s="2"/>
      <c r="I3952" s="90"/>
      <c r="J3952" s="90"/>
      <c r="K3952" s="2"/>
      <c r="L3952" s="49"/>
      <c r="M3952" s="49"/>
      <c r="N3952" s="49"/>
      <c r="O3952" s="49" t="str">
        <f t="shared" si="2"/>
        <v/>
      </c>
      <c r="P3952" s="49" t="str">
        <f t="shared" si="3"/>
        <v/>
      </c>
      <c r="Q3952" s="84"/>
      <c r="R3952" s="84"/>
      <c r="S3952" s="84"/>
      <c r="T3952" s="84"/>
      <c r="U3952" s="84"/>
      <c r="V3952" s="84"/>
      <c r="W3952" s="84"/>
      <c r="X3952" s="84"/>
      <c r="Y3952" s="84"/>
      <c r="Z3952" s="84"/>
      <c r="AA3952" s="84"/>
      <c r="AB3952" s="84"/>
    </row>
    <row r="3953">
      <c r="A3953" s="89"/>
      <c r="B3953" s="89"/>
      <c r="C3953" s="89"/>
      <c r="D3953" s="89"/>
      <c r="E3953" s="89"/>
      <c r="F3953" s="89"/>
      <c r="G3953" s="89"/>
      <c r="H3953" s="2"/>
      <c r="I3953" s="90"/>
      <c r="J3953" s="90"/>
      <c r="K3953" s="2"/>
      <c r="L3953" s="48"/>
      <c r="M3953" s="48"/>
      <c r="N3953" s="48"/>
      <c r="O3953" s="48" t="str">
        <f t="shared" si="2"/>
        <v/>
      </c>
      <c r="P3953" s="48" t="str">
        <f t="shared" si="3"/>
        <v/>
      </c>
      <c r="Q3953" s="84"/>
      <c r="R3953" s="84"/>
      <c r="S3953" s="84"/>
      <c r="T3953" s="84"/>
      <c r="U3953" s="84"/>
      <c r="V3953" s="84"/>
      <c r="W3953" s="84"/>
      <c r="X3953" s="84"/>
      <c r="Y3953" s="84"/>
      <c r="Z3953" s="84"/>
      <c r="AA3953" s="84"/>
      <c r="AB3953" s="84"/>
    </row>
    <row r="3954">
      <c r="A3954" s="89"/>
      <c r="B3954" s="89"/>
      <c r="C3954" s="89"/>
      <c r="D3954" s="89"/>
      <c r="E3954" s="89"/>
      <c r="F3954" s="89"/>
      <c r="G3954" s="89"/>
      <c r="H3954" s="2"/>
      <c r="I3954" s="90"/>
      <c r="J3954" s="90"/>
      <c r="K3954" s="2"/>
      <c r="L3954" s="49"/>
      <c r="M3954" s="49"/>
      <c r="N3954" s="49"/>
      <c r="O3954" s="49" t="str">
        <f t="shared" si="2"/>
        <v/>
      </c>
      <c r="P3954" s="49" t="str">
        <f t="shared" si="3"/>
        <v/>
      </c>
      <c r="Q3954" s="84"/>
      <c r="R3954" s="84"/>
      <c r="S3954" s="84"/>
      <c r="T3954" s="84"/>
      <c r="U3954" s="84"/>
      <c r="V3954" s="84"/>
      <c r="W3954" s="84"/>
      <c r="X3954" s="84"/>
      <c r="Y3954" s="84"/>
      <c r="Z3954" s="84"/>
      <c r="AA3954" s="84"/>
      <c r="AB3954" s="84"/>
    </row>
    <row r="3955">
      <c r="A3955" s="89"/>
      <c r="B3955" s="89"/>
      <c r="C3955" s="89"/>
      <c r="D3955" s="89"/>
      <c r="E3955" s="89"/>
      <c r="F3955" s="89"/>
      <c r="G3955" s="89"/>
      <c r="H3955" s="2"/>
      <c r="I3955" s="90"/>
      <c r="J3955" s="90"/>
      <c r="K3955" s="2"/>
      <c r="L3955" s="48"/>
      <c r="M3955" s="48"/>
      <c r="N3955" s="48"/>
      <c r="O3955" s="48" t="str">
        <f t="shared" si="2"/>
        <v/>
      </c>
      <c r="P3955" s="48" t="str">
        <f t="shared" si="3"/>
        <v/>
      </c>
      <c r="Q3955" s="84"/>
      <c r="R3955" s="84"/>
      <c r="S3955" s="84"/>
      <c r="T3955" s="84"/>
      <c r="U3955" s="84"/>
      <c r="V3955" s="84"/>
      <c r="W3955" s="84"/>
      <c r="X3955" s="84"/>
      <c r="Y3955" s="84"/>
      <c r="Z3955" s="84"/>
      <c r="AA3955" s="84"/>
      <c r="AB3955" s="84"/>
    </row>
    <row r="3956">
      <c r="A3956" s="89"/>
      <c r="B3956" s="89"/>
      <c r="C3956" s="89"/>
      <c r="D3956" s="89"/>
      <c r="E3956" s="89"/>
      <c r="F3956" s="89"/>
      <c r="G3956" s="89"/>
      <c r="H3956" s="2"/>
      <c r="I3956" s="90"/>
      <c r="J3956" s="90"/>
      <c r="K3956" s="2"/>
      <c r="L3956" s="49"/>
      <c r="M3956" s="49"/>
      <c r="N3956" s="49"/>
      <c r="O3956" s="49" t="str">
        <f t="shared" si="2"/>
        <v/>
      </c>
      <c r="P3956" s="49" t="str">
        <f t="shared" si="3"/>
        <v/>
      </c>
      <c r="Q3956" s="84"/>
      <c r="R3956" s="84"/>
      <c r="S3956" s="84"/>
      <c r="T3956" s="84"/>
      <c r="U3956" s="84"/>
      <c r="V3956" s="84"/>
      <c r="W3956" s="84"/>
      <c r="X3956" s="84"/>
      <c r="Y3956" s="84"/>
      <c r="Z3956" s="84"/>
      <c r="AA3956" s="84"/>
      <c r="AB3956" s="84"/>
    </row>
    <row r="3957">
      <c r="A3957" s="89"/>
      <c r="B3957" s="89"/>
      <c r="C3957" s="89"/>
      <c r="D3957" s="89"/>
      <c r="E3957" s="89"/>
      <c r="F3957" s="89"/>
      <c r="G3957" s="89"/>
      <c r="H3957" s="2"/>
      <c r="I3957" s="90"/>
      <c r="J3957" s="90"/>
      <c r="K3957" s="2"/>
      <c r="L3957" s="48"/>
      <c r="M3957" s="48"/>
      <c r="N3957" s="48"/>
      <c r="O3957" s="48" t="str">
        <f t="shared" si="2"/>
        <v/>
      </c>
      <c r="P3957" s="48" t="str">
        <f t="shared" si="3"/>
        <v/>
      </c>
      <c r="Q3957" s="84"/>
      <c r="R3957" s="84"/>
      <c r="S3957" s="84"/>
      <c r="T3957" s="84"/>
      <c r="U3957" s="84"/>
      <c r="V3957" s="84"/>
      <c r="W3957" s="84"/>
      <c r="X3957" s="84"/>
      <c r="Y3957" s="84"/>
      <c r="Z3957" s="84"/>
      <c r="AA3957" s="84"/>
      <c r="AB3957" s="84"/>
    </row>
    <row r="3958">
      <c r="A3958" s="89"/>
      <c r="B3958" s="89"/>
      <c r="C3958" s="89"/>
      <c r="D3958" s="89"/>
      <c r="E3958" s="89"/>
      <c r="F3958" s="89"/>
      <c r="G3958" s="89"/>
      <c r="H3958" s="2"/>
      <c r="I3958" s="90"/>
      <c r="J3958" s="90"/>
      <c r="K3958" s="2"/>
      <c r="L3958" s="49"/>
      <c r="M3958" s="49"/>
      <c r="N3958" s="49"/>
      <c r="O3958" s="49" t="str">
        <f t="shared" si="2"/>
        <v/>
      </c>
      <c r="P3958" s="49" t="str">
        <f t="shared" si="3"/>
        <v/>
      </c>
      <c r="Q3958" s="84"/>
      <c r="R3958" s="84"/>
      <c r="S3958" s="84"/>
      <c r="T3958" s="84"/>
      <c r="U3958" s="84"/>
      <c r="V3958" s="84"/>
      <c r="W3958" s="84"/>
      <c r="X3958" s="84"/>
      <c r="Y3958" s="84"/>
      <c r="Z3958" s="84"/>
      <c r="AA3958" s="84"/>
      <c r="AB3958" s="84"/>
    </row>
    <row r="3959">
      <c r="A3959" s="89"/>
      <c r="B3959" s="89"/>
      <c r="C3959" s="89"/>
      <c r="D3959" s="89"/>
      <c r="E3959" s="89"/>
      <c r="F3959" s="89"/>
      <c r="G3959" s="89"/>
      <c r="H3959" s="2"/>
      <c r="I3959" s="90"/>
      <c r="J3959" s="90"/>
      <c r="K3959" s="2"/>
      <c r="L3959" s="48"/>
      <c r="M3959" s="48"/>
      <c r="N3959" s="48"/>
      <c r="O3959" s="48" t="str">
        <f t="shared" si="2"/>
        <v/>
      </c>
      <c r="P3959" s="48" t="str">
        <f t="shared" si="3"/>
        <v/>
      </c>
      <c r="Q3959" s="84"/>
      <c r="R3959" s="84"/>
      <c r="S3959" s="84"/>
      <c r="T3959" s="84"/>
      <c r="U3959" s="84"/>
      <c r="V3959" s="84"/>
      <c r="W3959" s="84"/>
      <c r="X3959" s="84"/>
      <c r="Y3959" s="84"/>
      <c r="Z3959" s="84"/>
      <c r="AA3959" s="84"/>
      <c r="AB3959" s="84"/>
    </row>
    <row r="3960">
      <c r="A3960" s="89"/>
      <c r="B3960" s="89"/>
      <c r="C3960" s="89"/>
      <c r="D3960" s="89"/>
      <c r="E3960" s="89"/>
      <c r="F3960" s="89"/>
      <c r="G3960" s="89"/>
      <c r="H3960" s="2"/>
      <c r="I3960" s="90"/>
      <c r="J3960" s="90"/>
      <c r="K3960" s="2"/>
      <c r="L3960" s="49"/>
      <c r="M3960" s="49"/>
      <c r="N3960" s="49"/>
      <c r="O3960" s="49" t="str">
        <f t="shared" si="2"/>
        <v/>
      </c>
      <c r="P3960" s="49" t="str">
        <f t="shared" si="3"/>
        <v/>
      </c>
      <c r="Q3960" s="84"/>
      <c r="R3960" s="84"/>
      <c r="S3960" s="84"/>
      <c r="T3960" s="84"/>
      <c r="U3960" s="84"/>
      <c r="V3960" s="84"/>
      <c r="W3960" s="84"/>
      <c r="X3960" s="84"/>
      <c r="Y3960" s="84"/>
      <c r="Z3960" s="84"/>
      <c r="AA3960" s="84"/>
      <c r="AB3960" s="84"/>
    </row>
    <row r="3961">
      <c r="A3961" s="89"/>
      <c r="B3961" s="89"/>
      <c r="C3961" s="89"/>
      <c r="D3961" s="89"/>
      <c r="E3961" s="89"/>
      <c r="F3961" s="89"/>
      <c r="G3961" s="89"/>
      <c r="H3961" s="2"/>
      <c r="I3961" s="90"/>
      <c r="J3961" s="90"/>
      <c r="K3961" s="2"/>
      <c r="L3961" s="48"/>
      <c r="M3961" s="48"/>
      <c r="N3961" s="48"/>
      <c r="O3961" s="48" t="str">
        <f t="shared" si="2"/>
        <v/>
      </c>
      <c r="P3961" s="48" t="str">
        <f t="shared" si="3"/>
        <v/>
      </c>
      <c r="Q3961" s="84"/>
      <c r="R3961" s="84"/>
      <c r="S3961" s="84"/>
      <c r="T3961" s="84"/>
      <c r="U3961" s="84"/>
      <c r="V3961" s="84"/>
      <c r="W3961" s="84"/>
      <c r="X3961" s="84"/>
      <c r="Y3961" s="84"/>
      <c r="Z3961" s="84"/>
      <c r="AA3961" s="84"/>
      <c r="AB3961" s="84"/>
    </row>
    <row r="3962">
      <c r="A3962" s="89"/>
      <c r="B3962" s="89"/>
      <c r="C3962" s="89"/>
      <c r="D3962" s="89"/>
      <c r="E3962" s="89"/>
      <c r="F3962" s="89"/>
      <c r="G3962" s="89"/>
      <c r="H3962" s="2"/>
      <c r="I3962" s="90"/>
      <c r="J3962" s="90"/>
      <c r="K3962" s="2"/>
      <c r="L3962" s="49"/>
      <c r="M3962" s="49"/>
      <c r="N3962" s="49"/>
      <c r="O3962" s="49" t="str">
        <f t="shared" si="2"/>
        <v/>
      </c>
      <c r="P3962" s="49" t="str">
        <f t="shared" si="3"/>
        <v/>
      </c>
      <c r="Q3962" s="84"/>
      <c r="R3962" s="84"/>
      <c r="S3962" s="84"/>
      <c r="T3962" s="84"/>
      <c r="U3962" s="84"/>
      <c r="V3962" s="84"/>
      <c r="W3962" s="84"/>
      <c r="X3962" s="84"/>
      <c r="Y3962" s="84"/>
      <c r="Z3962" s="84"/>
      <c r="AA3962" s="84"/>
      <c r="AB3962" s="84"/>
    </row>
    <row r="3963">
      <c r="A3963" s="89"/>
      <c r="B3963" s="89"/>
      <c r="C3963" s="89"/>
      <c r="D3963" s="89"/>
      <c r="E3963" s="89"/>
      <c r="F3963" s="89"/>
      <c r="G3963" s="89"/>
      <c r="H3963" s="2"/>
      <c r="I3963" s="90"/>
      <c r="J3963" s="90"/>
      <c r="K3963" s="2"/>
      <c r="L3963" s="48"/>
      <c r="M3963" s="48"/>
      <c r="N3963" s="48"/>
      <c r="O3963" s="48" t="str">
        <f t="shared" si="2"/>
        <v/>
      </c>
      <c r="P3963" s="48" t="str">
        <f t="shared" si="3"/>
        <v/>
      </c>
      <c r="Q3963" s="84"/>
      <c r="R3963" s="84"/>
      <c r="S3963" s="84"/>
      <c r="T3963" s="84"/>
      <c r="U3963" s="84"/>
      <c r="V3963" s="84"/>
      <c r="W3963" s="84"/>
      <c r="X3963" s="84"/>
      <c r="Y3963" s="84"/>
      <c r="Z3963" s="84"/>
      <c r="AA3963" s="84"/>
      <c r="AB3963" s="84"/>
    </row>
    <row r="3964">
      <c r="A3964" s="89"/>
      <c r="B3964" s="89"/>
      <c r="C3964" s="89"/>
      <c r="D3964" s="89"/>
      <c r="E3964" s="89"/>
      <c r="F3964" s="89"/>
      <c r="G3964" s="89"/>
      <c r="H3964" s="2"/>
      <c r="I3964" s="90"/>
      <c r="J3964" s="90"/>
      <c r="K3964" s="2"/>
      <c r="L3964" s="49"/>
      <c r="M3964" s="49"/>
      <c r="N3964" s="49"/>
      <c r="O3964" s="49" t="str">
        <f t="shared" si="2"/>
        <v/>
      </c>
      <c r="P3964" s="49" t="str">
        <f t="shared" si="3"/>
        <v/>
      </c>
      <c r="Q3964" s="84"/>
      <c r="R3964" s="84"/>
      <c r="S3964" s="84"/>
      <c r="T3964" s="84"/>
      <c r="U3964" s="84"/>
      <c r="V3964" s="84"/>
      <c r="W3964" s="84"/>
      <c r="X3964" s="84"/>
      <c r="Y3964" s="84"/>
      <c r="Z3964" s="84"/>
      <c r="AA3964" s="84"/>
      <c r="AB3964" s="84"/>
    </row>
    <row r="3965">
      <c r="A3965" s="89"/>
      <c r="B3965" s="89"/>
      <c r="C3965" s="89"/>
      <c r="D3965" s="89"/>
      <c r="E3965" s="89"/>
      <c r="F3965" s="89"/>
      <c r="G3965" s="89"/>
      <c r="H3965" s="2"/>
      <c r="I3965" s="90"/>
      <c r="J3965" s="90"/>
      <c r="K3965" s="2"/>
      <c r="L3965" s="48"/>
      <c r="M3965" s="48"/>
      <c r="N3965" s="48"/>
      <c r="O3965" s="48" t="str">
        <f t="shared" si="2"/>
        <v/>
      </c>
      <c r="P3965" s="48" t="str">
        <f t="shared" si="3"/>
        <v/>
      </c>
      <c r="Q3965" s="84"/>
      <c r="R3965" s="84"/>
      <c r="S3965" s="84"/>
      <c r="T3965" s="84"/>
      <c r="U3965" s="84"/>
      <c r="V3965" s="84"/>
      <c r="W3965" s="84"/>
      <c r="X3965" s="84"/>
      <c r="Y3965" s="84"/>
      <c r="Z3965" s="84"/>
      <c r="AA3965" s="84"/>
      <c r="AB3965" s="84"/>
    </row>
    <row r="3966">
      <c r="A3966" s="89"/>
      <c r="B3966" s="89"/>
      <c r="C3966" s="89"/>
      <c r="D3966" s="89"/>
      <c r="E3966" s="89"/>
      <c r="F3966" s="89"/>
      <c r="G3966" s="89"/>
      <c r="H3966" s="2"/>
      <c r="I3966" s="90"/>
      <c r="J3966" s="90"/>
      <c r="K3966" s="2"/>
      <c r="L3966" s="49"/>
      <c r="M3966" s="49"/>
      <c r="N3966" s="49"/>
      <c r="O3966" s="49" t="str">
        <f t="shared" si="2"/>
        <v/>
      </c>
      <c r="P3966" s="49" t="str">
        <f t="shared" si="3"/>
        <v/>
      </c>
      <c r="Q3966" s="84"/>
      <c r="R3966" s="84"/>
      <c r="S3966" s="84"/>
      <c r="T3966" s="84"/>
      <c r="U3966" s="84"/>
      <c r="V3966" s="84"/>
      <c r="W3966" s="84"/>
      <c r="X3966" s="84"/>
      <c r="Y3966" s="84"/>
      <c r="Z3966" s="84"/>
      <c r="AA3966" s="84"/>
      <c r="AB3966" s="84"/>
    </row>
    <row r="3967">
      <c r="A3967" s="89"/>
      <c r="B3967" s="89"/>
      <c r="C3967" s="89"/>
      <c r="D3967" s="89"/>
      <c r="E3967" s="89"/>
      <c r="F3967" s="89"/>
      <c r="G3967" s="89"/>
      <c r="H3967" s="2"/>
      <c r="I3967" s="90"/>
      <c r="J3967" s="90"/>
      <c r="K3967" s="2"/>
      <c r="L3967" s="48"/>
      <c r="M3967" s="48"/>
      <c r="N3967" s="48"/>
      <c r="O3967" s="48" t="str">
        <f t="shared" si="2"/>
        <v/>
      </c>
      <c r="P3967" s="48" t="str">
        <f t="shared" si="3"/>
        <v/>
      </c>
      <c r="Q3967" s="84"/>
      <c r="R3967" s="84"/>
      <c r="S3967" s="84"/>
      <c r="T3967" s="84"/>
      <c r="U3967" s="84"/>
      <c r="V3967" s="84"/>
      <c r="W3967" s="84"/>
      <c r="X3967" s="84"/>
      <c r="Y3967" s="84"/>
      <c r="Z3967" s="84"/>
      <c r="AA3967" s="84"/>
      <c r="AB3967" s="84"/>
    </row>
    <row r="3968">
      <c r="A3968" s="89"/>
      <c r="B3968" s="89"/>
      <c r="C3968" s="89"/>
      <c r="D3968" s="89"/>
      <c r="E3968" s="89"/>
      <c r="F3968" s="89"/>
      <c r="G3968" s="89"/>
      <c r="H3968" s="2"/>
      <c r="I3968" s="90"/>
      <c r="J3968" s="90"/>
      <c r="K3968" s="2"/>
      <c r="L3968" s="49"/>
      <c r="M3968" s="49"/>
      <c r="N3968" s="49"/>
      <c r="O3968" s="49" t="str">
        <f t="shared" si="2"/>
        <v/>
      </c>
      <c r="P3968" s="49" t="str">
        <f t="shared" si="3"/>
        <v/>
      </c>
      <c r="Q3968" s="84"/>
      <c r="R3968" s="84"/>
      <c r="S3968" s="84"/>
      <c r="T3968" s="84"/>
      <c r="U3968" s="84"/>
      <c r="V3968" s="84"/>
      <c r="W3968" s="84"/>
      <c r="X3968" s="84"/>
      <c r="Y3968" s="84"/>
      <c r="Z3968" s="84"/>
      <c r="AA3968" s="84"/>
      <c r="AB3968" s="84"/>
    </row>
    <row r="3969">
      <c r="A3969" s="89"/>
      <c r="B3969" s="89"/>
      <c r="C3969" s="89"/>
      <c r="D3969" s="89"/>
      <c r="E3969" s="89"/>
      <c r="F3969" s="89"/>
      <c r="G3969" s="89"/>
      <c r="H3969" s="2"/>
      <c r="I3969" s="90"/>
      <c r="J3969" s="90"/>
      <c r="K3969" s="2"/>
      <c r="L3969" s="48"/>
      <c r="M3969" s="48"/>
      <c r="N3969" s="48"/>
      <c r="O3969" s="48" t="str">
        <f t="shared" si="2"/>
        <v/>
      </c>
      <c r="P3969" s="48" t="str">
        <f t="shared" si="3"/>
        <v/>
      </c>
      <c r="Q3969" s="84"/>
      <c r="R3969" s="84"/>
      <c r="S3969" s="84"/>
      <c r="T3969" s="84"/>
      <c r="U3969" s="84"/>
      <c r="V3969" s="84"/>
      <c r="W3969" s="84"/>
      <c r="X3969" s="84"/>
      <c r="Y3969" s="84"/>
      <c r="Z3969" s="84"/>
      <c r="AA3969" s="84"/>
      <c r="AB3969" s="84"/>
    </row>
    <row r="3970">
      <c r="A3970" s="89"/>
      <c r="B3970" s="89"/>
      <c r="C3970" s="89"/>
      <c r="D3970" s="89"/>
      <c r="E3970" s="89"/>
      <c r="F3970" s="89"/>
      <c r="G3970" s="89"/>
      <c r="H3970" s="2"/>
      <c r="I3970" s="90"/>
      <c r="J3970" s="90"/>
      <c r="K3970" s="2"/>
      <c r="L3970" s="49"/>
      <c r="M3970" s="49"/>
      <c r="N3970" s="49"/>
      <c r="O3970" s="49" t="str">
        <f t="shared" si="2"/>
        <v/>
      </c>
      <c r="P3970" s="49" t="str">
        <f t="shared" si="3"/>
        <v/>
      </c>
      <c r="Q3970" s="84"/>
      <c r="R3970" s="84"/>
      <c r="S3970" s="84"/>
      <c r="T3970" s="84"/>
      <c r="U3970" s="84"/>
      <c r="V3970" s="84"/>
      <c r="W3970" s="84"/>
      <c r="X3970" s="84"/>
      <c r="Y3970" s="84"/>
      <c r="Z3970" s="84"/>
      <c r="AA3970" s="84"/>
      <c r="AB3970" s="84"/>
    </row>
    <row r="3971">
      <c r="A3971" s="89"/>
      <c r="B3971" s="89"/>
      <c r="C3971" s="89"/>
      <c r="D3971" s="89"/>
      <c r="E3971" s="89"/>
      <c r="F3971" s="89"/>
      <c r="G3971" s="89"/>
      <c r="H3971" s="2"/>
      <c r="I3971" s="90"/>
      <c r="J3971" s="90"/>
      <c r="K3971" s="2"/>
      <c r="L3971" s="48"/>
      <c r="M3971" s="48"/>
      <c r="N3971" s="48"/>
      <c r="O3971" s="48" t="str">
        <f t="shared" si="2"/>
        <v/>
      </c>
      <c r="P3971" s="48" t="str">
        <f t="shared" si="3"/>
        <v/>
      </c>
      <c r="Q3971" s="84"/>
      <c r="R3971" s="84"/>
      <c r="S3971" s="84"/>
      <c r="T3971" s="84"/>
      <c r="U3971" s="84"/>
      <c r="V3971" s="84"/>
      <c r="W3971" s="84"/>
      <c r="X3971" s="84"/>
      <c r="Y3971" s="84"/>
      <c r="Z3971" s="84"/>
      <c r="AA3971" s="84"/>
      <c r="AB3971" s="84"/>
    </row>
    <row r="3972">
      <c r="A3972" s="89"/>
      <c r="B3972" s="89"/>
      <c r="C3972" s="89"/>
      <c r="D3972" s="89"/>
      <c r="E3972" s="89"/>
      <c r="F3972" s="89"/>
      <c r="G3972" s="89"/>
      <c r="H3972" s="2"/>
      <c r="I3972" s="90"/>
      <c r="J3972" s="90"/>
      <c r="K3972" s="2"/>
      <c r="L3972" s="49"/>
      <c r="M3972" s="49"/>
      <c r="N3972" s="49"/>
      <c r="O3972" s="49" t="str">
        <f t="shared" si="2"/>
        <v/>
      </c>
      <c r="P3972" s="49" t="str">
        <f t="shared" si="3"/>
        <v/>
      </c>
      <c r="Q3972" s="84"/>
      <c r="R3972" s="84"/>
      <c r="S3972" s="84"/>
      <c r="T3972" s="84"/>
      <c r="U3972" s="84"/>
      <c r="V3972" s="84"/>
      <c r="W3972" s="84"/>
      <c r="X3972" s="84"/>
      <c r="Y3972" s="84"/>
      <c r="Z3972" s="84"/>
      <c r="AA3972" s="84"/>
      <c r="AB3972" s="84"/>
    </row>
    <row r="3973">
      <c r="A3973" s="89"/>
      <c r="B3973" s="89"/>
      <c r="C3973" s="89"/>
      <c r="D3973" s="89"/>
      <c r="E3973" s="89"/>
      <c r="F3973" s="89"/>
      <c r="G3973" s="89"/>
      <c r="H3973" s="2"/>
      <c r="I3973" s="90"/>
      <c r="J3973" s="90"/>
      <c r="K3973" s="2"/>
      <c r="L3973" s="48"/>
      <c r="M3973" s="48"/>
      <c r="N3973" s="48"/>
      <c r="O3973" s="48" t="str">
        <f t="shared" si="2"/>
        <v/>
      </c>
      <c r="P3973" s="48" t="str">
        <f t="shared" si="3"/>
        <v/>
      </c>
      <c r="Q3973" s="84"/>
      <c r="R3973" s="84"/>
      <c r="S3973" s="84"/>
      <c r="T3973" s="84"/>
      <c r="U3973" s="84"/>
      <c r="V3973" s="84"/>
      <c r="W3973" s="84"/>
      <c r="X3973" s="84"/>
      <c r="Y3973" s="84"/>
      <c r="Z3973" s="84"/>
      <c r="AA3973" s="84"/>
      <c r="AB3973" s="84"/>
    </row>
    <row r="3974">
      <c r="A3974" s="89"/>
      <c r="B3974" s="89"/>
      <c r="C3974" s="89"/>
      <c r="D3974" s="89"/>
      <c r="E3974" s="89"/>
      <c r="F3974" s="89"/>
      <c r="G3974" s="89"/>
      <c r="H3974" s="2"/>
      <c r="I3974" s="90"/>
      <c r="J3974" s="90"/>
      <c r="K3974" s="2"/>
      <c r="L3974" s="49"/>
      <c r="M3974" s="49"/>
      <c r="N3974" s="49"/>
      <c r="O3974" s="49" t="str">
        <f t="shared" si="2"/>
        <v/>
      </c>
      <c r="P3974" s="49" t="str">
        <f t="shared" si="3"/>
        <v/>
      </c>
      <c r="Q3974" s="84"/>
      <c r="R3974" s="84"/>
      <c r="S3974" s="84"/>
      <c r="T3974" s="84"/>
      <c r="U3974" s="84"/>
      <c r="V3974" s="84"/>
      <c r="W3974" s="84"/>
      <c r="X3974" s="84"/>
      <c r="Y3974" s="84"/>
      <c r="Z3974" s="84"/>
      <c r="AA3974" s="84"/>
      <c r="AB3974" s="84"/>
    </row>
    <row r="3975">
      <c r="A3975" s="89"/>
      <c r="B3975" s="89"/>
      <c r="C3975" s="89"/>
      <c r="D3975" s="89"/>
      <c r="E3975" s="89"/>
      <c r="F3975" s="89"/>
      <c r="G3975" s="89"/>
      <c r="H3975" s="2"/>
      <c r="I3975" s="90"/>
      <c r="J3975" s="90"/>
      <c r="K3975" s="2"/>
      <c r="L3975" s="48"/>
      <c r="M3975" s="48"/>
      <c r="N3975" s="48"/>
      <c r="O3975" s="48" t="str">
        <f t="shared" si="2"/>
        <v/>
      </c>
      <c r="P3975" s="48" t="str">
        <f t="shared" si="3"/>
        <v/>
      </c>
      <c r="Q3975" s="84"/>
      <c r="R3975" s="84"/>
      <c r="S3975" s="84"/>
      <c r="T3975" s="84"/>
      <c r="U3975" s="84"/>
      <c r="V3975" s="84"/>
      <c r="W3975" s="84"/>
      <c r="X3975" s="84"/>
      <c r="Y3975" s="84"/>
      <c r="Z3975" s="84"/>
      <c r="AA3975" s="84"/>
      <c r="AB3975" s="84"/>
    </row>
    <row r="3976">
      <c r="A3976" s="89"/>
      <c r="B3976" s="89"/>
      <c r="C3976" s="89"/>
      <c r="D3976" s="89"/>
      <c r="E3976" s="89"/>
      <c r="F3976" s="89"/>
      <c r="G3976" s="89"/>
      <c r="H3976" s="2"/>
      <c r="I3976" s="90"/>
      <c r="J3976" s="90"/>
      <c r="K3976" s="2"/>
      <c r="L3976" s="49"/>
      <c r="M3976" s="49"/>
      <c r="N3976" s="49"/>
      <c r="O3976" s="49" t="str">
        <f t="shared" si="2"/>
        <v/>
      </c>
      <c r="P3976" s="49" t="str">
        <f t="shared" si="3"/>
        <v/>
      </c>
      <c r="Q3976" s="84"/>
      <c r="R3976" s="84"/>
      <c r="S3976" s="84"/>
      <c r="T3976" s="84"/>
      <c r="U3976" s="84"/>
      <c r="V3976" s="84"/>
      <c r="W3976" s="84"/>
      <c r="X3976" s="84"/>
      <c r="Y3976" s="84"/>
      <c r="Z3976" s="84"/>
      <c r="AA3976" s="84"/>
      <c r="AB3976" s="84"/>
    </row>
    <row r="3977">
      <c r="A3977" s="89"/>
      <c r="B3977" s="89"/>
      <c r="C3977" s="89"/>
      <c r="D3977" s="89"/>
      <c r="E3977" s="89"/>
      <c r="F3977" s="89"/>
      <c r="G3977" s="89"/>
      <c r="H3977" s="2"/>
      <c r="I3977" s="90"/>
      <c r="J3977" s="90"/>
      <c r="K3977" s="2"/>
      <c r="L3977" s="48"/>
      <c r="M3977" s="48"/>
      <c r="N3977" s="48"/>
      <c r="O3977" s="48" t="str">
        <f t="shared" si="2"/>
        <v/>
      </c>
      <c r="P3977" s="48" t="str">
        <f t="shared" si="3"/>
        <v/>
      </c>
      <c r="Q3977" s="84"/>
      <c r="R3977" s="84"/>
      <c r="S3977" s="84"/>
      <c r="T3977" s="84"/>
      <c r="U3977" s="84"/>
      <c r="V3977" s="84"/>
      <c r="W3977" s="84"/>
      <c r="X3977" s="84"/>
      <c r="Y3977" s="84"/>
      <c r="Z3977" s="84"/>
      <c r="AA3977" s="84"/>
      <c r="AB3977" s="84"/>
    </row>
    <row r="3978">
      <c r="A3978" s="89"/>
      <c r="B3978" s="89"/>
      <c r="C3978" s="89"/>
      <c r="D3978" s="89"/>
      <c r="E3978" s="89"/>
      <c r="F3978" s="89"/>
      <c r="G3978" s="89"/>
      <c r="H3978" s="2"/>
      <c r="I3978" s="90"/>
      <c r="J3978" s="90"/>
      <c r="K3978" s="2"/>
      <c r="L3978" s="49"/>
      <c r="M3978" s="49"/>
      <c r="N3978" s="49"/>
      <c r="O3978" s="49" t="str">
        <f t="shared" si="2"/>
        <v/>
      </c>
      <c r="P3978" s="49" t="str">
        <f t="shared" si="3"/>
        <v/>
      </c>
      <c r="Q3978" s="84"/>
      <c r="R3978" s="84"/>
      <c r="S3978" s="84"/>
      <c r="T3978" s="84"/>
      <c r="U3978" s="84"/>
      <c r="V3978" s="84"/>
      <c r="W3978" s="84"/>
      <c r="X3978" s="84"/>
      <c r="Y3978" s="84"/>
      <c r="Z3978" s="84"/>
      <c r="AA3978" s="84"/>
      <c r="AB3978" s="84"/>
    </row>
    <row r="3979">
      <c r="A3979" s="89"/>
      <c r="B3979" s="89"/>
      <c r="C3979" s="89"/>
      <c r="D3979" s="89"/>
      <c r="E3979" s="89"/>
      <c r="F3979" s="89"/>
      <c r="G3979" s="89"/>
      <c r="H3979" s="2"/>
      <c r="I3979" s="90"/>
      <c r="J3979" s="90"/>
      <c r="K3979" s="2"/>
      <c r="L3979" s="48"/>
      <c r="M3979" s="48"/>
      <c r="N3979" s="48"/>
      <c r="O3979" s="48" t="str">
        <f t="shared" si="2"/>
        <v/>
      </c>
      <c r="P3979" s="48" t="str">
        <f t="shared" si="3"/>
        <v/>
      </c>
      <c r="Q3979" s="84"/>
      <c r="R3979" s="84"/>
      <c r="S3979" s="84"/>
      <c r="T3979" s="84"/>
      <c r="U3979" s="84"/>
      <c r="V3979" s="84"/>
      <c r="W3979" s="84"/>
      <c r="X3979" s="84"/>
      <c r="Y3979" s="84"/>
      <c r="Z3979" s="84"/>
      <c r="AA3979" s="84"/>
      <c r="AB3979" s="84"/>
    </row>
    <row r="3980">
      <c r="A3980" s="89"/>
      <c r="B3980" s="89"/>
      <c r="C3980" s="89"/>
      <c r="D3980" s="89"/>
      <c r="E3980" s="89"/>
      <c r="F3980" s="89"/>
      <c r="G3980" s="89"/>
      <c r="H3980" s="2"/>
      <c r="I3980" s="90"/>
      <c r="J3980" s="90"/>
      <c r="K3980" s="2"/>
      <c r="L3980" s="49"/>
      <c r="M3980" s="49"/>
      <c r="N3980" s="49"/>
      <c r="O3980" s="49" t="str">
        <f t="shared" si="2"/>
        <v/>
      </c>
      <c r="P3980" s="49" t="str">
        <f t="shared" si="3"/>
        <v/>
      </c>
      <c r="Q3980" s="84"/>
      <c r="R3980" s="84"/>
      <c r="S3980" s="84"/>
      <c r="T3980" s="84"/>
      <c r="U3980" s="84"/>
      <c r="V3980" s="84"/>
      <c r="W3980" s="84"/>
      <c r="X3980" s="84"/>
      <c r="Y3980" s="84"/>
      <c r="Z3980" s="84"/>
      <c r="AA3980" s="84"/>
      <c r="AB3980" s="84"/>
    </row>
    <row r="3981">
      <c r="A3981" s="89"/>
      <c r="B3981" s="89"/>
      <c r="C3981" s="89"/>
      <c r="D3981" s="89"/>
      <c r="E3981" s="89"/>
      <c r="F3981" s="89"/>
      <c r="G3981" s="89"/>
      <c r="H3981" s="2"/>
      <c r="I3981" s="90"/>
      <c r="J3981" s="90"/>
      <c r="K3981" s="2"/>
      <c r="L3981" s="48"/>
      <c r="M3981" s="48"/>
      <c r="N3981" s="48"/>
      <c r="O3981" s="48" t="str">
        <f t="shared" si="2"/>
        <v/>
      </c>
      <c r="P3981" s="48" t="str">
        <f t="shared" si="3"/>
        <v/>
      </c>
      <c r="Q3981" s="84"/>
      <c r="R3981" s="84"/>
      <c r="S3981" s="84"/>
      <c r="T3981" s="84"/>
      <c r="U3981" s="84"/>
      <c r="V3981" s="84"/>
      <c r="W3981" s="84"/>
      <c r="X3981" s="84"/>
      <c r="Y3981" s="84"/>
      <c r="Z3981" s="84"/>
      <c r="AA3981" s="84"/>
      <c r="AB3981" s="84"/>
    </row>
    <row r="3982">
      <c r="A3982" s="89"/>
      <c r="B3982" s="89"/>
      <c r="C3982" s="89"/>
      <c r="D3982" s="89"/>
      <c r="E3982" s="89"/>
      <c r="F3982" s="89"/>
      <c r="G3982" s="89"/>
      <c r="H3982" s="2"/>
      <c r="I3982" s="90"/>
      <c r="J3982" s="90"/>
      <c r="K3982" s="2"/>
      <c r="L3982" s="49"/>
      <c r="M3982" s="49"/>
      <c r="N3982" s="49"/>
      <c r="O3982" s="49" t="str">
        <f t="shared" si="2"/>
        <v/>
      </c>
      <c r="P3982" s="49" t="str">
        <f t="shared" si="3"/>
        <v/>
      </c>
      <c r="Q3982" s="84"/>
      <c r="R3982" s="84"/>
      <c r="S3982" s="84"/>
      <c r="T3982" s="84"/>
      <c r="U3982" s="84"/>
      <c r="V3982" s="84"/>
      <c r="W3982" s="84"/>
      <c r="X3982" s="84"/>
      <c r="Y3982" s="84"/>
      <c r="Z3982" s="84"/>
      <c r="AA3982" s="84"/>
      <c r="AB3982" s="84"/>
    </row>
    <row r="3983">
      <c r="A3983" s="89"/>
      <c r="B3983" s="89"/>
      <c r="C3983" s="89"/>
      <c r="D3983" s="89"/>
      <c r="E3983" s="89"/>
      <c r="F3983" s="89"/>
      <c r="G3983" s="89"/>
      <c r="H3983" s="2"/>
      <c r="I3983" s="90"/>
      <c r="J3983" s="90"/>
      <c r="K3983" s="2"/>
      <c r="L3983" s="48"/>
      <c r="M3983" s="48"/>
      <c r="N3983" s="48"/>
      <c r="O3983" s="48" t="str">
        <f t="shared" si="2"/>
        <v/>
      </c>
      <c r="P3983" s="48" t="str">
        <f t="shared" si="3"/>
        <v/>
      </c>
      <c r="Q3983" s="84"/>
      <c r="R3983" s="84"/>
      <c r="S3983" s="84"/>
      <c r="T3983" s="84"/>
      <c r="U3983" s="84"/>
      <c r="V3983" s="84"/>
      <c r="W3983" s="84"/>
      <c r="X3983" s="84"/>
      <c r="Y3983" s="84"/>
      <c r="Z3983" s="84"/>
      <c r="AA3983" s="84"/>
      <c r="AB3983" s="84"/>
    </row>
    <row r="3984">
      <c r="A3984" s="89"/>
      <c r="B3984" s="89"/>
      <c r="C3984" s="89"/>
      <c r="D3984" s="89"/>
      <c r="E3984" s="89"/>
      <c r="F3984" s="89"/>
      <c r="G3984" s="89"/>
      <c r="H3984" s="2"/>
      <c r="I3984" s="90"/>
      <c r="J3984" s="90"/>
      <c r="K3984" s="2"/>
      <c r="L3984" s="49"/>
      <c r="M3984" s="49"/>
      <c r="N3984" s="49"/>
      <c r="O3984" s="49" t="str">
        <f t="shared" si="2"/>
        <v/>
      </c>
      <c r="P3984" s="49" t="str">
        <f t="shared" si="3"/>
        <v/>
      </c>
      <c r="Q3984" s="84"/>
      <c r="R3984" s="84"/>
      <c r="S3984" s="84"/>
      <c r="T3984" s="84"/>
      <c r="U3984" s="84"/>
      <c r="V3984" s="84"/>
      <c r="W3984" s="84"/>
      <c r="X3984" s="84"/>
      <c r="Y3984" s="84"/>
      <c r="Z3984" s="84"/>
      <c r="AA3984" s="84"/>
      <c r="AB3984" s="84"/>
    </row>
    <row r="3985">
      <c r="A3985" s="89"/>
      <c r="B3985" s="89"/>
      <c r="C3985" s="89"/>
      <c r="D3985" s="89"/>
      <c r="E3985" s="89"/>
      <c r="F3985" s="89"/>
      <c r="G3985" s="89"/>
      <c r="H3985" s="2"/>
      <c r="I3985" s="90"/>
      <c r="J3985" s="90"/>
      <c r="K3985" s="2"/>
      <c r="L3985" s="48"/>
      <c r="M3985" s="48"/>
      <c r="N3985" s="48"/>
      <c r="O3985" s="48" t="str">
        <f t="shared" si="2"/>
        <v/>
      </c>
      <c r="P3985" s="48" t="str">
        <f t="shared" si="3"/>
        <v/>
      </c>
      <c r="Q3985" s="84"/>
      <c r="R3985" s="84"/>
      <c r="S3985" s="84"/>
      <c r="T3985" s="84"/>
      <c r="U3985" s="84"/>
      <c r="V3985" s="84"/>
      <c r="W3985" s="84"/>
      <c r="X3985" s="84"/>
      <c r="Y3985" s="84"/>
      <c r="Z3985" s="84"/>
      <c r="AA3985" s="84"/>
      <c r="AB3985" s="84"/>
    </row>
    <row r="3986">
      <c r="A3986" s="89"/>
      <c r="B3986" s="89"/>
      <c r="C3986" s="89"/>
      <c r="D3986" s="89"/>
      <c r="E3986" s="89"/>
      <c r="F3986" s="89"/>
      <c r="G3986" s="89"/>
      <c r="H3986" s="2"/>
      <c r="I3986" s="90"/>
      <c r="J3986" s="90"/>
      <c r="K3986" s="2"/>
      <c r="L3986" s="49"/>
      <c r="M3986" s="49"/>
      <c r="N3986" s="49"/>
      <c r="O3986" s="49" t="str">
        <f t="shared" si="2"/>
        <v/>
      </c>
      <c r="P3986" s="49" t="str">
        <f t="shared" si="3"/>
        <v/>
      </c>
      <c r="Q3986" s="84"/>
      <c r="R3986" s="84"/>
      <c r="S3986" s="84"/>
      <c r="T3986" s="84"/>
      <c r="U3986" s="84"/>
      <c r="V3986" s="84"/>
      <c r="W3986" s="84"/>
      <c r="X3986" s="84"/>
      <c r="Y3986" s="84"/>
      <c r="Z3986" s="84"/>
      <c r="AA3986" s="84"/>
      <c r="AB3986" s="84"/>
    </row>
    <row r="3987">
      <c r="A3987" s="89"/>
      <c r="B3987" s="89"/>
      <c r="C3987" s="89"/>
      <c r="D3987" s="89"/>
      <c r="E3987" s="89"/>
      <c r="F3987" s="89"/>
      <c r="G3987" s="89"/>
      <c r="H3987" s="2"/>
      <c r="I3987" s="90"/>
      <c r="J3987" s="90"/>
      <c r="K3987" s="2"/>
      <c r="L3987" s="48"/>
      <c r="M3987" s="48"/>
      <c r="N3987" s="48"/>
      <c r="O3987" s="48" t="str">
        <f t="shared" si="2"/>
        <v/>
      </c>
      <c r="P3987" s="48" t="str">
        <f t="shared" si="3"/>
        <v/>
      </c>
      <c r="Q3987" s="84"/>
      <c r="R3987" s="84"/>
      <c r="S3987" s="84"/>
      <c r="T3987" s="84"/>
      <c r="U3987" s="84"/>
      <c r="V3987" s="84"/>
      <c r="W3987" s="84"/>
      <c r="X3987" s="84"/>
      <c r="Y3987" s="84"/>
      <c r="Z3987" s="84"/>
      <c r="AA3987" s="84"/>
      <c r="AB3987" s="84"/>
    </row>
    <row r="3988">
      <c r="A3988" s="89"/>
      <c r="B3988" s="89"/>
      <c r="C3988" s="89"/>
      <c r="D3988" s="89"/>
      <c r="E3988" s="89"/>
      <c r="F3988" s="89"/>
      <c r="G3988" s="89"/>
      <c r="H3988" s="2"/>
      <c r="I3988" s="90"/>
      <c r="J3988" s="90"/>
      <c r="K3988" s="2"/>
      <c r="L3988" s="49"/>
      <c r="M3988" s="49"/>
      <c r="N3988" s="49"/>
      <c r="O3988" s="49" t="str">
        <f t="shared" si="2"/>
        <v/>
      </c>
      <c r="P3988" s="49" t="str">
        <f t="shared" si="3"/>
        <v/>
      </c>
      <c r="Q3988" s="84"/>
      <c r="R3988" s="84"/>
      <c r="S3988" s="84"/>
      <c r="T3988" s="84"/>
      <c r="U3988" s="84"/>
      <c r="V3988" s="84"/>
      <c r="W3988" s="84"/>
      <c r="X3988" s="84"/>
      <c r="Y3988" s="84"/>
      <c r="Z3988" s="84"/>
      <c r="AA3988" s="84"/>
      <c r="AB3988" s="84"/>
    </row>
    <row r="3989">
      <c r="A3989" s="89"/>
      <c r="B3989" s="89"/>
      <c r="C3989" s="89"/>
      <c r="D3989" s="89"/>
      <c r="E3989" s="89"/>
      <c r="F3989" s="89"/>
      <c r="G3989" s="89"/>
      <c r="H3989" s="2"/>
      <c r="I3989" s="90"/>
      <c r="J3989" s="90"/>
      <c r="K3989" s="2"/>
      <c r="L3989" s="48"/>
      <c r="M3989" s="48"/>
      <c r="N3989" s="48"/>
      <c r="O3989" s="48" t="str">
        <f t="shared" si="2"/>
        <v/>
      </c>
      <c r="P3989" s="48" t="str">
        <f t="shared" si="3"/>
        <v/>
      </c>
      <c r="Q3989" s="84"/>
      <c r="R3989" s="84"/>
      <c r="S3989" s="84"/>
      <c r="T3989" s="84"/>
      <c r="U3989" s="84"/>
      <c r="V3989" s="84"/>
      <c r="W3989" s="84"/>
      <c r="X3989" s="84"/>
      <c r="Y3989" s="84"/>
      <c r="Z3989" s="84"/>
      <c r="AA3989" s="84"/>
      <c r="AB3989" s="84"/>
    </row>
    <row r="3990">
      <c r="A3990" s="89"/>
      <c r="B3990" s="89"/>
      <c r="C3990" s="89"/>
      <c r="D3990" s="89"/>
      <c r="E3990" s="89"/>
      <c r="F3990" s="89"/>
      <c r="G3990" s="89"/>
      <c r="H3990" s="2"/>
      <c r="I3990" s="90"/>
      <c r="J3990" s="90"/>
      <c r="K3990" s="2"/>
      <c r="L3990" s="49"/>
      <c r="M3990" s="49"/>
      <c r="N3990" s="49"/>
      <c r="O3990" s="49" t="str">
        <f t="shared" si="2"/>
        <v/>
      </c>
      <c r="P3990" s="49" t="str">
        <f t="shared" si="3"/>
        <v/>
      </c>
      <c r="Q3990" s="84"/>
      <c r="R3990" s="84"/>
      <c r="S3990" s="84"/>
      <c r="T3990" s="84"/>
      <c r="U3990" s="84"/>
      <c r="V3990" s="84"/>
      <c r="W3990" s="84"/>
      <c r="X3990" s="84"/>
      <c r="Y3990" s="84"/>
      <c r="Z3990" s="84"/>
      <c r="AA3990" s="84"/>
      <c r="AB3990" s="84"/>
    </row>
    <row r="3991">
      <c r="A3991" s="89"/>
      <c r="B3991" s="89"/>
      <c r="C3991" s="89"/>
      <c r="D3991" s="89"/>
      <c r="E3991" s="89"/>
      <c r="F3991" s="89"/>
      <c r="G3991" s="89"/>
      <c r="H3991" s="2"/>
      <c r="I3991" s="90"/>
      <c r="J3991" s="90"/>
      <c r="K3991" s="2"/>
      <c r="L3991" s="48"/>
      <c r="M3991" s="48"/>
      <c r="N3991" s="48"/>
      <c r="O3991" s="48" t="str">
        <f t="shared" si="2"/>
        <v/>
      </c>
      <c r="P3991" s="48" t="str">
        <f t="shared" si="3"/>
        <v/>
      </c>
      <c r="Q3991" s="84"/>
      <c r="R3991" s="84"/>
      <c r="S3991" s="84"/>
      <c r="T3991" s="84"/>
      <c r="U3991" s="84"/>
      <c r="V3991" s="84"/>
      <c r="W3991" s="84"/>
      <c r="X3991" s="84"/>
      <c r="Y3991" s="84"/>
      <c r="Z3991" s="84"/>
      <c r="AA3991" s="84"/>
      <c r="AB3991" s="84"/>
    </row>
    <row r="3992">
      <c r="A3992" s="89"/>
      <c r="B3992" s="89"/>
      <c r="C3992" s="89"/>
      <c r="D3992" s="89"/>
      <c r="E3992" s="89"/>
      <c r="F3992" s="89"/>
      <c r="G3992" s="89"/>
      <c r="H3992" s="2"/>
      <c r="I3992" s="90"/>
      <c r="J3992" s="90"/>
      <c r="K3992" s="2"/>
      <c r="L3992" s="49"/>
      <c r="M3992" s="49"/>
      <c r="N3992" s="49"/>
      <c r="O3992" s="49" t="str">
        <f t="shared" si="2"/>
        <v/>
      </c>
      <c r="P3992" s="49" t="str">
        <f t="shared" si="3"/>
        <v/>
      </c>
      <c r="Q3992" s="84"/>
      <c r="R3992" s="84"/>
      <c r="S3992" s="84"/>
      <c r="T3992" s="84"/>
      <c r="U3992" s="84"/>
      <c r="V3992" s="84"/>
      <c r="W3992" s="84"/>
      <c r="X3992" s="84"/>
      <c r="Y3992" s="84"/>
      <c r="Z3992" s="84"/>
      <c r="AA3992" s="84"/>
      <c r="AB3992" s="84"/>
    </row>
    <row r="3993">
      <c r="A3993" s="89"/>
      <c r="B3993" s="89"/>
      <c r="C3993" s="89"/>
      <c r="D3993" s="89"/>
      <c r="E3993" s="89"/>
      <c r="F3993" s="89"/>
      <c r="G3993" s="89"/>
      <c r="H3993" s="2"/>
      <c r="I3993" s="90"/>
      <c r="J3993" s="90"/>
      <c r="K3993" s="2"/>
      <c r="L3993" s="48"/>
      <c r="M3993" s="48"/>
      <c r="N3993" s="48"/>
      <c r="O3993" s="48" t="str">
        <f t="shared" si="2"/>
        <v/>
      </c>
      <c r="P3993" s="48" t="str">
        <f t="shared" si="3"/>
        <v/>
      </c>
      <c r="Q3993" s="84"/>
      <c r="R3993" s="84"/>
      <c r="S3993" s="84"/>
      <c r="T3993" s="84"/>
      <c r="U3993" s="84"/>
      <c r="V3993" s="84"/>
      <c r="W3993" s="84"/>
      <c r="X3993" s="84"/>
      <c r="Y3993" s="84"/>
      <c r="Z3993" s="84"/>
      <c r="AA3993" s="84"/>
      <c r="AB3993" s="84"/>
    </row>
    <row r="3994">
      <c r="A3994" s="89"/>
      <c r="B3994" s="89"/>
      <c r="C3994" s="89"/>
      <c r="D3994" s="89"/>
      <c r="E3994" s="89"/>
      <c r="F3994" s="89"/>
      <c r="G3994" s="89"/>
      <c r="H3994" s="2"/>
      <c r="I3994" s="90"/>
      <c r="J3994" s="90"/>
      <c r="K3994" s="2"/>
      <c r="L3994" s="49"/>
      <c r="M3994" s="49"/>
      <c r="N3994" s="49"/>
      <c r="O3994" s="49" t="str">
        <f t="shared" si="2"/>
        <v/>
      </c>
      <c r="P3994" s="49" t="str">
        <f t="shared" si="3"/>
        <v/>
      </c>
      <c r="Q3994" s="84"/>
      <c r="R3994" s="84"/>
      <c r="S3994" s="84"/>
      <c r="T3994" s="84"/>
      <c r="U3994" s="84"/>
      <c r="V3994" s="84"/>
      <c r="W3994" s="84"/>
      <c r="X3994" s="84"/>
      <c r="Y3994" s="84"/>
      <c r="Z3994" s="84"/>
      <c r="AA3994" s="84"/>
      <c r="AB3994" s="84"/>
    </row>
    <row r="3995">
      <c r="A3995" s="89"/>
      <c r="B3995" s="89"/>
      <c r="C3995" s="89"/>
      <c r="D3995" s="89"/>
      <c r="E3995" s="89"/>
      <c r="F3995" s="89"/>
      <c r="G3995" s="89"/>
      <c r="H3995" s="2"/>
      <c r="I3995" s="90"/>
      <c r="J3995" s="90"/>
      <c r="K3995" s="2"/>
      <c r="L3995" s="48"/>
      <c r="M3995" s="48"/>
      <c r="N3995" s="48"/>
      <c r="O3995" s="48" t="str">
        <f t="shared" si="2"/>
        <v/>
      </c>
      <c r="P3995" s="48" t="str">
        <f t="shared" si="3"/>
        <v/>
      </c>
      <c r="Q3995" s="84"/>
      <c r="R3995" s="84"/>
      <c r="S3995" s="84"/>
      <c r="T3995" s="84"/>
      <c r="U3995" s="84"/>
      <c r="V3995" s="84"/>
      <c r="W3995" s="84"/>
      <c r="X3995" s="84"/>
      <c r="Y3995" s="84"/>
      <c r="Z3995" s="84"/>
      <c r="AA3995" s="84"/>
      <c r="AB3995" s="84"/>
    </row>
    <row r="3996">
      <c r="A3996" s="89"/>
      <c r="B3996" s="89"/>
      <c r="C3996" s="89"/>
      <c r="D3996" s="89"/>
      <c r="E3996" s="89"/>
      <c r="F3996" s="89"/>
      <c r="G3996" s="89"/>
      <c r="H3996" s="2"/>
      <c r="I3996" s="90"/>
      <c r="J3996" s="90"/>
      <c r="K3996" s="2"/>
      <c r="L3996" s="49"/>
      <c r="M3996" s="49"/>
      <c r="N3996" s="49"/>
      <c r="O3996" s="49" t="str">
        <f t="shared" si="2"/>
        <v/>
      </c>
      <c r="P3996" s="49" t="str">
        <f t="shared" si="3"/>
        <v/>
      </c>
      <c r="Q3996" s="84"/>
      <c r="R3996" s="84"/>
      <c r="S3996" s="84"/>
      <c r="T3996" s="84"/>
      <c r="U3996" s="84"/>
      <c r="V3996" s="84"/>
      <c r="W3996" s="84"/>
      <c r="X3996" s="84"/>
      <c r="Y3996" s="84"/>
      <c r="Z3996" s="84"/>
      <c r="AA3996" s="84"/>
      <c r="AB3996" s="84"/>
    </row>
    <row r="3997">
      <c r="A3997" s="89"/>
      <c r="B3997" s="89"/>
      <c r="C3997" s="89"/>
      <c r="D3997" s="89"/>
      <c r="E3997" s="89"/>
      <c r="F3997" s="89"/>
      <c r="G3997" s="89"/>
      <c r="H3997" s="2"/>
      <c r="I3997" s="90"/>
      <c r="J3997" s="90"/>
      <c r="K3997" s="2"/>
      <c r="L3997" s="48"/>
      <c r="M3997" s="48"/>
      <c r="N3997" s="48"/>
      <c r="O3997" s="48" t="str">
        <f t="shared" si="2"/>
        <v/>
      </c>
      <c r="P3997" s="48" t="str">
        <f t="shared" si="3"/>
        <v/>
      </c>
      <c r="Q3997" s="84"/>
      <c r="R3997" s="84"/>
      <c r="S3997" s="84"/>
      <c r="T3997" s="84"/>
      <c r="U3997" s="84"/>
      <c r="V3997" s="84"/>
      <c r="W3997" s="84"/>
      <c r="X3997" s="84"/>
      <c r="Y3997" s="84"/>
      <c r="Z3997" s="84"/>
      <c r="AA3997" s="84"/>
      <c r="AB3997" s="84"/>
    </row>
    <row r="3998">
      <c r="A3998" s="89"/>
      <c r="B3998" s="89"/>
      <c r="C3998" s="89"/>
      <c r="D3998" s="89"/>
      <c r="E3998" s="89"/>
      <c r="F3998" s="89"/>
      <c r="G3998" s="89"/>
      <c r="H3998" s="2"/>
      <c r="I3998" s="90"/>
      <c r="J3998" s="90"/>
      <c r="K3998" s="2"/>
      <c r="L3998" s="49"/>
      <c r="M3998" s="49"/>
      <c r="N3998" s="49"/>
      <c r="O3998" s="49" t="str">
        <f t="shared" si="2"/>
        <v/>
      </c>
      <c r="P3998" s="49" t="str">
        <f t="shared" si="3"/>
        <v/>
      </c>
      <c r="Q3998" s="84"/>
      <c r="R3998" s="84"/>
      <c r="S3998" s="84"/>
      <c r="T3998" s="84"/>
      <c r="U3998" s="84"/>
      <c r="V3998" s="84"/>
      <c r="W3998" s="84"/>
      <c r="X3998" s="84"/>
      <c r="Y3998" s="84"/>
      <c r="Z3998" s="84"/>
      <c r="AA3998" s="84"/>
      <c r="AB3998" s="84"/>
    </row>
    <row r="3999">
      <c r="A3999" s="89"/>
      <c r="B3999" s="89"/>
      <c r="C3999" s="89"/>
      <c r="D3999" s="89"/>
      <c r="E3999" s="89"/>
      <c r="F3999" s="89"/>
      <c r="G3999" s="89"/>
      <c r="H3999" s="2"/>
      <c r="I3999" s="90"/>
      <c r="J3999" s="90"/>
      <c r="K3999" s="2"/>
      <c r="L3999" s="48"/>
      <c r="M3999" s="48"/>
      <c r="N3999" s="48"/>
      <c r="O3999" s="48" t="str">
        <f t="shared" si="2"/>
        <v/>
      </c>
      <c r="P3999" s="48" t="str">
        <f t="shared" si="3"/>
        <v/>
      </c>
      <c r="Q3999" s="84"/>
      <c r="R3999" s="84"/>
      <c r="S3999" s="84"/>
      <c r="T3999" s="84"/>
      <c r="U3999" s="84"/>
      <c r="V3999" s="84"/>
      <c r="W3999" s="84"/>
      <c r="X3999" s="84"/>
      <c r="Y3999" s="84"/>
      <c r="Z3999" s="84"/>
      <c r="AA3999" s="84"/>
      <c r="AB3999" s="84"/>
    </row>
    <row r="4000">
      <c r="A4000" s="89"/>
      <c r="B4000" s="89"/>
      <c r="C4000" s="89"/>
      <c r="D4000" s="89"/>
      <c r="E4000" s="89"/>
      <c r="F4000" s="89"/>
      <c r="G4000" s="89"/>
      <c r="H4000" s="2"/>
      <c r="I4000" s="90"/>
      <c r="J4000" s="90"/>
      <c r="K4000" s="2"/>
      <c r="L4000" s="49"/>
      <c r="M4000" s="49"/>
      <c r="N4000" s="49"/>
      <c r="O4000" s="49" t="str">
        <f t="shared" si="2"/>
        <v/>
      </c>
      <c r="P4000" s="49" t="str">
        <f t="shared" si="3"/>
        <v/>
      </c>
      <c r="Q4000" s="84"/>
      <c r="R4000" s="84"/>
      <c r="S4000" s="84"/>
      <c r="T4000" s="84"/>
      <c r="U4000" s="84"/>
      <c r="V4000" s="84"/>
      <c r="W4000" s="84"/>
      <c r="X4000" s="84"/>
      <c r="Y4000" s="84"/>
      <c r="Z4000" s="84"/>
      <c r="AA4000" s="84"/>
      <c r="AB4000" s="84"/>
    </row>
    <row r="4001">
      <c r="A4001" s="89"/>
      <c r="B4001" s="89"/>
      <c r="C4001" s="89"/>
      <c r="D4001" s="89"/>
      <c r="E4001" s="89"/>
      <c r="F4001" s="89"/>
      <c r="G4001" s="89"/>
      <c r="H4001" s="2"/>
      <c r="I4001" s="90"/>
      <c r="J4001" s="90"/>
      <c r="K4001" s="2"/>
      <c r="L4001" s="48"/>
      <c r="M4001" s="48"/>
      <c r="N4001" s="48"/>
      <c r="O4001" s="48" t="str">
        <f t="shared" si="2"/>
        <v/>
      </c>
      <c r="P4001" s="48" t="str">
        <f t="shared" si="3"/>
        <v/>
      </c>
      <c r="Q4001" s="84"/>
      <c r="R4001" s="84"/>
      <c r="S4001" s="84"/>
      <c r="T4001" s="84"/>
      <c r="U4001" s="84"/>
      <c r="V4001" s="84"/>
      <c r="W4001" s="84"/>
      <c r="X4001" s="84"/>
      <c r="Y4001" s="84"/>
      <c r="Z4001" s="84"/>
      <c r="AA4001" s="84"/>
      <c r="AB4001" s="84"/>
    </row>
    <row r="4002">
      <c r="A4002" s="89"/>
      <c r="B4002" s="89"/>
      <c r="C4002" s="89"/>
      <c r="D4002" s="89"/>
      <c r="E4002" s="89"/>
      <c r="F4002" s="89"/>
      <c r="G4002" s="89"/>
      <c r="H4002" s="2"/>
      <c r="I4002" s="90"/>
      <c r="J4002" s="90"/>
      <c r="K4002" s="2"/>
      <c r="L4002" s="49"/>
      <c r="M4002" s="49"/>
      <c r="N4002" s="49"/>
      <c r="O4002" s="49" t="str">
        <f t="shared" si="2"/>
        <v/>
      </c>
      <c r="P4002" s="49" t="str">
        <f t="shared" si="3"/>
        <v/>
      </c>
      <c r="Q4002" s="84"/>
      <c r="R4002" s="84"/>
      <c r="S4002" s="84"/>
      <c r="T4002" s="84"/>
      <c r="U4002" s="84"/>
      <c r="V4002" s="84"/>
      <c r="W4002" s="84"/>
      <c r="X4002" s="84"/>
      <c r="Y4002" s="84"/>
      <c r="Z4002" s="84"/>
      <c r="AA4002" s="84"/>
      <c r="AB4002" s="84"/>
    </row>
    <row r="4003">
      <c r="A4003" s="89"/>
      <c r="B4003" s="89"/>
      <c r="C4003" s="89"/>
      <c r="D4003" s="89"/>
      <c r="E4003" s="89"/>
      <c r="F4003" s="89"/>
      <c r="G4003" s="89"/>
      <c r="H4003" s="2"/>
      <c r="I4003" s="90"/>
      <c r="J4003" s="90"/>
      <c r="K4003" s="2"/>
      <c r="L4003" s="48"/>
      <c r="M4003" s="48"/>
      <c r="N4003" s="48"/>
      <c r="O4003" s="48" t="str">
        <f t="shared" si="2"/>
        <v/>
      </c>
      <c r="P4003" s="48" t="str">
        <f t="shared" si="3"/>
        <v/>
      </c>
      <c r="Q4003" s="84"/>
      <c r="R4003" s="84"/>
      <c r="S4003" s="84"/>
      <c r="T4003" s="84"/>
      <c r="U4003" s="84"/>
      <c r="V4003" s="84"/>
      <c r="W4003" s="84"/>
      <c r="X4003" s="84"/>
      <c r="Y4003" s="84"/>
      <c r="Z4003" s="84"/>
      <c r="AA4003" s="84"/>
      <c r="AB4003" s="84"/>
    </row>
    <row r="4004">
      <c r="A4004" s="89"/>
      <c r="B4004" s="89"/>
      <c r="C4004" s="89"/>
      <c r="D4004" s="89"/>
      <c r="E4004" s="89"/>
      <c r="F4004" s="89"/>
      <c r="G4004" s="89"/>
      <c r="H4004" s="2"/>
      <c r="I4004" s="90"/>
      <c r="J4004" s="90"/>
      <c r="K4004" s="2"/>
      <c r="L4004" s="49"/>
      <c r="M4004" s="49"/>
      <c r="N4004" s="49"/>
      <c r="O4004" s="49" t="str">
        <f t="shared" si="2"/>
        <v/>
      </c>
      <c r="P4004" s="49" t="str">
        <f t="shared" si="3"/>
        <v/>
      </c>
      <c r="Q4004" s="84"/>
      <c r="R4004" s="84"/>
      <c r="S4004" s="84"/>
      <c r="T4004" s="84"/>
      <c r="U4004" s="84"/>
      <c r="V4004" s="84"/>
      <c r="W4004" s="84"/>
      <c r="X4004" s="84"/>
      <c r="Y4004" s="84"/>
      <c r="Z4004" s="84"/>
      <c r="AA4004" s="84"/>
      <c r="AB4004" s="84"/>
    </row>
    <row r="4005">
      <c r="A4005" s="89"/>
      <c r="B4005" s="89"/>
      <c r="C4005" s="89"/>
      <c r="D4005" s="89"/>
      <c r="E4005" s="89"/>
      <c r="F4005" s="89"/>
      <c r="G4005" s="89"/>
      <c r="H4005" s="2"/>
      <c r="I4005" s="90"/>
      <c r="J4005" s="90"/>
      <c r="K4005" s="2"/>
      <c r="L4005" s="48"/>
      <c r="M4005" s="48"/>
      <c r="N4005" s="48"/>
      <c r="O4005" s="48" t="str">
        <f t="shared" si="2"/>
        <v/>
      </c>
      <c r="P4005" s="48" t="str">
        <f t="shared" si="3"/>
        <v/>
      </c>
      <c r="Q4005" s="84"/>
      <c r="R4005" s="84"/>
      <c r="S4005" s="84"/>
      <c r="T4005" s="84"/>
      <c r="U4005" s="84"/>
      <c r="V4005" s="84"/>
      <c r="W4005" s="84"/>
      <c r="X4005" s="84"/>
      <c r="Y4005" s="84"/>
      <c r="Z4005" s="84"/>
      <c r="AA4005" s="84"/>
      <c r="AB4005" s="84"/>
    </row>
    <row r="4006">
      <c r="A4006" s="89"/>
      <c r="B4006" s="89"/>
      <c r="C4006" s="89"/>
      <c r="D4006" s="89"/>
      <c r="E4006" s="89"/>
      <c r="F4006" s="89"/>
      <c r="G4006" s="89"/>
      <c r="H4006" s="2"/>
      <c r="I4006" s="90"/>
      <c r="J4006" s="90"/>
      <c r="K4006" s="2"/>
      <c r="L4006" s="49"/>
      <c r="M4006" s="49"/>
      <c r="N4006" s="49"/>
      <c r="O4006" s="49" t="str">
        <f t="shared" si="2"/>
        <v/>
      </c>
      <c r="P4006" s="49" t="str">
        <f t="shared" si="3"/>
        <v/>
      </c>
      <c r="Q4006" s="84"/>
      <c r="R4006" s="84"/>
      <c r="S4006" s="84"/>
      <c r="T4006" s="84"/>
      <c r="U4006" s="84"/>
      <c r="V4006" s="84"/>
      <c r="W4006" s="84"/>
      <c r="X4006" s="84"/>
      <c r="Y4006" s="84"/>
      <c r="Z4006" s="84"/>
      <c r="AA4006" s="84"/>
      <c r="AB4006" s="84"/>
    </row>
    <row r="4007">
      <c r="A4007" s="89"/>
      <c r="B4007" s="89"/>
      <c r="C4007" s="89"/>
      <c r="D4007" s="89"/>
      <c r="E4007" s="89"/>
      <c r="F4007" s="89"/>
      <c r="G4007" s="89"/>
      <c r="H4007" s="2"/>
      <c r="I4007" s="90"/>
      <c r="J4007" s="90"/>
      <c r="K4007" s="2"/>
      <c r="L4007" s="48"/>
      <c r="M4007" s="48"/>
      <c r="N4007" s="48"/>
      <c r="O4007" s="48" t="str">
        <f t="shared" si="2"/>
        <v/>
      </c>
      <c r="P4007" s="48" t="str">
        <f t="shared" si="3"/>
        <v/>
      </c>
      <c r="Q4007" s="84"/>
      <c r="R4007" s="84"/>
      <c r="S4007" s="84"/>
      <c r="T4007" s="84"/>
      <c r="U4007" s="84"/>
      <c r="V4007" s="84"/>
      <c r="W4007" s="84"/>
      <c r="X4007" s="84"/>
      <c r="Y4007" s="84"/>
      <c r="Z4007" s="84"/>
      <c r="AA4007" s="84"/>
      <c r="AB4007" s="84"/>
    </row>
    <row r="4008">
      <c r="A4008" s="89"/>
      <c r="B4008" s="89"/>
      <c r="C4008" s="89"/>
      <c r="D4008" s="89"/>
      <c r="E4008" s="89"/>
      <c r="F4008" s="89"/>
      <c r="G4008" s="89"/>
      <c r="H4008" s="2"/>
      <c r="I4008" s="90"/>
      <c r="J4008" s="90"/>
      <c r="K4008" s="2"/>
      <c r="L4008" s="49"/>
      <c r="M4008" s="49"/>
      <c r="N4008" s="49"/>
      <c r="O4008" s="49" t="str">
        <f t="shared" si="2"/>
        <v/>
      </c>
      <c r="P4008" s="49" t="str">
        <f t="shared" si="3"/>
        <v/>
      </c>
      <c r="Q4008" s="84"/>
      <c r="R4008" s="84"/>
      <c r="S4008" s="84"/>
      <c r="T4008" s="84"/>
      <c r="U4008" s="84"/>
      <c r="V4008" s="84"/>
      <c r="W4008" s="84"/>
      <c r="X4008" s="84"/>
      <c r="Y4008" s="84"/>
      <c r="Z4008" s="84"/>
      <c r="AA4008" s="84"/>
      <c r="AB4008" s="84"/>
    </row>
    <row r="4009">
      <c r="A4009" s="89"/>
      <c r="B4009" s="89"/>
      <c r="C4009" s="89"/>
      <c r="D4009" s="89"/>
      <c r="E4009" s="89"/>
      <c r="F4009" s="89"/>
      <c r="G4009" s="89"/>
      <c r="H4009" s="2"/>
      <c r="I4009" s="90"/>
      <c r="J4009" s="90"/>
      <c r="K4009" s="2"/>
      <c r="L4009" s="48"/>
      <c r="M4009" s="48"/>
      <c r="N4009" s="48"/>
      <c r="O4009" s="48" t="str">
        <f t="shared" si="2"/>
        <v/>
      </c>
      <c r="P4009" s="48" t="str">
        <f t="shared" si="3"/>
        <v/>
      </c>
      <c r="Q4009" s="84"/>
      <c r="R4009" s="84"/>
      <c r="S4009" s="84"/>
      <c r="T4009" s="84"/>
      <c r="U4009" s="84"/>
      <c r="V4009" s="84"/>
      <c r="W4009" s="84"/>
      <c r="X4009" s="84"/>
      <c r="Y4009" s="84"/>
      <c r="Z4009" s="84"/>
      <c r="AA4009" s="84"/>
      <c r="AB4009" s="84"/>
    </row>
    <row r="4010">
      <c r="A4010" s="89"/>
      <c r="B4010" s="89"/>
      <c r="C4010" s="89"/>
      <c r="D4010" s="89"/>
      <c r="E4010" s="89"/>
      <c r="F4010" s="89"/>
      <c r="G4010" s="89"/>
      <c r="H4010" s="2"/>
      <c r="I4010" s="90"/>
      <c r="J4010" s="90"/>
      <c r="K4010" s="2"/>
      <c r="L4010" s="49"/>
      <c r="M4010" s="49"/>
      <c r="N4010" s="49"/>
      <c r="O4010" s="49" t="str">
        <f t="shared" si="2"/>
        <v/>
      </c>
      <c r="P4010" s="49" t="str">
        <f t="shared" si="3"/>
        <v/>
      </c>
      <c r="Q4010" s="84"/>
      <c r="R4010" s="84"/>
      <c r="S4010" s="84"/>
      <c r="T4010" s="84"/>
      <c r="U4010" s="84"/>
      <c r="V4010" s="84"/>
      <c r="W4010" s="84"/>
      <c r="X4010" s="84"/>
      <c r="Y4010" s="84"/>
      <c r="Z4010" s="84"/>
      <c r="AA4010" s="84"/>
      <c r="AB4010" s="84"/>
    </row>
    <row r="4011">
      <c r="A4011" s="89"/>
      <c r="B4011" s="89"/>
      <c r="C4011" s="89"/>
      <c r="D4011" s="89"/>
      <c r="E4011" s="89"/>
      <c r="F4011" s="89"/>
      <c r="G4011" s="89"/>
      <c r="H4011" s="2"/>
      <c r="I4011" s="90"/>
      <c r="J4011" s="90"/>
      <c r="K4011" s="2"/>
      <c r="L4011" s="48"/>
      <c r="M4011" s="48"/>
      <c r="N4011" s="48"/>
      <c r="O4011" s="48" t="str">
        <f t="shared" si="2"/>
        <v/>
      </c>
      <c r="P4011" s="48" t="str">
        <f t="shared" si="3"/>
        <v/>
      </c>
      <c r="Q4011" s="84"/>
      <c r="R4011" s="84"/>
      <c r="S4011" s="84"/>
      <c r="T4011" s="84"/>
      <c r="U4011" s="84"/>
      <c r="V4011" s="84"/>
      <c r="W4011" s="84"/>
      <c r="X4011" s="84"/>
      <c r="Y4011" s="84"/>
      <c r="Z4011" s="84"/>
      <c r="AA4011" s="84"/>
      <c r="AB4011" s="84"/>
    </row>
    <row r="4012">
      <c r="A4012" s="89"/>
      <c r="B4012" s="89"/>
      <c r="C4012" s="89"/>
      <c r="D4012" s="89"/>
      <c r="E4012" s="89"/>
      <c r="F4012" s="89"/>
      <c r="G4012" s="89"/>
      <c r="H4012" s="2"/>
      <c r="I4012" s="90"/>
      <c r="J4012" s="90"/>
      <c r="K4012" s="2"/>
      <c r="L4012" s="49"/>
      <c r="M4012" s="49"/>
      <c r="N4012" s="49"/>
      <c r="O4012" s="49" t="str">
        <f t="shared" si="2"/>
        <v/>
      </c>
      <c r="P4012" s="49" t="str">
        <f t="shared" si="3"/>
        <v/>
      </c>
      <c r="Q4012" s="84"/>
      <c r="R4012" s="84"/>
      <c r="S4012" s="84"/>
      <c r="T4012" s="84"/>
      <c r="U4012" s="84"/>
      <c r="V4012" s="84"/>
      <c r="W4012" s="84"/>
      <c r="X4012" s="84"/>
      <c r="Y4012" s="84"/>
      <c r="Z4012" s="84"/>
      <c r="AA4012" s="84"/>
      <c r="AB4012" s="84"/>
    </row>
    <row r="4013">
      <c r="A4013" s="89"/>
      <c r="B4013" s="89"/>
      <c r="C4013" s="89"/>
      <c r="D4013" s="89"/>
      <c r="E4013" s="89"/>
      <c r="F4013" s="89"/>
      <c r="G4013" s="89"/>
      <c r="H4013" s="2"/>
      <c r="I4013" s="90"/>
      <c r="J4013" s="90"/>
      <c r="K4013" s="2"/>
      <c r="L4013" s="48"/>
      <c r="M4013" s="48"/>
      <c r="N4013" s="48"/>
      <c r="O4013" s="48" t="str">
        <f t="shared" si="2"/>
        <v/>
      </c>
      <c r="P4013" s="48" t="str">
        <f t="shared" si="3"/>
        <v/>
      </c>
      <c r="Q4013" s="84"/>
      <c r="R4013" s="84"/>
      <c r="S4013" s="84"/>
      <c r="T4013" s="84"/>
      <c r="U4013" s="84"/>
      <c r="V4013" s="84"/>
      <c r="W4013" s="84"/>
      <c r="X4013" s="84"/>
      <c r="Y4013" s="84"/>
      <c r="Z4013" s="84"/>
      <c r="AA4013" s="84"/>
      <c r="AB4013" s="84"/>
    </row>
    <row r="4014">
      <c r="A4014" s="89"/>
      <c r="B4014" s="89"/>
      <c r="C4014" s="89"/>
      <c r="D4014" s="89"/>
      <c r="E4014" s="89"/>
      <c r="F4014" s="89"/>
      <c r="G4014" s="89"/>
      <c r="H4014" s="2"/>
      <c r="I4014" s="90"/>
      <c r="J4014" s="90"/>
      <c r="K4014" s="2"/>
      <c r="L4014" s="49"/>
      <c r="M4014" s="49"/>
      <c r="N4014" s="49"/>
      <c r="O4014" s="49" t="str">
        <f t="shared" si="2"/>
        <v/>
      </c>
      <c r="P4014" s="49" t="str">
        <f t="shared" si="3"/>
        <v/>
      </c>
      <c r="Q4014" s="84"/>
      <c r="R4014" s="84"/>
      <c r="S4014" s="84"/>
      <c r="T4014" s="84"/>
      <c r="U4014" s="84"/>
      <c r="V4014" s="84"/>
      <c r="W4014" s="84"/>
      <c r="X4014" s="84"/>
      <c r="Y4014" s="84"/>
      <c r="Z4014" s="84"/>
      <c r="AA4014" s="84"/>
      <c r="AB4014" s="84"/>
    </row>
    <row r="4015">
      <c r="A4015" s="89"/>
      <c r="B4015" s="89"/>
      <c r="C4015" s="89"/>
      <c r="D4015" s="89"/>
      <c r="E4015" s="89"/>
      <c r="F4015" s="89"/>
      <c r="G4015" s="89"/>
      <c r="H4015" s="2"/>
      <c r="I4015" s="90"/>
      <c r="J4015" s="90"/>
      <c r="K4015" s="2"/>
      <c r="L4015" s="48"/>
      <c r="M4015" s="48"/>
      <c r="N4015" s="48"/>
      <c r="O4015" s="48" t="str">
        <f t="shared" si="2"/>
        <v/>
      </c>
      <c r="P4015" s="48" t="str">
        <f t="shared" si="3"/>
        <v/>
      </c>
      <c r="Q4015" s="84"/>
      <c r="R4015" s="84"/>
      <c r="S4015" s="84"/>
      <c r="T4015" s="84"/>
      <c r="U4015" s="84"/>
      <c r="V4015" s="84"/>
      <c r="W4015" s="84"/>
      <c r="X4015" s="84"/>
      <c r="Y4015" s="84"/>
      <c r="Z4015" s="84"/>
      <c r="AA4015" s="84"/>
      <c r="AB4015" s="84"/>
    </row>
    <row r="4016">
      <c r="A4016" s="89"/>
      <c r="B4016" s="89"/>
      <c r="C4016" s="89"/>
      <c r="D4016" s="89"/>
      <c r="E4016" s="89"/>
      <c r="F4016" s="89"/>
      <c r="G4016" s="89"/>
      <c r="H4016" s="2"/>
      <c r="I4016" s="90"/>
      <c r="J4016" s="90"/>
      <c r="K4016" s="2"/>
      <c r="L4016" s="49"/>
      <c r="M4016" s="49"/>
      <c r="N4016" s="49"/>
      <c r="O4016" s="49" t="str">
        <f t="shared" si="2"/>
        <v/>
      </c>
      <c r="P4016" s="49" t="str">
        <f t="shared" si="3"/>
        <v/>
      </c>
      <c r="Q4016" s="84"/>
      <c r="R4016" s="84"/>
      <c r="S4016" s="84"/>
      <c r="T4016" s="84"/>
      <c r="U4016" s="84"/>
      <c r="V4016" s="84"/>
      <c r="W4016" s="84"/>
      <c r="X4016" s="84"/>
      <c r="Y4016" s="84"/>
      <c r="Z4016" s="84"/>
      <c r="AA4016" s="84"/>
      <c r="AB4016" s="84"/>
    </row>
    <row r="4017">
      <c r="A4017" s="89"/>
      <c r="B4017" s="89"/>
      <c r="C4017" s="89"/>
      <c r="D4017" s="89"/>
      <c r="E4017" s="89"/>
      <c r="F4017" s="89"/>
      <c r="G4017" s="89"/>
      <c r="H4017" s="2"/>
      <c r="I4017" s="90"/>
      <c r="J4017" s="90"/>
      <c r="K4017" s="2"/>
      <c r="L4017" s="48"/>
      <c r="M4017" s="48"/>
      <c r="N4017" s="48"/>
      <c r="O4017" s="48" t="str">
        <f t="shared" si="2"/>
        <v/>
      </c>
      <c r="P4017" s="48" t="str">
        <f t="shared" si="3"/>
        <v/>
      </c>
      <c r="Q4017" s="84"/>
      <c r="R4017" s="84"/>
      <c r="S4017" s="84"/>
      <c r="T4017" s="84"/>
      <c r="U4017" s="84"/>
      <c r="V4017" s="84"/>
      <c r="W4017" s="84"/>
      <c r="X4017" s="84"/>
      <c r="Y4017" s="84"/>
      <c r="Z4017" s="84"/>
      <c r="AA4017" s="84"/>
      <c r="AB4017" s="84"/>
    </row>
    <row r="4018">
      <c r="A4018" s="89"/>
      <c r="B4018" s="89"/>
      <c r="C4018" s="89"/>
      <c r="D4018" s="89"/>
      <c r="E4018" s="89"/>
      <c r="F4018" s="89"/>
      <c r="G4018" s="89"/>
      <c r="H4018" s="2"/>
      <c r="I4018" s="90"/>
      <c r="J4018" s="90"/>
      <c r="K4018" s="2"/>
      <c r="L4018" s="49"/>
      <c r="M4018" s="49"/>
      <c r="N4018" s="49"/>
      <c r="O4018" s="49" t="str">
        <f t="shared" si="2"/>
        <v/>
      </c>
      <c r="P4018" s="49" t="str">
        <f t="shared" si="3"/>
        <v/>
      </c>
      <c r="Q4018" s="84"/>
      <c r="R4018" s="84"/>
      <c r="S4018" s="84"/>
      <c r="T4018" s="84"/>
      <c r="U4018" s="84"/>
      <c r="V4018" s="84"/>
      <c r="W4018" s="84"/>
      <c r="X4018" s="84"/>
      <c r="Y4018" s="84"/>
      <c r="Z4018" s="84"/>
      <c r="AA4018" s="84"/>
      <c r="AB4018" s="84"/>
    </row>
    <row r="4019">
      <c r="A4019" s="89"/>
      <c r="B4019" s="89"/>
      <c r="C4019" s="89"/>
      <c r="D4019" s="89"/>
      <c r="E4019" s="89"/>
      <c r="F4019" s="89"/>
      <c r="G4019" s="89"/>
      <c r="H4019" s="2"/>
      <c r="I4019" s="90"/>
      <c r="J4019" s="90"/>
      <c r="K4019" s="2"/>
      <c r="L4019" s="48"/>
      <c r="M4019" s="48"/>
      <c r="N4019" s="48"/>
      <c r="O4019" s="48" t="str">
        <f t="shared" si="2"/>
        <v/>
      </c>
      <c r="P4019" s="48" t="str">
        <f t="shared" si="3"/>
        <v/>
      </c>
      <c r="Q4019" s="84"/>
      <c r="R4019" s="84"/>
      <c r="S4019" s="84"/>
      <c r="T4019" s="84"/>
      <c r="U4019" s="84"/>
      <c r="V4019" s="84"/>
      <c r="W4019" s="84"/>
      <c r="X4019" s="84"/>
      <c r="Y4019" s="84"/>
      <c r="Z4019" s="84"/>
      <c r="AA4019" s="84"/>
      <c r="AB4019" s="84"/>
    </row>
    <row r="4020">
      <c r="A4020" s="89"/>
      <c r="B4020" s="89"/>
      <c r="C4020" s="89"/>
      <c r="D4020" s="89"/>
      <c r="E4020" s="89"/>
      <c r="F4020" s="89"/>
      <c r="G4020" s="89"/>
      <c r="H4020" s="2"/>
      <c r="I4020" s="90"/>
      <c r="J4020" s="90"/>
      <c r="K4020" s="2"/>
      <c r="L4020" s="49"/>
      <c r="M4020" s="49"/>
      <c r="N4020" s="49"/>
      <c r="O4020" s="49" t="str">
        <f t="shared" si="2"/>
        <v/>
      </c>
      <c r="P4020" s="49" t="str">
        <f t="shared" si="3"/>
        <v/>
      </c>
      <c r="Q4020" s="84"/>
      <c r="R4020" s="84"/>
      <c r="S4020" s="84"/>
      <c r="T4020" s="84"/>
      <c r="U4020" s="84"/>
      <c r="V4020" s="84"/>
      <c r="W4020" s="84"/>
      <c r="X4020" s="84"/>
      <c r="Y4020" s="84"/>
      <c r="Z4020" s="84"/>
      <c r="AA4020" s="84"/>
      <c r="AB4020" s="84"/>
    </row>
    <row r="4021">
      <c r="A4021" s="89"/>
      <c r="B4021" s="89"/>
      <c r="C4021" s="89"/>
      <c r="D4021" s="89"/>
      <c r="E4021" s="89"/>
      <c r="F4021" s="89"/>
      <c r="G4021" s="89"/>
      <c r="H4021" s="2"/>
      <c r="I4021" s="90"/>
      <c r="J4021" s="90"/>
      <c r="K4021" s="2"/>
      <c r="L4021" s="48"/>
      <c r="M4021" s="48"/>
      <c r="N4021" s="48"/>
      <c r="O4021" s="48" t="str">
        <f t="shared" si="2"/>
        <v/>
      </c>
      <c r="P4021" s="48" t="str">
        <f t="shared" si="3"/>
        <v/>
      </c>
      <c r="Q4021" s="84"/>
      <c r="R4021" s="84"/>
      <c r="S4021" s="84"/>
      <c r="T4021" s="84"/>
      <c r="U4021" s="84"/>
      <c r="V4021" s="84"/>
      <c r="W4021" s="84"/>
      <c r="X4021" s="84"/>
      <c r="Y4021" s="84"/>
      <c r="Z4021" s="84"/>
      <c r="AA4021" s="84"/>
      <c r="AB4021" s="84"/>
    </row>
    <row r="4022">
      <c r="A4022" s="89"/>
      <c r="B4022" s="89"/>
      <c r="C4022" s="89"/>
      <c r="D4022" s="89"/>
      <c r="E4022" s="89"/>
      <c r="F4022" s="89"/>
      <c r="G4022" s="89"/>
      <c r="H4022" s="2"/>
      <c r="I4022" s="90"/>
      <c r="J4022" s="90"/>
      <c r="K4022" s="2"/>
      <c r="L4022" s="49"/>
      <c r="M4022" s="49"/>
      <c r="N4022" s="49"/>
      <c r="O4022" s="49" t="str">
        <f t="shared" si="2"/>
        <v/>
      </c>
      <c r="P4022" s="49" t="str">
        <f t="shared" si="3"/>
        <v/>
      </c>
      <c r="Q4022" s="84"/>
      <c r="R4022" s="84"/>
      <c r="S4022" s="84"/>
      <c r="T4022" s="84"/>
      <c r="U4022" s="84"/>
      <c r="V4022" s="84"/>
      <c r="W4022" s="84"/>
      <c r="X4022" s="84"/>
      <c r="Y4022" s="84"/>
      <c r="Z4022" s="84"/>
      <c r="AA4022" s="84"/>
      <c r="AB4022" s="84"/>
    </row>
    <row r="4023">
      <c r="A4023" s="89"/>
      <c r="B4023" s="89"/>
      <c r="C4023" s="89"/>
      <c r="D4023" s="89"/>
      <c r="E4023" s="89"/>
      <c r="F4023" s="89"/>
      <c r="G4023" s="89"/>
      <c r="H4023" s="2"/>
      <c r="I4023" s="90"/>
      <c r="J4023" s="90"/>
      <c r="K4023" s="2"/>
      <c r="L4023" s="48"/>
      <c r="M4023" s="48"/>
      <c r="N4023" s="48"/>
      <c r="O4023" s="48" t="str">
        <f t="shared" si="2"/>
        <v/>
      </c>
      <c r="P4023" s="48" t="str">
        <f t="shared" si="3"/>
        <v/>
      </c>
      <c r="Q4023" s="84"/>
      <c r="R4023" s="84"/>
      <c r="S4023" s="84"/>
      <c r="T4023" s="84"/>
      <c r="U4023" s="84"/>
      <c r="V4023" s="84"/>
      <c r="W4023" s="84"/>
      <c r="X4023" s="84"/>
      <c r="Y4023" s="84"/>
      <c r="Z4023" s="84"/>
      <c r="AA4023" s="84"/>
      <c r="AB4023" s="84"/>
    </row>
    <row r="4024">
      <c r="A4024" s="89"/>
      <c r="B4024" s="89"/>
      <c r="C4024" s="89"/>
      <c r="D4024" s="89"/>
      <c r="E4024" s="89"/>
      <c r="F4024" s="89"/>
      <c r="G4024" s="89"/>
      <c r="H4024" s="2"/>
      <c r="I4024" s="90"/>
      <c r="J4024" s="90"/>
      <c r="K4024" s="2"/>
      <c r="L4024" s="49"/>
      <c r="M4024" s="49"/>
      <c r="N4024" s="49"/>
      <c r="O4024" s="49" t="str">
        <f t="shared" si="2"/>
        <v/>
      </c>
      <c r="P4024" s="49" t="str">
        <f t="shared" si="3"/>
        <v/>
      </c>
      <c r="Q4024" s="84"/>
      <c r="R4024" s="84"/>
      <c r="S4024" s="84"/>
      <c r="T4024" s="84"/>
      <c r="U4024" s="84"/>
      <c r="V4024" s="84"/>
      <c r="W4024" s="84"/>
      <c r="X4024" s="84"/>
      <c r="Y4024" s="84"/>
      <c r="Z4024" s="84"/>
      <c r="AA4024" s="84"/>
      <c r="AB4024" s="84"/>
    </row>
    <row r="4025">
      <c r="A4025" s="89"/>
      <c r="B4025" s="89"/>
      <c r="C4025" s="89"/>
      <c r="D4025" s="89"/>
      <c r="E4025" s="89"/>
      <c r="F4025" s="89"/>
      <c r="G4025" s="89"/>
      <c r="H4025" s="2"/>
      <c r="I4025" s="90"/>
      <c r="J4025" s="90"/>
      <c r="K4025" s="2"/>
      <c r="L4025" s="48"/>
      <c r="M4025" s="48"/>
      <c r="N4025" s="48"/>
      <c r="O4025" s="48" t="str">
        <f t="shared" si="2"/>
        <v/>
      </c>
      <c r="P4025" s="48" t="str">
        <f t="shared" si="3"/>
        <v/>
      </c>
      <c r="Q4025" s="84"/>
      <c r="R4025" s="84"/>
      <c r="S4025" s="84"/>
      <c r="T4025" s="84"/>
      <c r="U4025" s="84"/>
      <c r="V4025" s="84"/>
      <c r="W4025" s="84"/>
      <c r="X4025" s="84"/>
      <c r="Y4025" s="84"/>
      <c r="Z4025" s="84"/>
      <c r="AA4025" s="84"/>
      <c r="AB4025" s="84"/>
    </row>
    <row r="4026">
      <c r="A4026" s="89"/>
      <c r="B4026" s="89"/>
      <c r="C4026" s="89"/>
      <c r="D4026" s="89"/>
      <c r="E4026" s="89"/>
      <c r="F4026" s="89"/>
      <c r="G4026" s="89"/>
      <c r="H4026" s="2"/>
      <c r="I4026" s="90"/>
      <c r="J4026" s="90"/>
      <c r="K4026" s="2"/>
      <c r="L4026" s="49"/>
      <c r="M4026" s="49"/>
      <c r="N4026" s="49"/>
      <c r="O4026" s="49" t="str">
        <f t="shared" si="2"/>
        <v/>
      </c>
      <c r="P4026" s="49" t="str">
        <f t="shared" si="3"/>
        <v/>
      </c>
      <c r="Q4026" s="84"/>
      <c r="R4026" s="84"/>
      <c r="S4026" s="84"/>
      <c r="T4026" s="84"/>
      <c r="U4026" s="84"/>
      <c r="V4026" s="84"/>
      <c r="W4026" s="84"/>
      <c r="X4026" s="84"/>
      <c r="Y4026" s="84"/>
      <c r="Z4026" s="84"/>
      <c r="AA4026" s="84"/>
      <c r="AB4026" s="84"/>
    </row>
    <row r="4027">
      <c r="A4027" s="89"/>
      <c r="B4027" s="89"/>
      <c r="C4027" s="89"/>
      <c r="D4027" s="89"/>
      <c r="E4027" s="89"/>
      <c r="F4027" s="89"/>
      <c r="G4027" s="89"/>
      <c r="H4027" s="2"/>
      <c r="I4027" s="90"/>
      <c r="J4027" s="90"/>
      <c r="K4027" s="2"/>
      <c r="L4027" s="48"/>
      <c r="M4027" s="48"/>
      <c r="N4027" s="48"/>
      <c r="O4027" s="48" t="str">
        <f t="shared" si="2"/>
        <v/>
      </c>
      <c r="P4027" s="48" t="str">
        <f t="shared" si="3"/>
        <v/>
      </c>
      <c r="Q4027" s="84"/>
      <c r="R4027" s="84"/>
      <c r="S4027" s="84"/>
      <c r="T4027" s="84"/>
      <c r="U4027" s="84"/>
      <c r="V4027" s="84"/>
      <c r="W4027" s="84"/>
      <c r="X4027" s="84"/>
      <c r="Y4027" s="84"/>
      <c r="Z4027" s="84"/>
      <c r="AA4027" s="84"/>
      <c r="AB4027" s="84"/>
    </row>
    <row r="4028">
      <c r="A4028" s="89"/>
      <c r="B4028" s="89"/>
      <c r="C4028" s="89"/>
      <c r="D4028" s="89"/>
      <c r="E4028" s="89"/>
      <c r="F4028" s="89"/>
      <c r="G4028" s="89"/>
      <c r="H4028" s="2"/>
      <c r="I4028" s="90"/>
      <c r="J4028" s="90"/>
      <c r="K4028" s="2"/>
      <c r="L4028" s="49"/>
      <c r="M4028" s="49"/>
      <c r="N4028" s="49"/>
      <c r="O4028" s="49" t="str">
        <f t="shared" si="2"/>
        <v/>
      </c>
      <c r="P4028" s="49" t="str">
        <f t="shared" si="3"/>
        <v/>
      </c>
      <c r="Q4028" s="84"/>
      <c r="R4028" s="84"/>
      <c r="S4028" s="84"/>
      <c r="T4028" s="84"/>
      <c r="U4028" s="84"/>
      <c r="V4028" s="84"/>
      <c r="W4028" s="84"/>
      <c r="X4028" s="84"/>
      <c r="Y4028" s="84"/>
      <c r="Z4028" s="84"/>
      <c r="AA4028" s="84"/>
      <c r="AB4028" s="84"/>
    </row>
    <row r="4029">
      <c r="A4029" s="89"/>
      <c r="B4029" s="89"/>
      <c r="C4029" s="89"/>
      <c r="D4029" s="89"/>
      <c r="E4029" s="89"/>
      <c r="F4029" s="89"/>
      <c r="G4029" s="89"/>
      <c r="H4029" s="2"/>
      <c r="I4029" s="90"/>
      <c r="J4029" s="90"/>
      <c r="K4029" s="2"/>
      <c r="L4029" s="48"/>
      <c r="M4029" s="48"/>
      <c r="N4029" s="48"/>
      <c r="O4029" s="48" t="str">
        <f t="shared" si="2"/>
        <v/>
      </c>
      <c r="P4029" s="48" t="str">
        <f t="shared" si="3"/>
        <v/>
      </c>
      <c r="Q4029" s="84"/>
      <c r="R4029" s="84"/>
      <c r="S4029" s="84"/>
      <c r="T4029" s="84"/>
      <c r="U4029" s="84"/>
      <c r="V4029" s="84"/>
      <c r="W4029" s="84"/>
      <c r="X4029" s="84"/>
      <c r="Y4029" s="84"/>
      <c r="Z4029" s="84"/>
      <c r="AA4029" s="84"/>
      <c r="AB4029" s="84"/>
    </row>
    <row r="4030">
      <c r="A4030" s="89"/>
      <c r="B4030" s="89"/>
      <c r="C4030" s="89"/>
      <c r="D4030" s="89"/>
      <c r="E4030" s="89"/>
      <c r="F4030" s="89"/>
      <c r="G4030" s="89"/>
      <c r="H4030" s="2"/>
      <c r="I4030" s="90"/>
      <c r="J4030" s="90"/>
      <c r="K4030" s="2"/>
      <c r="L4030" s="49"/>
      <c r="M4030" s="49"/>
      <c r="N4030" s="49"/>
      <c r="O4030" s="49" t="str">
        <f t="shared" si="2"/>
        <v/>
      </c>
      <c r="P4030" s="49" t="str">
        <f t="shared" si="3"/>
        <v/>
      </c>
      <c r="Q4030" s="84"/>
      <c r="R4030" s="84"/>
      <c r="S4030" s="84"/>
      <c r="T4030" s="84"/>
      <c r="U4030" s="84"/>
      <c r="V4030" s="84"/>
      <c r="W4030" s="84"/>
      <c r="X4030" s="84"/>
      <c r="Y4030" s="84"/>
      <c r="Z4030" s="84"/>
      <c r="AA4030" s="84"/>
      <c r="AB4030" s="84"/>
    </row>
    <row r="4031">
      <c r="A4031" s="89"/>
      <c r="B4031" s="89"/>
      <c r="C4031" s="89"/>
      <c r="D4031" s="89"/>
      <c r="E4031" s="89"/>
      <c r="F4031" s="89"/>
      <c r="G4031" s="89"/>
      <c r="H4031" s="2"/>
      <c r="I4031" s="90"/>
      <c r="J4031" s="90"/>
      <c r="K4031" s="2"/>
      <c r="L4031" s="48"/>
      <c r="M4031" s="48"/>
      <c r="N4031" s="48"/>
      <c r="O4031" s="48" t="str">
        <f t="shared" si="2"/>
        <v/>
      </c>
      <c r="P4031" s="48" t="str">
        <f t="shared" si="3"/>
        <v/>
      </c>
      <c r="Q4031" s="84"/>
      <c r="R4031" s="84"/>
      <c r="S4031" s="84"/>
      <c r="T4031" s="84"/>
      <c r="U4031" s="84"/>
      <c r="V4031" s="84"/>
      <c r="W4031" s="84"/>
      <c r="X4031" s="84"/>
      <c r="Y4031" s="84"/>
      <c r="Z4031" s="84"/>
      <c r="AA4031" s="84"/>
      <c r="AB4031" s="84"/>
    </row>
    <row r="4032">
      <c r="A4032" s="89"/>
      <c r="B4032" s="89"/>
      <c r="C4032" s="89"/>
      <c r="D4032" s="89"/>
      <c r="E4032" s="89"/>
      <c r="F4032" s="89"/>
      <c r="G4032" s="89"/>
      <c r="H4032" s="2"/>
      <c r="I4032" s="90"/>
      <c r="J4032" s="90"/>
      <c r="K4032" s="2"/>
      <c r="L4032" s="49"/>
      <c r="M4032" s="49"/>
      <c r="N4032" s="49"/>
      <c r="O4032" s="49" t="str">
        <f t="shared" si="2"/>
        <v/>
      </c>
      <c r="P4032" s="49" t="str">
        <f t="shared" si="3"/>
        <v/>
      </c>
      <c r="Q4032" s="84"/>
      <c r="R4032" s="84"/>
      <c r="S4032" s="84"/>
      <c r="T4032" s="84"/>
      <c r="U4032" s="84"/>
      <c r="V4032" s="84"/>
      <c r="W4032" s="84"/>
      <c r="X4032" s="84"/>
      <c r="Y4032" s="84"/>
      <c r="Z4032" s="84"/>
      <c r="AA4032" s="84"/>
      <c r="AB4032" s="84"/>
    </row>
    <row r="4033">
      <c r="A4033" s="89"/>
      <c r="B4033" s="89"/>
      <c r="C4033" s="89"/>
      <c r="D4033" s="89"/>
      <c r="E4033" s="89"/>
      <c r="F4033" s="89"/>
      <c r="G4033" s="89"/>
      <c r="H4033" s="2"/>
      <c r="I4033" s="90"/>
      <c r="J4033" s="90"/>
      <c r="K4033" s="2"/>
      <c r="L4033" s="48"/>
      <c r="M4033" s="48"/>
      <c r="N4033" s="48"/>
      <c r="O4033" s="48" t="str">
        <f t="shared" si="2"/>
        <v/>
      </c>
      <c r="P4033" s="48" t="str">
        <f t="shared" si="3"/>
        <v/>
      </c>
      <c r="Q4033" s="84"/>
      <c r="R4033" s="84"/>
      <c r="S4033" s="84"/>
      <c r="T4033" s="84"/>
      <c r="U4033" s="84"/>
      <c r="V4033" s="84"/>
      <c r="W4033" s="84"/>
      <c r="X4033" s="84"/>
      <c r="Y4033" s="84"/>
      <c r="Z4033" s="84"/>
      <c r="AA4033" s="84"/>
      <c r="AB4033" s="84"/>
    </row>
    <row r="4034">
      <c r="A4034" s="89"/>
      <c r="B4034" s="89"/>
      <c r="C4034" s="89"/>
      <c r="D4034" s="89"/>
      <c r="E4034" s="89"/>
      <c r="F4034" s="89"/>
      <c r="G4034" s="89"/>
      <c r="H4034" s="2"/>
      <c r="I4034" s="90"/>
      <c r="J4034" s="90"/>
      <c r="K4034" s="2"/>
      <c r="L4034" s="49"/>
      <c r="M4034" s="49"/>
      <c r="N4034" s="49"/>
      <c r="O4034" s="49" t="str">
        <f t="shared" si="2"/>
        <v/>
      </c>
      <c r="P4034" s="49" t="str">
        <f t="shared" si="3"/>
        <v/>
      </c>
      <c r="Q4034" s="84"/>
      <c r="R4034" s="84"/>
      <c r="S4034" s="84"/>
      <c r="T4034" s="84"/>
      <c r="U4034" s="84"/>
      <c r="V4034" s="84"/>
      <c r="W4034" s="84"/>
      <c r="X4034" s="84"/>
      <c r="Y4034" s="84"/>
      <c r="Z4034" s="84"/>
      <c r="AA4034" s="84"/>
      <c r="AB4034" s="84"/>
    </row>
    <row r="4035">
      <c r="A4035" s="89"/>
      <c r="B4035" s="89"/>
      <c r="C4035" s="89"/>
      <c r="D4035" s="89"/>
      <c r="E4035" s="89"/>
      <c r="F4035" s="89"/>
      <c r="G4035" s="89"/>
      <c r="H4035" s="2"/>
      <c r="I4035" s="90"/>
      <c r="J4035" s="90"/>
      <c r="K4035" s="2"/>
      <c r="L4035" s="48"/>
      <c r="M4035" s="48"/>
      <c r="N4035" s="48"/>
      <c r="O4035" s="48" t="str">
        <f t="shared" si="2"/>
        <v/>
      </c>
      <c r="P4035" s="48" t="str">
        <f t="shared" si="3"/>
        <v/>
      </c>
      <c r="Q4035" s="84"/>
      <c r="R4035" s="84"/>
      <c r="S4035" s="84"/>
      <c r="T4035" s="84"/>
      <c r="U4035" s="84"/>
      <c r="V4035" s="84"/>
      <c r="W4035" s="84"/>
      <c r="X4035" s="84"/>
      <c r="Y4035" s="84"/>
      <c r="Z4035" s="84"/>
      <c r="AA4035" s="84"/>
      <c r="AB4035" s="84"/>
    </row>
    <row r="4036">
      <c r="A4036" s="89"/>
      <c r="B4036" s="89"/>
      <c r="C4036" s="89"/>
      <c r="D4036" s="89"/>
      <c r="E4036" s="89"/>
      <c r="F4036" s="89"/>
      <c r="G4036" s="89"/>
      <c r="H4036" s="2"/>
      <c r="I4036" s="90"/>
      <c r="J4036" s="90"/>
      <c r="K4036" s="2"/>
      <c r="L4036" s="49"/>
      <c r="M4036" s="49"/>
      <c r="N4036" s="49"/>
      <c r="O4036" s="49" t="str">
        <f t="shared" si="2"/>
        <v/>
      </c>
      <c r="P4036" s="49" t="str">
        <f t="shared" si="3"/>
        <v/>
      </c>
      <c r="Q4036" s="84"/>
      <c r="R4036" s="84"/>
      <c r="S4036" s="84"/>
      <c r="T4036" s="84"/>
      <c r="U4036" s="84"/>
      <c r="V4036" s="84"/>
      <c r="W4036" s="84"/>
      <c r="X4036" s="84"/>
      <c r="Y4036" s="84"/>
      <c r="Z4036" s="84"/>
      <c r="AA4036" s="84"/>
      <c r="AB4036" s="84"/>
    </row>
    <row r="4037">
      <c r="A4037" s="89"/>
      <c r="B4037" s="89"/>
      <c r="C4037" s="89"/>
      <c r="D4037" s="89"/>
      <c r="E4037" s="89"/>
      <c r="F4037" s="89"/>
      <c r="G4037" s="89"/>
      <c r="H4037" s="2"/>
      <c r="I4037" s="90"/>
      <c r="J4037" s="90"/>
      <c r="K4037" s="2"/>
      <c r="L4037" s="48"/>
      <c r="M4037" s="48"/>
      <c r="N4037" s="48"/>
      <c r="O4037" s="48" t="str">
        <f t="shared" si="2"/>
        <v/>
      </c>
      <c r="P4037" s="48" t="str">
        <f t="shared" si="3"/>
        <v/>
      </c>
      <c r="Q4037" s="84"/>
      <c r="R4037" s="84"/>
      <c r="S4037" s="84"/>
      <c r="T4037" s="84"/>
      <c r="U4037" s="84"/>
      <c r="V4037" s="84"/>
      <c r="W4037" s="84"/>
      <c r="X4037" s="84"/>
      <c r="Y4037" s="84"/>
      <c r="Z4037" s="84"/>
      <c r="AA4037" s="84"/>
      <c r="AB4037" s="84"/>
    </row>
    <row r="4038">
      <c r="A4038" s="89"/>
      <c r="B4038" s="89"/>
      <c r="C4038" s="89"/>
      <c r="D4038" s="89"/>
      <c r="E4038" s="89"/>
      <c r="F4038" s="89"/>
      <c r="G4038" s="89"/>
      <c r="H4038" s="2"/>
      <c r="I4038" s="90"/>
      <c r="J4038" s="90"/>
      <c r="K4038" s="2"/>
      <c r="L4038" s="49"/>
      <c r="M4038" s="49"/>
      <c r="N4038" s="49"/>
      <c r="O4038" s="49" t="str">
        <f t="shared" si="2"/>
        <v/>
      </c>
      <c r="P4038" s="49" t="str">
        <f t="shared" si="3"/>
        <v/>
      </c>
      <c r="Q4038" s="84"/>
      <c r="R4038" s="84"/>
      <c r="S4038" s="84"/>
      <c r="T4038" s="84"/>
      <c r="U4038" s="84"/>
      <c r="V4038" s="84"/>
      <c r="W4038" s="84"/>
      <c r="X4038" s="84"/>
      <c r="Y4038" s="84"/>
      <c r="Z4038" s="84"/>
      <c r="AA4038" s="84"/>
      <c r="AB4038" s="84"/>
    </row>
    <row r="4039">
      <c r="A4039" s="89"/>
      <c r="B4039" s="89"/>
      <c r="C4039" s="89"/>
      <c r="D4039" s="89"/>
      <c r="E4039" s="89"/>
      <c r="F4039" s="89"/>
      <c r="G4039" s="89"/>
      <c r="H4039" s="2"/>
      <c r="I4039" s="90"/>
      <c r="J4039" s="90"/>
      <c r="K4039" s="2"/>
      <c r="L4039" s="48"/>
      <c r="M4039" s="48"/>
      <c r="N4039" s="48"/>
      <c r="O4039" s="48" t="str">
        <f t="shared" si="2"/>
        <v/>
      </c>
      <c r="P4039" s="48" t="str">
        <f t="shared" si="3"/>
        <v/>
      </c>
      <c r="Q4039" s="84"/>
      <c r="R4039" s="84"/>
      <c r="S4039" s="84"/>
      <c r="T4039" s="84"/>
      <c r="U4039" s="84"/>
      <c r="V4039" s="84"/>
      <c r="W4039" s="84"/>
      <c r="X4039" s="84"/>
      <c r="Y4039" s="84"/>
      <c r="Z4039" s="84"/>
      <c r="AA4039" s="84"/>
      <c r="AB4039" s="84"/>
    </row>
    <row r="4040">
      <c r="A4040" s="89"/>
      <c r="B4040" s="89"/>
      <c r="C4040" s="89"/>
      <c r="D4040" s="89"/>
      <c r="E4040" s="89"/>
      <c r="F4040" s="89"/>
      <c r="G4040" s="89"/>
      <c r="H4040" s="2"/>
      <c r="I4040" s="90"/>
      <c r="J4040" s="90"/>
      <c r="K4040" s="2"/>
      <c r="L4040" s="49"/>
      <c r="M4040" s="49"/>
      <c r="N4040" s="49"/>
      <c r="O4040" s="49" t="str">
        <f t="shared" si="2"/>
        <v/>
      </c>
      <c r="P4040" s="49" t="str">
        <f t="shared" si="3"/>
        <v/>
      </c>
      <c r="Q4040" s="84"/>
      <c r="R4040" s="84"/>
      <c r="S4040" s="84"/>
      <c r="T4040" s="84"/>
      <c r="U4040" s="84"/>
      <c r="V4040" s="84"/>
      <c r="W4040" s="84"/>
      <c r="X4040" s="84"/>
      <c r="Y4040" s="84"/>
      <c r="Z4040" s="84"/>
      <c r="AA4040" s="84"/>
      <c r="AB4040" s="84"/>
    </row>
    <row r="4041">
      <c r="A4041" s="89"/>
      <c r="B4041" s="89"/>
      <c r="C4041" s="89"/>
      <c r="D4041" s="89"/>
      <c r="E4041" s="89"/>
      <c r="F4041" s="89"/>
      <c r="G4041" s="89"/>
      <c r="H4041" s="2"/>
      <c r="I4041" s="90"/>
      <c r="J4041" s="90"/>
      <c r="K4041" s="2"/>
      <c r="L4041" s="48"/>
      <c r="M4041" s="48"/>
      <c r="N4041" s="48"/>
      <c r="O4041" s="48" t="str">
        <f t="shared" si="2"/>
        <v/>
      </c>
      <c r="P4041" s="48" t="str">
        <f t="shared" si="3"/>
        <v/>
      </c>
      <c r="Q4041" s="84"/>
      <c r="R4041" s="84"/>
      <c r="S4041" s="84"/>
      <c r="T4041" s="84"/>
      <c r="U4041" s="84"/>
      <c r="V4041" s="84"/>
      <c r="W4041" s="84"/>
      <c r="X4041" s="84"/>
      <c r="Y4041" s="84"/>
      <c r="Z4041" s="84"/>
      <c r="AA4041" s="84"/>
      <c r="AB4041" s="84"/>
    </row>
    <row r="4042">
      <c r="A4042" s="89"/>
      <c r="B4042" s="89"/>
      <c r="C4042" s="89"/>
      <c r="D4042" s="89"/>
      <c r="E4042" s="89"/>
      <c r="F4042" s="89"/>
      <c r="G4042" s="89"/>
      <c r="H4042" s="2"/>
      <c r="I4042" s="90"/>
      <c r="J4042" s="90"/>
      <c r="K4042" s="2"/>
      <c r="L4042" s="49"/>
      <c r="M4042" s="49"/>
      <c r="N4042" s="49"/>
      <c r="O4042" s="49" t="str">
        <f t="shared" si="2"/>
        <v/>
      </c>
      <c r="P4042" s="49" t="str">
        <f t="shared" si="3"/>
        <v/>
      </c>
      <c r="Q4042" s="84"/>
      <c r="R4042" s="84"/>
      <c r="S4042" s="84"/>
      <c r="T4042" s="84"/>
      <c r="U4042" s="84"/>
      <c r="V4042" s="84"/>
      <c r="W4042" s="84"/>
      <c r="X4042" s="84"/>
      <c r="Y4042" s="84"/>
      <c r="Z4042" s="84"/>
      <c r="AA4042" s="84"/>
      <c r="AB4042" s="84"/>
    </row>
    <row r="4043">
      <c r="A4043" s="89"/>
      <c r="B4043" s="89"/>
      <c r="C4043" s="89"/>
      <c r="D4043" s="89"/>
      <c r="E4043" s="89"/>
      <c r="F4043" s="89"/>
      <c r="G4043" s="89"/>
      <c r="H4043" s="2"/>
      <c r="I4043" s="90"/>
      <c r="J4043" s="90"/>
      <c r="K4043" s="2"/>
      <c r="L4043" s="48"/>
      <c r="M4043" s="48"/>
      <c r="N4043" s="48"/>
      <c r="O4043" s="48" t="str">
        <f t="shared" si="2"/>
        <v/>
      </c>
      <c r="P4043" s="48" t="str">
        <f t="shared" si="3"/>
        <v/>
      </c>
      <c r="Q4043" s="84"/>
      <c r="R4043" s="84"/>
      <c r="S4043" s="84"/>
      <c r="T4043" s="84"/>
      <c r="U4043" s="84"/>
      <c r="V4043" s="84"/>
      <c r="W4043" s="84"/>
      <c r="X4043" s="84"/>
      <c r="Y4043" s="84"/>
      <c r="Z4043" s="84"/>
      <c r="AA4043" s="84"/>
      <c r="AB4043" s="84"/>
    </row>
    <row r="4044">
      <c r="A4044" s="89"/>
      <c r="B4044" s="89"/>
      <c r="C4044" s="89"/>
      <c r="D4044" s="89"/>
      <c r="E4044" s="89"/>
      <c r="F4044" s="89"/>
      <c r="G4044" s="89"/>
      <c r="H4044" s="2"/>
      <c r="I4044" s="90"/>
      <c r="J4044" s="90"/>
      <c r="K4044" s="2"/>
      <c r="L4044" s="49"/>
      <c r="M4044" s="49"/>
      <c r="N4044" s="49"/>
      <c r="O4044" s="49" t="str">
        <f t="shared" si="2"/>
        <v/>
      </c>
      <c r="P4044" s="49" t="str">
        <f t="shared" si="3"/>
        <v/>
      </c>
      <c r="Q4044" s="84"/>
      <c r="R4044" s="84"/>
      <c r="S4044" s="84"/>
      <c r="T4044" s="84"/>
      <c r="U4044" s="84"/>
      <c r="V4044" s="84"/>
      <c r="W4044" s="84"/>
      <c r="X4044" s="84"/>
      <c r="Y4044" s="84"/>
      <c r="Z4044" s="84"/>
      <c r="AA4044" s="84"/>
      <c r="AB4044" s="84"/>
    </row>
    <row r="4045">
      <c r="A4045" s="89"/>
      <c r="B4045" s="89"/>
      <c r="C4045" s="89"/>
      <c r="D4045" s="89"/>
      <c r="E4045" s="89"/>
      <c r="F4045" s="89"/>
      <c r="G4045" s="89"/>
      <c r="H4045" s="2"/>
      <c r="I4045" s="90"/>
      <c r="J4045" s="90"/>
      <c r="K4045" s="2"/>
      <c r="L4045" s="48"/>
      <c r="M4045" s="48"/>
      <c r="N4045" s="48"/>
      <c r="O4045" s="48" t="str">
        <f t="shared" si="2"/>
        <v/>
      </c>
      <c r="P4045" s="48" t="str">
        <f t="shared" si="3"/>
        <v/>
      </c>
      <c r="Q4045" s="84"/>
      <c r="R4045" s="84"/>
      <c r="S4045" s="84"/>
      <c r="T4045" s="84"/>
      <c r="U4045" s="84"/>
      <c r="V4045" s="84"/>
      <c r="W4045" s="84"/>
      <c r="X4045" s="84"/>
      <c r="Y4045" s="84"/>
      <c r="Z4045" s="84"/>
      <c r="AA4045" s="84"/>
      <c r="AB4045" s="84"/>
    </row>
    <row r="4046">
      <c r="A4046" s="89"/>
      <c r="B4046" s="89"/>
      <c r="C4046" s="89"/>
      <c r="D4046" s="89"/>
      <c r="E4046" s="89"/>
      <c r="F4046" s="89"/>
      <c r="G4046" s="89"/>
      <c r="H4046" s="2"/>
      <c r="I4046" s="90"/>
      <c r="J4046" s="90"/>
      <c r="K4046" s="2"/>
      <c r="L4046" s="49"/>
      <c r="M4046" s="49"/>
      <c r="N4046" s="49"/>
      <c r="O4046" s="49" t="str">
        <f t="shared" si="2"/>
        <v/>
      </c>
      <c r="P4046" s="49" t="str">
        <f t="shared" si="3"/>
        <v/>
      </c>
      <c r="Q4046" s="84"/>
      <c r="R4046" s="84"/>
      <c r="S4046" s="84"/>
      <c r="T4046" s="84"/>
      <c r="U4046" s="84"/>
      <c r="V4046" s="84"/>
      <c r="W4046" s="84"/>
      <c r="X4046" s="84"/>
      <c r="Y4046" s="84"/>
      <c r="Z4046" s="84"/>
      <c r="AA4046" s="84"/>
      <c r="AB4046" s="84"/>
    </row>
    <row r="4047">
      <c r="A4047" s="89"/>
      <c r="B4047" s="89"/>
      <c r="C4047" s="89"/>
      <c r="D4047" s="89"/>
      <c r="E4047" s="89"/>
      <c r="F4047" s="89"/>
      <c r="G4047" s="89"/>
      <c r="H4047" s="2"/>
      <c r="I4047" s="90"/>
      <c r="J4047" s="90"/>
      <c r="K4047" s="2"/>
      <c r="L4047" s="48"/>
      <c r="M4047" s="48"/>
      <c r="N4047" s="48"/>
      <c r="O4047" s="48" t="str">
        <f t="shared" si="2"/>
        <v/>
      </c>
      <c r="P4047" s="48" t="str">
        <f t="shared" si="3"/>
        <v/>
      </c>
      <c r="Q4047" s="84"/>
      <c r="R4047" s="84"/>
      <c r="S4047" s="84"/>
      <c r="T4047" s="84"/>
      <c r="U4047" s="84"/>
      <c r="V4047" s="84"/>
      <c r="W4047" s="84"/>
      <c r="X4047" s="84"/>
      <c r="Y4047" s="84"/>
      <c r="Z4047" s="84"/>
      <c r="AA4047" s="84"/>
      <c r="AB4047" s="84"/>
    </row>
    <row r="4048">
      <c r="A4048" s="89"/>
      <c r="B4048" s="89"/>
      <c r="C4048" s="89"/>
      <c r="D4048" s="89"/>
      <c r="E4048" s="89"/>
      <c r="F4048" s="89"/>
      <c r="G4048" s="89"/>
      <c r="H4048" s="2"/>
      <c r="I4048" s="90"/>
      <c r="J4048" s="90"/>
      <c r="K4048" s="2"/>
      <c r="L4048" s="49"/>
      <c r="M4048" s="49"/>
      <c r="N4048" s="49"/>
      <c r="O4048" s="49" t="str">
        <f t="shared" si="2"/>
        <v/>
      </c>
      <c r="P4048" s="49" t="str">
        <f t="shared" si="3"/>
        <v/>
      </c>
      <c r="Q4048" s="84"/>
      <c r="R4048" s="84"/>
      <c r="S4048" s="84"/>
      <c r="T4048" s="84"/>
      <c r="U4048" s="84"/>
      <c r="V4048" s="84"/>
      <c r="W4048" s="84"/>
      <c r="X4048" s="84"/>
      <c r="Y4048" s="84"/>
      <c r="Z4048" s="84"/>
      <c r="AA4048" s="84"/>
      <c r="AB4048" s="84"/>
    </row>
    <row r="4049">
      <c r="A4049" s="89"/>
      <c r="B4049" s="89"/>
      <c r="C4049" s="89"/>
      <c r="D4049" s="89"/>
      <c r="E4049" s="89"/>
      <c r="F4049" s="89"/>
      <c r="G4049" s="89"/>
      <c r="H4049" s="2"/>
      <c r="I4049" s="90"/>
      <c r="J4049" s="90"/>
      <c r="K4049" s="2"/>
      <c r="L4049" s="48"/>
      <c r="M4049" s="48"/>
      <c r="N4049" s="48"/>
      <c r="O4049" s="48" t="str">
        <f t="shared" si="2"/>
        <v/>
      </c>
      <c r="P4049" s="48" t="str">
        <f t="shared" si="3"/>
        <v/>
      </c>
      <c r="Q4049" s="84"/>
      <c r="R4049" s="84"/>
      <c r="S4049" s="84"/>
      <c r="T4049" s="84"/>
      <c r="U4049" s="84"/>
      <c r="V4049" s="84"/>
      <c r="W4049" s="84"/>
      <c r="X4049" s="84"/>
      <c r="Y4049" s="84"/>
      <c r="Z4049" s="84"/>
      <c r="AA4049" s="84"/>
      <c r="AB4049" s="84"/>
    </row>
    <row r="4050">
      <c r="A4050" s="89"/>
      <c r="B4050" s="89"/>
      <c r="C4050" s="89"/>
      <c r="D4050" s="89"/>
      <c r="E4050" s="89"/>
      <c r="F4050" s="89"/>
      <c r="G4050" s="89"/>
      <c r="H4050" s="2"/>
      <c r="I4050" s="90"/>
      <c r="J4050" s="90"/>
      <c r="K4050" s="2"/>
      <c r="L4050" s="49"/>
      <c r="M4050" s="49"/>
      <c r="N4050" s="49"/>
      <c r="O4050" s="49" t="str">
        <f t="shared" si="2"/>
        <v/>
      </c>
      <c r="P4050" s="49" t="str">
        <f t="shared" si="3"/>
        <v/>
      </c>
      <c r="Q4050" s="84"/>
      <c r="R4050" s="84"/>
      <c r="S4050" s="84"/>
      <c r="T4050" s="84"/>
      <c r="U4050" s="84"/>
      <c r="V4050" s="84"/>
      <c r="W4050" s="84"/>
      <c r="X4050" s="84"/>
      <c r="Y4050" s="84"/>
      <c r="Z4050" s="84"/>
      <c r="AA4050" s="84"/>
      <c r="AB4050" s="84"/>
    </row>
    <row r="4051">
      <c r="A4051" s="89"/>
      <c r="B4051" s="89"/>
      <c r="C4051" s="89"/>
      <c r="D4051" s="89"/>
      <c r="E4051" s="89"/>
      <c r="F4051" s="89"/>
      <c r="G4051" s="89"/>
      <c r="H4051" s="2"/>
      <c r="I4051" s="90"/>
      <c r="J4051" s="90"/>
      <c r="K4051" s="2"/>
      <c r="L4051" s="48"/>
      <c r="M4051" s="48"/>
      <c r="N4051" s="48"/>
      <c r="O4051" s="48" t="str">
        <f t="shared" si="2"/>
        <v/>
      </c>
      <c r="P4051" s="48" t="str">
        <f t="shared" si="3"/>
        <v/>
      </c>
      <c r="Q4051" s="84"/>
      <c r="R4051" s="84"/>
      <c r="S4051" s="84"/>
      <c r="T4051" s="84"/>
      <c r="U4051" s="84"/>
      <c r="V4051" s="84"/>
      <c r="W4051" s="84"/>
      <c r="X4051" s="84"/>
      <c r="Y4051" s="84"/>
      <c r="Z4051" s="84"/>
      <c r="AA4051" s="84"/>
      <c r="AB4051" s="84"/>
    </row>
    <row r="4052">
      <c r="A4052" s="89"/>
      <c r="B4052" s="89"/>
      <c r="C4052" s="89"/>
      <c r="D4052" s="89"/>
      <c r="E4052" s="89"/>
      <c r="F4052" s="89"/>
      <c r="G4052" s="89"/>
      <c r="H4052" s="2"/>
      <c r="I4052" s="90"/>
      <c r="J4052" s="90"/>
      <c r="K4052" s="2"/>
      <c r="L4052" s="49"/>
      <c r="M4052" s="49"/>
      <c r="N4052" s="49"/>
      <c r="O4052" s="49" t="str">
        <f t="shared" si="2"/>
        <v/>
      </c>
      <c r="P4052" s="49" t="str">
        <f t="shared" si="3"/>
        <v/>
      </c>
      <c r="Q4052" s="84"/>
      <c r="R4052" s="84"/>
      <c r="S4052" s="84"/>
      <c r="T4052" s="84"/>
      <c r="U4052" s="84"/>
      <c r="V4052" s="84"/>
      <c r="W4052" s="84"/>
      <c r="X4052" s="84"/>
      <c r="Y4052" s="84"/>
      <c r="Z4052" s="84"/>
      <c r="AA4052" s="84"/>
      <c r="AB4052" s="84"/>
    </row>
    <row r="4053">
      <c r="A4053" s="89"/>
      <c r="B4053" s="89"/>
      <c r="C4053" s="89"/>
      <c r="D4053" s="89"/>
      <c r="E4053" s="89"/>
      <c r="F4053" s="89"/>
      <c r="G4053" s="89"/>
      <c r="H4053" s="2"/>
      <c r="I4053" s="90"/>
      <c r="J4053" s="90"/>
      <c r="K4053" s="2"/>
      <c r="L4053" s="48"/>
      <c r="M4053" s="48"/>
      <c r="N4053" s="48"/>
      <c r="O4053" s="48" t="str">
        <f t="shared" si="2"/>
        <v/>
      </c>
      <c r="P4053" s="48" t="str">
        <f t="shared" si="3"/>
        <v/>
      </c>
      <c r="Q4053" s="84"/>
      <c r="R4053" s="84"/>
      <c r="S4053" s="84"/>
      <c r="T4053" s="84"/>
      <c r="U4053" s="84"/>
      <c r="V4053" s="84"/>
      <c r="W4053" s="84"/>
      <c r="X4053" s="84"/>
      <c r="Y4053" s="84"/>
      <c r="Z4053" s="84"/>
      <c r="AA4053" s="84"/>
      <c r="AB4053" s="84"/>
    </row>
    <row r="4054">
      <c r="A4054" s="89"/>
      <c r="B4054" s="89"/>
      <c r="C4054" s="89"/>
      <c r="D4054" s="89"/>
      <c r="E4054" s="89"/>
      <c r="F4054" s="89"/>
      <c r="G4054" s="89"/>
      <c r="H4054" s="2"/>
      <c r="I4054" s="90"/>
      <c r="J4054" s="90"/>
      <c r="K4054" s="2"/>
      <c r="L4054" s="49"/>
      <c r="M4054" s="49"/>
      <c r="N4054" s="49"/>
      <c r="O4054" s="49" t="str">
        <f t="shared" si="2"/>
        <v/>
      </c>
      <c r="P4054" s="49" t="str">
        <f t="shared" si="3"/>
        <v/>
      </c>
      <c r="Q4054" s="84"/>
      <c r="R4054" s="84"/>
      <c r="S4054" s="84"/>
      <c r="T4054" s="84"/>
      <c r="U4054" s="84"/>
      <c r="V4054" s="84"/>
      <c r="W4054" s="84"/>
      <c r="X4054" s="84"/>
      <c r="Y4054" s="84"/>
      <c r="Z4054" s="84"/>
      <c r="AA4054" s="84"/>
      <c r="AB4054" s="84"/>
    </row>
    <row r="4055">
      <c r="A4055" s="89"/>
      <c r="B4055" s="89"/>
      <c r="C4055" s="89"/>
      <c r="D4055" s="89"/>
      <c r="E4055" s="89"/>
      <c r="F4055" s="89"/>
      <c r="G4055" s="89"/>
      <c r="H4055" s="2"/>
      <c r="I4055" s="90"/>
      <c r="J4055" s="90"/>
      <c r="K4055" s="2"/>
      <c r="L4055" s="48"/>
      <c r="M4055" s="48"/>
      <c r="N4055" s="48"/>
      <c r="O4055" s="48" t="str">
        <f t="shared" si="2"/>
        <v/>
      </c>
      <c r="P4055" s="48" t="str">
        <f t="shared" si="3"/>
        <v/>
      </c>
      <c r="Q4055" s="84"/>
      <c r="R4055" s="84"/>
      <c r="S4055" s="84"/>
      <c r="T4055" s="84"/>
      <c r="U4055" s="84"/>
      <c r="V4055" s="84"/>
      <c r="W4055" s="84"/>
      <c r="X4055" s="84"/>
      <c r="Y4055" s="84"/>
      <c r="Z4055" s="84"/>
      <c r="AA4055" s="84"/>
      <c r="AB4055" s="84"/>
    </row>
    <row r="4056">
      <c r="A4056" s="89"/>
      <c r="B4056" s="89"/>
      <c r="C4056" s="89"/>
      <c r="D4056" s="89"/>
      <c r="E4056" s="89"/>
      <c r="F4056" s="89"/>
      <c r="G4056" s="89"/>
      <c r="H4056" s="2"/>
      <c r="I4056" s="90"/>
      <c r="J4056" s="90"/>
      <c r="K4056" s="2"/>
      <c r="L4056" s="49"/>
      <c r="M4056" s="49"/>
      <c r="N4056" s="49"/>
      <c r="O4056" s="49" t="str">
        <f t="shared" si="2"/>
        <v/>
      </c>
      <c r="P4056" s="49" t="str">
        <f t="shared" si="3"/>
        <v/>
      </c>
      <c r="Q4056" s="84"/>
      <c r="R4056" s="84"/>
      <c r="S4056" s="84"/>
      <c r="T4056" s="84"/>
      <c r="U4056" s="84"/>
      <c r="V4056" s="84"/>
      <c r="W4056" s="84"/>
      <c r="X4056" s="84"/>
      <c r="Y4056" s="84"/>
      <c r="Z4056" s="84"/>
      <c r="AA4056" s="84"/>
      <c r="AB4056" s="84"/>
    </row>
    <row r="4057">
      <c r="A4057" s="89"/>
      <c r="B4057" s="89"/>
      <c r="C4057" s="89"/>
      <c r="D4057" s="89"/>
      <c r="E4057" s="89"/>
      <c r="F4057" s="89"/>
      <c r="G4057" s="89"/>
      <c r="H4057" s="2"/>
      <c r="I4057" s="90"/>
      <c r="J4057" s="90"/>
      <c r="K4057" s="2"/>
      <c r="L4057" s="48"/>
      <c r="M4057" s="48"/>
      <c r="N4057" s="48"/>
      <c r="O4057" s="48" t="str">
        <f t="shared" si="2"/>
        <v/>
      </c>
      <c r="P4057" s="48" t="str">
        <f t="shared" si="3"/>
        <v/>
      </c>
      <c r="Q4057" s="84"/>
      <c r="R4057" s="84"/>
      <c r="S4057" s="84"/>
      <c r="T4057" s="84"/>
      <c r="U4057" s="84"/>
      <c r="V4057" s="84"/>
      <c r="W4057" s="84"/>
      <c r="X4057" s="84"/>
      <c r="Y4057" s="84"/>
      <c r="Z4057" s="84"/>
      <c r="AA4057" s="84"/>
      <c r="AB4057" s="84"/>
    </row>
    <row r="4058">
      <c r="A4058" s="89"/>
      <c r="B4058" s="89"/>
      <c r="C4058" s="89"/>
      <c r="D4058" s="89"/>
      <c r="E4058" s="89"/>
      <c r="F4058" s="89"/>
      <c r="G4058" s="89"/>
      <c r="H4058" s="2"/>
      <c r="I4058" s="90"/>
      <c r="J4058" s="90"/>
      <c r="K4058" s="2"/>
      <c r="L4058" s="49"/>
      <c r="M4058" s="49"/>
      <c r="N4058" s="49"/>
      <c r="O4058" s="49" t="str">
        <f t="shared" si="2"/>
        <v/>
      </c>
      <c r="P4058" s="49" t="str">
        <f t="shared" si="3"/>
        <v/>
      </c>
      <c r="Q4058" s="84"/>
      <c r="R4058" s="84"/>
      <c r="S4058" s="84"/>
      <c r="T4058" s="84"/>
      <c r="U4058" s="84"/>
      <c r="V4058" s="84"/>
      <c r="W4058" s="84"/>
      <c r="X4058" s="84"/>
      <c r="Y4058" s="84"/>
      <c r="Z4058" s="84"/>
      <c r="AA4058" s="84"/>
      <c r="AB4058" s="84"/>
    </row>
    <row r="4059">
      <c r="A4059" s="89"/>
      <c r="B4059" s="89"/>
      <c r="C4059" s="89"/>
      <c r="D4059" s="89"/>
      <c r="E4059" s="89"/>
      <c r="F4059" s="89"/>
      <c r="G4059" s="89"/>
      <c r="H4059" s="2"/>
      <c r="I4059" s="90"/>
      <c r="J4059" s="90"/>
      <c r="K4059" s="2"/>
      <c r="L4059" s="48"/>
      <c r="M4059" s="48"/>
      <c r="N4059" s="48"/>
      <c r="O4059" s="48" t="str">
        <f t="shared" si="2"/>
        <v/>
      </c>
      <c r="P4059" s="48" t="str">
        <f t="shared" si="3"/>
        <v/>
      </c>
      <c r="Q4059" s="84"/>
      <c r="R4059" s="84"/>
      <c r="S4059" s="84"/>
      <c r="T4059" s="84"/>
      <c r="U4059" s="84"/>
      <c r="V4059" s="84"/>
      <c r="W4059" s="84"/>
      <c r="X4059" s="84"/>
      <c r="Y4059" s="84"/>
      <c r="Z4059" s="84"/>
      <c r="AA4059" s="84"/>
      <c r="AB4059" s="84"/>
    </row>
    <row r="4060">
      <c r="A4060" s="89"/>
      <c r="B4060" s="89"/>
      <c r="C4060" s="89"/>
      <c r="D4060" s="89"/>
      <c r="E4060" s="89"/>
      <c r="F4060" s="89"/>
      <c r="G4060" s="89"/>
      <c r="H4060" s="2"/>
      <c r="I4060" s="90"/>
      <c r="J4060" s="90"/>
      <c r="K4060" s="2"/>
      <c r="L4060" s="49"/>
      <c r="M4060" s="49"/>
      <c r="N4060" s="49"/>
      <c r="O4060" s="49" t="str">
        <f t="shared" si="2"/>
        <v/>
      </c>
      <c r="P4060" s="49" t="str">
        <f t="shared" si="3"/>
        <v/>
      </c>
      <c r="Q4060" s="84"/>
      <c r="R4060" s="84"/>
      <c r="S4060" s="84"/>
      <c r="T4060" s="84"/>
      <c r="U4060" s="84"/>
      <c r="V4060" s="84"/>
      <c r="W4060" s="84"/>
      <c r="X4060" s="84"/>
      <c r="Y4060" s="84"/>
      <c r="Z4060" s="84"/>
      <c r="AA4060" s="84"/>
      <c r="AB4060" s="84"/>
    </row>
    <row r="4061">
      <c r="A4061" s="89"/>
      <c r="B4061" s="89"/>
      <c r="C4061" s="89"/>
      <c r="D4061" s="89"/>
      <c r="E4061" s="89"/>
      <c r="F4061" s="89"/>
      <c r="G4061" s="89"/>
      <c r="H4061" s="2"/>
      <c r="I4061" s="90"/>
      <c r="J4061" s="90"/>
      <c r="K4061" s="2"/>
      <c r="L4061" s="48"/>
      <c r="M4061" s="48"/>
      <c r="N4061" s="48"/>
      <c r="O4061" s="48" t="str">
        <f t="shared" si="2"/>
        <v/>
      </c>
      <c r="P4061" s="48" t="str">
        <f t="shared" si="3"/>
        <v/>
      </c>
      <c r="Q4061" s="84"/>
      <c r="R4061" s="84"/>
      <c r="S4061" s="84"/>
      <c r="T4061" s="84"/>
      <c r="U4061" s="84"/>
      <c r="V4061" s="84"/>
      <c r="W4061" s="84"/>
      <c r="X4061" s="84"/>
      <c r="Y4061" s="84"/>
      <c r="Z4061" s="84"/>
      <c r="AA4061" s="84"/>
      <c r="AB4061" s="84"/>
    </row>
    <row r="4062">
      <c r="A4062" s="89"/>
      <c r="B4062" s="89"/>
      <c r="C4062" s="89"/>
      <c r="D4062" s="89"/>
      <c r="E4062" s="89"/>
      <c r="F4062" s="89"/>
      <c r="G4062" s="89"/>
      <c r="H4062" s="2"/>
      <c r="I4062" s="90"/>
      <c r="J4062" s="90"/>
      <c r="K4062" s="2"/>
      <c r="L4062" s="49"/>
      <c r="M4062" s="49"/>
      <c r="N4062" s="49"/>
      <c r="O4062" s="49" t="str">
        <f t="shared" si="2"/>
        <v/>
      </c>
      <c r="P4062" s="49" t="str">
        <f t="shared" si="3"/>
        <v/>
      </c>
      <c r="Q4062" s="84"/>
      <c r="R4062" s="84"/>
      <c r="S4062" s="84"/>
      <c r="T4062" s="84"/>
      <c r="U4062" s="84"/>
      <c r="V4062" s="84"/>
      <c r="W4062" s="84"/>
      <c r="X4062" s="84"/>
      <c r="Y4062" s="84"/>
      <c r="Z4062" s="84"/>
      <c r="AA4062" s="84"/>
      <c r="AB4062" s="84"/>
    </row>
    <row r="4063">
      <c r="A4063" s="89"/>
      <c r="B4063" s="89"/>
      <c r="C4063" s="89"/>
      <c r="D4063" s="89"/>
      <c r="E4063" s="89"/>
      <c r="F4063" s="89"/>
      <c r="G4063" s="89"/>
      <c r="H4063" s="2"/>
      <c r="I4063" s="90"/>
      <c r="J4063" s="90"/>
      <c r="K4063" s="2"/>
      <c r="L4063" s="48"/>
      <c r="M4063" s="48"/>
      <c r="N4063" s="48"/>
      <c r="O4063" s="48" t="str">
        <f t="shared" si="2"/>
        <v/>
      </c>
      <c r="P4063" s="48" t="str">
        <f t="shared" si="3"/>
        <v/>
      </c>
      <c r="Q4063" s="84"/>
      <c r="R4063" s="84"/>
      <c r="S4063" s="84"/>
      <c r="T4063" s="84"/>
      <c r="U4063" s="84"/>
      <c r="V4063" s="84"/>
      <c r="W4063" s="84"/>
      <c r="X4063" s="84"/>
      <c r="Y4063" s="84"/>
      <c r="Z4063" s="84"/>
      <c r="AA4063" s="84"/>
      <c r="AB4063" s="84"/>
    </row>
    <row r="4064">
      <c r="A4064" s="89"/>
      <c r="B4064" s="89"/>
      <c r="C4064" s="89"/>
      <c r="D4064" s="89"/>
      <c r="E4064" s="89"/>
      <c r="F4064" s="89"/>
      <c r="G4064" s="89"/>
      <c r="H4064" s="2"/>
      <c r="I4064" s="90"/>
      <c r="J4064" s="90"/>
      <c r="K4064" s="2"/>
      <c r="L4064" s="49"/>
      <c r="M4064" s="49"/>
      <c r="N4064" s="49"/>
      <c r="O4064" s="49" t="str">
        <f t="shared" si="2"/>
        <v/>
      </c>
      <c r="P4064" s="49" t="str">
        <f t="shared" si="3"/>
        <v/>
      </c>
      <c r="Q4064" s="84"/>
      <c r="R4064" s="84"/>
      <c r="S4064" s="84"/>
      <c r="T4064" s="84"/>
      <c r="U4064" s="84"/>
      <c r="V4064" s="84"/>
      <c r="W4064" s="84"/>
      <c r="X4064" s="84"/>
      <c r="Y4064" s="84"/>
      <c r="Z4064" s="84"/>
      <c r="AA4064" s="84"/>
      <c r="AB4064" s="84"/>
    </row>
    <row r="4065">
      <c r="A4065" s="89"/>
      <c r="B4065" s="89"/>
      <c r="C4065" s="89"/>
      <c r="D4065" s="89"/>
      <c r="E4065" s="89"/>
      <c r="F4065" s="89"/>
      <c r="G4065" s="89"/>
      <c r="H4065" s="2"/>
      <c r="I4065" s="90"/>
      <c r="J4065" s="90"/>
      <c r="K4065" s="2"/>
      <c r="L4065" s="48"/>
      <c r="M4065" s="48"/>
      <c r="N4065" s="48"/>
      <c r="O4065" s="48" t="str">
        <f t="shared" si="2"/>
        <v/>
      </c>
      <c r="P4065" s="48" t="str">
        <f t="shared" si="3"/>
        <v/>
      </c>
      <c r="Q4065" s="84"/>
      <c r="R4065" s="84"/>
      <c r="S4065" s="84"/>
      <c r="T4065" s="84"/>
      <c r="U4065" s="84"/>
      <c r="V4065" s="84"/>
      <c r="W4065" s="84"/>
      <c r="X4065" s="84"/>
      <c r="Y4065" s="84"/>
      <c r="Z4065" s="84"/>
      <c r="AA4065" s="84"/>
      <c r="AB4065" s="84"/>
    </row>
    <row r="4066">
      <c r="A4066" s="89"/>
      <c r="B4066" s="89"/>
      <c r="C4066" s="89"/>
      <c r="D4066" s="89"/>
      <c r="E4066" s="89"/>
      <c r="F4066" s="89"/>
      <c r="G4066" s="89"/>
      <c r="H4066" s="2"/>
      <c r="I4066" s="90"/>
      <c r="J4066" s="90"/>
      <c r="K4066" s="2"/>
      <c r="L4066" s="49"/>
      <c r="M4066" s="49"/>
      <c r="N4066" s="49"/>
      <c r="O4066" s="49" t="str">
        <f t="shared" si="2"/>
        <v/>
      </c>
      <c r="P4066" s="49" t="str">
        <f t="shared" si="3"/>
        <v/>
      </c>
      <c r="Q4066" s="84"/>
      <c r="R4066" s="84"/>
      <c r="S4066" s="84"/>
      <c r="T4066" s="84"/>
      <c r="U4066" s="84"/>
      <c r="V4066" s="84"/>
      <c r="W4066" s="84"/>
      <c r="X4066" s="84"/>
      <c r="Y4066" s="84"/>
      <c r="Z4066" s="84"/>
      <c r="AA4066" s="84"/>
      <c r="AB4066" s="84"/>
    </row>
    <row r="4067">
      <c r="A4067" s="89"/>
      <c r="B4067" s="89"/>
      <c r="C4067" s="89"/>
      <c r="D4067" s="89"/>
      <c r="E4067" s="89"/>
      <c r="F4067" s="89"/>
      <c r="G4067" s="89"/>
      <c r="H4067" s="2"/>
      <c r="I4067" s="90"/>
      <c r="J4067" s="90"/>
      <c r="K4067" s="2"/>
      <c r="L4067" s="48"/>
      <c r="M4067" s="48"/>
      <c r="N4067" s="48"/>
      <c r="O4067" s="48" t="str">
        <f t="shared" si="2"/>
        <v/>
      </c>
      <c r="P4067" s="48" t="str">
        <f t="shared" si="3"/>
        <v/>
      </c>
      <c r="Q4067" s="84"/>
      <c r="R4067" s="84"/>
      <c r="S4067" s="84"/>
      <c r="T4067" s="84"/>
      <c r="U4067" s="84"/>
      <c r="V4067" s="84"/>
      <c r="W4067" s="84"/>
      <c r="X4067" s="84"/>
      <c r="Y4067" s="84"/>
      <c r="Z4067" s="84"/>
      <c r="AA4067" s="84"/>
      <c r="AB4067" s="84"/>
    </row>
    <row r="4068">
      <c r="A4068" s="89"/>
      <c r="B4068" s="89"/>
      <c r="C4068" s="89"/>
      <c r="D4068" s="89"/>
      <c r="E4068" s="89"/>
      <c r="F4068" s="89"/>
      <c r="G4068" s="89"/>
      <c r="H4068" s="2"/>
      <c r="I4068" s="90"/>
      <c r="J4068" s="90"/>
      <c r="K4068" s="2"/>
      <c r="L4068" s="49"/>
      <c r="M4068" s="49"/>
      <c r="N4068" s="49"/>
      <c r="O4068" s="49" t="str">
        <f t="shared" si="2"/>
        <v/>
      </c>
      <c r="P4068" s="49" t="str">
        <f t="shared" si="3"/>
        <v/>
      </c>
      <c r="Q4068" s="84"/>
      <c r="R4068" s="84"/>
      <c r="S4068" s="84"/>
      <c r="T4068" s="84"/>
      <c r="U4068" s="84"/>
      <c r="V4068" s="84"/>
      <c r="W4068" s="84"/>
      <c r="X4068" s="84"/>
      <c r="Y4068" s="84"/>
      <c r="Z4068" s="84"/>
      <c r="AA4068" s="84"/>
      <c r="AB4068" s="84"/>
    </row>
    <row r="4069">
      <c r="A4069" s="89"/>
      <c r="B4069" s="89"/>
      <c r="C4069" s="89"/>
      <c r="D4069" s="89"/>
      <c r="E4069" s="89"/>
      <c r="F4069" s="89"/>
      <c r="G4069" s="89"/>
      <c r="H4069" s="2"/>
      <c r="I4069" s="90"/>
      <c r="J4069" s="90"/>
      <c r="K4069" s="2"/>
      <c r="L4069" s="48"/>
      <c r="M4069" s="48"/>
      <c r="N4069" s="48"/>
      <c r="O4069" s="48" t="str">
        <f t="shared" si="2"/>
        <v/>
      </c>
      <c r="P4069" s="48" t="str">
        <f t="shared" si="3"/>
        <v/>
      </c>
      <c r="Q4069" s="84"/>
      <c r="R4069" s="84"/>
      <c r="S4069" s="84"/>
      <c r="T4069" s="84"/>
      <c r="U4069" s="84"/>
      <c r="V4069" s="84"/>
      <c r="W4069" s="84"/>
      <c r="X4069" s="84"/>
      <c r="Y4069" s="84"/>
      <c r="Z4069" s="84"/>
      <c r="AA4069" s="84"/>
      <c r="AB4069" s="84"/>
    </row>
    <row r="4070">
      <c r="A4070" s="89"/>
      <c r="B4070" s="89"/>
      <c r="C4070" s="89"/>
      <c r="D4070" s="89"/>
      <c r="E4070" s="89"/>
      <c r="F4070" s="89"/>
      <c r="G4070" s="89"/>
      <c r="H4070" s="2"/>
      <c r="I4070" s="90"/>
      <c r="J4070" s="90"/>
      <c r="K4070" s="2"/>
      <c r="L4070" s="49"/>
      <c r="M4070" s="49"/>
      <c r="N4070" s="49"/>
      <c r="O4070" s="49" t="str">
        <f t="shared" si="2"/>
        <v/>
      </c>
      <c r="P4070" s="49" t="str">
        <f t="shared" si="3"/>
        <v/>
      </c>
      <c r="Q4070" s="84"/>
      <c r="R4070" s="84"/>
      <c r="S4070" s="84"/>
      <c r="T4070" s="84"/>
      <c r="U4070" s="84"/>
      <c r="V4070" s="84"/>
      <c r="W4070" s="84"/>
      <c r="X4070" s="84"/>
      <c r="Y4070" s="84"/>
      <c r="Z4070" s="84"/>
      <c r="AA4070" s="84"/>
      <c r="AB4070" s="84"/>
    </row>
    <row r="4071">
      <c r="A4071" s="89"/>
      <c r="B4071" s="89"/>
      <c r="C4071" s="89"/>
      <c r="D4071" s="89"/>
      <c r="E4071" s="89"/>
      <c r="F4071" s="89"/>
      <c r="G4071" s="89"/>
      <c r="H4071" s="2"/>
      <c r="I4071" s="90"/>
      <c r="J4071" s="90"/>
      <c r="K4071" s="2"/>
      <c r="L4071" s="48"/>
      <c r="M4071" s="48"/>
      <c r="N4071" s="48"/>
      <c r="O4071" s="48" t="str">
        <f t="shared" si="2"/>
        <v/>
      </c>
      <c r="P4071" s="48" t="str">
        <f t="shared" si="3"/>
        <v/>
      </c>
      <c r="Q4071" s="84"/>
      <c r="R4071" s="84"/>
      <c r="S4071" s="84"/>
      <c r="T4071" s="84"/>
      <c r="U4071" s="84"/>
      <c r="V4071" s="84"/>
      <c r="W4071" s="84"/>
      <c r="X4071" s="84"/>
      <c r="Y4071" s="84"/>
      <c r="Z4071" s="84"/>
      <c r="AA4071" s="84"/>
      <c r="AB4071" s="84"/>
    </row>
    <row r="4072">
      <c r="A4072" s="89"/>
      <c r="B4072" s="89"/>
      <c r="C4072" s="89"/>
      <c r="D4072" s="89"/>
      <c r="E4072" s="89"/>
      <c r="F4072" s="89"/>
      <c r="G4072" s="89"/>
      <c r="H4072" s="2"/>
      <c r="I4072" s="90"/>
      <c r="J4072" s="90"/>
      <c r="K4072" s="2"/>
      <c r="L4072" s="49"/>
      <c r="M4072" s="49"/>
      <c r="N4072" s="49"/>
      <c r="O4072" s="49" t="str">
        <f t="shared" si="2"/>
        <v/>
      </c>
      <c r="P4072" s="49" t="str">
        <f t="shared" si="3"/>
        <v/>
      </c>
      <c r="Q4072" s="84"/>
      <c r="R4072" s="84"/>
      <c r="S4072" s="84"/>
      <c r="T4072" s="84"/>
      <c r="U4072" s="84"/>
      <c r="V4072" s="84"/>
      <c r="W4072" s="84"/>
      <c r="X4072" s="84"/>
      <c r="Y4072" s="84"/>
      <c r="Z4072" s="84"/>
      <c r="AA4072" s="84"/>
      <c r="AB4072" s="84"/>
    </row>
    <row r="4073">
      <c r="A4073" s="89"/>
      <c r="B4073" s="89"/>
      <c r="C4073" s="89"/>
      <c r="D4073" s="89"/>
      <c r="E4073" s="89"/>
      <c r="F4073" s="89"/>
      <c r="G4073" s="89"/>
      <c r="H4073" s="2"/>
      <c r="I4073" s="90"/>
      <c r="J4073" s="90"/>
      <c r="K4073" s="2"/>
      <c r="L4073" s="48"/>
      <c r="M4073" s="48"/>
      <c r="N4073" s="48"/>
      <c r="O4073" s="48" t="str">
        <f t="shared" si="2"/>
        <v/>
      </c>
      <c r="P4073" s="48" t="str">
        <f t="shared" si="3"/>
        <v/>
      </c>
      <c r="Q4073" s="84"/>
      <c r="R4073" s="84"/>
      <c r="S4073" s="84"/>
      <c r="T4073" s="84"/>
      <c r="U4073" s="84"/>
      <c r="V4073" s="84"/>
      <c r="W4073" s="84"/>
      <c r="X4073" s="84"/>
      <c r="Y4073" s="84"/>
      <c r="Z4073" s="84"/>
      <c r="AA4073" s="84"/>
      <c r="AB4073" s="84"/>
    </row>
    <row r="4074">
      <c r="A4074" s="89"/>
      <c r="B4074" s="89"/>
      <c r="C4074" s="89"/>
      <c r="D4074" s="89"/>
      <c r="E4074" s="89"/>
      <c r="F4074" s="89"/>
      <c r="G4074" s="89"/>
      <c r="H4074" s="2"/>
      <c r="I4074" s="90"/>
      <c r="J4074" s="90"/>
      <c r="K4074" s="2"/>
      <c r="L4074" s="49"/>
      <c r="M4074" s="49"/>
      <c r="N4074" s="49"/>
      <c r="O4074" s="49" t="str">
        <f t="shared" si="2"/>
        <v/>
      </c>
      <c r="P4074" s="49" t="str">
        <f t="shared" si="3"/>
        <v/>
      </c>
      <c r="Q4074" s="84"/>
      <c r="R4074" s="84"/>
      <c r="S4074" s="84"/>
      <c r="T4074" s="84"/>
      <c r="U4074" s="84"/>
      <c r="V4074" s="84"/>
      <c r="W4074" s="84"/>
      <c r="X4074" s="84"/>
      <c r="Y4074" s="84"/>
      <c r="Z4074" s="84"/>
      <c r="AA4074" s="84"/>
      <c r="AB4074" s="84"/>
    </row>
    <row r="4075">
      <c r="A4075" s="89"/>
      <c r="B4075" s="89"/>
      <c r="C4075" s="89"/>
      <c r="D4075" s="89"/>
      <c r="E4075" s="89"/>
      <c r="F4075" s="89"/>
      <c r="G4075" s="89"/>
      <c r="H4075" s="2"/>
      <c r="I4075" s="90"/>
      <c r="J4075" s="90"/>
      <c r="K4075" s="2"/>
      <c r="L4075" s="48"/>
      <c r="M4075" s="48"/>
      <c r="N4075" s="48"/>
      <c r="O4075" s="48" t="str">
        <f t="shared" si="2"/>
        <v/>
      </c>
      <c r="P4075" s="48" t="str">
        <f t="shared" si="3"/>
        <v/>
      </c>
      <c r="Q4075" s="84"/>
      <c r="R4075" s="84"/>
      <c r="S4075" s="84"/>
      <c r="T4075" s="84"/>
      <c r="U4075" s="84"/>
      <c r="V4075" s="84"/>
      <c r="W4075" s="84"/>
      <c r="X4075" s="84"/>
      <c r="Y4075" s="84"/>
      <c r="Z4075" s="84"/>
      <c r="AA4075" s="84"/>
      <c r="AB4075" s="84"/>
    </row>
    <row r="4076">
      <c r="A4076" s="89"/>
      <c r="B4076" s="89"/>
      <c r="C4076" s="89"/>
      <c r="D4076" s="89"/>
      <c r="E4076" s="89"/>
      <c r="F4076" s="89"/>
      <c r="G4076" s="89"/>
      <c r="H4076" s="2"/>
      <c r="I4076" s="90"/>
      <c r="J4076" s="90"/>
      <c r="K4076" s="2"/>
      <c r="L4076" s="49"/>
      <c r="M4076" s="49"/>
      <c r="N4076" s="49"/>
      <c r="O4076" s="49" t="str">
        <f t="shared" si="2"/>
        <v/>
      </c>
      <c r="P4076" s="49" t="str">
        <f t="shared" si="3"/>
        <v/>
      </c>
      <c r="Q4076" s="84"/>
      <c r="R4076" s="84"/>
      <c r="S4076" s="84"/>
      <c r="T4076" s="84"/>
      <c r="U4076" s="84"/>
      <c r="V4076" s="84"/>
      <c r="W4076" s="84"/>
      <c r="X4076" s="84"/>
      <c r="Y4076" s="84"/>
      <c r="Z4076" s="84"/>
      <c r="AA4076" s="84"/>
      <c r="AB4076" s="84"/>
    </row>
    <row r="4077">
      <c r="A4077" s="89"/>
      <c r="B4077" s="89"/>
      <c r="C4077" s="89"/>
      <c r="D4077" s="89"/>
      <c r="E4077" s="89"/>
      <c r="F4077" s="89"/>
      <c r="G4077" s="89"/>
      <c r="H4077" s="2"/>
      <c r="I4077" s="90"/>
      <c r="J4077" s="90"/>
      <c r="K4077" s="2"/>
      <c r="L4077" s="48"/>
      <c r="M4077" s="48"/>
      <c r="N4077" s="48"/>
      <c r="O4077" s="48" t="str">
        <f t="shared" si="2"/>
        <v/>
      </c>
      <c r="P4077" s="48" t="str">
        <f t="shared" si="3"/>
        <v/>
      </c>
      <c r="Q4077" s="84"/>
      <c r="R4077" s="84"/>
      <c r="S4077" s="84"/>
      <c r="T4077" s="84"/>
      <c r="U4077" s="84"/>
      <c r="V4077" s="84"/>
      <c r="W4077" s="84"/>
      <c r="X4077" s="84"/>
      <c r="Y4077" s="84"/>
      <c r="Z4077" s="84"/>
      <c r="AA4077" s="84"/>
      <c r="AB4077" s="84"/>
    </row>
    <row r="4078">
      <c r="A4078" s="89"/>
      <c r="B4078" s="89"/>
      <c r="C4078" s="89"/>
      <c r="D4078" s="89"/>
      <c r="E4078" s="89"/>
      <c r="F4078" s="89"/>
      <c r="G4078" s="89"/>
      <c r="H4078" s="2"/>
      <c r="I4078" s="90"/>
      <c r="J4078" s="90"/>
      <c r="K4078" s="2"/>
      <c r="L4078" s="49"/>
      <c r="M4078" s="49"/>
      <c r="N4078" s="49"/>
      <c r="O4078" s="49" t="str">
        <f t="shared" si="2"/>
        <v/>
      </c>
      <c r="P4078" s="49" t="str">
        <f t="shared" si="3"/>
        <v/>
      </c>
      <c r="Q4078" s="84"/>
      <c r="R4078" s="84"/>
      <c r="S4078" s="84"/>
      <c r="T4078" s="84"/>
      <c r="U4078" s="84"/>
      <c r="V4078" s="84"/>
      <c r="W4078" s="84"/>
      <c r="X4078" s="84"/>
      <c r="Y4078" s="84"/>
      <c r="Z4078" s="84"/>
      <c r="AA4078" s="84"/>
      <c r="AB4078" s="84"/>
    </row>
    <row r="4079">
      <c r="A4079" s="89"/>
      <c r="B4079" s="89"/>
      <c r="C4079" s="89"/>
      <c r="D4079" s="89"/>
      <c r="E4079" s="89"/>
      <c r="F4079" s="89"/>
      <c r="G4079" s="89"/>
      <c r="H4079" s="2"/>
      <c r="I4079" s="90"/>
      <c r="J4079" s="90"/>
      <c r="K4079" s="2"/>
      <c r="L4079" s="48"/>
      <c r="M4079" s="48"/>
      <c r="N4079" s="48"/>
      <c r="O4079" s="48" t="str">
        <f t="shared" si="2"/>
        <v/>
      </c>
      <c r="P4079" s="48" t="str">
        <f t="shared" si="3"/>
        <v/>
      </c>
      <c r="Q4079" s="84"/>
      <c r="R4079" s="84"/>
      <c r="S4079" s="84"/>
      <c r="T4079" s="84"/>
      <c r="U4079" s="84"/>
      <c r="V4079" s="84"/>
      <c r="W4079" s="84"/>
      <c r="X4079" s="84"/>
      <c r="Y4079" s="84"/>
      <c r="Z4079" s="84"/>
      <c r="AA4079" s="84"/>
      <c r="AB4079" s="84"/>
    </row>
    <row r="4080">
      <c r="A4080" s="89"/>
      <c r="B4080" s="89"/>
      <c r="C4080" s="89"/>
      <c r="D4080" s="89"/>
      <c r="E4080" s="89"/>
      <c r="F4080" s="89"/>
      <c r="G4080" s="89"/>
      <c r="H4080" s="2"/>
      <c r="I4080" s="90"/>
      <c r="J4080" s="90"/>
      <c r="K4080" s="2"/>
      <c r="L4080" s="49"/>
      <c r="M4080" s="49"/>
      <c r="N4080" s="49"/>
      <c r="O4080" s="49" t="str">
        <f t="shared" si="2"/>
        <v/>
      </c>
      <c r="P4080" s="49" t="str">
        <f t="shared" si="3"/>
        <v/>
      </c>
      <c r="Q4080" s="84"/>
      <c r="R4080" s="84"/>
      <c r="S4080" s="84"/>
      <c r="T4080" s="84"/>
      <c r="U4080" s="84"/>
      <c r="V4080" s="84"/>
      <c r="W4080" s="84"/>
      <c r="X4080" s="84"/>
      <c r="Y4080" s="84"/>
      <c r="Z4080" s="84"/>
      <c r="AA4080" s="84"/>
      <c r="AB4080" s="84"/>
    </row>
    <row r="4081">
      <c r="A4081" s="89"/>
      <c r="B4081" s="89"/>
      <c r="C4081" s="89"/>
      <c r="D4081" s="89"/>
      <c r="E4081" s="89"/>
      <c r="F4081" s="89"/>
      <c r="G4081" s="89"/>
      <c r="H4081" s="2"/>
      <c r="I4081" s="90"/>
      <c r="J4081" s="90"/>
      <c r="K4081" s="2"/>
      <c r="L4081" s="48"/>
      <c r="M4081" s="48"/>
      <c r="N4081" s="48"/>
      <c r="O4081" s="48" t="str">
        <f t="shared" si="2"/>
        <v/>
      </c>
      <c r="P4081" s="48" t="str">
        <f t="shared" si="3"/>
        <v/>
      </c>
      <c r="Q4081" s="84"/>
      <c r="R4081" s="84"/>
      <c r="S4081" s="84"/>
      <c r="T4081" s="84"/>
      <c r="U4081" s="84"/>
      <c r="V4081" s="84"/>
      <c r="W4081" s="84"/>
      <c r="X4081" s="84"/>
      <c r="Y4081" s="84"/>
      <c r="Z4081" s="84"/>
      <c r="AA4081" s="84"/>
      <c r="AB4081" s="84"/>
    </row>
    <row r="4082">
      <c r="A4082" s="89"/>
      <c r="B4082" s="89"/>
      <c r="C4082" s="89"/>
      <c r="D4082" s="89"/>
      <c r="E4082" s="89"/>
      <c r="F4082" s="89"/>
      <c r="G4082" s="89"/>
      <c r="H4082" s="2"/>
      <c r="I4082" s="90"/>
      <c r="J4082" s="90"/>
      <c r="K4082" s="2"/>
      <c r="L4082" s="49"/>
      <c r="M4082" s="49"/>
      <c r="N4082" s="49"/>
      <c r="O4082" s="49" t="str">
        <f t="shared" si="2"/>
        <v/>
      </c>
      <c r="P4082" s="49" t="str">
        <f t="shared" si="3"/>
        <v/>
      </c>
      <c r="Q4082" s="84"/>
      <c r="R4082" s="84"/>
      <c r="S4082" s="84"/>
      <c r="T4082" s="84"/>
      <c r="U4082" s="84"/>
      <c r="V4082" s="84"/>
      <c r="W4082" s="84"/>
      <c r="X4082" s="84"/>
      <c r="Y4082" s="84"/>
      <c r="Z4082" s="84"/>
      <c r="AA4082" s="84"/>
      <c r="AB4082" s="84"/>
    </row>
    <row r="4083">
      <c r="A4083" s="89"/>
      <c r="B4083" s="89"/>
      <c r="C4083" s="89"/>
      <c r="D4083" s="89"/>
      <c r="E4083" s="89"/>
      <c r="F4083" s="89"/>
      <c r="G4083" s="89"/>
      <c r="H4083" s="2"/>
      <c r="I4083" s="90"/>
      <c r="J4083" s="90"/>
      <c r="K4083" s="2"/>
      <c r="L4083" s="48"/>
      <c r="M4083" s="48"/>
      <c r="N4083" s="48"/>
      <c r="O4083" s="48" t="str">
        <f t="shared" si="2"/>
        <v/>
      </c>
      <c r="P4083" s="48" t="str">
        <f t="shared" si="3"/>
        <v/>
      </c>
      <c r="Q4083" s="84"/>
      <c r="R4083" s="84"/>
      <c r="S4083" s="84"/>
      <c r="T4083" s="84"/>
      <c r="U4083" s="84"/>
      <c r="V4083" s="84"/>
      <c r="W4083" s="84"/>
      <c r="X4083" s="84"/>
      <c r="Y4083" s="84"/>
      <c r="Z4083" s="84"/>
      <c r="AA4083" s="84"/>
      <c r="AB4083" s="84"/>
    </row>
    <row r="4084">
      <c r="A4084" s="89"/>
      <c r="B4084" s="89"/>
      <c r="C4084" s="89"/>
      <c r="D4084" s="89"/>
      <c r="E4084" s="89"/>
      <c r="F4084" s="89"/>
      <c r="G4084" s="89"/>
      <c r="H4084" s="2"/>
      <c r="I4084" s="90"/>
      <c r="J4084" s="90"/>
      <c r="K4084" s="2"/>
      <c r="L4084" s="49"/>
      <c r="M4084" s="49"/>
      <c r="N4084" s="49"/>
      <c r="O4084" s="49" t="str">
        <f t="shared" si="2"/>
        <v/>
      </c>
      <c r="P4084" s="49" t="str">
        <f t="shared" si="3"/>
        <v/>
      </c>
      <c r="Q4084" s="84"/>
      <c r="R4084" s="84"/>
      <c r="S4084" s="84"/>
      <c r="T4084" s="84"/>
      <c r="U4084" s="84"/>
      <c r="V4084" s="84"/>
      <c r="W4084" s="84"/>
      <c r="X4084" s="84"/>
      <c r="Y4084" s="84"/>
      <c r="Z4084" s="84"/>
      <c r="AA4084" s="84"/>
      <c r="AB4084" s="84"/>
    </row>
    <row r="4085">
      <c r="A4085" s="89"/>
      <c r="B4085" s="89"/>
      <c r="C4085" s="89"/>
      <c r="D4085" s="89"/>
      <c r="E4085" s="89"/>
      <c r="F4085" s="89"/>
      <c r="G4085" s="89"/>
      <c r="H4085" s="2"/>
      <c r="I4085" s="90"/>
      <c r="J4085" s="90"/>
      <c r="K4085" s="2"/>
      <c r="L4085" s="48"/>
      <c r="M4085" s="48"/>
      <c r="N4085" s="48"/>
      <c r="O4085" s="48" t="str">
        <f t="shared" si="2"/>
        <v/>
      </c>
      <c r="P4085" s="48" t="str">
        <f t="shared" si="3"/>
        <v/>
      </c>
      <c r="Q4085" s="84"/>
      <c r="R4085" s="84"/>
      <c r="S4085" s="84"/>
      <c r="T4085" s="84"/>
      <c r="U4085" s="84"/>
      <c r="V4085" s="84"/>
      <c r="W4085" s="84"/>
      <c r="X4085" s="84"/>
      <c r="Y4085" s="84"/>
      <c r="Z4085" s="84"/>
      <c r="AA4085" s="84"/>
      <c r="AB4085" s="84"/>
    </row>
    <row r="4086">
      <c r="A4086" s="89"/>
      <c r="B4086" s="89"/>
      <c r="C4086" s="89"/>
      <c r="D4086" s="89"/>
      <c r="E4086" s="89"/>
      <c r="F4086" s="89"/>
      <c r="G4086" s="89"/>
      <c r="H4086" s="2"/>
      <c r="I4086" s="90"/>
      <c r="J4086" s="90"/>
      <c r="K4086" s="2"/>
      <c r="L4086" s="49"/>
      <c r="M4086" s="49"/>
      <c r="N4086" s="49"/>
      <c r="O4086" s="49" t="str">
        <f t="shared" si="2"/>
        <v/>
      </c>
      <c r="P4086" s="49" t="str">
        <f t="shared" si="3"/>
        <v/>
      </c>
      <c r="Q4086" s="84"/>
      <c r="R4086" s="84"/>
      <c r="S4086" s="84"/>
      <c r="T4086" s="84"/>
      <c r="U4086" s="84"/>
      <c r="V4086" s="84"/>
      <c r="W4086" s="84"/>
      <c r="X4086" s="84"/>
      <c r="Y4086" s="84"/>
      <c r="Z4086" s="84"/>
      <c r="AA4086" s="84"/>
      <c r="AB4086" s="84"/>
    </row>
    <row r="4087">
      <c r="A4087" s="89"/>
      <c r="B4087" s="89"/>
      <c r="C4087" s="89"/>
      <c r="D4087" s="89"/>
      <c r="E4087" s="89"/>
      <c r="F4087" s="89"/>
      <c r="G4087" s="89"/>
      <c r="H4087" s="2"/>
      <c r="I4087" s="90"/>
      <c r="J4087" s="90"/>
      <c r="K4087" s="2"/>
      <c r="L4087" s="48"/>
      <c r="M4087" s="48"/>
      <c r="N4087" s="48"/>
      <c r="O4087" s="48" t="str">
        <f t="shared" si="2"/>
        <v/>
      </c>
      <c r="P4087" s="48" t="str">
        <f t="shared" si="3"/>
        <v/>
      </c>
      <c r="Q4087" s="84"/>
      <c r="R4087" s="84"/>
      <c r="S4087" s="84"/>
      <c r="T4087" s="84"/>
      <c r="U4087" s="84"/>
      <c r="V4087" s="84"/>
      <c r="W4087" s="84"/>
      <c r="X4087" s="84"/>
      <c r="Y4087" s="84"/>
      <c r="Z4087" s="84"/>
      <c r="AA4087" s="84"/>
      <c r="AB4087" s="84"/>
    </row>
    <row r="4088">
      <c r="A4088" s="89"/>
      <c r="B4088" s="89"/>
      <c r="C4088" s="89"/>
      <c r="D4088" s="89"/>
      <c r="E4088" s="89"/>
      <c r="F4088" s="89"/>
      <c r="G4088" s="89"/>
      <c r="H4088" s="2"/>
      <c r="I4088" s="90"/>
      <c r="J4088" s="90"/>
      <c r="K4088" s="2"/>
      <c r="L4088" s="49"/>
      <c r="M4088" s="49"/>
      <c r="N4088" s="49"/>
      <c r="O4088" s="49" t="str">
        <f t="shared" si="2"/>
        <v/>
      </c>
      <c r="P4088" s="49" t="str">
        <f t="shared" si="3"/>
        <v/>
      </c>
      <c r="Q4088" s="84"/>
      <c r="R4088" s="84"/>
      <c r="S4088" s="84"/>
      <c r="T4088" s="84"/>
      <c r="U4088" s="84"/>
      <c r="V4088" s="84"/>
      <c r="W4088" s="84"/>
      <c r="X4088" s="84"/>
      <c r="Y4088" s="84"/>
      <c r="Z4088" s="84"/>
      <c r="AA4088" s="84"/>
      <c r="AB4088" s="84"/>
    </row>
    <row r="4089">
      <c r="A4089" s="89"/>
      <c r="B4089" s="89"/>
      <c r="C4089" s="89"/>
      <c r="D4089" s="89"/>
      <c r="E4089" s="89"/>
      <c r="F4089" s="89"/>
      <c r="G4089" s="89"/>
      <c r="H4089" s="2"/>
      <c r="I4089" s="90"/>
      <c r="J4089" s="90"/>
      <c r="K4089" s="2"/>
      <c r="L4089" s="48"/>
      <c r="M4089" s="48"/>
      <c r="N4089" s="48"/>
      <c r="O4089" s="48" t="str">
        <f t="shared" si="2"/>
        <v/>
      </c>
      <c r="P4089" s="48" t="str">
        <f t="shared" si="3"/>
        <v/>
      </c>
      <c r="Q4089" s="84"/>
      <c r="R4089" s="84"/>
      <c r="S4089" s="84"/>
      <c r="T4089" s="84"/>
      <c r="U4089" s="84"/>
      <c r="V4089" s="84"/>
      <c r="W4089" s="84"/>
      <c r="X4089" s="84"/>
      <c r="Y4089" s="84"/>
      <c r="Z4089" s="84"/>
      <c r="AA4089" s="84"/>
      <c r="AB4089" s="84"/>
    </row>
    <row r="4090">
      <c r="A4090" s="89"/>
      <c r="B4090" s="89"/>
      <c r="C4090" s="89"/>
      <c r="D4090" s="89"/>
      <c r="E4090" s="89"/>
      <c r="F4090" s="89"/>
      <c r="G4090" s="89"/>
      <c r="H4090" s="2"/>
      <c r="I4090" s="90"/>
      <c r="J4090" s="90"/>
      <c r="K4090" s="2"/>
      <c r="L4090" s="49"/>
      <c r="M4090" s="49"/>
      <c r="N4090" s="49"/>
      <c r="O4090" s="49" t="str">
        <f t="shared" si="2"/>
        <v/>
      </c>
      <c r="P4090" s="49" t="str">
        <f t="shared" si="3"/>
        <v/>
      </c>
      <c r="Q4090" s="84"/>
      <c r="R4090" s="84"/>
      <c r="S4090" s="84"/>
      <c r="T4090" s="84"/>
      <c r="U4090" s="84"/>
      <c r="V4090" s="84"/>
      <c r="W4090" s="84"/>
      <c r="X4090" s="84"/>
      <c r="Y4090" s="84"/>
      <c r="Z4090" s="84"/>
      <c r="AA4090" s="84"/>
      <c r="AB4090" s="84"/>
    </row>
    <row r="4091">
      <c r="A4091" s="89"/>
      <c r="B4091" s="89"/>
      <c r="C4091" s="89"/>
      <c r="D4091" s="89"/>
      <c r="E4091" s="89"/>
      <c r="F4091" s="89"/>
      <c r="G4091" s="89"/>
      <c r="H4091" s="2"/>
      <c r="I4091" s="90"/>
      <c r="J4091" s="90"/>
      <c r="K4091" s="2"/>
      <c r="L4091" s="48"/>
      <c r="M4091" s="48"/>
      <c r="N4091" s="48"/>
      <c r="O4091" s="48" t="str">
        <f t="shared" si="2"/>
        <v/>
      </c>
      <c r="P4091" s="48" t="str">
        <f t="shared" si="3"/>
        <v/>
      </c>
      <c r="Q4091" s="84"/>
      <c r="R4091" s="84"/>
      <c r="S4091" s="84"/>
      <c r="T4091" s="84"/>
      <c r="U4091" s="84"/>
      <c r="V4091" s="84"/>
      <c r="W4091" s="84"/>
      <c r="X4091" s="84"/>
      <c r="Y4091" s="84"/>
      <c r="Z4091" s="84"/>
      <c r="AA4091" s="84"/>
      <c r="AB4091" s="84"/>
    </row>
    <row r="4092">
      <c r="A4092" s="89"/>
      <c r="B4092" s="89"/>
      <c r="C4092" s="89"/>
      <c r="D4092" s="89"/>
      <c r="E4092" s="89"/>
      <c r="F4092" s="89"/>
      <c r="G4092" s="89"/>
      <c r="H4092" s="2"/>
      <c r="I4092" s="90"/>
      <c r="J4092" s="90"/>
      <c r="K4092" s="2"/>
      <c r="L4092" s="49"/>
      <c r="M4092" s="49"/>
      <c r="N4092" s="49"/>
      <c r="O4092" s="49" t="str">
        <f t="shared" si="2"/>
        <v/>
      </c>
      <c r="P4092" s="49" t="str">
        <f t="shared" si="3"/>
        <v/>
      </c>
      <c r="Q4092" s="84"/>
      <c r="R4092" s="84"/>
      <c r="S4092" s="84"/>
      <c r="T4092" s="84"/>
      <c r="U4092" s="84"/>
      <c r="V4092" s="84"/>
      <c r="W4092" s="84"/>
      <c r="X4092" s="84"/>
      <c r="Y4092" s="84"/>
      <c r="Z4092" s="84"/>
      <c r="AA4092" s="84"/>
      <c r="AB4092" s="84"/>
    </row>
    <row r="4093">
      <c r="A4093" s="89"/>
      <c r="B4093" s="89"/>
      <c r="C4093" s="89"/>
      <c r="D4093" s="89"/>
      <c r="E4093" s="89"/>
      <c r="F4093" s="89"/>
      <c r="G4093" s="89"/>
      <c r="H4093" s="2"/>
      <c r="I4093" s="90"/>
      <c r="J4093" s="90"/>
      <c r="K4093" s="2"/>
      <c r="L4093" s="48"/>
      <c r="M4093" s="48"/>
      <c r="N4093" s="48"/>
      <c r="O4093" s="48" t="str">
        <f t="shared" si="2"/>
        <v/>
      </c>
      <c r="P4093" s="48" t="str">
        <f t="shared" si="3"/>
        <v/>
      </c>
      <c r="Q4093" s="84"/>
      <c r="R4093" s="84"/>
      <c r="S4093" s="84"/>
      <c r="T4093" s="84"/>
      <c r="U4093" s="84"/>
      <c r="V4093" s="84"/>
      <c r="W4093" s="84"/>
      <c r="X4093" s="84"/>
      <c r="Y4093" s="84"/>
      <c r="Z4093" s="84"/>
      <c r="AA4093" s="84"/>
      <c r="AB4093" s="84"/>
    </row>
    <row r="4094">
      <c r="A4094" s="89"/>
      <c r="B4094" s="89"/>
      <c r="C4094" s="89"/>
      <c r="D4094" s="89"/>
      <c r="E4094" s="89"/>
      <c r="F4094" s="89"/>
      <c r="G4094" s="89"/>
      <c r="H4094" s="2"/>
      <c r="I4094" s="90"/>
      <c r="J4094" s="90"/>
      <c r="K4094" s="2"/>
      <c r="L4094" s="49"/>
      <c r="M4094" s="49"/>
      <c r="N4094" s="49"/>
      <c r="O4094" s="49" t="str">
        <f t="shared" si="2"/>
        <v/>
      </c>
      <c r="P4094" s="49" t="str">
        <f t="shared" si="3"/>
        <v/>
      </c>
      <c r="Q4094" s="84"/>
      <c r="R4094" s="84"/>
      <c r="S4094" s="84"/>
      <c r="T4094" s="84"/>
      <c r="U4094" s="84"/>
      <c r="V4094" s="84"/>
      <c r="W4094" s="84"/>
      <c r="X4094" s="84"/>
      <c r="Y4094" s="84"/>
      <c r="Z4094" s="84"/>
      <c r="AA4094" s="84"/>
      <c r="AB4094" s="84"/>
    </row>
    <row r="4095">
      <c r="A4095" s="89"/>
      <c r="B4095" s="89"/>
      <c r="C4095" s="89"/>
      <c r="D4095" s="89"/>
      <c r="E4095" s="89"/>
      <c r="F4095" s="89"/>
      <c r="G4095" s="89"/>
      <c r="H4095" s="2"/>
      <c r="I4095" s="90"/>
      <c r="J4095" s="90"/>
      <c r="K4095" s="2"/>
      <c r="L4095" s="48"/>
      <c r="M4095" s="48"/>
      <c r="N4095" s="48"/>
      <c r="O4095" s="48" t="str">
        <f t="shared" si="2"/>
        <v/>
      </c>
      <c r="P4095" s="48" t="str">
        <f t="shared" si="3"/>
        <v/>
      </c>
      <c r="Q4095" s="84"/>
      <c r="R4095" s="84"/>
      <c r="S4095" s="84"/>
      <c r="T4095" s="84"/>
      <c r="U4095" s="84"/>
      <c r="V4095" s="84"/>
      <c r="W4095" s="84"/>
      <c r="X4095" s="84"/>
      <c r="Y4095" s="84"/>
      <c r="Z4095" s="84"/>
      <c r="AA4095" s="84"/>
      <c r="AB4095" s="84"/>
    </row>
    <row r="4096">
      <c r="A4096" s="89"/>
      <c r="B4096" s="89"/>
      <c r="C4096" s="89"/>
      <c r="D4096" s="89"/>
      <c r="E4096" s="89"/>
      <c r="F4096" s="89"/>
      <c r="G4096" s="89"/>
      <c r="H4096" s="2"/>
      <c r="I4096" s="90"/>
      <c r="J4096" s="90"/>
      <c r="K4096" s="2"/>
      <c r="L4096" s="49"/>
      <c r="M4096" s="49"/>
      <c r="N4096" s="49"/>
      <c r="O4096" s="49" t="str">
        <f t="shared" si="2"/>
        <v/>
      </c>
      <c r="P4096" s="49" t="str">
        <f t="shared" si="3"/>
        <v/>
      </c>
      <c r="Q4096" s="84"/>
      <c r="R4096" s="84"/>
      <c r="S4096" s="84"/>
      <c r="T4096" s="84"/>
      <c r="U4096" s="84"/>
      <c r="V4096" s="84"/>
      <c r="W4096" s="84"/>
      <c r="X4096" s="84"/>
      <c r="Y4096" s="84"/>
      <c r="Z4096" s="84"/>
      <c r="AA4096" s="84"/>
      <c r="AB4096" s="84"/>
    </row>
    <row r="4097">
      <c r="A4097" s="89"/>
      <c r="B4097" s="89"/>
      <c r="C4097" s="89"/>
      <c r="D4097" s="89"/>
      <c r="E4097" s="89"/>
      <c r="F4097" s="89"/>
      <c r="G4097" s="89"/>
      <c r="H4097" s="2"/>
      <c r="I4097" s="90"/>
      <c r="J4097" s="90"/>
      <c r="K4097" s="2"/>
      <c r="L4097" s="48"/>
      <c r="M4097" s="48"/>
      <c r="N4097" s="48"/>
      <c r="O4097" s="48" t="str">
        <f t="shared" si="2"/>
        <v/>
      </c>
      <c r="P4097" s="48" t="str">
        <f t="shared" si="3"/>
        <v/>
      </c>
      <c r="Q4097" s="84"/>
      <c r="R4097" s="84"/>
      <c r="S4097" s="84"/>
      <c r="T4097" s="84"/>
      <c r="U4097" s="84"/>
      <c r="V4097" s="84"/>
      <c r="W4097" s="84"/>
      <c r="X4097" s="84"/>
      <c r="Y4097" s="84"/>
      <c r="Z4097" s="84"/>
      <c r="AA4097" s="84"/>
      <c r="AB4097" s="84"/>
    </row>
    <row r="4098">
      <c r="A4098" s="89"/>
      <c r="B4098" s="89"/>
      <c r="C4098" s="89"/>
      <c r="D4098" s="89"/>
      <c r="E4098" s="89"/>
      <c r="F4098" s="89"/>
      <c r="G4098" s="89"/>
      <c r="H4098" s="2"/>
      <c r="I4098" s="90"/>
      <c r="J4098" s="90"/>
      <c r="K4098" s="2"/>
      <c r="L4098" s="49"/>
      <c r="M4098" s="49"/>
      <c r="N4098" s="49"/>
      <c r="O4098" s="49" t="str">
        <f t="shared" si="2"/>
        <v/>
      </c>
      <c r="P4098" s="49" t="str">
        <f t="shared" si="3"/>
        <v/>
      </c>
      <c r="Q4098" s="84"/>
      <c r="R4098" s="84"/>
      <c r="S4098" s="84"/>
      <c r="T4098" s="84"/>
      <c r="U4098" s="84"/>
      <c r="V4098" s="84"/>
      <c r="W4098" s="84"/>
      <c r="X4098" s="84"/>
      <c r="Y4098" s="84"/>
      <c r="Z4098" s="84"/>
      <c r="AA4098" s="84"/>
      <c r="AB4098" s="84"/>
    </row>
    <row r="4099">
      <c r="A4099" s="89"/>
      <c r="B4099" s="89"/>
      <c r="C4099" s="89"/>
      <c r="D4099" s="89"/>
      <c r="E4099" s="89"/>
      <c r="F4099" s="89"/>
      <c r="G4099" s="89"/>
      <c r="H4099" s="2"/>
      <c r="I4099" s="90"/>
      <c r="J4099" s="90"/>
      <c r="K4099" s="2"/>
      <c r="L4099" s="48"/>
      <c r="M4099" s="48"/>
      <c r="N4099" s="48"/>
      <c r="O4099" s="48" t="str">
        <f t="shared" si="2"/>
        <v/>
      </c>
      <c r="P4099" s="48" t="str">
        <f t="shared" si="3"/>
        <v/>
      </c>
      <c r="Q4099" s="84"/>
      <c r="R4099" s="84"/>
      <c r="S4099" s="84"/>
      <c r="T4099" s="84"/>
      <c r="U4099" s="84"/>
      <c r="V4099" s="84"/>
      <c r="W4099" s="84"/>
      <c r="X4099" s="84"/>
      <c r="Y4099" s="84"/>
      <c r="Z4099" s="84"/>
      <c r="AA4099" s="84"/>
      <c r="AB4099" s="84"/>
    </row>
    <row r="4100">
      <c r="A4100" s="89"/>
      <c r="B4100" s="89"/>
      <c r="C4100" s="89"/>
      <c r="D4100" s="89"/>
      <c r="E4100" s="89"/>
      <c r="F4100" s="89"/>
      <c r="G4100" s="89"/>
      <c r="H4100" s="2"/>
      <c r="I4100" s="90"/>
      <c r="J4100" s="90"/>
      <c r="K4100" s="2"/>
      <c r="L4100" s="49"/>
      <c r="M4100" s="49"/>
      <c r="N4100" s="49"/>
      <c r="O4100" s="49" t="str">
        <f t="shared" si="2"/>
        <v/>
      </c>
      <c r="P4100" s="49" t="str">
        <f t="shared" si="3"/>
        <v/>
      </c>
      <c r="Q4100" s="84"/>
      <c r="R4100" s="84"/>
      <c r="S4100" s="84"/>
      <c r="T4100" s="84"/>
      <c r="U4100" s="84"/>
      <c r="V4100" s="84"/>
      <c r="W4100" s="84"/>
      <c r="X4100" s="84"/>
      <c r="Y4100" s="84"/>
      <c r="Z4100" s="84"/>
      <c r="AA4100" s="84"/>
      <c r="AB4100" s="84"/>
    </row>
    <row r="4101">
      <c r="A4101" s="89"/>
      <c r="B4101" s="89"/>
      <c r="C4101" s="89"/>
      <c r="D4101" s="89"/>
      <c r="E4101" s="89"/>
      <c r="F4101" s="89"/>
      <c r="G4101" s="89"/>
      <c r="H4101" s="2"/>
      <c r="I4101" s="90"/>
      <c r="J4101" s="90"/>
      <c r="K4101" s="2"/>
      <c r="L4101" s="48"/>
      <c r="M4101" s="48"/>
      <c r="N4101" s="48"/>
      <c r="O4101" s="48" t="str">
        <f t="shared" si="2"/>
        <v/>
      </c>
      <c r="P4101" s="48" t="str">
        <f t="shared" si="3"/>
        <v/>
      </c>
      <c r="Q4101" s="84"/>
      <c r="R4101" s="84"/>
      <c r="S4101" s="84"/>
      <c r="T4101" s="84"/>
      <c r="U4101" s="84"/>
      <c r="V4101" s="84"/>
      <c r="W4101" s="84"/>
      <c r="X4101" s="84"/>
      <c r="Y4101" s="84"/>
      <c r="Z4101" s="84"/>
      <c r="AA4101" s="84"/>
      <c r="AB4101" s="84"/>
    </row>
    <row r="4102">
      <c r="A4102" s="89"/>
      <c r="B4102" s="89"/>
      <c r="C4102" s="89"/>
      <c r="D4102" s="89"/>
      <c r="E4102" s="89"/>
      <c r="F4102" s="89"/>
      <c r="G4102" s="89"/>
      <c r="H4102" s="2"/>
      <c r="I4102" s="90"/>
      <c r="J4102" s="90"/>
      <c r="K4102" s="2"/>
      <c r="L4102" s="49"/>
      <c r="M4102" s="49"/>
      <c r="N4102" s="49"/>
      <c r="O4102" s="49" t="str">
        <f t="shared" si="2"/>
        <v/>
      </c>
      <c r="P4102" s="49" t="str">
        <f t="shared" si="3"/>
        <v/>
      </c>
      <c r="Q4102" s="84"/>
      <c r="R4102" s="84"/>
      <c r="S4102" s="84"/>
      <c r="T4102" s="84"/>
      <c r="U4102" s="84"/>
      <c r="V4102" s="84"/>
      <c r="W4102" s="84"/>
      <c r="X4102" s="84"/>
      <c r="Y4102" s="84"/>
      <c r="Z4102" s="84"/>
      <c r="AA4102" s="84"/>
      <c r="AB4102" s="84"/>
    </row>
    <row r="4103">
      <c r="A4103" s="89"/>
      <c r="B4103" s="89"/>
      <c r="C4103" s="89"/>
      <c r="D4103" s="89"/>
      <c r="E4103" s="89"/>
      <c r="F4103" s="89"/>
      <c r="G4103" s="89"/>
      <c r="H4103" s="2"/>
      <c r="I4103" s="90"/>
      <c r="J4103" s="90"/>
      <c r="K4103" s="2"/>
      <c r="L4103" s="48"/>
      <c r="M4103" s="48"/>
      <c r="N4103" s="48"/>
      <c r="O4103" s="48" t="str">
        <f t="shared" si="2"/>
        <v/>
      </c>
      <c r="P4103" s="48" t="str">
        <f t="shared" si="3"/>
        <v/>
      </c>
      <c r="Q4103" s="84"/>
      <c r="R4103" s="84"/>
      <c r="S4103" s="84"/>
      <c r="T4103" s="84"/>
      <c r="U4103" s="84"/>
      <c r="V4103" s="84"/>
      <c r="W4103" s="84"/>
      <c r="X4103" s="84"/>
      <c r="Y4103" s="84"/>
      <c r="Z4103" s="84"/>
      <c r="AA4103" s="84"/>
      <c r="AB4103" s="84"/>
    </row>
    <row r="4104">
      <c r="A4104" s="89"/>
      <c r="B4104" s="89"/>
      <c r="C4104" s="89"/>
      <c r="D4104" s="89"/>
      <c r="E4104" s="89"/>
      <c r="F4104" s="89"/>
      <c r="G4104" s="89"/>
      <c r="H4104" s="2"/>
      <c r="I4104" s="90"/>
      <c r="J4104" s="90"/>
      <c r="K4104" s="2"/>
      <c r="L4104" s="49"/>
      <c r="M4104" s="49"/>
      <c r="N4104" s="49"/>
      <c r="O4104" s="49" t="str">
        <f t="shared" si="2"/>
        <v/>
      </c>
      <c r="P4104" s="49" t="str">
        <f t="shared" si="3"/>
        <v/>
      </c>
      <c r="Q4104" s="84"/>
      <c r="R4104" s="84"/>
      <c r="S4104" s="84"/>
      <c r="T4104" s="84"/>
      <c r="U4104" s="84"/>
      <c r="V4104" s="84"/>
      <c r="W4104" s="84"/>
      <c r="X4104" s="84"/>
      <c r="Y4104" s="84"/>
      <c r="Z4104" s="84"/>
      <c r="AA4104" s="84"/>
      <c r="AB4104" s="84"/>
    </row>
    <row r="4105">
      <c r="A4105" s="89"/>
      <c r="B4105" s="89"/>
      <c r="C4105" s="89"/>
      <c r="D4105" s="89"/>
      <c r="E4105" s="89"/>
      <c r="F4105" s="89"/>
      <c r="G4105" s="89"/>
      <c r="H4105" s="2"/>
      <c r="I4105" s="90"/>
      <c r="J4105" s="90"/>
      <c r="K4105" s="2"/>
      <c r="L4105" s="48"/>
      <c r="M4105" s="48"/>
      <c r="N4105" s="48"/>
      <c r="O4105" s="48" t="str">
        <f t="shared" si="2"/>
        <v/>
      </c>
      <c r="P4105" s="48" t="str">
        <f t="shared" si="3"/>
        <v/>
      </c>
      <c r="Q4105" s="84"/>
      <c r="R4105" s="84"/>
      <c r="S4105" s="84"/>
      <c r="T4105" s="84"/>
      <c r="U4105" s="84"/>
      <c r="V4105" s="84"/>
      <c r="W4105" s="84"/>
      <c r="X4105" s="84"/>
      <c r="Y4105" s="84"/>
      <c r="Z4105" s="84"/>
      <c r="AA4105" s="84"/>
      <c r="AB4105" s="84"/>
    </row>
    <row r="4106">
      <c r="A4106" s="89"/>
      <c r="B4106" s="89"/>
      <c r="C4106" s="89"/>
      <c r="D4106" s="89"/>
      <c r="E4106" s="89"/>
      <c r="F4106" s="89"/>
      <c r="G4106" s="89"/>
      <c r="H4106" s="2"/>
      <c r="I4106" s="90"/>
      <c r="J4106" s="90"/>
      <c r="K4106" s="2"/>
      <c r="L4106" s="49"/>
      <c r="M4106" s="49"/>
      <c r="N4106" s="49"/>
      <c r="O4106" s="49" t="str">
        <f t="shared" si="2"/>
        <v/>
      </c>
      <c r="P4106" s="49" t="str">
        <f t="shared" si="3"/>
        <v/>
      </c>
      <c r="Q4106" s="84"/>
      <c r="R4106" s="84"/>
      <c r="S4106" s="84"/>
      <c r="T4106" s="84"/>
      <c r="U4106" s="84"/>
      <c r="V4106" s="84"/>
      <c r="W4106" s="84"/>
      <c r="X4106" s="84"/>
      <c r="Y4106" s="84"/>
      <c r="Z4106" s="84"/>
      <c r="AA4106" s="84"/>
      <c r="AB4106" s="84"/>
    </row>
    <row r="4107">
      <c r="A4107" s="89"/>
      <c r="B4107" s="89"/>
      <c r="C4107" s="89"/>
      <c r="D4107" s="89"/>
      <c r="E4107" s="89"/>
      <c r="F4107" s="89"/>
      <c r="G4107" s="89"/>
      <c r="H4107" s="2"/>
      <c r="I4107" s="90"/>
      <c r="J4107" s="90"/>
      <c r="K4107" s="2"/>
      <c r="L4107" s="48"/>
      <c r="M4107" s="48"/>
      <c r="N4107" s="48"/>
      <c r="O4107" s="48" t="str">
        <f t="shared" si="2"/>
        <v/>
      </c>
      <c r="P4107" s="48" t="str">
        <f t="shared" si="3"/>
        <v/>
      </c>
      <c r="Q4107" s="84"/>
      <c r="R4107" s="84"/>
      <c r="S4107" s="84"/>
      <c r="T4107" s="84"/>
      <c r="U4107" s="84"/>
      <c r="V4107" s="84"/>
      <c r="W4107" s="84"/>
      <c r="X4107" s="84"/>
      <c r="Y4107" s="84"/>
      <c r="Z4107" s="84"/>
      <c r="AA4107" s="84"/>
      <c r="AB4107" s="84"/>
    </row>
    <row r="4108">
      <c r="A4108" s="89"/>
      <c r="B4108" s="89"/>
      <c r="C4108" s="89"/>
      <c r="D4108" s="89"/>
      <c r="E4108" s="89"/>
      <c r="F4108" s="89"/>
      <c r="G4108" s="89"/>
      <c r="H4108" s="2"/>
      <c r="I4108" s="90"/>
      <c r="J4108" s="90"/>
      <c r="K4108" s="2"/>
      <c r="L4108" s="49"/>
      <c r="M4108" s="49"/>
      <c r="N4108" s="49"/>
      <c r="O4108" s="49" t="str">
        <f t="shared" si="2"/>
        <v/>
      </c>
      <c r="P4108" s="49" t="str">
        <f t="shared" si="3"/>
        <v/>
      </c>
      <c r="Q4108" s="84"/>
      <c r="R4108" s="84"/>
      <c r="S4108" s="84"/>
      <c r="T4108" s="84"/>
      <c r="U4108" s="84"/>
      <c r="V4108" s="84"/>
      <c r="W4108" s="84"/>
      <c r="X4108" s="84"/>
      <c r="Y4108" s="84"/>
      <c r="Z4108" s="84"/>
      <c r="AA4108" s="84"/>
      <c r="AB4108" s="84"/>
    </row>
    <row r="4109">
      <c r="A4109" s="89"/>
      <c r="B4109" s="89"/>
      <c r="C4109" s="89"/>
      <c r="D4109" s="89"/>
      <c r="E4109" s="89"/>
      <c r="F4109" s="89"/>
      <c r="G4109" s="89"/>
      <c r="H4109" s="2"/>
      <c r="I4109" s="90"/>
      <c r="J4109" s="90"/>
      <c r="K4109" s="2"/>
      <c r="L4109" s="48"/>
      <c r="M4109" s="48"/>
      <c r="N4109" s="48"/>
      <c r="O4109" s="48" t="str">
        <f t="shared" si="2"/>
        <v/>
      </c>
      <c r="P4109" s="48" t="str">
        <f t="shared" si="3"/>
        <v/>
      </c>
      <c r="Q4109" s="84"/>
      <c r="R4109" s="84"/>
      <c r="S4109" s="84"/>
      <c r="T4109" s="84"/>
      <c r="U4109" s="84"/>
      <c r="V4109" s="84"/>
      <c r="W4109" s="84"/>
      <c r="X4109" s="84"/>
      <c r="Y4109" s="84"/>
      <c r="Z4109" s="84"/>
      <c r="AA4109" s="84"/>
      <c r="AB4109" s="84"/>
    </row>
    <row r="4110">
      <c r="A4110" s="89"/>
      <c r="B4110" s="89"/>
      <c r="C4110" s="89"/>
      <c r="D4110" s="89"/>
      <c r="E4110" s="89"/>
      <c r="F4110" s="89"/>
      <c r="G4110" s="89"/>
      <c r="H4110" s="2"/>
      <c r="I4110" s="90"/>
      <c r="J4110" s="90"/>
      <c r="K4110" s="2"/>
      <c r="L4110" s="49"/>
      <c r="M4110" s="49"/>
      <c r="N4110" s="49"/>
      <c r="O4110" s="49" t="str">
        <f t="shared" si="2"/>
        <v/>
      </c>
      <c r="P4110" s="49" t="str">
        <f t="shared" si="3"/>
        <v/>
      </c>
      <c r="Q4110" s="84"/>
      <c r="R4110" s="84"/>
      <c r="S4110" s="84"/>
      <c r="T4110" s="84"/>
      <c r="U4110" s="84"/>
      <c r="V4110" s="84"/>
      <c r="W4110" s="84"/>
      <c r="X4110" s="84"/>
      <c r="Y4110" s="84"/>
      <c r="Z4110" s="84"/>
      <c r="AA4110" s="84"/>
      <c r="AB4110" s="84"/>
    </row>
    <row r="4111">
      <c r="A4111" s="89"/>
      <c r="B4111" s="89"/>
      <c r="C4111" s="89"/>
      <c r="D4111" s="89"/>
      <c r="E4111" s="89"/>
      <c r="F4111" s="89"/>
      <c r="G4111" s="89"/>
      <c r="H4111" s="2"/>
      <c r="I4111" s="90"/>
      <c r="J4111" s="90"/>
      <c r="K4111" s="2"/>
      <c r="L4111" s="48"/>
      <c r="M4111" s="48"/>
      <c r="N4111" s="48"/>
      <c r="O4111" s="48" t="str">
        <f t="shared" si="2"/>
        <v/>
      </c>
      <c r="P4111" s="48" t="str">
        <f t="shared" si="3"/>
        <v/>
      </c>
      <c r="Q4111" s="84"/>
      <c r="R4111" s="84"/>
      <c r="S4111" s="84"/>
      <c r="T4111" s="84"/>
      <c r="U4111" s="84"/>
      <c r="V4111" s="84"/>
      <c r="W4111" s="84"/>
      <c r="X4111" s="84"/>
      <c r="Y4111" s="84"/>
      <c r="Z4111" s="84"/>
      <c r="AA4111" s="84"/>
      <c r="AB4111" s="84"/>
    </row>
    <row r="4112">
      <c r="A4112" s="89"/>
      <c r="B4112" s="89"/>
      <c r="C4112" s="89"/>
      <c r="D4112" s="89"/>
      <c r="E4112" s="89"/>
      <c r="F4112" s="89"/>
      <c r="G4112" s="89"/>
      <c r="H4112" s="2"/>
      <c r="I4112" s="90"/>
      <c r="J4112" s="90"/>
      <c r="K4112" s="2"/>
      <c r="L4112" s="49"/>
      <c r="M4112" s="49"/>
      <c r="N4112" s="49"/>
      <c r="O4112" s="49" t="str">
        <f t="shared" si="2"/>
        <v/>
      </c>
      <c r="P4112" s="49" t="str">
        <f t="shared" si="3"/>
        <v/>
      </c>
      <c r="Q4112" s="84"/>
      <c r="R4112" s="84"/>
      <c r="S4112" s="84"/>
      <c r="T4112" s="84"/>
      <c r="U4112" s="84"/>
      <c r="V4112" s="84"/>
      <c r="W4112" s="84"/>
      <c r="X4112" s="84"/>
      <c r="Y4112" s="84"/>
      <c r="Z4112" s="84"/>
      <c r="AA4112" s="84"/>
      <c r="AB4112" s="84"/>
    </row>
    <row r="4113">
      <c r="A4113" s="89"/>
      <c r="B4113" s="89"/>
      <c r="C4113" s="89"/>
      <c r="D4113" s="89"/>
      <c r="E4113" s="89"/>
      <c r="F4113" s="89"/>
      <c r="G4113" s="89"/>
      <c r="H4113" s="2"/>
      <c r="I4113" s="90"/>
      <c r="J4113" s="90"/>
      <c r="K4113" s="2"/>
      <c r="L4113" s="48"/>
      <c r="M4113" s="48"/>
      <c r="N4113" s="48"/>
      <c r="O4113" s="48" t="str">
        <f t="shared" si="2"/>
        <v/>
      </c>
      <c r="P4113" s="48" t="str">
        <f t="shared" si="3"/>
        <v/>
      </c>
      <c r="Q4113" s="84"/>
      <c r="R4113" s="84"/>
      <c r="S4113" s="84"/>
      <c r="T4113" s="84"/>
      <c r="U4113" s="84"/>
      <c r="V4113" s="84"/>
      <c r="W4113" s="84"/>
      <c r="X4113" s="84"/>
      <c r="Y4113" s="84"/>
      <c r="Z4113" s="84"/>
      <c r="AA4113" s="84"/>
      <c r="AB4113" s="84"/>
    </row>
    <row r="4114">
      <c r="A4114" s="89"/>
      <c r="B4114" s="89"/>
      <c r="C4114" s="89"/>
      <c r="D4114" s="89"/>
      <c r="E4114" s="89"/>
      <c r="F4114" s="89"/>
      <c r="G4114" s="89"/>
      <c r="H4114" s="2"/>
      <c r="I4114" s="90"/>
      <c r="J4114" s="90"/>
      <c r="K4114" s="2"/>
      <c r="L4114" s="49"/>
      <c r="M4114" s="49"/>
      <c r="N4114" s="49"/>
      <c r="O4114" s="49" t="str">
        <f t="shared" si="2"/>
        <v/>
      </c>
      <c r="P4114" s="49" t="str">
        <f t="shared" si="3"/>
        <v/>
      </c>
      <c r="Q4114" s="84"/>
      <c r="R4114" s="84"/>
      <c r="S4114" s="84"/>
      <c r="T4114" s="84"/>
      <c r="U4114" s="84"/>
      <c r="V4114" s="84"/>
      <c r="W4114" s="84"/>
      <c r="X4114" s="84"/>
      <c r="Y4114" s="84"/>
      <c r="Z4114" s="84"/>
      <c r="AA4114" s="84"/>
      <c r="AB4114" s="84"/>
    </row>
    <row r="4115">
      <c r="A4115" s="89"/>
      <c r="B4115" s="89"/>
      <c r="C4115" s="89"/>
      <c r="D4115" s="89"/>
      <c r="E4115" s="89"/>
      <c r="F4115" s="89"/>
      <c r="G4115" s="89"/>
      <c r="H4115" s="2"/>
      <c r="I4115" s="90"/>
      <c r="J4115" s="90"/>
      <c r="K4115" s="2"/>
      <c r="L4115" s="48"/>
      <c r="M4115" s="48"/>
      <c r="N4115" s="48"/>
      <c r="O4115" s="48" t="str">
        <f t="shared" si="2"/>
        <v/>
      </c>
      <c r="P4115" s="48" t="str">
        <f t="shared" si="3"/>
        <v/>
      </c>
      <c r="Q4115" s="84"/>
      <c r="R4115" s="84"/>
      <c r="S4115" s="84"/>
      <c r="T4115" s="84"/>
      <c r="U4115" s="84"/>
      <c r="V4115" s="84"/>
      <c r="W4115" s="84"/>
      <c r="X4115" s="84"/>
      <c r="Y4115" s="84"/>
      <c r="Z4115" s="84"/>
      <c r="AA4115" s="84"/>
      <c r="AB4115" s="84"/>
    </row>
    <row r="4116">
      <c r="A4116" s="89"/>
      <c r="B4116" s="89"/>
      <c r="C4116" s="89"/>
      <c r="D4116" s="89"/>
      <c r="E4116" s="89"/>
      <c r="F4116" s="89"/>
      <c r="G4116" s="89"/>
      <c r="H4116" s="2"/>
      <c r="I4116" s="90"/>
      <c r="J4116" s="90"/>
      <c r="K4116" s="2"/>
      <c r="L4116" s="49"/>
      <c r="M4116" s="49"/>
      <c r="N4116" s="49"/>
      <c r="O4116" s="49" t="str">
        <f t="shared" si="2"/>
        <v/>
      </c>
      <c r="P4116" s="49" t="str">
        <f t="shared" si="3"/>
        <v/>
      </c>
      <c r="Q4116" s="84"/>
      <c r="R4116" s="84"/>
      <c r="S4116" s="84"/>
      <c r="T4116" s="84"/>
      <c r="U4116" s="84"/>
      <c r="V4116" s="84"/>
      <c r="W4116" s="84"/>
      <c r="X4116" s="84"/>
      <c r="Y4116" s="84"/>
      <c r="Z4116" s="84"/>
      <c r="AA4116" s="84"/>
      <c r="AB4116" s="84"/>
    </row>
    <row r="4117">
      <c r="A4117" s="89"/>
      <c r="B4117" s="89"/>
      <c r="C4117" s="89"/>
      <c r="D4117" s="89"/>
      <c r="E4117" s="89"/>
      <c r="F4117" s="89"/>
      <c r="G4117" s="89"/>
      <c r="H4117" s="2"/>
      <c r="I4117" s="90"/>
      <c r="J4117" s="90"/>
      <c r="K4117" s="2"/>
      <c r="L4117" s="48"/>
      <c r="M4117" s="48"/>
      <c r="N4117" s="48"/>
      <c r="O4117" s="48" t="str">
        <f t="shared" si="2"/>
        <v/>
      </c>
      <c r="P4117" s="48" t="str">
        <f t="shared" si="3"/>
        <v/>
      </c>
      <c r="Q4117" s="84"/>
      <c r="R4117" s="84"/>
      <c r="S4117" s="84"/>
      <c r="T4117" s="84"/>
      <c r="U4117" s="84"/>
      <c r="V4117" s="84"/>
      <c r="W4117" s="84"/>
      <c r="X4117" s="84"/>
      <c r="Y4117" s="84"/>
      <c r="Z4117" s="84"/>
      <c r="AA4117" s="84"/>
      <c r="AB4117" s="84"/>
    </row>
    <row r="4118">
      <c r="A4118" s="89"/>
      <c r="B4118" s="89"/>
      <c r="C4118" s="89"/>
      <c r="D4118" s="89"/>
      <c r="E4118" s="89"/>
      <c r="F4118" s="89"/>
      <c r="G4118" s="89"/>
      <c r="H4118" s="2"/>
      <c r="I4118" s="90"/>
      <c r="J4118" s="90"/>
      <c r="K4118" s="2"/>
      <c r="L4118" s="49"/>
      <c r="M4118" s="49"/>
      <c r="N4118" s="49"/>
      <c r="O4118" s="49" t="str">
        <f t="shared" si="2"/>
        <v/>
      </c>
      <c r="P4118" s="49" t="str">
        <f t="shared" si="3"/>
        <v/>
      </c>
      <c r="Q4118" s="84"/>
      <c r="R4118" s="84"/>
      <c r="S4118" s="84"/>
      <c r="T4118" s="84"/>
      <c r="U4118" s="84"/>
      <c r="V4118" s="84"/>
      <c r="W4118" s="84"/>
      <c r="X4118" s="84"/>
      <c r="Y4118" s="84"/>
      <c r="Z4118" s="84"/>
      <c r="AA4118" s="84"/>
      <c r="AB4118" s="84"/>
    </row>
    <row r="4119">
      <c r="A4119" s="89"/>
      <c r="B4119" s="89"/>
      <c r="C4119" s="89"/>
      <c r="D4119" s="89"/>
      <c r="E4119" s="89"/>
      <c r="F4119" s="89"/>
      <c r="G4119" s="89"/>
      <c r="H4119" s="2"/>
      <c r="I4119" s="90"/>
      <c r="J4119" s="90"/>
      <c r="K4119" s="2"/>
      <c r="L4119" s="48"/>
      <c r="M4119" s="48"/>
      <c r="N4119" s="48"/>
      <c r="O4119" s="48" t="str">
        <f t="shared" si="2"/>
        <v/>
      </c>
      <c r="P4119" s="48" t="str">
        <f t="shared" si="3"/>
        <v/>
      </c>
      <c r="Q4119" s="84"/>
      <c r="R4119" s="84"/>
      <c r="S4119" s="84"/>
      <c r="T4119" s="84"/>
      <c r="U4119" s="84"/>
      <c r="V4119" s="84"/>
      <c r="W4119" s="84"/>
      <c r="X4119" s="84"/>
      <c r="Y4119" s="84"/>
      <c r="Z4119" s="84"/>
      <c r="AA4119" s="84"/>
      <c r="AB4119" s="84"/>
    </row>
    <row r="4120">
      <c r="A4120" s="89"/>
      <c r="B4120" s="89"/>
      <c r="C4120" s="89"/>
      <c r="D4120" s="89"/>
      <c r="E4120" s="89"/>
      <c r="F4120" s="89"/>
      <c r="G4120" s="89"/>
      <c r="H4120" s="2"/>
      <c r="I4120" s="90"/>
      <c r="J4120" s="90"/>
      <c r="K4120" s="2"/>
      <c r="L4120" s="49"/>
      <c r="M4120" s="49"/>
      <c r="N4120" s="49"/>
      <c r="O4120" s="49" t="str">
        <f t="shared" si="2"/>
        <v/>
      </c>
      <c r="P4120" s="49" t="str">
        <f t="shared" si="3"/>
        <v/>
      </c>
      <c r="Q4120" s="84"/>
      <c r="R4120" s="84"/>
      <c r="S4120" s="84"/>
      <c r="T4120" s="84"/>
      <c r="U4120" s="84"/>
      <c r="V4120" s="84"/>
      <c r="W4120" s="84"/>
      <c r="X4120" s="84"/>
      <c r="Y4120" s="84"/>
      <c r="Z4120" s="84"/>
      <c r="AA4120" s="84"/>
      <c r="AB4120" s="84"/>
    </row>
    <row r="4121">
      <c r="A4121" s="89"/>
      <c r="B4121" s="89"/>
      <c r="C4121" s="89"/>
      <c r="D4121" s="89"/>
      <c r="E4121" s="89"/>
      <c r="F4121" s="89"/>
      <c r="G4121" s="89"/>
      <c r="H4121" s="2"/>
      <c r="I4121" s="90"/>
      <c r="J4121" s="90"/>
      <c r="K4121" s="2"/>
      <c r="L4121" s="48"/>
      <c r="M4121" s="48"/>
      <c r="N4121" s="48"/>
      <c r="O4121" s="48" t="str">
        <f t="shared" si="2"/>
        <v/>
      </c>
      <c r="P4121" s="48" t="str">
        <f t="shared" si="3"/>
        <v/>
      </c>
      <c r="Q4121" s="84"/>
      <c r="R4121" s="84"/>
      <c r="S4121" s="84"/>
      <c r="T4121" s="84"/>
      <c r="U4121" s="84"/>
      <c r="V4121" s="84"/>
      <c r="W4121" s="84"/>
      <c r="X4121" s="84"/>
      <c r="Y4121" s="84"/>
      <c r="Z4121" s="84"/>
      <c r="AA4121" s="84"/>
      <c r="AB4121" s="84"/>
    </row>
    <row r="4122">
      <c r="A4122" s="89"/>
      <c r="B4122" s="89"/>
      <c r="C4122" s="89"/>
      <c r="D4122" s="89"/>
      <c r="E4122" s="89"/>
      <c r="F4122" s="89"/>
      <c r="G4122" s="89"/>
      <c r="H4122" s="2"/>
      <c r="I4122" s="90"/>
      <c r="J4122" s="90"/>
      <c r="K4122" s="2"/>
      <c r="L4122" s="49"/>
      <c r="M4122" s="49"/>
      <c r="N4122" s="49"/>
      <c r="O4122" s="49" t="str">
        <f t="shared" si="2"/>
        <v/>
      </c>
      <c r="P4122" s="49" t="str">
        <f t="shared" si="3"/>
        <v/>
      </c>
      <c r="Q4122" s="84"/>
      <c r="R4122" s="84"/>
      <c r="S4122" s="84"/>
      <c r="T4122" s="84"/>
      <c r="U4122" s="84"/>
      <c r="V4122" s="84"/>
      <c r="W4122" s="84"/>
      <c r="X4122" s="84"/>
      <c r="Y4122" s="84"/>
      <c r="Z4122" s="84"/>
      <c r="AA4122" s="84"/>
      <c r="AB4122" s="84"/>
    </row>
    <row r="4123">
      <c r="A4123" s="89"/>
      <c r="B4123" s="89"/>
      <c r="C4123" s="89"/>
      <c r="D4123" s="89"/>
      <c r="E4123" s="89"/>
      <c r="F4123" s="89"/>
      <c r="G4123" s="89"/>
      <c r="H4123" s="2"/>
      <c r="I4123" s="90"/>
      <c r="J4123" s="90"/>
      <c r="K4123" s="2"/>
      <c r="L4123" s="48"/>
      <c r="M4123" s="48"/>
      <c r="N4123" s="48"/>
      <c r="O4123" s="48" t="str">
        <f t="shared" si="2"/>
        <v/>
      </c>
      <c r="P4123" s="48" t="str">
        <f t="shared" si="3"/>
        <v/>
      </c>
      <c r="Q4123" s="84"/>
      <c r="R4123" s="84"/>
      <c r="S4123" s="84"/>
      <c r="T4123" s="84"/>
      <c r="U4123" s="84"/>
      <c r="V4123" s="84"/>
      <c r="W4123" s="84"/>
      <c r="X4123" s="84"/>
      <c r="Y4123" s="84"/>
      <c r="Z4123" s="84"/>
      <c r="AA4123" s="84"/>
      <c r="AB4123" s="84"/>
    </row>
    <row r="4124">
      <c r="A4124" s="89"/>
      <c r="B4124" s="89"/>
      <c r="C4124" s="89"/>
      <c r="D4124" s="89"/>
      <c r="E4124" s="89"/>
      <c r="F4124" s="89"/>
      <c r="G4124" s="89"/>
      <c r="H4124" s="2"/>
      <c r="I4124" s="90"/>
      <c r="J4124" s="90"/>
      <c r="K4124" s="2"/>
      <c r="L4124" s="49"/>
      <c r="M4124" s="49"/>
      <c r="N4124" s="49"/>
      <c r="O4124" s="49" t="str">
        <f t="shared" si="2"/>
        <v/>
      </c>
      <c r="P4124" s="49" t="str">
        <f t="shared" si="3"/>
        <v/>
      </c>
      <c r="Q4124" s="84"/>
      <c r="R4124" s="84"/>
      <c r="S4124" s="84"/>
      <c r="T4124" s="84"/>
      <c r="U4124" s="84"/>
      <c r="V4124" s="84"/>
      <c r="W4124" s="84"/>
      <c r="X4124" s="84"/>
      <c r="Y4124" s="84"/>
      <c r="Z4124" s="84"/>
      <c r="AA4124" s="84"/>
      <c r="AB4124" s="84"/>
    </row>
    <row r="4125">
      <c r="A4125" s="89"/>
      <c r="B4125" s="89"/>
      <c r="C4125" s="89"/>
      <c r="D4125" s="89"/>
      <c r="E4125" s="89"/>
      <c r="F4125" s="89"/>
      <c r="G4125" s="89"/>
      <c r="H4125" s="2"/>
      <c r="I4125" s="90"/>
      <c r="J4125" s="90"/>
      <c r="K4125" s="2"/>
      <c r="L4125" s="48"/>
      <c r="M4125" s="48"/>
      <c r="N4125" s="48"/>
      <c r="O4125" s="48" t="str">
        <f t="shared" si="2"/>
        <v/>
      </c>
      <c r="P4125" s="48" t="str">
        <f t="shared" si="3"/>
        <v/>
      </c>
      <c r="Q4125" s="84"/>
      <c r="R4125" s="84"/>
      <c r="S4125" s="84"/>
      <c r="T4125" s="84"/>
      <c r="U4125" s="84"/>
      <c r="V4125" s="84"/>
      <c r="W4125" s="84"/>
      <c r="X4125" s="84"/>
      <c r="Y4125" s="84"/>
      <c r="Z4125" s="84"/>
      <c r="AA4125" s="84"/>
      <c r="AB4125" s="84"/>
    </row>
    <row r="4126">
      <c r="A4126" s="89"/>
      <c r="B4126" s="89"/>
      <c r="C4126" s="89"/>
      <c r="D4126" s="89"/>
      <c r="E4126" s="89"/>
      <c r="F4126" s="89"/>
      <c r="G4126" s="89"/>
      <c r="H4126" s="2"/>
      <c r="I4126" s="90"/>
      <c r="J4126" s="90"/>
      <c r="K4126" s="2"/>
      <c r="L4126" s="49"/>
      <c r="M4126" s="49"/>
      <c r="N4126" s="49"/>
      <c r="O4126" s="49" t="str">
        <f t="shared" si="2"/>
        <v/>
      </c>
      <c r="P4126" s="49" t="str">
        <f t="shared" si="3"/>
        <v/>
      </c>
      <c r="Q4126" s="84"/>
      <c r="R4126" s="84"/>
      <c r="S4126" s="84"/>
      <c r="T4126" s="84"/>
      <c r="U4126" s="84"/>
      <c r="V4126" s="84"/>
      <c r="W4126" s="84"/>
      <c r="X4126" s="84"/>
      <c r="Y4126" s="84"/>
      <c r="Z4126" s="84"/>
      <c r="AA4126" s="84"/>
      <c r="AB4126" s="84"/>
    </row>
    <row r="4127">
      <c r="A4127" s="89"/>
      <c r="B4127" s="89"/>
      <c r="C4127" s="89"/>
      <c r="D4127" s="89"/>
      <c r="E4127" s="89"/>
      <c r="F4127" s="89"/>
      <c r="G4127" s="89"/>
      <c r="H4127" s="2"/>
      <c r="I4127" s="90"/>
      <c r="J4127" s="90"/>
      <c r="K4127" s="2"/>
      <c r="L4127" s="48"/>
      <c r="M4127" s="48"/>
      <c r="N4127" s="48"/>
      <c r="O4127" s="48" t="str">
        <f t="shared" si="2"/>
        <v/>
      </c>
      <c r="P4127" s="48" t="str">
        <f t="shared" si="3"/>
        <v/>
      </c>
      <c r="Q4127" s="84"/>
      <c r="R4127" s="84"/>
      <c r="S4127" s="84"/>
      <c r="T4127" s="84"/>
      <c r="U4127" s="84"/>
      <c r="V4127" s="84"/>
      <c r="W4127" s="84"/>
      <c r="X4127" s="84"/>
      <c r="Y4127" s="84"/>
      <c r="Z4127" s="84"/>
      <c r="AA4127" s="84"/>
      <c r="AB4127" s="84"/>
    </row>
    <row r="4128">
      <c r="A4128" s="89"/>
      <c r="B4128" s="89"/>
      <c r="C4128" s="89"/>
      <c r="D4128" s="89"/>
      <c r="E4128" s="89"/>
      <c r="F4128" s="89"/>
      <c r="G4128" s="89"/>
      <c r="H4128" s="2"/>
      <c r="I4128" s="90"/>
      <c r="J4128" s="90"/>
      <c r="K4128" s="2"/>
      <c r="L4128" s="49"/>
      <c r="M4128" s="49"/>
      <c r="N4128" s="49"/>
      <c r="O4128" s="49" t="str">
        <f t="shared" si="2"/>
        <v/>
      </c>
      <c r="P4128" s="49" t="str">
        <f t="shared" si="3"/>
        <v/>
      </c>
      <c r="Q4128" s="84"/>
      <c r="R4128" s="84"/>
      <c r="S4128" s="84"/>
      <c r="T4128" s="84"/>
      <c r="U4128" s="84"/>
      <c r="V4128" s="84"/>
      <c r="W4128" s="84"/>
      <c r="X4128" s="84"/>
      <c r="Y4128" s="84"/>
      <c r="Z4128" s="84"/>
      <c r="AA4128" s="84"/>
      <c r="AB4128" s="84"/>
    </row>
    <row r="4129">
      <c r="A4129" s="89"/>
      <c r="B4129" s="89"/>
      <c r="C4129" s="89"/>
      <c r="D4129" s="89"/>
      <c r="E4129" s="89"/>
      <c r="F4129" s="89"/>
      <c r="G4129" s="89"/>
      <c r="H4129" s="2"/>
      <c r="I4129" s="90"/>
      <c r="J4129" s="90"/>
      <c r="K4129" s="2"/>
      <c r="L4129" s="48"/>
      <c r="M4129" s="48"/>
      <c r="N4129" s="48"/>
      <c r="O4129" s="48" t="str">
        <f t="shared" si="2"/>
        <v/>
      </c>
      <c r="P4129" s="48" t="str">
        <f t="shared" si="3"/>
        <v/>
      </c>
      <c r="Q4129" s="84"/>
      <c r="R4129" s="84"/>
      <c r="S4129" s="84"/>
      <c r="T4129" s="84"/>
      <c r="U4129" s="84"/>
      <c r="V4129" s="84"/>
      <c r="W4129" s="84"/>
      <c r="X4129" s="84"/>
      <c r="Y4129" s="84"/>
      <c r="Z4129" s="84"/>
      <c r="AA4129" s="84"/>
      <c r="AB4129" s="84"/>
    </row>
    <row r="4130">
      <c r="A4130" s="89"/>
      <c r="B4130" s="89"/>
      <c r="C4130" s="89"/>
      <c r="D4130" s="89"/>
      <c r="E4130" s="89"/>
      <c r="F4130" s="89"/>
      <c r="G4130" s="89"/>
      <c r="H4130" s="2"/>
      <c r="I4130" s="90"/>
      <c r="J4130" s="90"/>
      <c r="K4130" s="2"/>
      <c r="L4130" s="49"/>
      <c r="M4130" s="49"/>
      <c r="N4130" s="49"/>
      <c r="O4130" s="49" t="str">
        <f t="shared" si="2"/>
        <v/>
      </c>
      <c r="P4130" s="49" t="str">
        <f t="shared" si="3"/>
        <v/>
      </c>
      <c r="Q4130" s="84"/>
      <c r="R4130" s="84"/>
      <c r="S4130" s="84"/>
      <c r="T4130" s="84"/>
      <c r="U4130" s="84"/>
      <c r="V4130" s="84"/>
      <c r="W4130" s="84"/>
      <c r="X4130" s="84"/>
      <c r="Y4130" s="84"/>
      <c r="Z4130" s="84"/>
      <c r="AA4130" s="84"/>
      <c r="AB4130" s="84"/>
    </row>
    <row r="4131">
      <c r="A4131" s="89"/>
      <c r="B4131" s="89"/>
      <c r="C4131" s="89"/>
      <c r="D4131" s="89"/>
      <c r="E4131" s="89"/>
      <c r="F4131" s="89"/>
      <c r="G4131" s="89"/>
      <c r="H4131" s="2"/>
      <c r="I4131" s="90"/>
      <c r="J4131" s="90"/>
      <c r="K4131" s="2"/>
      <c r="L4131" s="48"/>
      <c r="M4131" s="48"/>
      <c r="N4131" s="48"/>
      <c r="O4131" s="48" t="str">
        <f t="shared" si="2"/>
        <v/>
      </c>
      <c r="P4131" s="48" t="str">
        <f t="shared" si="3"/>
        <v/>
      </c>
      <c r="Q4131" s="84"/>
      <c r="R4131" s="84"/>
      <c r="S4131" s="84"/>
      <c r="T4131" s="84"/>
      <c r="U4131" s="84"/>
      <c r="V4131" s="84"/>
      <c r="W4131" s="84"/>
      <c r="X4131" s="84"/>
      <c r="Y4131" s="84"/>
      <c r="Z4131" s="84"/>
      <c r="AA4131" s="84"/>
      <c r="AB4131" s="84"/>
    </row>
    <row r="4132">
      <c r="A4132" s="89"/>
      <c r="B4132" s="89"/>
      <c r="C4132" s="89"/>
      <c r="D4132" s="89"/>
      <c r="E4132" s="89"/>
      <c r="F4132" s="89"/>
      <c r="G4132" s="89"/>
      <c r="H4132" s="2"/>
      <c r="I4132" s="90"/>
      <c r="J4132" s="90"/>
      <c r="K4132" s="2"/>
      <c r="L4132" s="49"/>
      <c r="M4132" s="49"/>
      <c r="N4132" s="49"/>
      <c r="O4132" s="49" t="str">
        <f t="shared" si="2"/>
        <v/>
      </c>
      <c r="P4132" s="49" t="str">
        <f t="shared" si="3"/>
        <v/>
      </c>
      <c r="Q4132" s="84"/>
      <c r="R4132" s="84"/>
      <c r="S4132" s="84"/>
      <c r="T4132" s="84"/>
      <c r="U4132" s="84"/>
      <c r="V4132" s="84"/>
      <c r="W4132" s="84"/>
      <c r="X4132" s="84"/>
      <c r="Y4132" s="84"/>
      <c r="Z4132" s="84"/>
      <c r="AA4132" s="84"/>
      <c r="AB4132" s="84"/>
    </row>
    <row r="4133">
      <c r="A4133" s="89"/>
      <c r="B4133" s="89"/>
      <c r="C4133" s="89"/>
      <c r="D4133" s="89"/>
      <c r="E4133" s="89"/>
      <c r="F4133" s="89"/>
      <c r="G4133" s="89"/>
      <c r="H4133" s="2"/>
      <c r="I4133" s="90"/>
      <c r="J4133" s="90"/>
      <c r="K4133" s="2"/>
      <c r="L4133" s="48"/>
      <c r="M4133" s="48"/>
      <c r="N4133" s="48"/>
      <c r="O4133" s="48" t="str">
        <f t="shared" si="2"/>
        <v/>
      </c>
      <c r="P4133" s="48" t="str">
        <f t="shared" si="3"/>
        <v/>
      </c>
      <c r="Q4133" s="84"/>
      <c r="R4133" s="84"/>
      <c r="S4133" s="84"/>
      <c r="T4133" s="84"/>
      <c r="U4133" s="84"/>
      <c r="V4133" s="84"/>
      <c r="W4133" s="84"/>
      <c r="X4133" s="84"/>
      <c r="Y4133" s="84"/>
      <c r="Z4133" s="84"/>
      <c r="AA4133" s="84"/>
      <c r="AB4133" s="84"/>
    </row>
    <row r="4134">
      <c r="A4134" s="89"/>
      <c r="B4134" s="89"/>
      <c r="C4134" s="89"/>
      <c r="D4134" s="89"/>
      <c r="E4134" s="89"/>
      <c r="F4134" s="89"/>
      <c r="G4134" s="89"/>
      <c r="H4134" s="2"/>
      <c r="I4134" s="90"/>
      <c r="J4134" s="90"/>
      <c r="K4134" s="2"/>
      <c r="L4134" s="49"/>
      <c r="M4134" s="49"/>
      <c r="N4134" s="49"/>
      <c r="O4134" s="49" t="str">
        <f t="shared" si="2"/>
        <v/>
      </c>
      <c r="P4134" s="49" t="str">
        <f t="shared" si="3"/>
        <v/>
      </c>
      <c r="Q4134" s="84"/>
      <c r="R4134" s="84"/>
      <c r="S4134" s="84"/>
      <c r="T4134" s="84"/>
      <c r="U4134" s="84"/>
      <c r="V4134" s="84"/>
      <c r="W4134" s="84"/>
      <c r="X4134" s="84"/>
      <c r="Y4134" s="84"/>
      <c r="Z4134" s="84"/>
      <c r="AA4134" s="84"/>
      <c r="AB4134" s="84"/>
    </row>
    <row r="4135">
      <c r="A4135" s="89"/>
      <c r="B4135" s="89"/>
      <c r="C4135" s="89"/>
      <c r="D4135" s="89"/>
      <c r="E4135" s="89"/>
      <c r="F4135" s="89"/>
      <c r="G4135" s="89"/>
      <c r="H4135" s="2"/>
      <c r="I4135" s="90"/>
      <c r="J4135" s="90"/>
      <c r="K4135" s="2"/>
      <c r="L4135" s="48"/>
      <c r="M4135" s="48"/>
      <c r="N4135" s="48"/>
      <c r="O4135" s="48" t="str">
        <f t="shared" si="2"/>
        <v/>
      </c>
      <c r="P4135" s="48" t="str">
        <f t="shared" si="3"/>
        <v/>
      </c>
      <c r="Q4135" s="84"/>
      <c r="R4135" s="84"/>
      <c r="S4135" s="84"/>
      <c r="T4135" s="84"/>
      <c r="U4135" s="84"/>
      <c r="V4135" s="84"/>
      <c r="W4135" s="84"/>
      <c r="X4135" s="84"/>
      <c r="Y4135" s="84"/>
      <c r="Z4135" s="84"/>
      <c r="AA4135" s="84"/>
      <c r="AB4135" s="84"/>
    </row>
    <row r="4136">
      <c r="A4136" s="89"/>
      <c r="B4136" s="89"/>
      <c r="C4136" s="89"/>
      <c r="D4136" s="89"/>
      <c r="E4136" s="89"/>
      <c r="F4136" s="89"/>
      <c r="G4136" s="89"/>
      <c r="H4136" s="2"/>
      <c r="I4136" s="90"/>
      <c r="J4136" s="90"/>
      <c r="K4136" s="2"/>
      <c r="L4136" s="49"/>
      <c r="M4136" s="49"/>
      <c r="N4136" s="49"/>
      <c r="O4136" s="49" t="str">
        <f t="shared" si="2"/>
        <v/>
      </c>
      <c r="P4136" s="49" t="str">
        <f t="shared" si="3"/>
        <v/>
      </c>
      <c r="Q4136" s="84"/>
      <c r="R4136" s="84"/>
      <c r="S4136" s="84"/>
      <c r="T4136" s="84"/>
      <c r="U4136" s="84"/>
      <c r="V4136" s="84"/>
      <c r="W4136" s="84"/>
      <c r="X4136" s="84"/>
      <c r="Y4136" s="84"/>
      <c r="Z4136" s="84"/>
      <c r="AA4136" s="84"/>
      <c r="AB4136" s="84"/>
    </row>
    <row r="4137">
      <c r="A4137" s="89"/>
      <c r="B4137" s="89"/>
      <c r="C4137" s="89"/>
      <c r="D4137" s="89"/>
      <c r="E4137" s="89"/>
      <c r="F4137" s="89"/>
      <c r="G4137" s="89"/>
      <c r="H4137" s="2"/>
      <c r="I4137" s="90"/>
      <c r="J4137" s="90"/>
      <c r="K4137" s="2"/>
      <c r="L4137" s="48"/>
      <c r="M4137" s="48"/>
      <c r="N4137" s="48"/>
      <c r="O4137" s="48" t="str">
        <f t="shared" si="2"/>
        <v/>
      </c>
      <c r="P4137" s="48" t="str">
        <f t="shared" si="3"/>
        <v/>
      </c>
      <c r="Q4137" s="84"/>
      <c r="R4137" s="84"/>
      <c r="S4137" s="84"/>
      <c r="T4137" s="84"/>
      <c r="U4137" s="84"/>
      <c r="V4137" s="84"/>
      <c r="W4137" s="84"/>
      <c r="X4137" s="84"/>
      <c r="Y4137" s="84"/>
      <c r="Z4137" s="84"/>
      <c r="AA4137" s="84"/>
      <c r="AB4137" s="84"/>
    </row>
    <row r="4138">
      <c r="A4138" s="89"/>
      <c r="B4138" s="89"/>
      <c r="C4138" s="89"/>
      <c r="D4138" s="89"/>
      <c r="E4138" s="89"/>
      <c r="F4138" s="89"/>
      <c r="G4138" s="89"/>
      <c r="H4138" s="2"/>
      <c r="I4138" s="90"/>
      <c r="J4138" s="90"/>
      <c r="K4138" s="2"/>
      <c r="L4138" s="49"/>
      <c r="M4138" s="49"/>
      <c r="N4138" s="49"/>
      <c r="O4138" s="49" t="str">
        <f t="shared" si="2"/>
        <v/>
      </c>
      <c r="P4138" s="49" t="str">
        <f t="shared" si="3"/>
        <v/>
      </c>
      <c r="Q4138" s="84"/>
      <c r="R4138" s="84"/>
      <c r="S4138" s="84"/>
      <c r="T4138" s="84"/>
      <c r="U4138" s="84"/>
      <c r="V4138" s="84"/>
      <c r="W4138" s="84"/>
      <c r="X4138" s="84"/>
      <c r="Y4138" s="84"/>
      <c r="Z4138" s="84"/>
      <c r="AA4138" s="84"/>
      <c r="AB4138" s="84"/>
    </row>
    <row r="4139">
      <c r="A4139" s="89"/>
      <c r="B4139" s="89"/>
      <c r="C4139" s="89"/>
      <c r="D4139" s="89"/>
      <c r="E4139" s="89"/>
      <c r="F4139" s="89"/>
      <c r="G4139" s="89"/>
      <c r="H4139" s="2"/>
      <c r="I4139" s="90"/>
      <c r="J4139" s="90"/>
      <c r="K4139" s="2"/>
      <c r="L4139" s="48"/>
      <c r="M4139" s="48"/>
      <c r="N4139" s="48"/>
      <c r="O4139" s="48" t="str">
        <f t="shared" si="2"/>
        <v/>
      </c>
      <c r="P4139" s="48" t="str">
        <f t="shared" si="3"/>
        <v/>
      </c>
      <c r="Q4139" s="84"/>
      <c r="R4139" s="84"/>
      <c r="S4139" s="84"/>
      <c r="T4139" s="84"/>
      <c r="U4139" s="84"/>
      <c r="V4139" s="84"/>
      <c r="W4139" s="84"/>
      <c r="X4139" s="84"/>
      <c r="Y4139" s="84"/>
      <c r="Z4139" s="84"/>
      <c r="AA4139" s="84"/>
      <c r="AB4139" s="84"/>
    </row>
    <row r="4140">
      <c r="A4140" s="89"/>
      <c r="B4140" s="89"/>
      <c r="C4140" s="89"/>
      <c r="D4140" s="89"/>
      <c r="E4140" s="89"/>
      <c r="F4140" s="89"/>
      <c r="G4140" s="89"/>
      <c r="H4140" s="2"/>
      <c r="I4140" s="90"/>
      <c r="J4140" s="90"/>
      <c r="K4140" s="2"/>
      <c r="L4140" s="49"/>
      <c r="M4140" s="49"/>
      <c r="N4140" s="49"/>
      <c r="O4140" s="49" t="str">
        <f t="shared" si="2"/>
        <v/>
      </c>
      <c r="P4140" s="49" t="str">
        <f t="shared" si="3"/>
        <v/>
      </c>
      <c r="Q4140" s="84"/>
      <c r="R4140" s="84"/>
      <c r="S4140" s="84"/>
      <c r="T4140" s="84"/>
      <c r="U4140" s="84"/>
      <c r="V4140" s="84"/>
      <c r="W4140" s="84"/>
      <c r="X4140" s="84"/>
      <c r="Y4140" s="84"/>
      <c r="Z4140" s="84"/>
      <c r="AA4140" s="84"/>
      <c r="AB4140" s="84"/>
    </row>
    <row r="4141">
      <c r="A4141" s="89"/>
      <c r="B4141" s="89"/>
      <c r="C4141" s="89"/>
      <c r="D4141" s="89"/>
      <c r="E4141" s="89"/>
      <c r="F4141" s="89"/>
      <c r="G4141" s="89"/>
      <c r="H4141" s="2"/>
      <c r="I4141" s="90"/>
      <c r="J4141" s="90"/>
      <c r="K4141" s="2"/>
      <c r="L4141" s="48"/>
      <c r="M4141" s="48"/>
      <c r="N4141" s="48"/>
      <c r="O4141" s="48" t="str">
        <f t="shared" si="2"/>
        <v/>
      </c>
      <c r="P4141" s="48" t="str">
        <f t="shared" si="3"/>
        <v/>
      </c>
      <c r="Q4141" s="84"/>
      <c r="R4141" s="84"/>
      <c r="S4141" s="84"/>
      <c r="T4141" s="84"/>
      <c r="U4141" s="84"/>
      <c r="V4141" s="84"/>
      <c r="W4141" s="84"/>
      <c r="X4141" s="84"/>
      <c r="Y4141" s="84"/>
      <c r="Z4141" s="84"/>
      <c r="AA4141" s="84"/>
      <c r="AB4141" s="84"/>
    </row>
    <row r="4142">
      <c r="A4142" s="89"/>
      <c r="B4142" s="89"/>
      <c r="C4142" s="89"/>
      <c r="D4142" s="89"/>
      <c r="E4142" s="89"/>
      <c r="F4142" s="89"/>
      <c r="G4142" s="89"/>
      <c r="H4142" s="2"/>
      <c r="I4142" s="90"/>
      <c r="J4142" s="90"/>
      <c r="K4142" s="2"/>
      <c r="L4142" s="49"/>
      <c r="M4142" s="49"/>
      <c r="N4142" s="49"/>
      <c r="O4142" s="49" t="str">
        <f t="shared" si="2"/>
        <v/>
      </c>
      <c r="P4142" s="49" t="str">
        <f t="shared" si="3"/>
        <v/>
      </c>
      <c r="Q4142" s="84"/>
      <c r="R4142" s="84"/>
      <c r="S4142" s="84"/>
      <c r="T4142" s="84"/>
      <c r="U4142" s="84"/>
      <c r="V4142" s="84"/>
      <c r="W4142" s="84"/>
      <c r="X4142" s="84"/>
      <c r="Y4142" s="84"/>
      <c r="Z4142" s="84"/>
      <c r="AA4142" s="84"/>
      <c r="AB4142" s="84"/>
    </row>
    <row r="4143">
      <c r="A4143" s="89"/>
      <c r="B4143" s="89"/>
      <c r="C4143" s="89"/>
      <c r="D4143" s="89"/>
      <c r="E4143" s="89"/>
      <c r="F4143" s="89"/>
      <c r="G4143" s="89"/>
      <c r="H4143" s="2"/>
      <c r="I4143" s="90"/>
      <c r="J4143" s="90"/>
      <c r="K4143" s="2"/>
      <c r="L4143" s="48"/>
      <c r="M4143" s="48"/>
      <c r="N4143" s="48"/>
      <c r="O4143" s="48" t="str">
        <f t="shared" si="2"/>
        <v/>
      </c>
      <c r="P4143" s="48" t="str">
        <f t="shared" si="3"/>
        <v/>
      </c>
      <c r="Q4143" s="84"/>
      <c r="R4143" s="84"/>
      <c r="S4143" s="84"/>
      <c r="T4143" s="84"/>
      <c r="U4143" s="84"/>
      <c r="V4143" s="84"/>
      <c r="W4143" s="84"/>
      <c r="X4143" s="84"/>
      <c r="Y4143" s="84"/>
      <c r="Z4143" s="84"/>
      <c r="AA4143" s="84"/>
      <c r="AB4143" s="84"/>
    </row>
    <row r="4144">
      <c r="A4144" s="89"/>
      <c r="B4144" s="89"/>
      <c r="C4144" s="89"/>
      <c r="D4144" s="89"/>
      <c r="E4144" s="89"/>
      <c r="F4144" s="89"/>
      <c r="G4144" s="89"/>
      <c r="H4144" s="2"/>
      <c r="I4144" s="90"/>
      <c r="J4144" s="90"/>
      <c r="K4144" s="2"/>
      <c r="L4144" s="49"/>
      <c r="M4144" s="49"/>
      <c r="N4144" s="49"/>
      <c r="O4144" s="49" t="str">
        <f t="shared" si="2"/>
        <v/>
      </c>
      <c r="P4144" s="49" t="str">
        <f t="shared" si="3"/>
        <v/>
      </c>
      <c r="Q4144" s="84"/>
      <c r="R4144" s="84"/>
      <c r="S4144" s="84"/>
      <c r="T4144" s="84"/>
      <c r="U4144" s="84"/>
      <c r="V4144" s="84"/>
      <c r="W4144" s="84"/>
      <c r="X4144" s="84"/>
      <c r="Y4144" s="84"/>
      <c r="Z4144" s="84"/>
      <c r="AA4144" s="84"/>
      <c r="AB4144" s="84"/>
    </row>
    <row r="4145">
      <c r="A4145" s="89"/>
      <c r="B4145" s="89"/>
      <c r="C4145" s="89"/>
      <c r="D4145" s="89"/>
      <c r="E4145" s="89"/>
      <c r="F4145" s="89"/>
      <c r="G4145" s="89"/>
      <c r="H4145" s="2"/>
      <c r="I4145" s="90"/>
      <c r="J4145" s="90"/>
      <c r="K4145" s="2"/>
      <c r="L4145" s="48"/>
      <c r="M4145" s="48"/>
      <c r="N4145" s="48"/>
      <c r="O4145" s="48" t="str">
        <f t="shared" si="2"/>
        <v/>
      </c>
      <c r="P4145" s="48" t="str">
        <f t="shared" si="3"/>
        <v/>
      </c>
      <c r="Q4145" s="84"/>
      <c r="R4145" s="84"/>
      <c r="S4145" s="84"/>
      <c r="T4145" s="84"/>
      <c r="U4145" s="84"/>
      <c r="V4145" s="84"/>
      <c r="W4145" s="84"/>
      <c r="X4145" s="84"/>
      <c r="Y4145" s="84"/>
      <c r="Z4145" s="84"/>
      <c r="AA4145" s="84"/>
      <c r="AB4145" s="84"/>
    </row>
    <row r="4146">
      <c r="A4146" s="89"/>
      <c r="B4146" s="89"/>
      <c r="C4146" s="89"/>
      <c r="D4146" s="89"/>
      <c r="E4146" s="89"/>
      <c r="F4146" s="89"/>
      <c r="G4146" s="89"/>
      <c r="H4146" s="2"/>
      <c r="I4146" s="90"/>
      <c r="J4146" s="90"/>
      <c r="K4146" s="2"/>
      <c r="L4146" s="49"/>
      <c r="M4146" s="49"/>
      <c r="N4146" s="49"/>
      <c r="O4146" s="49" t="str">
        <f t="shared" si="2"/>
        <v/>
      </c>
      <c r="P4146" s="49" t="str">
        <f t="shared" si="3"/>
        <v/>
      </c>
      <c r="Q4146" s="84"/>
      <c r="R4146" s="84"/>
      <c r="S4146" s="84"/>
      <c r="T4146" s="84"/>
      <c r="U4146" s="84"/>
      <c r="V4146" s="84"/>
      <c r="W4146" s="84"/>
      <c r="X4146" s="84"/>
      <c r="Y4146" s="84"/>
      <c r="Z4146" s="84"/>
      <c r="AA4146" s="84"/>
      <c r="AB4146" s="84"/>
    </row>
    <row r="4147">
      <c r="A4147" s="89"/>
      <c r="B4147" s="89"/>
      <c r="C4147" s="89"/>
      <c r="D4147" s="89"/>
      <c r="E4147" s="89"/>
      <c r="F4147" s="89"/>
      <c r="G4147" s="89"/>
      <c r="H4147" s="2"/>
      <c r="I4147" s="90"/>
      <c r="J4147" s="90"/>
      <c r="K4147" s="2"/>
      <c r="L4147" s="48"/>
      <c r="M4147" s="48"/>
      <c r="N4147" s="48"/>
      <c r="O4147" s="48" t="str">
        <f t="shared" si="2"/>
        <v/>
      </c>
      <c r="P4147" s="48" t="str">
        <f t="shared" si="3"/>
        <v/>
      </c>
      <c r="Q4147" s="84"/>
      <c r="R4147" s="84"/>
      <c r="S4147" s="84"/>
      <c r="T4147" s="84"/>
      <c r="U4147" s="84"/>
      <c r="V4147" s="84"/>
      <c r="W4147" s="84"/>
      <c r="X4147" s="84"/>
      <c r="Y4147" s="84"/>
      <c r="Z4147" s="84"/>
      <c r="AA4147" s="84"/>
      <c r="AB4147" s="84"/>
    </row>
    <row r="4148">
      <c r="A4148" s="89"/>
      <c r="B4148" s="89"/>
      <c r="C4148" s="89"/>
      <c r="D4148" s="89"/>
      <c r="E4148" s="89"/>
      <c r="F4148" s="89"/>
      <c r="G4148" s="89"/>
      <c r="H4148" s="2"/>
      <c r="I4148" s="90"/>
      <c r="J4148" s="90"/>
      <c r="K4148" s="2"/>
      <c r="L4148" s="49"/>
      <c r="M4148" s="49"/>
      <c r="N4148" s="49"/>
      <c r="O4148" s="49" t="str">
        <f t="shared" si="2"/>
        <v/>
      </c>
      <c r="P4148" s="49" t="str">
        <f t="shared" si="3"/>
        <v/>
      </c>
      <c r="Q4148" s="84"/>
      <c r="R4148" s="84"/>
      <c r="S4148" s="84"/>
      <c r="T4148" s="84"/>
      <c r="U4148" s="84"/>
      <c r="V4148" s="84"/>
      <c r="W4148" s="84"/>
      <c r="X4148" s="84"/>
      <c r="Y4148" s="84"/>
      <c r="Z4148" s="84"/>
      <c r="AA4148" s="84"/>
      <c r="AB4148" s="84"/>
    </row>
    <row r="4149">
      <c r="A4149" s="89"/>
      <c r="B4149" s="89"/>
      <c r="C4149" s="89"/>
      <c r="D4149" s="89"/>
      <c r="E4149" s="89"/>
      <c r="F4149" s="89"/>
      <c r="G4149" s="89"/>
      <c r="H4149" s="2"/>
      <c r="I4149" s="90"/>
      <c r="J4149" s="90"/>
      <c r="K4149" s="2"/>
      <c r="L4149" s="48"/>
      <c r="M4149" s="48"/>
      <c r="N4149" s="48"/>
      <c r="O4149" s="48" t="str">
        <f t="shared" si="2"/>
        <v/>
      </c>
      <c r="P4149" s="48" t="str">
        <f t="shared" si="3"/>
        <v/>
      </c>
      <c r="Q4149" s="84"/>
      <c r="R4149" s="84"/>
      <c r="S4149" s="84"/>
      <c r="T4149" s="84"/>
      <c r="U4149" s="84"/>
      <c r="V4149" s="84"/>
      <c r="W4149" s="84"/>
      <c r="X4149" s="84"/>
      <c r="Y4149" s="84"/>
      <c r="Z4149" s="84"/>
      <c r="AA4149" s="84"/>
      <c r="AB4149" s="84"/>
    </row>
    <row r="4150">
      <c r="A4150" s="89"/>
      <c r="B4150" s="89"/>
      <c r="C4150" s="89"/>
      <c r="D4150" s="89"/>
      <c r="E4150" s="89"/>
      <c r="F4150" s="89"/>
      <c r="G4150" s="89"/>
      <c r="H4150" s="2"/>
      <c r="I4150" s="90"/>
      <c r="J4150" s="90"/>
      <c r="K4150" s="2"/>
      <c r="L4150" s="49"/>
      <c r="M4150" s="49"/>
      <c r="N4150" s="49"/>
      <c r="O4150" s="49" t="str">
        <f t="shared" si="2"/>
        <v/>
      </c>
      <c r="P4150" s="49" t="str">
        <f t="shared" si="3"/>
        <v/>
      </c>
      <c r="Q4150" s="84"/>
      <c r="R4150" s="84"/>
      <c r="S4150" s="84"/>
      <c r="T4150" s="84"/>
      <c r="U4150" s="84"/>
      <c r="V4150" s="84"/>
      <c r="W4150" s="84"/>
      <c r="X4150" s="84"/>
      <c r="Y4150" s="84"/>
      <c r="Z4150" s="84"/>
      <c r="AA4150" s="84"/>
      <c r="AB4150" s="84"/>
    </row>
    <row r="4151">
      <c r="A4151" s="89"/>
      <c r="B4151" s="89"/>
      <c r="C4151" s="89"/>
      <c r="D4151" s="89"/>
      <c r="E4151" s="89"/>
      <c r="F4151" s="89"/>
      <c r="G4151" s="89"/>
      <c r="H4151" s="2"/>
      <c r="I4151" s="90"/>
      <c r="J4151" s="90"/>
      <c r="K4151" s="2"/>
      <c r="L4151" s="48"/>
      <c r="M4151" s="48"/>
      <c r="N4151" s="48"/>
      <c r="O4151" s="48" t="str">
        <f t="shared" si="2"/>
        <v/>
      </c>
      <c r="P4151" s="48" t="str">
        <f t="shared" si="3"/>
        <v/>
      </c>
      <c r="Q4151" s="84"/>
      <c r="R4151" s="84"/>
      <c r="S4151" s="84"/>
      <c r="T4151" s="84"/>
      <c r="U4151" s="84"/>
      <c r="V4151" s="84"/>
      <c r="W4151" s="84"/>
      <c r="X4151" s="84"/>
      <c r="Y4151" s="84"/>
      <c r="Z4151" s="84"/>
      <c r="AA4151" s="84"/>
      <c r="AB4151" s="84"/>
    </row>
    <row r="4152">
      <c r="A4152" s="89"/>
      <c r="B4152" s="89"/>
      <c r="C4152" s="89"/>
      <c r="D4152" s="89"/>
      <c r="E4152" s="89"/>
      <c r="F4152" s="89"/>
      <c r="G4152" s="89"/>
      <c r="H4152" s="2"/>
      <c r="I4152" s="90"/>
      <c r="J4152" s="90"/>
      <c r="K4152" s="2"/>
      <c r="L4152" s="49"/>
      <c r="M4152" s="49"/>
      <c r="N4152" s="49"/>
      <c r="O4152" s="49" t="str">
        <f t="shared" si="2"/>
        <v/>
      </c>
      <c r="P4152" s="49" t="str">
        <f t="shared" si="3"/>
        <v/>
      </c>
      <c r="Q4152" s="84"/>
      <c r="R4152" s="84"/>
      <c r="S4152" s="84"/>
      <c r="T4152" s="84"/>
      <c r="U4152" s="84"/>
      <c r="V4152" s="84"/>
      <c r="W4152" s="84"/>
      <c r="X4152" s="84"/>
      <c r="Y4152" s="84"/>
      <c r="Z4152" s="84"/>
      <c r="AA4152" s="84"/>
      <c r="AB4152" s="84"/>
    </row>
    <row r="4153">
      <c r="A4153" s="89"/>
      <c r="B4153" s="89"/>
      <c r="C4153" s="89"/>
      <c r="D4153" s="89"/>
      <c r="E4153" s="89"/>
      <c r="F4153" s="89"/>
      <c r="G4153" s="89"/>
      <c r="H4153" s="2"/>
      <c r="I4153" s="90"/>
      <c r="J4153" s="90"/>
      <c r="K4153" s="2"/>
      <c r="L4153" s="48"/>
      <c r="M4153" s="48"/>
      <c r="N4153" s="48"/>
      <c r="O4153" s="48" t="str">
        <f t="shared" si="2"/>
        <v/>
      </c>
      <c r="P4153" s="48" t="str">
        <f t="shared" si="3"/>
        <v/>
      </c>
      <c r="Q4153" s="84"/>
      <c r="R4153" s="84"/>
      <c r="S4153" s="84"/>
      <c r="T4153" s="84"/>
      <c r="U4153" s="84"/>
      <c r="V4153" s="84"/>
      <c r="W4153" s="84"/>
      <c r="X4153" s="84"/>
      <c r="Y4153" s="84"/>
      <c r="Z4153" s="84"/>
      <c r="AA4153" s="84"/>
      <c r="AB4153" s="84"/>
    </row>
    <row r="4154">
      <c r="A4154" s="89"/>
      <c r="B4154" s="89"/>
      <c r="C4154" s="89"/>
      <c r="D4154" s="89"/>
      <c r="E4154" s="89"/>
      <c r="F4154" s="89"/>
      <c r="G4154" s="89"/>
      <c r="H4154" s="2"/>
      <c r="I4154" s="90"/>
      <c r="J4154" s="90"/>
      <c r="K4154" s="2"/>
      <c r="L4154" s="49"/>
      <c r="M4154" s="49"/>
      <c r="N4154" s="49"/>
      <c r="O4154" s="49" t="str">
        <f t="shared" si="2"/>
        <v/>
      </c>
      <c r="P4154" s="49" t="str">
        <f t="shared" si="3"/>
        <v/>
      </c>
      <c r="Q4154" s="84"/>
      <c r="R4154" s="84"/>
      <c r="S4154" s="84"/>
      <c r="T4154" s="84"/>
      <c r="U4154" s="84"/>
      <c r="V4154" s="84"/>
      <c r="W4154" s="84"/>
      <c r="X4154" s="84"/>
      <c r="Y4154" s="84"/>
      <c r="Z4154" s="84"/>
      <c r="AA4154" s="84"/>
      <c r="AB4154" s="84"/>
    </row>
    <row r="4155">
      <c r="A4155" s="89"/>
      <c r="B4155" s="89"/>
      <c r="C4155" s="89"/>
      <c r="D4155" s="89"/>
      <c r="E4155" s="89"/>
      <c r="F4155" s="89"/>
      <c r="G4155" s="89"/>
      <c r="H4155" s="2"/>
      <c r="I4155" s="90"/>
      <c r="J4155" s="90"/>
      <c r="K4155" s="2"/>
      <c r="L4155" s="48"/>
      <c r="M4155" s="48"/>
      <c r="N4155" s="48"/>
      <c r="O4155" s="48" t="str">
        <f t="shared" si="2"/>
        <v/>
      </c>
      <c r="P4155" s="48" t="str">
        <f t="shared" si="3"/>
        <v/>
      </c>
      <c r="Q4155" s="84"/>
      <c r="R4155" s="84"/>
      <c r="S4155" s="84"/>
      <c r="T4155" s="84"/>
      <c r="U4155" s="84"/>
      <c r="V4155" s="84"/>
      <c r="W4155" s="84"/>
      <c r="X4155" s="84"/>
      <c r="Y4155" s="84"/>
      <c r="Z4155" s="84"/>
      <c r="AA4155" s="84"/>
      <c r="AB4155" s="84"/>
    </row>
    <row r="4156">
      <c r="A4156" s="89"/>
      <c r="B4156" s="89"/>
      <c r="C4156" s="89"/>
      <c r="D4156" s="89"/>
      <c r="E4156" s="89"/>
      <c r="F4156" s="89"/>
      <c r="G4156" s="89"/>
      <c r="H4156" s="2"/>
      <c r="I4156" s="90"/>
      <c r="J4156" s="90"/>
      <c r="K4156" s="2"/>
      <c r="L4156" s="49"/>
      <c r="M4156" s="49"/>
      <c r="N4156" s="49"/>
      <c r="O4156" s="49" t="str">
        <f t="shared" si="2"/>
        <v/>
      </c>
      <c r="P4156" s="49" t="str">
        <f t="shared" si="3"/>
        <v/>
      </c>
      <c r="Q4156" s="84"/>
      <c r="R4156" s="84"/>
      <c r="S4156" s="84"/>
      <c r="T4156" s="84"/>
      <c r="U4156" s="84"/>
      <c r="V4156" s="84"/>
      <c r="W4156" s="84"/>
      <c r="X4156" s="84"/>
      <c r="Y4156" s="84"/>
      <c r="Z4156" s="84"/>
      <c r="AA4156" s="84"/>
      <c r="AB4156" s="84"/>
    </row>
    <row r="4157">
      <c r="A4157" s="89"/>
      <c r="B4157" s="89"/>
      <c r="C4157" s="89"/>
      <c r="D4157" s="89"/>
      <c r="E4157" s="89"/>
      <c r="F4157" s="89"/>
      <c r="G4157" s="89"/>
      <c r="H4157" s="2"/>
      <c r="I4157" s="90"/>
      <c r="J4157" s="90"/>
      <c r="K4157" s="2"/>
      <c r="L4157" s="48"/>
      <c r="M4157" s="48"/>
      <c r="N4157" s="48"/>
      <c r="O4157" s="48" t="str">
        <f t="shared" si="2"/>
        <v/>
      </c>
      <c r="P4157" s="48" t="str">
        <f t="shared" si="3"/>
        <v/>
      </c>
      <c r="Q4157" s="84"/>
      <c r="R4157" s="84"/>
      <c r="S4157" s="84"/>
      <c r="T4157" s="84"/>
      <c r="U4157" s="84"/>
      <c r="V4157" s="84"/>
      <c r="W4157" s="84"/>
      <c r="X4157" s="84"/>
      <c r="Y4157" s="84"/>
      <c r="Z4157" s="84"/>
      <c r="AA4157" s="84"/>
      <c r="AB4157" s="84"/>
    </row>
    <row r="4158">
      <c r="A4158" s="89"/>
      <c r="B4158" s="89"/>
      <c r="C4158" s="89"/>
      <c r="D4158" s="89"/>
      <c r="E4158" s="89"/>
      <c r="F4158" s="89"/>
      <c r="G4158" s="89"/>
      <c r="H4158" s="2"/>
      <c r="I4158" s="90"/>
      <c r="J4158" s="90"/>
      <c r="K4158" s="2"/>
      <c r="L4158" s="49"/>
      <c r="M4158" s="49"/>
      <c r="N4158" s="49"/>
      <c r="O4158" s="49" t="str">
        <f t="shared" si="2"/>
        <v/>
      </c>
      <c r="P4158" s="49" t="str">
        <f t="shared" si="3"/>
        <v/>
      </c>
      <c r="Q4158" s="84"/>
      <c r="R4158" s="84"/>
      <c r="S4158" s="84"/>
      <c r="T4158" s="84"/>
      <c r="U4158" s="84"/>
      <c r="V4158" s="84"/>
      <c r="W4158" s="84"/>
      <c r="X4158" s="84"/>
      <c r="Y4158" s="84"/>
      <c r="Z4158" s="84"/>
      <c r="AA4158" s="84"/>
      <c r="AB4158" s="84"/>
    </row>
    <row r="4159">
      <c r="A4159" s="89"/>
      <c r="B4159" s="89"/>
      <c r="C4159" s="89"/>
      <c r="D4159" s="89"/>
      <c r="E4159" s="89"/>
      <c r="F4159" s="89"/>
      <c r="G4159" s="89"/>
      <c r="H4159" s="2"/>
      <c r="I4159" s="90"/>
      <c r="J4159" s="90"/>
      <c r="K4159" s="2"/>
      <c r="L4159" s="48"/>
      <c r="M4159" s="48"/>
      <c r="N4159" s="48"/>
      <c r="O4159" s="48" t="str">
        <f t="shared" si="2"/>
        <v/>
      </c>
      <c r="P4159" s="48" t="str">
        <f t="shared" si="3"/>
        <v/>
      </c>
      <c r="Q4159" s="84"/>
      <c r="R4159" s="84"/>
      <c r="S4159" s="84"/>
      <c r="T4159" s="84"/>
      <c r="U4159" s="84"/>
      <c r="V4159" s="84"/>
      <c r="W4159" s="84"/>
      <c r="X4159" s="84"/>
      <c r="Y4159" s="84"/>
      <c r="Z4159" s="84"/>
      <c r="AA4159" s="84"/>
      <c r="AB4159" s="84"/>
    </row>
    <row r="4160">
      <c r="A4160" s="89"/>
      <c r="B4160" s="89"/>
      <c r="C4160" s="89"/>
      <c r="D4160" s="89"/>
      <c r="E4160" s="89"/>
      <c r="F4160" s="89"/>
      <c r="G4160" s="89"/>
      <c r="H4160" s="2"/>
      <c r="I4160" s="90"/>
      <c r="J4160" s="90"/>
      <c r="K4160" s="2"/>
      <c r="L4160" s="49"/>
      <c r="M4160" s="49"/>
      <c r="N4160" s="49"/>
      <c r="O4160" s="49" t="str">
        <f t="shared" si="2"/>
        <v/>
      </c>
      <c r="P4160" s="49" t="str">
        <f t="shared" si="3"/>
        <v/>
      </c>
      <c r="Q4160" s="84"/>
      <c r="R4160" s="84"/>
      <c r="S4160" s="84"/>
      <c r="T4160" s="84"/>
      <c r="U4160" s="84"/>
      <c r="V4160" s="84"/>
      <c r="W4160" s="84"/>
      <c r="X4160" s="84"/>
      <c r="Y4160" s="84"/>
      <c r="Z4160" s="84"/>
      <c r="AA4160" s="84"/>
      <c r="AB4160" s="84"/>
    </row>
    <row r="4161">
      <c r="A4161" s="89"/>
      <c r="B4161" s="89"/>
      <c r="C4161" s="89"/>
      <c r="D4161" s="89"/>
      <c r="E4161" s="89"/>
      <c r="F4161" s="89"/>
      <c r="G4161" s="89"/>
      <c r="H4161" s="2"/>
      <c r="I4161" s="90"/>
      <c r="J4161" s="90"/>
      <c r="K4161" s="2"/>
      <c r="L4161" s="48"/>
      <c r="M4161" s="48"/>
      <c r="N4161" s="48"/>
      <c r="O4161" s="48" t="str">
        <f t="shared" si="2"/>
        <v/>
      </c>
      <c r="P4161" s="48" t="str">
        <f t="shared" si="3"/>
        <v/>
      </c>
      <c r="Q4161" s="84"/>
      <c r="R4161" s="84"/>
      <c r="S4161" s="84"/>
      <c r="T4161" s="84"/>
      <c r="U4161" s="84"/>
      <c r="V4161" s="84"/>
      <c r="W4161" s="84"/>
      <c r="X4161" s="84"/>
      <c r="Y4161" s="84"/>
      <c r="Z4161" s="84"/>
      <c r="AA4161" s="84"/>
      <c r="AB4161" s="84"/>
    </row>
    <row r="4162">
      <c r="A4162" s="89"/>
      <c r="B4162" s="89"/>
      <c r="C4162" s="89"/>
      <c r="D4162" s="89"/>
      <c r="E4162" s="89"/>
      <c r="F4162" s="89"/>
      <c r="G4162" s="89"/>
      <c r="H4162" s="2"/>
      <c r="I4162" s="90"/>
      <c r="J4162" s="90"/>
      <c r="K4162" s="2"/>
      <c r="L4162" s="49"/>
      <c r="M4162" s="49"/>
      <c r="N4162" s="49"/>
      <c r="O4162" s="49" t="str">
        <f t="shared" si="2"/>
        <v/>
      </c>
      <c r="P4162" s="49" t="str">
        <f t="shared" si="3"/>
        <v/>
      </c>
      <c r="Q4162" s="84"/>
      <c r="R4162" s="84"/>
      <c r="S4162" s="84"/>
      <c r="T4162" s="84"/>
      <c r="U4162" s="84"/>
      <c r="V4162" s="84"/>
      <c r="W4162" s="84"/>
      <c r="X4162" s="84"/>
      <c r="Y4162" s="84"/>
      <c r="Z4162" s="84"/>
      <c r="AA4162" s="84"/>
      <c r="AB4162" s="84"/>
    </row>
    <row r="4163">
      <c r="A4163" s="89"/>
      <c r="B4163" s="89"/>
      <c r="C4163" s="89"/>
      <c r="D4163" s="89"/>
      <c r="E4163" s="89"/>
      <c r="F4163" s="89"/>
      <c r="G4163" s="89"/>
      <c r="H4163" s="2"/>
      <c r="I4163" s="90"/>
      <c r="J4163" s="90"/>
      <c r="K4163" s="2"/>
      <c r="L4163" s="48"/>
      <c r="M4163" s="48"/>
      <c r="N4163" s="48"/>
      <c r="O4163" s="48" t="str">
        <f t="shared" si="2"/>
        <v/>
      </c>
      <c r="P4163" s="48" t="str">
        <f t="shared" si="3"/>
        <v/>
      </c>
      <c r="Q4163" s="84"/>
      <c r="R4163" s="84"/>
      <c r="S4163" s="84"/>
      <c r="T4163" s="84"/>
      <c r="U4163" s="84"/>
      <c r="V4163" s="84"/>
      <c r="W4163" s="84"/>
      <c r="X4163" s="84"/>
      <c r="Y4163" s="84"/>
      <c r="Z4163" s="84"/>
      <c r="AA4163" s="84"/>
      <c r="AB4163" s="84"/>
    </row>
    <row r="4164">
      <c r="A4164" s="89"/>
      <c r="B4164" s="89"/>
      <c r="C4164" s="89"/>
      <c r="D4164" s="89"/>
      <c r="E4164" s="89"/>
      <c r="F4164" s="89"/>
      <c r="G4164" s="89"/>
      <c r="H4164" s="2"/>
      <c r="I4164" s="90"/>
      <c r="J4164" s="90"/>
      <c r="K4164" s="2"/>
      <c r="L4164" s="49"/>
      <c r="M4164" s="49"/>
      <c r="N4164" s="49"/>
      <c r="O4164" s="49" t="str">
        <f t="shared" si="2"/>
        <v/>
      </c>
      <c r="P4164" s="49" t="str">
        <f t="shared" si="3"/>
        <v/>
      </c>
      <c r="Q4164" s="84"/>
      <c r="R4164" s="84"/>
      <c r="S4164" s="84"/>
      <c r="T4164" s="84"/>
      <c r="U4164" s="84"/>
      <c r="V4164" s="84"/>
      <c r="W4164" s="84"/>
      <c r="X4164" s="84"/>
      <c r="Y4164" s="84"/>
      <c r="Z4164" s="84"/>
      <c r="AA4164" s="84"/>
      <c r="AB4164" s="84"/>
    </row>
    <row r="4165">
      <c r="A4165" s="89"/>
      <c r="B4165" s="89"/>
      <c r="C4165" s="89"/>
      <c r="D4165" s="89"/>
      <c r="E4165" s="89"/>
      <c r="F4165" s="89"/>
      <c r="G4165" s="89"/>
      <c r="H4165" s="2"/>
      <c r="I4165" s="90"/>
      <c r="J4165" s="90"/>
      <c r="K4165" s="2"/>
      <c r="L4165" s="48"/>
      <c r="M4165" s="48"/>
      <c r="N4165" s="48"/>
      <c r="O4165" s="48" t="str">
        <f t="shared" si="2"/>
        <v/>
      </c>
      <c r="P4165" s="48" t="str">
        <f t="shared" si="3"/>
        <v/>
      </c>
      <c r="Q4165" s="84"/>
      <c r="R4165" s="84"/>
      <c r="S4165" s="84"/>
      <c r="T4165" s="84"/>
      <c r="U4165" s="84"/>
      <c r="V4165" s="84"/>
      <c r="W4165" s="84"/>
      <c r="X4165" s="84"/>
      <c r="Y4165" s="84"/>
      <c r="Z4165" s="84"/>
      <c r="AA4165" s="84"/>
      <c r="AB4165" s="84"/>
    </row>
    <row r="4166">
      <c r="A4166" s="89"/>
      <c r="B4166" s="89"/>
      <c r="C4166" s="89"/>
      <c r="D4166" s="89"/>
      <c r="E4166" s="89"/>
      <c r="F4166" s="89"/>
      <c r="G4166" s="89"/>
      <c r="H4166" s="2"/>
      <c r="I4166" s="90"/>
      <c r="J4166" s="90"/>
      <c r="K4166" s="2"/>
      <c r="L4166" s="49"/>
      <c r="M4166" s="49"/>
      <c r="N4166" s="49"/>
      <c r="O4166" s="49" t="str">
        <f t="shared" si="2"/>
        <v/>
      </c>
      <c r="P4166" s="49" t="str">
        <f t="shared" si="3"/>
        <v/>
      </c>
      <c r="Q4166" s="84"/>
      <c r="R4166" s="84"/>
      <c r="S4166" s="84"/>
      <c r="T4166" s="84"/>
      <c r="U4166" s="84"/>
      <c r="V4166" s="84"/>
      <c r="W4166" s="84"/>
      <c r="X4166" s="84"/>
      <c r="Y4166" s="84"/>
      <c r="Z4166" s="84"/>
      <c r="AA4166" s="84"/>
      <c r="AB4166" s="84"/>
    </row>
    <row r="4167">
      <c r="A4167" s="89"/>
      <c r="B4167" s="89"/>
      <c r="C4167" s="89"/>
      <c r="D4167" s="89"/>
      <c r="E4167" s="89"/>
      <c r="F4167" s="89"/>
      <c r="G4167" s="89"/>
      <c r="H4167" s="2"/>
      <c r="I4167" s="90"/>
      <c r="J4167" s="90"/>
      <c r="K4167" s="2"/>
      <c r="L4167" s="48"/>
      <c r="M4167" s="48"/>
      <c r="N4167" s="48"/>
      <c r="O4167" s="48" t="str">
        <f t="shared" si="2"/>
        <v/>
      </c>
      <c r="P4167" s="48" t="str">
        <f t="shared" si="3"/>
        <v/>
      </c>
      <c r="Q4167" s="84"/>
      <c r="R4167" s="84"/>
      <c r="S4167" s="84"/>
      <c r="T4167" s="84"/>
      <c r="U4167" s="84"/>
      <c r="V4167" s="84"/>
      <c r="W4167" s="84"/>
      <c r="X4167" s="84"/>
      <c r="Y4167" s="84"/>
      <c r="Z4167" s="84"/>
      <c r="AA4167" s="84"/>
      <c r="AB4167" s="84"/>
    </row>
    <row r="4168">
      <c r="A4168" s="89"/>
      <c r="B4168" s="89"/>
      <c r="C4168" s="89"/>
      <c r="D4168" s="89"/>
      <c r="E4168" s="89"/>
      <c r="F4168" s="89"/>
      <c r="G4168" s="89"/>
      <c r="H4168" s="2"/>
      <c r="I4168" s="90"/>
      <c r="J4168" s="90"/>
      <c r="K4168" s="2"/>
      <c r="L4168" s="49"/>
      <c r="M4168" s="49"/>
      <c r="N4168" s="49"/>
      <c r="O4168" s="49" t="str">
        <f t="shared" si="2"/>
        <v/>
      </c>
      <c r="P4168" s="49" t="str">
        <f t="shared" si="3"/>
        <v/>
      </c>
      <c r="Q4168" s="84"/>
      <c r="R4168" s="84"/>
      <c r="S4168" s="84"/>
      <c r="T4168" s="84"/>
      <c r="U4168" s="84"/>
      <c r="V4168" s="84"/>
      <c r="W4168" s="84"/>
      <c r="X4168" s="84"/>
      <c r="Y4168" s="84"/>
      <c r="Z4168" s="84"/>
      <c r="AA4168" s="84"/>
      <c r="AB4168" s="84"/>
    </row>
    <row r="4169">
      <c r="A4169" s="89"/>
      <c r="B4169" s="89"/>
      <c r="C4169" s="89"/>
      <c r="D4169" s="89"/>
      <c r="E4169" s="89"/>
      <c r="F4169" s="89"/>
      <c r="G4169" s="89"/>
      <c r="H4169" s="2"/>
      <c r="I4169" s="90"/>
      <c r="J4169" s="90"/>
      <c r="K4169" s="2"/>
      <c r="L4169" s="48"/>
      <c r="M4169" s="48"/>
      <c r="N4169" s="48"/>
      <c r="O4169" s="48" t="str">
        <f t="shared" si="2"/>
        <v/>
      </c>
      <c r="P4169" s="48" t="str">
        <f t="shared" si="3"/>
        <v/>
      </c>
      <c r="Q4169" s="84"/>
      <c r="R4169" s="84"/>
      <c r="S4169" s="84"/>
      <c r="T4169" s="84"/>
      <c r="U4169" s="84"/>
      <c r="V4169" s="84"/>
      <c r="W4169" s="84"/>
      <c r="X4169" s="84"/>
      <c r="Y4169" s="84"/>
      <c r="Z4169" s="84"/>
      <c r="AA4169" s="84"/>
      <c r="AB4169" s="84"/>
    </row>
    <row r="4170">
      <c r="A4170" s="89"/>
      <c r="B4170" s="89"/>
      <c r="C4170" s="89"/>
      <c r="D4170" s="89"/>
      <c r="E4170" s="89"/>
      <c r="F4170" s="89"/>
      <c r="G4170" s="89"/>
      <c r="H4170" s="2"/>
      <c r="I4170" s="90"/>
      <c r="J4170" s="90"/>
      <c r="K4170" s="2"/>
      <c r="L4170" s="49"/>
      <c r="M4170" s="49"/>
      <c r="N4170" s="49"/>
      <c r="O4170" s="49" t="str">
        <f t="shared" si="2"/>
        <v/>
      </c>
      <c r="P4170" s="49" t="str">
        <f t="shared" si="3"/>
        <v/>
      </c>
      <c r="Q4170" s="84"/>
      <c r="R4170" s="84"/>
      <c r="S4170" s="84"/>
      <c r="T4170" s="84"/>
      <c r="U4170" s="84"/>
      <c r="V4170" s="84"/>
      <c r="W4170" s="84"/>
      <c r="X4170" s="84"/>
      <c r="Y4170" s="84"/>
      <c r="Z4170" s="84"/>
      <c r="AA4170" s="84"/>
      <c r="AB4170" s="84"/>
    </row>
    <row r="4171">
      <c r="A4171" s="89"/>
      <c r="B4171" s="89"/>
      <c r="C4171" s="89"/>
      <c r="D4171" s="89"/>
      <c r="E4171" s="89"/>
      <c r="F4171" s="89"/>
      <c r="G4171" s="89"/>
      <c r="H4171" s="2"/>
      <c r="I4171" s="90"/>
      <c r="J4171" s="90"/>
      <c r="K4171" s="2"/>
      <c r="L4171" s="48"/>
      <c r="M4171" s="48"/>
      <c r="N4171" s="48"/>
      <c r="O4171" s="48" t="str">
        <f t="shared" si="2"/>
        <v/>
      </c>
      <c r="P4171" s="48" t="str">
        <f t="shared" si="3"/>
        <v/>
      </c>
      <c r="Q4171" s="84"/>
      <c r="R4171" s="84"/>
      <c r="S4171" s="84"/>
      <c r="T4171" s="84"/>
      <c r="U4171" s="84"/>
      <c r="V4171" s="84"/>
      <c r="W4171" s="84"/>
      <c r="X4171" s="84"/>
      <c r="Y4171" s="84"/>
      <c r="Z4171" s="84"/>
      <c r="AA4171" s="84"/>
      <c r="AB4171" s="84"/>
    </row>
    <row r="4172">
      <c r="A4172" s="89"/>
      <c r="B4172" s="89"/>
      <c r="C4172" s="89"/>
      <c r="D4172" s="89"/>
      <c r="E4172" s="89"/>
      <c r="F4172" s="89"/>
      <c r="G4172" s="89"/>
      <c r="H4172" s="2"/>
      <c r="I4172" s="90"/>
      <c r="J4172" s="90"/>
      <c r="K4172" s="2"/>
      <c r="L4172" s="49"/>
      <c r="M4172" s="49"/>
      <c r="N4172" s="49"/>
      <c r="O4172" s="49" t="str">
        <f t="shared" si="2"/>
        <v/>
      </c>
      <c r="P4172" s="49" t="str">
        <f t="shared" si="3"/>
        <v/>
      </c>
      <c r="Q4172" s="84"/>
      <c r="R4172" s="84"/>
      <c r="S4172" s="84"/>
      <c r="T4172" s="84"/>
      <c r="U4172" s="84"/>
      <c r="V4172" s="84"/>
      <c r="W4172" s="84"/>
      <c r="X4172" s="84"/>
      <c r="Y4172" s="84"/>
      <c r="Z4172" s="84"/>
      <c r="AA4172" s="84"/>
      <c r="AB4172" s="84"/>
    </row>
    <row r="4173">
      <c r="A4173" s="89"/>
      <c r="B4173" s="89"/>
      <c r="C4173" s="89"/>
      <c r="D4173" s="89"/>
      <c r="E4173" s="89"/>
      <c r="F4173" s="89"/>
      <c r="G4173" s="89"/>
      <c r="H4173" s="2"/>
      <c r="I4173" s="90"/>
      <c r="J4173" s="90"/>
      <c r="K4173" s="2"/>
      <c r="L4173" s="48"/>
      <c r="M4173" s="48"/>
      <c r="N4173" s="48"/>
      <c r="O4173" s="48" t="str">
        <f t="shared" si="2"/>
        <v/>
      </c>
      <c r="P4173" s="48" t="str">
        <f t="shared" si="3"/>
        <v/>
      </c>
      <c r="Q4173" s="84"/>
      <c r="R4173" s="84"/>
      <c r="S4173" s="84"/>
      <c r="T4173" s="84"/>
      <c r="U4173" s="84"/>
      <c r="V4173" s="84"/>
      <c r="W4173" s="84"/>
      <c r="X4173" s="84"/>
      <c r="Y4173" s="84"/>
      <c r="Z4173" s="84"/>
      <c r="AA4173" s="84"/>
      <c r="AB4173" s="84"/>
    </row>
    <row r="4174">
      <c r="A4174" s="89"/>
      <c r="B4174" s="89"/>
      <c r="C4174" s="89"/>
      <c r="D4174" s="89"/>
      <c r="E4174" s="89"/>
      <c r="F4174" s="89"/>
      <c r="G4174" s="89"/>
      <c r="H4174" s="2"/>
      <c r="I4174" s="90"/>
      <c r="J4174" s="90"/>
      <c r="K4174" s="2"/>
      <c r="L4174" s="49"/>
      <c r="M4174" s="49"/>
      <c r="N4174" s="49"/>
      <c r="O4174" s="49" t="str">
        <f t="shared" si="2"/>
        <v/>
      </c>
      <c r="P4174" s="49" t="str">
        <f t="shared" si="3"/>
        <v/>
      </c>
      <c r="Q4174" s="84"/>
      <c r="R4174" s="84"/>
      <c r="S4174" s="84"/>
      <c r="T4174" s="84"/>
      <c r="U4174" s="84"/>
      <c r="V4174" s="84"/>
      <c r="W4174" s="84"/>
      <c r="X4174" s="84"/>
      <c r="Y4174" s="84"/>
      <c r="Z4174" s="84"/>
      <c r="AA4174" s="84"/>
      <c r="AB4174" s="84"/>
    </row>
    <row r="4175">
      <c r="A4175" s="89"/>
      <c r="B4175" s="89"/>
      <c r="C4175" s="89"/>
      <c r="D4175" s="89"/>
      <c r="E4175" s="89"/>
      <c r="F4175" s="89"/>
      <c r="G4175" s="89"/>
      <c r="H4175" s="2"/>
      <c r="I4175" s="90"/>
      <c r="J4175" s="90"/>
      <c r="K4175" s="2"/>
      <c r="L4175" s="48"/>
      <c r="M4175" s="48"/>
      <c r="N4175" s="48"/>
      <c r="O4175" s="48" t="str">
        <f t="shared" si="2"/>
        <v/>
      </c>
      <c r="P4175" s="48" t="str">
        <f t="shared" si="3"/>
        <v/>
      </c>
      <c r="Q4175" s="84"/>
      <c r="R4175" s="84"/>
      <c r="S4175" s="84"/>
      <c r="T4175" s="84"/>
      <c r="U4175" s="84"/>
      <c r="V4175" s="84"/>
      <c r="W4175" s="84"/>
      <c r="X4175" s="84"/>
      <c r="Y4175" s="84"/>
      <c r="Z4175" s="84"/>
      <c r="AA4175" s="84"/>
      <c r="AB4175" s="84"/>
    </row>
    <row r="4176">
      <c r="A4176" s="89"/>
      <c r="B4176" s="89"/>
      <c r="C4176" s="89"/>
      <c r="D4176" s="89"/>
      <c r="E4176" s="89"/>
      <c r="F4176" s="89"/>
      <c r="G4176" s="89"/>
      <c r="H4176" s="2"/>
      <c r="I4176" s="90"/>
      <c r="J4176" s="90"/>
      <c r="K4176" s="2"/>
      <c r="L4176" s="49"/>
      <c r="M4176" s="49"/>
      <c r="N4176" s="49"/>
      <c r="O4176" s="49" t="str">
        <f t="shared" si="2"/>
        <v/>
      </c>
      <c r="P4176" s="49" t="str">
        <f t="shared" si="3"/>
        <v/>
      </c>
      <c r="Q4176" s="84"/>
      <c r="R4176" s="84"/>
      <c r="S4176" s="84"/>
      <c r="T4176" s="84"/>
      <c r="U4176" s="84"/>
      <c r="V4176" s="84"/>
      <c r="W4176" s="84"/>
      <c r="X4176" s="84"/>
      <c r="Y4176" s="84"/>
      <c r="Z4176" s="84"/>
      <c r="AA4176" s="84"/>
      <c r="AB4176" s="84"/>
    </row>
    <row r="4177">
      <c r="A4177" s="89"/>
      <c r="B4177" s="89"/>
      <c r="C4177" s="89"/>
      <c r="D4177" s="89"/>
      <c r="E4177" s="89"/>
      <c r="F4177" s="89"/>
      <c r="G4177" s="89"/>
      <c r="H4177" s="2"/>
      <c r="I4177" s="90"/>
      <c r="J4177" s="90"/>
      <c r="K4177" s="2"/>
      <c r="L4177" s="48"/>
      <c r="M4177" s="48"/>
      <c r="N4177" s="48"/>
      <c r="O4177" s="48" t="str">
        <f t="shared" si="2"/>
        <v/>
      </c>
      <c r="P4177" s="48" t="str">
        <f t="shared" si="3"/>
        <v/>
      </c>
      <c r="Q4177" s="84"/>
      <c r="R4177" s="84"/>
      <c r="S4177" s="84"/>
      <c r="T4177" s="84"/>
      <c r="U4177" s="84"/>
      <c r="V4177" s="84"/>
      <c r="W4177" s="84"/>
      <c r="X4177" s="84"/>
      <c r="Y4177" s="84"/>
      <c r="Z4177" s="84"/>
      <c r="AA4177" s="84"/>
      <c r="AB4177" s="84"/>
    </row>
    <row r="4178">
      <c r="A4178" s="89"/>
      <c r="B4178" s="89"/>
      <c r="C4178" s="89"/>
      <c r="D4178" s="89"/>
      <c r="E4178" s="89"/>
      <c r="F4178" s="89"/>
      <c r="G4178" s="89"/>
      <c r="H4178" s="2"/>
      <c r="I4178" s="90"/>
      <c r="J4178" s="90"/>
      <c r="K4178" s="2"/>
      <c r="L4178" s="49"/>
      <c r="M4178" s="49"/>
      <c r="N4178" s="49"/>
      <c r="O4178" s="49" t="str">
        <f t="shared" si="2"/>
        <v/>
      </c>
      <c r="P4178" s="49" t="str">
        <f t="shared" si="3"/>
        <v/>
      </c>
      <c r="Q4178" s="84"/>
      <c r="R4178" s="84"/>
      <c r="S4178" s="84"/>
      <c r="T4178" s="84"/>
      <c r="U4178" s="84"/>
      <c r="V4178" s="84"/>
      <c r="W4178" s="84"/>
      <c r="X4178" s="84"/>
      <c r="Y4178" s="84"/>
      <c r="Z4178" s="84"/>
      <c r="AA4178" s="84"/>
      <c r="AB4178" s="84"/>
    </row>
    <row r="4179">
      <c r="A4179" s="89"/>
      <c r="B4179" s="89"/>
      <c r="C4179" s="89"/>
      <c r="D4179" s="89"/>
      <c r="E4179" s="89"/>
      <c r="F4179" s="89"/>
      <c r="G4179" s="89"/>
      <c r="H4179" s="2"/>
      <c r="I4179" s="90"/>
      <c r="J4179" s="90"/>
      <c r="K4179" s="2"/>
      <c r="L4179" s="48"/>
      <c r="M4179" s="48"/>
      <c r="N4179" s="48"/>
      <c r="O4179" s="48" t="str">
        <f t="shared" si="2"/>
        <v/>
      </c>
      <c r="P4179" s="48" t="str">
        <f t="shared" si="3"/>
        <v/>
      </c>
      <c r="Q4179" s="84"/>
      <c r="R4179" s="84"/>
      <c r="S4179" s="84"/>
      <c r="T4179" s="84"/>
      <c r="U4179" s="84"/>
      <c r="V4179" s="84"/>
      <c r="W4179" s="84"/>
      <c r="X4179" s="84"/>
      <c r="Y4179" s="84"/>
      <c r="Z4179" s="84"/>
      <c r="AA4179" s="84"/>
      <c r="AB4179" s="84"/>
    </row>
    <row r="4180">
      <c r="A4180" s="89"/>
      <c r="B4180" s="89"/>
      <c r="C4180" s="89"/>
      <c r="D4180" s="89"/>
      <c r="E4180" s="89"/>
      <c r="F4180" s="89"/>
      <c r="G4180" s="89"/>
      <c r="H4180" s="2"/>
      <c r="I4180" s="90"/>
      <c r="J4180" s="90"/>
      <c r="K4180" s="2"/>
      <c r="L4180" s="49"/>
      <c r="M4180" s="49"/>
      <c r="N4180" s="49"/>
      <c r="O4180" s="49" t="str">
        <f t="shared" si="2"/>
        <v/>
      </c>
      <c r="P4180" s="49" t="str">
        <f t="shared" si="3"/>
        <v/>
      </c>
      <c r="Q4180" s="84"/>
      <c r="R4180" s="84"/>
      <c r="S4180" s="84"/>
      <c r="T4180" s="84"/>
      <c r="U4180" s="84"/>
      <c r="V4180" s="84"/>
      <c r="W4180" s="84"/>
      <c r="X4180" s="84"/>
      <c r="Y4180" s="84"/>
      <c r="Z4180" s="84"/>
      <c r="AA4180" s="84"/>
      <c r="AB4180" s="84"/>
    </row>
    <row r="4181">
      <c r="A4181" s="89"/>
      <c r="B4181" s="89"/>
      <c r="C4181" s="89"/>
      <c r="D4181" s="89"/>
      <c r="E4181" s="89"/>
      <c r="F4181" s="89"/>
      <c r="G4181" s="89"/>
      <c r="H4181" s="2"/>
      <c r="I4181" s="90"/>
      <c r="J4181" s="90"/>
      <c r="K4181" s="2"/>
      <c r="L4181" s="48"/>
      <c r="M4181" s="48"/>
      <c r="N4181" s="48"/>
      <c r="O4181" s="48" t="str">
        <f t="shared" si="2"/>
        <v/>
      </c>
      <c r="P4181" s="48" t="str">
        <f t="shared" si="3"/>
        <v/>
      </c>
      <c r="Q4181" s="84"/>
      <c r="R4181" s="84"/>
      <c r="S4181" s="84"/>
      <c r="T4181" s="84"/>
      <c r="U4181" s="84"/>
      <c r="V4181" s="84"/>
      <c r="W4181" s="84"/>
      <c r="X4181" s="84"/>
      <c r="Y4181" s="84"/>
      <c r="Z4181" s="84"/>
      <c r="AA4181" s="84"/>
      <c r="AB4181" s="84"/>
    </row>
    <row r="4182">
      <c r="A4182" s="89"/>
      <c r="B4182" s="89"/>
      <c r="C4182" s="89"/>
      <c r="D4182" s="89"/>
      <c r="E4182" s="89"/>
      <c r="F4182" s="89"/>
      <c r="G4182" s="89"/>
      <c r="H4182" s="2"/>
      <c r="I4182" s="90"/>
      <c r="J4182" s="90"/>
      <c r="K4182" s="2"/>
      <c r="L4182" s="49"/>
      <c r="M4182" s="49"/>
      <c r="N4182" s="49"/>
      <c r="O4182" s="49" t="str">
        <f t="shared" si="2"/>
        <v/>
      </c>
      <c r="P4182" s="49" t="str">
        <f t="shared" si="3"/>
        <v/>
      </c>
      <c r="Q4182" s="84"/>
      <c r="R4182" s="84"/>
      <c r="S4182" s="84"/>
      <c r="T4182" s="84"/>
      <c r="U4182" s="84"/>
      <c r="V4182" s="84"/>
      <c r="W4182" s="84"/>
      <c r="X4182" s="84"/>
      <c r="Y4182" s="84"/>
      <c r="Z4182" s="84"/>
      <c r="AA4182" s="84"/>
      <c r="AB4182" s="84"/>
    </row>
    <row r="4183">
      <c r="A4183" s="89"/>
      <c r="B4183" s="89"/>
      <c r="C4183" s="89"/>
      <c r="D4183" s="89"/>
      <c r="E4183" s="89"/>
      <c r="F4183" s="89"/>
      <c r="G4183" s="89"/>
      <c r="H4183" s="2"/>
      <c r="I4183" s="90"/>
      <c r="J4183" s="90"/>
      <c r="K4183" s="2"/>
      <c r="L4183" s="48"/>
      <c r="M4183" s="48"/>
      <c r="N4183" s="48"/>
      <c r="O4183" s="48" t="str">
        <f t="shared" si="2"/>
        <v/>
      </c>
      <c r="P4183" s="48" t="str">
        <f t="shared" si="3"/>
        <v/>
      </c>
      <c r="Q4183" s="84"/>
      <c r="R4183" s="84"/>
      <c r="S4183" s="84"/>
      <c r="T4183" s="84"/>
      <c r="U4183" s="84"/>
      <c r="V4183" s="84"/>
      <c r="W4183" s="84"/>
      <c r="X4183" s="84"/>
      <c r="Y4183" s="84"/>
      <c r="Z4183" s="84"/>
      <c r="AA4183" s="84"/>
      <c r="AB4183" s="84"/>
    </row>
    <row r="4184">
      <c r="A4184" s="89"/>
      <c r="B4184" s="89"/>
      <c r="C4184" s="89"/>
      <c r="D4184" s="89"/>
      <c r="E4184" s="89"/>
      <c r="F4184" s="89"/>
      <c r="G4184" s="89"/>
      <c r="H4184" s="2"/>
      <c r="I4184" s="90"/>
      <c r="J4184" s="90"/>
      <c r="K4184" s="2"/>
      <c r="L4184" s="49"/>
      <c r="M4184" s="49"/>
      <c r="N4184" s="49"/>
      <c r="O4184" s="49" t="str">
        <f t="shared" si="2"/>
        <v/>
      </c>
      <c r="P4184" s="49" t="str">
        <f t="shared" si="3"/>
        <v/>
      </c>
      <c r="Q4184" s="84"/>
      <c r="R4184" s="84"/>
      <c r="S4184" s="84"/>
      <c r="T4184" s="84"/>
      <c r="U4184" s="84"/>
      <c r="V4184" s="84"/>
      <c r="W4184" s="84"/>
      <c r="X4184" s="84"/>
      <c r="Y4184" s="84"/>
      <c r="Z4184" s="84"/>
      <c r="AA4184" s="84"/>
      <c r="AB4184" s="84"/>
    </row>
    <row r="4185">
      <c r="A4185" s="89"/>
      <c r="B4185" s="89"/>
      <c r="C4185" s="89"/>
      <c r="D4185" s="89"/>
      <c r="E4185" s="89"/>
      <c r="F4185" s="89"/>
      <c r="G4185" s="89"/>
      <c r="H4185" s="2"/>
      <c r="I4185" s="90"/>
      <c r="J4185" s="90"/>
      <c r="K4185" s="2"/>
      <c r="L4185" s="48"/>
      <c r="M4185" s="48"/>
      <c r="N4185" s="48"/>
      <c r="O4185" s="48" t="str">
        <f t="shared" si="2"/>
        <v/>
      </c>
      <c r="P4185" s="48" t="str">
        <f t="shared" si="3"/>
        <v/>
      </c>
      <c r="Q4185" s="84"/>
      <c r="R4185" s="84"/>
      <c r="S4185" s="84"/>
      <c r="T4185" s="84"/>
      <c r="U4185" s="84"/>
      <c r="V4185" s="84"/>
      <c r="W4185" s="84"/>
      <c r="X4185" s="84"/>
      <c r="Y4185" s="84"/>
      <c r="Z4185" s="84"/>
      <c r="AA4185" s="84"/>
      <c r="AB4185" s="84"/>
    </row>
    <row r="4186">
      <c r="A4186" s="89"/>
      <c r="B4186" s="89"/>
      <c r="C4186" s="89"/>
      <c r="D4186" s="89"/>
      <c r="E4186" s="89"/>
      <c r="F4186" s="89"/>
      <c r="G4186" s="89"/>
      <c r="H4186" s="2"/>
      <c r="I4186" s="90"/>
      <c r="J4186" s="90"/>
      <c r="K4186" s="2"/>
      <c r="L4186" s="49"/>
      <c r="M4186" s="49"/>
      <c r="N4186" s="49"/>
      <c r="O4186" s="49" t="str">
        <f t="shared" si="2"/>
        <v/>
      </c>
      <c r="P4186" s="49" t="str">
        <f t="shared" si="3"/>
        <v/>
      </c>
      <c r="Q4186" s="84"/>
      <c r="R4186" s="84"/>
      <c r="S4186" s="84"/>
      <c r="T4186" s="84"/>
      <c r="U4186" s="84"/>
      <c r="V4186" s="84"/>
      <c r="W4186" s="84"/>
      <c r="X4186" s="84"/>
      <c r="Y4186" s="84"/>
      <c r="Z4186" s="84"/>
      <c r="AA4186" s="84"/>
      <c r="AB4186" s="84"/>
    </row>
    <row r="4187">
      <c r="A4187" s="89"/>
      <c r="B4187" s="89"/>
      <c r="C4187" s="89"/>
      <c r="D4187" s="89"/>
      <c r="E4187" s="89"/>
      <c r="F4187" s="89"/>
      <c r="G4187" s="89"/>
      <c r="H4187" s="2"/>
      <c r="I4187" s="90"/>
      <c r="J4187" s="90"/>
      <c r="K4187" s="2"/>
      <c r="L4187" s="48"/>
      <c r="M4187" s="48"/>
      <c r="N4187" s="48"/>
      <c r="O4187" s="48" t="str">
        <f t="shared" si="2"/>
        <v/>
      </c>
      <c r="P4187" s="48" t="str">
        <f t="shared" si="3"/>
        <v/>
      </c>
      <c r="Q4187" s="84"/>
      <c r="R4187" s="84"/>
      <c r="S4187" s="84"/>
      <c r="T4187" s="84"/>
      <c r="U4187" s="84"/>
      <c r="V4187" s="84"/>
      <c r="W4187" s="84"/>
      <c r="X4187" s="84"/>
      <c r="Y4187" s="84"/>
      <c r="Z4187" s="84"/>
      <c r="AA4187" s="84"/>
      <c r="AB4187" s="84"/>
    </row>
    <row r="4188">
      <c r="A4188" s="89"/>
      <c r="B4188" s="89"/>
      <c r="C4188" s="89"/>
      <c r="D4188" s="89"/>
      <c r="E4188" s="89"/>
      <c r="F4188" s="89"/>
      <c r="G4188" s="89"/>
      <c r="H4188" s="2"/>
      <c r="I4188" s="90"/>
      <c r="J4188" s="90"/>
      <c r="K4188" s="2"/>
      <c r="L4188" s="49"/>
      <c r="M4188" s="49"/>
      <c r="N4188" s="49"/>
      <c r="O4188" s="49" t="str">
        <f t="shared" si="2"/>
        <v/>
      </c>
      <c r="P4188" s="49" t="str">
        <f t="shared" si="3"/>
        <v/>
      </c>
      <c r="Q4188" s="84"/>
      <c r="R4188" s="84"/>
      <c r="S4188" s="84"/>
      <c r="T4188" s="84"/>
      <c r="U4188" s="84"/>
      <c r="V4188" s="84"/>
      <c r="W4188" s="84"/>
      <c r="X4188" s="84"/>
      <c r="Y4188" s="84"/>
      <c r="Z4188" s="84"/>
      <c r="AA4188" s="84"/>
      <c r="AB4188" s="84"/>
    </row>
    <row r="4189">
      <c r="A4189" s="89"/>
      <c r="B4189" s="89"/>
      <c r="C4189" s="89"/>
      <c r="D4189" s="89"/>
      <c r="E4189" s="89"/>
      <c r="F4189" s="89"/>
      <c r="G4189" s="89"/>
      <c r="H4189" s="2"/>
      <c r="I4189" s="90"/>
      <c r="J4189" s="90"/>
      <c r="K4189" s="2"/>
      <c r="L4189" s="48"/>
      <c r="M4189" s="48"/>
      <c r="N4189" s="48"/>
      <c r="O4189" s="48" t="str">
        <f t="shared" si="2"/>
        <v/>
      </c>
      <c r="P4189" s="48" t="str">
        <f t="shared" si="3"/>
        <v/>
      </c>
      <c r="Q4189" s="84"/>
      <c r="R4189" s="84"/>
      <c r="S4189" s="84"/>
      <c r="T4189" s="84"/>
      <c r="U4189" s="84"/>
      <c r="V4189" s="84"/>
      <c r="W4189" s="84"/>
      <c r="X4189" s="84"/>
      <c r="Y4189" s="84"/>
      <c r="Z4189" s="84"/>
      <c r="AA4189" s="84"/>
      <c r="AB4189" s="84"/>
    </row>
    <row r="4190">
      <c r="A4190" s="89"/>
      <c r="B4190" s="89"/>
      <c r="C4190" s="89"/>
      <c r="D4190" s="89"/>
      <c r="E4190" s="89"/>
      <c r="F4190" s="89"/>
      <c r="G4190" s="89"/>
      <c r="H4190" s="2"/>
      <c r="I4190" s="90"/>
      <c r="J4190" s="90"/>
      <c r="K4190" s="2"/>
      <c r="L4190" s="49"/>
      <c r="M4190" s="49"/>
      <c r="N4190" s="49"/>
      <c r="O4190" s="49" t="str">
        <f t="shared" si="2"/>
        <v/>
      </c>
      <c r="P4190" s="49" t="str">
        <f t="shared" si="3"/>
        <v/>
      </c>
      <c r="Q4190" s="84"/>
      <c r="R4190" s="84"/>
      <c r="S4190" s="84"/>
      <c r="T4190" s="84"/>
      <c r="U4190" s="84"/>
      <c r="V4190" s="84"/>
      <c r="W4190" s="84"/>
      <c r="X4190" s="84"/>
      <c r="Y4190" s="84"/>
      <c r="Z4190" s="84"/>
      <c r="AA4190" s="84"/>
      <c r="AB4190" s="84"/>
    </row>
    <row r="4191">
      <c r="A4191" s="89"/>
      <c r="B4191" s="89"/>
      <c r="C4191" s="89"/>
      <c r="D4191" s="89"/>
      <c r="E4191" s="89"/>
      <c r="F4191" s="89"/>
      <c r="G4191" s="89"/>
      <c r="H4191" s="2"/>
      <c r="I4191" s="90"/>
      <c r="J4191" s="90"/>
      <c r="K4191" s="2"/>
      <c r="L4191" s="48"/>
      <c r="M4191" s="48"/>
      <c r="N4191" s="48"/>
      <c r="O4191" s="48" t="str">
        <f t="shared" si="2"/>
        <v/>
      </c>
      <c r="P4191" s="48" t="str">
        <f t="shared" si="3"/>
        <v/>
      </c>
      <c r="Q4191" s="84"/>
      <c r="R4191" s="84"/>
      <c r="S4191" s="84"/>
      <c r="T4191" s="84"/>
      <c r="U4191" s="84"/>
      <c r="V4191" s="84"/>
      <c r="W4191" s="84"/>
      <c r="X4191" s="84"/>
      <c r="Y4191" s="84"/>
      <c r="Z4191" s="84"/>
      <c r="AA4191" s="84"/>
      <c r="AB4191" s="84"/>
    </row>
    <row r="4192">
      <c r="A4192" s="89"/>
      <c r="B4192" s="89"/>
      <c r="C4192" s="89"/>
      <c r="D4192" s="89"/>
      <c r="E4192" s="89"/>
      <c r="F4192" s="89"/>
      <c r="G4192" s="89"/>
      <c r="H4192" s="2"/>
      <c r="I4192" s="90"/>
      <c r="J4192" s="90"/>
      <c r="K4192" s="2"/>
      <c r="L4192" s="49"/>
      <c r="M4192" s="49"/>
      <c r="N4192" s="49"/>
      <c r="O4192" s="49" t="str">
        <f t="shared" si="2"/>
        <v/>
      </c>
      <c r="P4192" s="49" t="str">
        <f t="shared" si="3"/>
        <v/>
      </c>
      <c r="Q4192" s="84"/>
      <c r="R4192" s="84"/>
      <c r="S4192" s="84"/>
      <c r="T4192" s="84"/>
      <c r="U4192" s="84"/>
      <c r="V4192" s="84"/>
      <c r="W4192" s="84"/>
      <c r="X4192" s="84"/>
      <c r="Y4192" s="84"/>
      <c r="Z4192" s="84"/>
      <c r="AA4192" s="84"/>
      <c r="AB4192" s="84"/>
    </row>
    <row r="4193">
      <c r="A4193" s="89"/>
      <c r="B4193" s="89"/>
      <c r="C4193" s="89"/>
      <c r="D4193" s="89"/>
      <c r="E4193" s="89"/>
      <c r="F4193" s="89"/>
      <c r="G4193" s="89"/>
      <c r="H4193" s="2"/>
      <c r="I4193" s="90"/>
      <c r="J4193" s="90"/>
      <c r="K4193" s="2"/>
      <c r="L4193" s="48"/>
      <c r="M4193" s="48"/>
      <c r="N4193" s="48"/>
      <c r="O4193" s="48" t="str">
        <f t="shared" si="2"/>
        <v/>
      </c>
      <c r="P4193" s="48" t="str">
        <f t="shared" si="3"/>
        <v/>
      </c>
      <c r="Q4193" s="84"/>
      <c r="R4193" s="84"/>
      <c r="S4193" s="84"/>
      <c r="T4193" s="84"/>
      <c r="U4193" s="84"/>
      <c r="V4193" s="84"/>
      <c r="W4193" s="84"/>
      <c r="X4193" s="84"/>
      <c r="Y4193" s="84"/>
      <c r="Z4193" s="84"/>
      <c r="AA4193" s="84"/>
      <c r="AB4193" s="84"/>
    </row>
    <row r="4194">
      <c r="A4194" s="89"/>
      <c r="B4194" s="89"/>
      <c r="C4194" s="89"/>
      <c r="D4194" s="89"/>
      <c r="E4194" s="89"/>
      <c r="F4194" s="89"/>
      <c r="G4194" s="89"/>
      <c r="H4194" s="2"/>
      <c r="I4194" s="90"/>
      <c r="J4194" s="90"/>
      <c r="K4194" s="2"/>
      <c r="L4194" s="49"/>
      <c r="M4194" s="49"/>
      <c r="N4194" s="49"/>
      <c r="O4194" s="49" t="str">
        <f t="shared" si="2"/>
        <v/>
      </c>
      <c r="P4194" s="49" t="str">
        <f t="shared" si="3"/>
        <v/>
      </c>
      <c r="Q4194" s="84"/>
      <c r="R4194" s="84"/>
      <c r="S4194" s="84"/>
      <c r="T4194" s="84"/>
      <c r="U4194" s="84"/>
      <c r="V4194" s="84"/>
      <c r="W4194" s="84"/>
      <c r="X4194" s="84"/>
      <c r="Y4194" s="84"/>
      <c r="Z4194" s="84"/>
      <c r="AA4194" s="84"/>
      <c r="AB4194" s="84"/>
    </row>
    <row r="4195">
      <c r="A4195" s="89"/>
      <c r="B4195" s="89"/>
      <c r="C4195" s="89"/>
      <c r="D4195" s="89"/>
      <c r="E4195" s="89"/>
      <c r="F4195" s="89"/>
      <c r="G4195" s="89"/>
      <c r="H4195" s="2"/>
      <c r="I4195" s="90"/>
      <c r="J4195" s="90"/>
      <c r="K4195" s="2"/>
      <c r="L4195" s="48"/>
      <c r="M4195" s="48"/>
      <c r="N4195" s="48"/>
      <c r="O4195" s="48" t="str">
        <f t="shared" si="2"/>
        <v/>
      </c>
      <c r="P4195" s="48" t="str">
        <f t="shared" si="3"/>
        <v/>
      </c>
      <c r="Q4195" s="84"/>
      <c r="R4195" s="84"/>
      <c r="S4195" s="84"/>
      <c r="T4195" s="84"/>
      <c r="U4195" s="84"/>
      <c r="V4195" s="84"/>
      <c r="W4195" s="84"/>
      <c r="X4195" s="84"/>
      <c r="Y4195" s="84"/>
      <c r="Z4195" s="84"/>
      <c r="AA4195" s="84"/>
      <c r="AB4195" s="84"/>
    </row>
    <row r="4196">
      <c r="A4196" s="89"/>
      <c r="B4196" s="89"/>
      <c r="C4196" s="89"/>
      <c r="D4196" s="89"/>
      <c r="E4196" s="89"/>
      <c r="F4196" s="89"/>
      <c r="G4196" s="89"/>
      <c r="H4196" s="2"/>
      <c r="I4196" s="90"/>
      <c r="J4196" s="90"/>
      <c r="K4196" s="2"/>
      <c r="L4196" s="49"/>
      <c r="M4196" s="49"/>
      <c r="N4196" s="49"/>
      <c r="O4196" s="49" t="str">
        <f t="shared" si="2"/>
        <v/>
      </c>
      <c r="P4196" s="49" t="str">
        <f t="shared" si="3"/>
        <v/>
      </c>
      <c r="Q4196" s="84"/>
      <c r="R4196" s="84"/>
      <c r="S4196" s="84"/>
      <c r="T4196" s="84"/>
      <c r="U4196" s="84"/>
      <c r="V4196" s="84"/>
      <c r="W4196" s="84"/>
      <c r="X4196" s="84"/>
      <c r="Y4196" s="84"/>
      <c r="Z4196" s="84"/>
      <c r="AA4196" s="84"/>
      <c r="AB4196" s="84"/>
    </row>
    <row r="4197">
      <c r="A4197" s="89"/>
      <c r="B4197" s="89"/>
      <c r="C4197" s="89"/>
      <c r="D4197" s="89"/>
      <c r="E4197" s="89"/>
      <c r="F4197" s="89"/>
      <c r="G4197" s="89"/>
      <c r="H4197" s="2"/>
      <c r="I4197" s="90"/>
      <c r="J4197" s="90"/>
      <c r="K4197" s="2"/>
      <c r="L4197" s="48"/>
      <c r="M4197" s="48"/>
      <c r="N4197" s="48"/>
      <c r="O4197" s="48" t="str">
        <f t="shared" si="2"/>
        <v/>
      </c>
      <c r="P4197" s="48" t="str">
        <f t="shared" si="3"/>
        <v/>
      </c>
      <c r="Q4197" s="84"/>
      <c r="R4197" s="84"/>
      <c r="S4197" s="84"/>
      <c r="T4197" s="84"/>
      <c r="U4197" s="84"/>
      <c r="V4197" s="84"/>
      <c r="W4197" s="84"/>
      <c r="X4197" s="84"/>
      <c r="Y4197" s="84"/>
      <c r="Z4197" s="84"/>
      <c r="AA4197" s="84"/>
      <c r="AB4197" s="84"/>
    </row>
    <row r="4198">
      <c r="A4198" s="89"/>
      <c r="B4198" s="89"/>
      <c r="C4198" s="89"/>
      <c r="D4198" s="89"/>
      <c r="E4198" s="89"/>
      <c r="F4198" s="89"/>
      <c r="G4198" s="89"/>
      <c r="H4198" s="2"/>
      <c r="I4198" s="90"/>
      <c r="J4198" s="90"/>
      <c r="K4198" s="2"/>
      <c r="L4198" s="49"/>
      <c r="M4198" s="49"/>
      <c r="N4198" s="49"/>
      <c r="O4198" s="49" t="str">
        <f t="shared" si="2"/>
        <v/>
      </c>
      <c r="P4198" s="49" t="str">
        <f t="shared" si="3"/>
        <v/>
      </c>
      <c r="Q4198" s="84"/>
      <c r="R4198" s="84"/>
      <c r="S4198" s="84"/>
      <c r="T4198" s="84"/>
      <c r="U4198" s="84"/>
      <c r="V4198" s="84"/>
      <c r="W4198" s="84"/>
      <c r="X4198" s="84"/>
      <c r="Y4198" s="84"/>
      <c r="Z4198" s="84"/>
      <c r="AA4198" s="84"/>
      <c r="AB4198" s="84"/>
    </row>
    <row r="4199">
      <c r="A4199" s="89"/>
      <c r="B4199" s="89"/>
      <c r="C4199" s="89"/>
      <c r="D4199" s="89"/>
      <c r="E4199" s="89"/>
      <c r="F4199" s="89"/>
      <c r="G4199" s="89"/>
      <c r="H4199" s="2"/>
      <c r="I4199" s="90"/>
      <c r="J4199" s="90"/>
      <c r="K4199" s="2"/>
      <c r="L4199" s="48"/>
      <c r="M4199" s="48"/>
      <c r="N4199" s="48"/>
      <c r="O4199" s="48" t="str">
        <f t="shared" si="2"/>
        <v/>
      </c>
      <c r="P4199" s="48" t="str">
        <f t="shared" si="3"/>
        <v/>
      </c>
      <c r="Q4199" s="84"/>
      <c r="R4199" s="84"/>
      <c r="S4199" s="84"/>
      <c r="T4199" s="84"/>
      <c r="U4199" s="84"/>
      <c r="V4199" s="84"/>
      <c r="W4199" s="84"/>
      <c r="X4199" s="84"/>
      <c r="Y4199" s="84"/>
      <c r="Z4199" s="84"/>
      <c r="AA4199" s="84"/>
      <c r="AB4199" s="84"/>
    </row>
    <row r="4200">
      <c r="A4200" s="89"/>
      <c r="B4200" s="89"/>
      <c r="C4200" s="89"/>
      <c r="D4200" s="89"/>
      <c r="E4200" s="89"/>
      <c r="F4200" s="89"/>
      <c r="G4200" s="89"/>
      <c r="H4200" s="2"/>
      <c r="I4200" s="90"/>
      <c r="J4200" s="90"/>
      <c r="K4200" s="2"/>
      <c r="L4200" s="49"/>
      <c r="M4200" s="49"/>
      <c r="N4200" s="49"/>
      <c r="O4200" s="49" t="str">
        <f t="shared" si="2"/>
        <v/>
      </c>
      <c r="P4200" s="49" t="str">
        <f t="shared" si="3"/>
        <v/>
      </c>
      <c r="Q4200" s="84"/>
      <c r="R4200" s="84"/>
      <c r="S4200" s="84"/>
      <c r="T4200" s="84"/>
      <c r="U4200" s="84"/>
      <c r="V4200" s="84"/>
      <c r="W4200" s="84"/>
      <c r="X4200" s="84"/>
      <c r="Y4200" s="84"/>
      <c r="Z4200" s="84"/>
      <c r="AA4200" s="84"/>
      <c r="AB4200" s="84"/>
    </row>
    <row r="4201">
      <c r="A4201" s="89"/>
      <c r="B4201" s="89"/>
      <c r="C4201" s="89"/>
      <c r="D4201" s="89"/>
      <c r="E4201" s="89"/>
      <c r="F4201" s="89"/>
      <c r="G4201" s="89"/>
      <c r="H4201" s="2"/>
      <c r="I4201" s="90"/>
      <c r="J4201" s="90"/>
      <c r="K4201" s="2"/>
      <c r="L4201" s="48"/>
      <c r="M4201" s="48"/>
      <c r="N4201" s="48"/>
      <c r="O4201" s="48" t="str">
        <f t="shared" si="2"/>
        <v/>
      </c>
      <c r="P4201" s="48" t="str">
        <f t="shared" si="3"/>
        <v/>
      </c>
      <c r="Q4201" s="84"/>
      <c r="R4201" s="84"/>
      <c r="S4201" s="84"/>
      <c r="T4201" s="84"/>
      <c r="U4201" s="84"/>
      <c r="V4201" s="84"/>
      <c r="W4201" s="84"/>
      <c r="X4201" s="84"/>
      <c r="Y4201" s="84"/>
      <c r="Z4201" s="84"/>
      <c r="AA4201" s="84"/>
      <c r="AB4201" s="84"/>
    </row>
    <row r="4202">
      <c r="A4202" s="89"/>
      <c r="B4202" s="89"/>
      <c r="C4202" s="89"/>
      <c r="D4202" s="89"/>
      <c r="E4202" s="89"/>
      <c r="F4202" s="89"/>
      <c r="G4202" s="89"/>
      <c r="H4202" s="2"/>
      <c r="I4202" s="90"/>
      <c r="J4202" s="90"/>
      <c r="K4202" s="2"/>
      <c r="L4202" s="49"/>
      <c r="M4202" s="49"/>
      <c r="N4202" s="49"/>
      <c r="O4202" s="49" t="str">
        <f t="shared" si="2"/>
        <v/>
      </c>
      <c r="P4202" s="49" t="str">
        <f t="shared" si="3"/>
        <v/>
      </c>
      <c r="Q4202" s="84"/>
      <c r="R4202" s="84"/>
      <c r="S4202" s="84"/>
      <c r="T4202" s="84"/>
      <c r="U4202" s="84"/>
      <c r="V4202" s="84"/>
      <c r="W4202" s="84"/>
      <c r="X4202" s="84"/>
      <c r="Y4202" s="84"/>
      <c r="Z4202" s="84"/>
      <c r="AA4202" s="84"/>
      <c r="AB4202" s="84"/>
    </row>
    <row r="4203">
      <c r="A4203" s="89"/>
      <c r="B4203" s="89"/>
      <c r="C4203" s="89"/>
      <c r="D4203" s="89"/>
      <c r="E4203" s="89"/>
      <c r="F4203" s="89"/>
      <c r="G4203" s="89"/>
      <c r="H4203" s="2"/>
      <c r="I4203" s="90"/>
      <c r="J4203" s="90"/>
      <c r="K4203" s="2"/>
      <c r="L4203" s="48"/>
      <c r="M4203" s="48"/>
      <c r="N4203" s="48"/>
      <c r="O4203" s="48" t="str">
        <f t="shared" si="2"/>
        <v/>
      </c>
      <c r="P4203" s="48" t="str">
        <f t="shared" si="3"/>
        <v/>
      </c>
      <c r="Q4203" s="84"/>
      <c r="R4203" s="84"/>
      <c r="S4203" s="84"/>
      <c r="T4203" s="84"/>
      <c r="U4203" s="84"/>
      <c r="V4203" s="84"/>
      <c r="W4203" s="84"/>
      <c r="X4203" s="84"/>
      <c r="Y4203" s="84"/>
      <c r="Z4203" s="84"/>
      <c r="AA4203" s="84"/>
      <c r="AB4203" s="84"/>
    </row>
    <row r="4204">
      <c r="A4204" s="89"/>
      <c r="B4204" s="89"/>
      <c r="C4204" s="89"/>
      <c r="D4204" s="89"/>
      <c r="E4204" s="89"/>
      <c r="F4204" s="89"/>
      <c r="G4204" s="89"/>
      <c r="H4204" s="2"/>
      <c r="I4204" s="90"/>
      <c r="J4204" s="90"/>
      <c r="K4204" s="2"/>
      <c r="L4204" s="49"/>
      <c r="M4204" s="49"/>
      <c r="N4204" s="49"/>
      <c r="O4204" s="49" t="str">
        <f t="shared" si="2"/>
        <v/>
      </c>
      <c r="P4204" s="49" t="str">
        <f t="shared" si="3"/>
        <v/>
      </c>
      <c r="Q4204" s="84"/>
      <c r="R4204" s="84"/>
      <c r="S4204" s="84"/>
      <c r="T4204" s="84"/>
      <c r="U4204" s="84"/>
      <c r="V4204" s="84"/>
      <c r="W4204" s="84"/>
      <c r="X4204" s="84"/>
      <c r="Y4204" s="84"/>
      <c r="Z4204" s="84"/>
      <c r="AA4204" s="84"/>
      <c r="AB4204" s="84"/>
    </row>
    <row r="4205">
      <c r="A4205" s="89"/>
      <c r="B4205" s="89"/>
      <c r="C4205" s="89"/>
      <c r="D4205" s="89"/>
      <c r="E4205" s="89"/>
      <c r="F4205" s="89"/>
      <c r="G4205" s="89"/>
      <c r="H4205" s="2"/>
      <c r="I4205" s="90"/>
      <c r="J4205" s="90"/>
      <c r="K4205" s="2"/>
      <c r="L4205" s="48"/>
      <c r="M4205" s="48"/>
      <c r="N4205" s="48"/>
      <c r="O4205" s="48" t="str">
        <f t="shared" si="2"/>
        <v/>
      </c>
      <c r="P4205" s="48" t="str">
        <f t="shared" si="3"/>
        <v/>
      </c>
      <c r="Q4205" s="84"/>
      <c r="R4205" s="84"/>
      <c r="S4205" s="84"/>
      <c r="T4205" s="84"/>
      <c r="U4205" s="84"/>
      <c r="V4205" s="84"/>
      <c r="W4205" s="84"/>
      <c r="X4205" s="84"/>
      <c r="Y4205" s="84"/>
      <c r="Z4205" s="84"/>
      <c r="AA4205" s="84"/>
      <c r="AB4205" s="84"/>
    </row>
    <row r="4206">
      <c r="A4206" s="89"/>
      <c r="B4206" s="89"/>
      <c r="C4206" s="89"/>
      <c r="D4206" s="89"/>
      <c r="E4206" s="89"/>
      <c r="F4206" s="89"/>
      <c r="G4206" s="89"/>
      <c r="H4206" s="2"/>
      <c r="I4206" s="90"/>
      <c r="J4206" s="90"/>
      <c r="K4206" s="2"/>
      <c r="L4206" s="49"/>
      <c r="M4206" s="49"/>
      <c r="N4206" s="49"/>
      <c r="O4206" s="49" t="str">
        <f t="shared" si="2"/>
        <v/>
      </c>
      <c r="P4206" s="49" t="str">
        <f t="shared" si="3"/>
        <v/>
      </c>
      <c r="Q4206" s="84"/>
      <c r="R4206" s="84"/>
      <c r="S4206" s="84"/>
      <c r="T4206" s="84"/>
      <c r="U4206" s="84"/>
      <c r="V4206" s="84"/>
      <c r="W4206" s="84"/>
      <c r="X4206" s="84"/>
      <c r="Y4206" s="84"/>
      <c r="Z4206" s="84"/>
      <c r="AA4206" s="84"/>
      <c r="AB4206" s="84"/>
    </row>
    <row r="4207">
      <c r="A4207" s="89"/>
      <c r="B4207" s="89"/>
      <c r="C4207" s="89"/>
      <c r="D4207" s="89"/>
      <c r="E4207" s="89"/>
      <c r="F4207" s="89"/>
      <c r="G4207" s="89"/>
      <c r="H4207" s="2"/>
      <c r="I4207" s="90"/>
      <c r="J4207" s="90"/>
      <c r="K4207" s="2"/>
      <c r="L4207" s="48"/>
      <c r="M4207" s="48"/>
      <c r="N4207" s="48"/>
      <c r="O4207" s="48" t="str">
        <f t="shared" si="2"/>
        <v/>
      </c>
      <c r="P4207" s="48" t="str">
        <f t="shared" si="3"/>
        <v/>
      </c>
      <c r="Q4207" s="84"/>
      <c r="R4207" s="84"/>
      <c r="S4207" s="84"/>
      <c r="T4207" s="84"/>
      <c r="U4207" s="84"/>
      <c r="V4207" s="84"/>
      <c r="W4207" s="84"/>
      <c r="X4207" s="84"/>
      <c r="Y4207" s="84"/>
      <c r="Z4207" s="84"/>
      <c r="AA4207" s="84"/>
      <c r="AB4207" s="84"/>
    </row>
    <row r="4208">
      <c r="A4208" s="89"/>
      <c r="B4208" s="89"/>
      <c r="C4208" s="89"/>
      <c r="D4208" s="89"/>
      <c r="E4208" s="89"/>
      <c r="F4208" s="89"/>
      <c r="G4208" s="89"/>
      <c r="H4208" s="2"/>
      <c r="I4208" s="90"/>
      <c r="J4208" s="90"/>
      <c r="K4208" s="2"/>
      <c r="L4208" s="49"/>
      <c r="M4208" s="49"/>
      <c r="N4208" s="49"/>
      <c r="O4208" s="49" t="str">
        <f t="shared" si="2"/>
        <v/>
      </c>
      <c r="P4208" s="49" t="str">
        <f t="shared" si="3"/>
        <v/>
      </c>
      <c r="Q4208" s="84"/>
      <c r="R4208" s="84"/>
      <c r="S4208" s="84"/>
      <c r="T4208" s="84"/>
      <c r="U4208" s="84"/>
      <c r="V4208" s="84"/>
      <c r="W4208" s="84"/>
      <c r="X4208" s="84"/>
      <c r="Y4208" s="84"/>
      <c r="Z4208" s="84"/>
      <c r="AA4208" s="84"/>
      <c r="AB4208" s="84"/>
    </row>
    <row r="4209">
      <c r="A4209" s="89"/>
      <c r="B4209" s="89"/>
      <c r="C4209" s="89"/>
      <c r="D4209" s="89"/>
      <c r="E4209" s="89"/>
      <c r="F4209" s="89"/>
      <c r="G4209" s="89"/>
      <c r="H4209" s="2"/>
      <c r="I4209" s="90"/>
      <c r="J4209" s="90"/>
      <c r="K4209" s="2"/>
      <c r="L4209" s="48"/>
      <c r="M4209" s="48"/>
      <c r="N4209" s="48"/>
      <c r="O4209" s="48" t="str">
        <f t="shared" si="2"/>
        <v/>
      </c>
      <c r="P4209" s="48" t="str">
        <f t="shared" si="3"/>
        <v/>
      </c>
      <c r="Q4209" s="84"/>
      <c r="R4209" s="84"/>
      <c r="S4209" s="84"/>
      <c r="T4209" s="84"/>
      <c r="U4209" s="84"/>
      <c r="V4209" s="84"/>
      <c r="W4209" s="84"/>
      <c r="X4209" s="84"/>
      <c r="Y4209" s="84"/>
      <c r="Z4209" s="84"/>
      <c r="AA4209" s="84"/>
      <c r="AB4209" s="84"/>
    </row>
    <row r="4210">
      <c r="A4210" s="89"/>
      <c r="B4210" s="89"/>
      <c r="C4210" s="89"/>
      <c r="D4210" s="89"/>
      <c r="E4210" s="89"/>
      <c r="F4210" s="89"/>
      <c r="G4210" s="89"/>
      <c r="H4210" s="2"/>
      <c r="I4210" s="90"/>
      <c r="J4210" s="90"/>
      <c r="K4210" s="2"/>
      <c r="L4210" s="49"/>
      <c r="M4210" s="49"/>
      <c r="N4210" s="49"/>
      <c r="O4210" s="49" t="str">
        <f t="shared" si="2"/>
        <v/>
      </c>
      <c r="P4210" s="49" t="str">
        <f t="shared" si="3"/>
        <v/>
      </c>
      <c r="Q4210" s="84"/>
      <c r="R4210" s="84"/>
      <c r="S4210" s="84"/>
      <c r="T4210" s="84"/>
      <c r="U4210" s="84"/>
      <c r="V4210" s="84"/>
      <c r="W4210" s="84"/>
      <c r="X4210" s="84"/>
      <c r="Y4210" s="84"/>
      <c r="Z4210" s="84"/>
      <c r="AA4210" s="84"/>
      <c r="AB4210" s="84"/>
    </row>
    <row r="4211">
      <c r="A4211" s="89"/>
      <c r="B4211" s="89"/>
      <c r="C4211" s="89"/>
      <c r="D4211" s="89"/>
      <c r="E4211" s="89"/>
      <c r="F4211" s="89"/>
      <c r="G4211" s="89"/>
      <c r="H4211" s="2"/>
      <c r="I4211" s="90"/>
      <c r="J4211" s="90"/>
      <c r="K4211" s="2"/>
      <c r="L4211" s="48"/>
      <c r="M4211" s="48"/>
      <c r="N4211" s="48"/>
      <c r="O4211" s="48" t="str">
        <f t="shared" si="2"/>
        <v/>
      </c>
      <c r="P4211" s="48" t="str">
        <f t="shared" si="3"/>
        <v/>
      </c>
      <c r="Q4211" s="84"/>
      <c r="R4211" s="84"/>
      <c r="S4211" s="84"/>
      <c r="T4211" s="84"/>
      <c r="U4211" s="84"/>
      <c r="V4211" s="84"/>
      <c r="W4211" s="84"/>
      <c r="X4211" s="84"/>
      <c r="Y4211" s="84"/>
      <c r="Z4211" s="84"/>
      <c r="AA4211" s="84"/>
      <c r="AB4211" s="84"/>
    </row>
    <row r="4212">
      <c r="A4212" s="89"/>
      <c r="B4212" s="89"/>
      <c r="C4212" s="89"/>
      <c r="D4212" s="89"/>
      <c r="E4212" s="89"/>
      <c r="F4212" s="89"/>
      <c r="G4212" s="89"/>
      <c r="H4212" s="2"/>
      <c r="I4212" s="90"/>
      <c r="J4212" s="90"/>
      <c r="K4212" s="2"/>
      <c r="L4212" s="49"/>
      <c r="M4212" s="49"/>
      <c r="N4212" s="49"/>
      <c r="O4212" s="49" t="str">
        <f t="shared" si="2"/>
        <v/>
      </c>
      <c r="P4212" s="49" t="str">
        <f t="shared" si="3"/>
        <v/>
      </c>
      <c r="Q4212" s="84"/>
      <c r="R4212" s="84"/>
      <c r="S4212" s="84"/>
      <c r="T4212" s="84"/>
      <c r="U4212" s="84"/>
      <c r="V4212" s="84"/>
      <c r="W4212" s="84"/>
      <c r="X4212" s="84"/>
      <c r="Y4212" s="84"/>
      <c r="Z4212" s="84"/>
      <c r="AA4212" s="84"/>
      <c r="AB4212" s="84"/>
    </row>
    <row r="4213">
      <c r="A4213" s="89"/>
      <c r="B4213" s="89"/>
      <c r="C4213" s="89"/>
      <c r="D4213" s="89"/>
      <c r="E4213" s="89"/>
      <c r="F4213" s="89"/>
      <c r="G4213" s="89"/>
      <c r="H4213" s="2"/>
      <c r="I4213" s="90"/>
      <c r="J4213" s="90"/>
      <c r="K4213" s="2"/>
      <c r="L4213" s="48"/>
      <c r="M4213" s="48"/>
      <c r="N4213" s="48"/>
      <c r="O4213" s="48" t="str">
        <f t="shared" si="2"/>
        <v/>
      </c>
      <c r="P4213" s="48" t="str">
        <f t="shared" si="3"/>
        <v/>
      </c>
      <c r="Q4213" s="84"/>
      <c r="R4213" s="84"/>
      <c r="S4213" s="84"/>
      <c r="T4213" s="84"/>
      <c r="U4213" s="84"/>
      <c r="V4213" s="84"/>
      <c r="W4213" s="84"/>
      <c r="X4213" s="84"/>
      <c r="Y4213" s="84"/>
      <c r="Z4213" s="84"/>
      <c r="AA4213" s="84"/>
      <c r="AB4213" s="84"/>
    </row>
    <row r="4214">
      <c r="A4214" s="89"/>
      <c r="B4214" s="89"/>
      <c r="C4214" s="89"/>
      <c r="D4214" s="89"/>
      <c r="E4214" s="89"/>
      <c r="F4214" s="89"/>
      <c r="G4214" s="89"/>
      <c r="H4214" s="2"/>
      <c r="I4214" s="90"/>
      <c r="J4214" s="90"/>
      <c r="K4214" s="2"/>
      <c r="L4214" s="49"/>
      <c r="M4214" s="49"/>
      <c r="N4214" s="49"/>
      <c r="O4214" s="49" t="str">
        <f t="shared" si="2"/>
        <v/>
      </c>
      <c r="P4214" s="49" t="str">
        <f t="shared" si="3"/>
        <v/>
      </c>
      <c r="Q4214" s="84"/>
      <c r="R4214" s="84"/>
      <c r="S4214" s="84"/>
      <c r="T4214" s="84"/>
      <c r="U4214" s="84"/>
      <c r="V4214" s="84"/>
      <c r="W4214" s="84"/>
      <c r="X4214" s="84"/>
      <c r="Y4214" s="84"/>
      <c r="Z4214" s="84"/>
      <c r="AA4214" s="84"/>
      <c r="AB4214" s="84"/>
    </row>
    <row r="4215">
      <c r="A4215" s="89"/>
      <c r="B4215" s="89"/>
      <c r="C4215" s="89"/>
      <c r="D4215" s="89"/>
      <c r="E4215" s="89"/>
      <c r="F4215" s="89"/>
      <c r="G4215" s="89"/>
      <c r="H4215" s="2"/>
      <c r="I4215" s="90"/>
      <c r="J4215" s="90"/>
      <c r="K4215" s="2"/>
      <c r="L4215" s="48"/>
      <c r="M4215" s="48"/>
      <c r="N4215" s="48"/>
      <c r="O4215" s="48" t="str">
        <f t="shared" si="2"/>
        <v/>
      </c>
      <c r="P4215" s="48" t="str">
        <f t="shared" si="3"/>
        <v/>
      </c>
      <c r="Q4215" s="84"/>
      <c r="R4215" s="84"/>
      <c r="S4215" s="84"/>
      <c r="T4215" s="84"/>
      <c r="U4215" s="84"/>
      <c r="V4215" s="84"/>
      <c r="W4215" s="84"/>
      <c r="X4215" s="84"/>
      <c r="Y4215" s="84"/>
      <c r="Z4215" s="84"/>
      <c r="AA4215" s="84"/>
      <c r="AB4215" s="84"/>
    </row>
    <row r="4216">
      <c r="A4216" s="89"/>
      <c r="B4216" s="89"/>
      <c r="C4216" s="89"/>
      <c r="D4216" s="89"/>
      <c r="E4216" s="89"/>
      <c r="F4216" s="89"/>
      <c r="G4216" s="89"/>
      <c r="H4216" s="2"/>
      <c r="I4216" s="90"/>
      <c r="J4216" s="90"/>
      <c r="K4216" s="2"/>
      <c r="L4216" s="49"/>
      <c r="M4216" s="49"/>
      <c r="N4216" s="49"/>
      <c r="O4216" s="49" t="str">
        <f t="shared" si="2"/>
        <v/>
      </c>
      <c r="P4216" s="49" t="str">
        <f t="shared" si="3"/>
        <v/>
      </c>
      <c r="Q4216" s="84"/>
      <c r="R4216" s="84"/>
      <c r="S4216" s="84"/>
      <c r="T4216" s="84"/>
      <c r="U4216" s="84"/>
      <c r="V4216" s="84"/>
      <c r="W4216" s="84"/>
      <c r="X4216" s="84"/>
      <c r="Y4216" s="84"/>
      <c r="Z4216" s="84"/>
      <c r="AA4216" s="84"/>
      <c r="AB4216" s="84"/>
    </row>
    <row r="4217">
      <c r="A4217" s="89"/>
      <c r="B4217" s="89"/>
      <c r="C4217" s="89"/>
      <c r="D4217" s="89"/>
      <c r="E4217" s="89"/>
      <c r="F4217" s="89"/>
      <c r="G4217" s="89"/>
      <c r="H4217" s="2"/>
      <c r="I4217" s="90"/>
      <c r="J4217" s="90"/>
      <c r="K4217" s="2"/>
      <c r="L4217" s="48"/>
      <c r="M4217" s="48"/>
      <c r="N4217" s="48"/>
      <c r="O4217" s="48" t="str">
        <f t="shared" si="2"/>
        <v/>
      </c>
      <c r="P4217" s="48" t="str">
        <f t="shared" si="3"/>
        <v/>
      </c>
      <c r="Q4217" s="84"/>
      <c r="R4217" s="84"/>
      <c r="S4217" s="84"/>
      <c r="T4217" s="84"/>
      <c r="U4217" s="84"/>
      <c r="V4217" s="84"/>
      <c r="W4217" s="84"/>
      <c r="X4217" s="84"/>
      <c r="Y4217" s="84"/>
      <c r="Z4217" s="84"/>
      <c r="AA4217" s="84"/>
      <c r="AB4217" s="84"/>
    </row>
    <row r="4218">
      <c r="A4218" s="89"/>
      <c r="B4218" s="89"/>
      <c r="C4218" s="89"/>
      <c r="D4218" s="89"/>
      <c r="E4218" s="89"/>
      <c r="F4218" s="89"/>
      <c r="G4218" s="89"/>
      <c r="H4218" s="2"/>
      <c r="I4218" s="90"/>
      <c r="J4218" s="90"/>
      <c r="K4218" s="2"/>
      <c r="L4218" s="49"/>
      <c r="M4218" s="49"/>
      <c r="N4218" s="49"/>
      <c r="O4218" s="49" t="str">
        <f t="shared" si="2"/>
        <v/>
      </c>
      <c r="P4218" s="49" t="str">
        <f t="shared" si="3"/>
        <v/>
      </c>
      <c r="Q4218" s="84"/>
      <c r="R4218" s="84"/>
      <c r="S4218" s="84"/>
      <c r="T4218" s="84"/>
      <c r="U4218" s="84"/>
      <c r="V4218" s="84"/>
      <c r="W4218" s="84"/>
      <c r="X4218" s="84"/>
      <c r="Y4218" s="84"/>
      <c r="Z4218" s="84"/>
      <c r="AA4218" s="84"/>
      <c r="AB4218" s="84"/>
    </row>
    <row r="4219">
      <c r="A4219" s="89"/>
      <c r="B4219" s="89"/>
      <c r="C4219" s="89"/>
      <c r="D4219" s="89"/>
      <c r="E4219" s="89"/>
      <c r="F4219" s="89"/>
      <c r="G4219" s="89"/>
      <c r="H4219" s="2"/>
      <c r="I4219" s="90"/>
      <c r="J4219" s="90"/>
      <c r="K4219" s="2"/>
      <c r="L4219" s="48"/>
      <c r="M4219" s="48"/>
      <c r="N4219" s="48"/>
      <c r="O4219" s="48" t="str">
        <f t="shared" si="2"/>
        <v/>
      </c>
      <c r="P4219" s="48" t="str">
        <f t="shared" si="3"/>
        <v/>
      </c>
      <c r="Q4219" s="84"/>
      <c r="R4219" s="84"/>
      <c r="S4219" s="84"/>
      <c r="T4219" s="84"/>
      <c r="U4219" s="84"/>
      <c r="V4219" s="84"/>
      <c r="W4219" s="84"/>
      <c r="X4219" s="84"/>
      <c r="Y4219" s="84"/>
      <c r="Z4219" s="84"/>
      <c r="AA4219" s="84"/>
      <c r="AB4219" s="84"/>
    </row>
    <row r="4220">
      <c r="A4220" s="89"/>
      <c r="B4220" s="89"/>
      <c r="C4220" s="89"/>
      <c r="D4220" s="89"/>
      <c r="E4220" s="89"/>
      <c r="F4220" s="89"/>
      <c r="G4220" s="89"/>
      <c r="H4220" s="2"/>
      <c r="I4220" s="90"/>
      <c r="J4220" s="90"/>
      <c r="K4220" s="2"/>
      <c r="L4220" s="49"/>
      <c r="M4220" s="49"/>
      <c r="N4220" s="49"/>
      <c r="O4220" s="49" t="str">
        <f t="shared" si="2"/>
        <v/>
      </c>
      <c r="P4220" s="49" t="str">
        <f t="shared" si="3"/>
        <v/>
      </c>
      <c r="Q4220" s="84"/>
      <c r="R4220" s="84"/>
      <c r="S4220" s="84"/>
      <c r="T4220" s="84"/>
      <c r="U4220" s="84"/>
      <c r="V4220" s="84"/>
      <c r="W4220" s="84"/>
      <c r="X4220" s="84"/>
      <c r="Y4220" s="84"/>
      <c r="Z4220" s="84"/>
      <c r="AA4220" s="84"/>
      <c r="AB4220" s="84"/>
    </row>
    <row r="4221">
      <c r="A4221" s="89"/>
      <c r="B4221" s="89"/>
      <c r="C4221" s="89"/>
      <c r="D4221" s="89"/>
      <c r="E4221" s="89"/>
      <c r="F4221" s="89"/>
      <c r="G4221" s="89"/>
      <c r="H4221" s="2"/>
      <c r="I4221" s="90"/>
      <c r="J4221" s="90"/>
      <c r="K4221" s="2"/>
      <c r="L4221" s="48"/>
      <c r="M4221" s="48"/>
      <c r="N4221" s="48"/>
      <c r="O4221" s="48" t="str">
        <f t="shared" si="2"/>
        <v/>
      </c>
      <c r="P4221" s="48" t="str">
        <f t="shared" si="3"/>
        <v/>
      </c>
      <c r="Q4221" s="84"/>
      <c r="R4221" s="84"/>
      <c r="S4221" s="84"/>
      <c r="T4221" s="84"/>
      <c r="U4221" s="84"/>
      <c r="V4221" s="84"/>
      <c r="W4221" s="84"/>
      <c r="X4221" s="84"/>
      <c r="Y4221" s="84"/>
      <c r="Z4221" s="84"/>
      <c r="AA4221" s="84"/>
      <c r="AB4221" s="84"/>
    </row>
    <row r="4222">
      <c r="A4222" s="89"/>
      <c r="B4222" s="89"/>
      <c r="C4222" s="89"/>
      <c r="D4222" s="89"/>
      <c r="E4222" s="89"/>
      <c r="F4222" s="89"/>
      <c r="G4222" s="89"/>
      <c r="H4222" s="2"/>
      <c r="I4222" s="90"/>
      <c r="J4222" s="90"/>
      <c r="K4222" s="2"/>
      <c r="L4222" s="49"/>
      <c r="M4222" s="49"/>
      <c r="N4222" s="49"/>
      <c r="O4222" s="49" t="str">
        <f t="shared" si="2"/>
        <v/>
      </c>
      <c r="P4222" s="49" t="str">
        <f t="shared" si="3"/>
        <v/>
      </c>
      <c r="Q4222" s="84"/>
      <c r="R4222" s="84"/>
      <c r="S4222" s="84"/>
      <c r="T4222" s="84"/>
      <c r="U4222" s="84"/>
      <c r="V4222" s="84"/>
      <c r="W4222" s="84"/>
      <c r="X4222" s="84"/>
      <c r="Y4222" s="84"/>
      <c r="Z4222" s="84"/>
      <c r="AA4222" s="84"/>
      <c r="AB4222" s="84"/>
    </row>
    <row r="4223">
      <c r="A4223" s="89"/>
      <c r="B4223" s="89"/>
      <c r="C4223" s="89"/>
      <c r="D4223" s="89"/>
      <c r="E4223" s="89"/>
      <c r="F4223" s="89"/>
      <c r="G4223" s="89"/>
      <c r="H4223" s="2"/>
      <c r="I4223" s="90"/>
      <c r="J4223" s="90"/>
      <c r="K4223" s="2"/>
      <c r="L4223" s="48"/>
      <c r="M4223" s="48"/>
      <c r="N4223" s="48"/>
      <c r="O4223" s="48" t="str">
        <f t="shared" si="2"/>
        <v/>
      </c>
      <c r="P4223" s="48" t="str">
        <f t="shared" si="3"/>
        <v/>
      </c>
      <c r="Q4223" s="84"/>
      <c r="R4223" s="84"/>
      <c r="S4223" s="84"/>
      <c r="T4223" s="84"/>
      <c r="U4223" s="84"/>
      <c r="V4223" s="84"/>
      <c r="W4223" s="84"/>
      <c r="X4223" s="84"/>
      <c r="Y4223" s="84"/>
      <c r="Z4223" s="84"/>
      <c r="AA4223" s="84"/>
      <c r="AB4223" s="84"/>
    </row>
    <row r="4224">
      <c r="A4224" s="89"/>
      <c r="B4224" s="89"/>
      <c r="C4224" s="89"/>
      <c r="D4224" s="89"/>
      <c r="E4224" s="89"/>
      <c r="F4224" s="89"/>
      <c r="G4224" s="89"/>
      <c r="H4224" s="2"/>
      <c r="I4224" s="90"/>
      <c r="J4224" s="90"/>
      <c r="K4224" s="2"/>
      <c r="L4224" s="49"/>
      <c r="M4224" s="49"/>
      <c r="N4224" s="49"/>
      <c r="O4224" s="49" t="str">
        <f t="shared" si="2"/>
        <v/>
      </c>
      <c r="P4224" s="49" t="str">
        <f t="shared" si="3"/>
        <v/>
      </c>
      <c r="Q4224" s="84"/>
      <c r="R4224" s="84"/>
      <c r="S4224" s="84"/>
      <c r="T4224" s="84"/>
      <c r="U4224" s="84"/>
      <c r="V4224" s="84"/>
      <c r="W4224" s="84"/>
      <c r="X4224" s="84"/>
      <c r="Y4224" s="84"/>
      <c r="Z4224" s="84"/>
      <c r="AA4224" s="84"/>
      <c r="AB4224" s="84"/>
    </row>
    <row r="4225">
      <c r="A4225" s="89"/>
      <c r="B4225" s="89"/>
      <c r="C4225" s="89"/>
      <c r="D4225" s="89"/>
      <c r="E4225" s="89"/>
      <c r="F4225" s="89"/>
      <c r="G4225" s="89"/>
      <c r="H4225" s="2"/>
      <c r="I4225" s="90"/>
      <c r="J4225" s="90"/>
      <c r="K4225" s="2"/>
      <c r="L4225" s="48"/>
      <c r="M4225" s="48"/>
      <c r="N4225" s="48"/>
      <c r="O4225" s="48" t="str">
        <f t="shared" si="2"/>
        <v/>
      </c>
      <c r="P4225" s="48" t="str">
        <f t="shared" si="3"/>
        <v/>
      </c>
      <c r="Q4225" s="84"/>
      <c r="R4225" s="84"/>
      <c r="S4225" s="84"/>
      <c r="T4225" s="84"/>
      <c r="U4225" s="84"/>
      <c r="V4225" s="84"/>
      <c r="W4225" s="84"/>
      <c r="X4225" s="84"/>
      <c r="Y4225" s="84"/>
      <c r="Z4225" s="84"/>
      <c r="AA4225" s="84"/>
      <c r="AB4225" s="84"/>
    </row>
    <row r="4226">
      <c r="A4226" s="89"/>
      <c r="B4226" s="89"/>
      <c r="C4226" s="89"/>
      <c r="D4226" s="89"/>
      <c r="E4226" s="89"/>
      <c r="F4226" s="89"/>
      <c r="G4226" s="89"/>
      <c r="H4226" s="2"/>
      <c r="I4226" s="90"/>
      <c r="J4226" s="90"/>
      <c r="K4226" s="2"/>
      <c r="L4226" s="49"/>
      <c r="M4226" s="49"/>
      <c r="N4226" s="49"/>
      <c r="O4226" s="49" t="str">
        <f t="shared" si="2"/>
        <v/>
      </c>
      <c r="P4226" s="49" t="str">
        <f t="shared" si="3"/>
        <v/>
      </c>
      <c r="Q4226" s="84"/>
      <c r="R4226" s="84"/>
      <c r="S4226" s="84"/>
      <c r="T4226" s="84"/>
      <c r="U4226" s="84"/>
      <c r="V4226" s="84"/>
      <c r="W4226" s="84"/>
      <c r="X4226" s="84"/>
      <c r="Y4226" s="84"/>
      <c r="Z4226" s="84"/>
      <c r="AA4226" s="84"/>
      <c r="AB4226" s="84"/>
    </row>
    <row r="4227">
      <c r="A4227" s="89"/>
      <c r="B4227" s="89"/>
      <c r="C4227" s="89"/>
      <c r="D4227" s="89"/>
      <c r="E4227" s="89"/>
      <c r="F4227" s="89"/>
      <c r="G4227" s="89"/>
      <c r="H4227" s="2"/>
      <c r="I4227" s="90"/>
      <c r="J4227" s="90"/>
      <c r="K4227" s="2"/>
      <c r="L4227" s="48"/>
      <c r="M4227" s="48"/>
      <c r="N4227" s="48"/>
      <c r="O4227" s="48" t="str">
        <f t="shared" si="2"/>
        <v/>
      </c>
      <c r="P4227" s="48" t="str">
        <f t="shared" si="3"/>
        <v/>
      </c>
      <c r="Q4227" s="84"/>
      <c r="R4227" s="84"/>
      <c r="S4227" s="84"/>
      <c r="T4227" s="84"/>
      <c r="U4227" s="84"/>
      <c r="V4227" s="84"/>
      <c r="W4227" s="84"/>
      <c r="X4227" s="84"/>
      <c r="Y4227" s="84"/>
      <c r="Z4227" s="84"/>
      <c r="AA4227" s="84"/>
      <c r="AB4227" s="84"/>
    </row>
    <row r="4228">
      <c r="A4228" s="89"/>
      <c r="B4228" s="89"/>
      <c r="C4228" s="89"/>
      <c r="D4228" s="89"/>
      <c r="E4228" s="89"/>
      <c r="F4228" s="89"/>
      <c r="G4228" s="89"/>
      <c r="H4228" s="2"/>
      <c r="I4228" s="90"/>
      <c r="J4228" s="90"/>
      <c r="K4228" s="2"/>
      <c r="L4228" s="49"/>
      <c r="M4228" s="49"/>
      <c r="N4228" s="49"/>
      <c r="O4228" s="49" t="str">
        <f t="shared" si="2"/>
        <v/>
      </c>
      <c r="P4228" s="49" t="str">
        <f t="shared" si="3"/>
        <v/>
      </c>
      <c r="Q4228" s="84"/>
      <c r="R4228" s="84"/>
      <c r="S4228" s="84"/>
      <c r="T4228" s="84"/>
      <c r="U4228" s="84"/>
      <c r="V4228" s="84"/>
      <c r="W4228" s="84"/>
      <c r="X4228" s="84"/>
      <c r="Y4228" s="84"/>
      <c r="Z4228" s="84"/>
      <c r="AA4228" s="84"/>
      <c r="AB4228" s="84"/>
    </row>
    <row r="4229">
      <c r="A4229" s="89"/>
      <c r="B4229" s="89"/>
      <c r="C4229" s="89"/>
      <c r="D4229" s="89"/>
      <c r="E4229" s="89"/>
      <c r="F4229" s="89"/>
      <c r="G4229" s="89"/>
      <c r="H4229" s="2"/>
      <c r="I4229" s="90"/>
      <c r="J4229" s="90"/>
      <c r="K4229" s="2"/>
      <c r="L4229" s="48"/>
      <c r="M4229" s="48"/>
      <c r="N4229" s="48"/>
      <c r="O4229" s="48" t="str">
        <f t="shared" si="2"/>
        <v/>
      </c>
      <c r="P4229" s="48" t="str">
        <f t="shared" si="3"/>
        <v/>
      </c>
      <c r="Q4229" s="84"/>
      <c r="R4229" s="84"/>
      <c r="S4229" s="84"/>
      <c r="T4229" s="84"/>
      <c r="U4229" s="84"/>
      <c r="V4229" s="84"/>
      <c r="W4229" s="84"/>
      <c r="X4229" s="84"/>
      <c r="Y4229" s="84"/>
      <c r="Z4229" s="84"/>
      <c r="AA4229" s="84"/>
      <c r="AB4229" s="84"/>
    </row>
    <row r="4230">
      <c r="A4230" s="89"/>
      <c r="B4230" s="89"/>
      <c r="C4230" s="89"/>
      <c r="D4230" s="89"/>
      <c r="E4230" s="89"/>
      <c r="F4230" s="89"/>
      <c r="G4230" s="89"/>
      <c r="H4230" s="2"/>
      <c r="I4230" s="90"/>
      <c r="J4230" s="90"/>
      <c r="K4230" s="2"/>
      <c r="L4230" s="49"/>
      <c r="M4230" s="49"/>
      <c r="N4230" s="49"/>
      <c r="O4230" s="49" t="str">
        <f t="shared" si="2"/>
        <v/>
      </c>
      <c r="P4230" s="49" t="str">
        <f t="shared" si="3"/>
        <v/>
      </c>
      <c r="Q4230" s="84"/>
      <c r="R4230" s="84"/>
      <c r="S4230" s="84"/>
      <c r="T4230" s="84"/>
      <c r="U4230" s="84"/>
      <c r="V4230" s="84"/>
      <c r="W4230" s="84"/>
      <c r="X4230" s="84"/>
      <c r="Y4230" s="84"/>
      <c r="Z4230" s="84"/>
      <c r="AA4230" s="84"/>
      <c r="AB4230" s="84"/>
    </row>
    <row r="4231">
      <c r="A4231" s="89"/>
      <c r="B4231" s="89"/>
      <c r="C4231" s="89"/>
      <c r="D4231" s="89"/>
      <c r="E4231" s="89"/>
      <c r="F4231" s="89"/>
      <c r="G4231" s="89"/>
      <c r="H4231" s="2"/>
      <c r="I4231" s="90"/>
      <c r="J4231" s="90"/>
      <c r="K4231" s="2"/>
      <c r="L4231" s="48"/>
      <c r="M4231" s="48"/>
      <c r="N4231" s="48"/>
      <c r="O4231" s="48" t="str">
        <f t="shared" si="2"/>
        <v/>
      </c>
      <c r="P4231" s="48" t="str">
        <f t="shared" si="3"/>
        <v/>
      </c>
      <c r="Q4231" s="84"/>
      <c r="R4231" s="84"/>
      <c r="S4231" s="84"/>
      <c r="T4231" s="84"/>
      <c r="U4231" s="84"/>
      <c r="V4231" s="84"/>
      <c r="W4231" s="84"/>
      <c r="X4231" s="84"/>
      <c r="Y4231" s="84"/>
      <c r="Z4231" s="84"/>
      <c r="AA4231" s="84"/>
      <c r="AB4231" s="84"/>
    </row>
    <row r="4232">
      <c r="A4232" s="89"/>
      <c r="B4232" s="89"/>
      <c r="C4232" s="89"/>
      <c r="D4232" s="89"/>
      <c r="E4232" s="89"/>
      <c r="F4232" s="89"/>
      <c r="G4232" s="89"/>
      <c r="H4232" s="2"/>
      <c r="I4232" s="90"/>
      <c r="J4232" s="90"/>
      <c r="K4232" s="2"/>
      <c r="L4232" s="49"/>
      <c r="M4232" s="49"/>
      <c r="N4232" s="49"/>
      <c r="O4232" s="49" t="str">
        <f t="shared" si="2"/>
        <v/>
      </c>
      <c r="P4232" s="49" t="str">
        <f t="shared" si="3"/>
        <v/>
      </c>
      <c r="Q4232" s="84"/>
      <c r="R4232" s="84"/>
      <c r="S4232" s="84"/>
      <c r="T4232" s="84"/>
      <c r="U4232" s="84"/>
      <c r="V4232" s="84"/>
      <c r="W4232" s="84"/>
      <c r="X4232" s="84"/>
      <c r="Y4232" s="84"/>
      <c r="Z4232" s="84"/>
      <c r="AA4232" s="84"/>
      <c r="AB4232" s="84"/>
    </row>
    <row r="4233">
      <c r="A4233" s="89"/>
      <c r="B4233" s="89"/>
      <c r="C4233" s="89"/>
      <c r="D4233" s="89"/>
      <c r="E4233" s="89"/>
      <c r="F4233" s="89"/>
      <c r="G4233" s="89"/>
      <c r="H4233" s="2"/>
      <c r="I4233" s="90"/>
      <c r="J4233" s="90"/>
      <c r="K4233" s="2"/>
      <c r="L4233" s="48"/>
      <c r="M4233" s="48"/>
      <c r="N4233" s="48"/>
      <c r="O4233" s="48" t="str">
        <f t="shared" si="2"/>
        <v/>
      </c>
      <c r="P4233" s="48" t="str">
        <f t="shared" si="3"/>
        <v/>
      </c>
      <c r="Q4233" s="84"/>
      <c r="R4233" s="84"/>
      <c r="S4233" s="84"/>
      <c r="T4233" s="84"/>
      <c r="U4233" s="84"/>
      <c r="V4233" s="84"/>
      <c r="W4233" s="84"/>
      <c r="X4233" s="84"/>
      <c r="Y4233" s="84"/>
      <c r="Z4233" s="84"/>
      <c r="AA4233" s="84"/>
      <c r="AB4233" s="84"/>
    </row>
    <row r="4234">
      <c r="A4234" s="89"/>
      <c r="B4234" s="89"/>
      <c r="C4234" s="89"/>
      <c r="D4234" s="89"/>
      <c r="E4234" s="89"/>
      <c r="F4234" s="89"/>
      <c r="G4234" s="89"/>
      <c r="H4234" s="2"/>
      <c r="I4234" s="90"/>
      <c r="J4234" s="90"/>
      <c r="K4234" s="2"/>
      <c r="L4234" s="49"/>
      <c r="M4234" s="49"/>
      <c r="N4234" s="49"/>
      <c r="O4234" s="49" t="str">
        <f t="shared" si="2"/>
        <v/>
      </c>
      <c r="P4234" s="49" t="str">
        <f t="shared" si="3"/>
        <v/>
      </c>
      <c r="Q4234" s="84"/>
      <c r="R4234" s="84"/>
      <c r="S4234" s="84"/>
      <c r="T4234" s="84"/>
      <c r="U4234" s="84"/>
      <c r="V4234" s="84"/>
      <c r="W4234" s="84"/>
      <c r="X4234" s="84"/>
      <c r="Y4234" s="84"/>
      <c r="Z4234" s="84"/>
      <c r="AA4234" s="84"/>
      <c r="AB4234" s="84"/>
    </row>
    <row r="4235">
      <c r="A4235" s="89"/>
      <c r="B4235" s="89"/>
      <c r="C4235" s="89"/>
      <c r="D4235" s="89"/>
      <c r="E4235" s="89"/>
      <c r="F4235" s="89"/>
      <c r="G4235" s="89"/>
      <c r="H4235" s="2"/>
      <c r="I4235" s="90"/>
      <c r="J4235" s="90"/>
      <c r="K4235" s="2"/>
      <c r="L4235" s="48"/>
      <c r="M4235" s="48"/>
      <c r="N4235" s="48"/>
      <c r="O4235" s="48" t="str">
        <f t="shared" si="2"/>
        <v/>
      </c>
      <c r="P4235" s="48" t="str">
        <f t="shared" si="3"/>
        <v/>
      </c>
      <c r="Q4235" s="84"/>
      <c r="R4235" s="84"/>
      <c r="S4235" s="84"/>
      <c r="T4235" s="84"/>
      <c r="U4235" s="84"/>
      <c r="V4235" s="84"/>
      <c r="W4235" s="84"/>
      <c r="X4235" s="84"/>
      <c r="Y4235" s="84"/>
      <c r="Z4235" s="84"/>
      <c r="AA4235" s="84"/>
      <c r="AB4235" s="84"/>
    </row>
    <row r="4236">
      <c r="A4236" s="89"/>
      <c r="B4236" s="89"/>
      <c r="C4236" s="89"/>
      <c r="D4236" s="89"/>
      <c r="E4236" s="89"/>
      <c r="F4236" s="89"/>
      <c r="G4236" s="89"/>
      <c r="H4236" s="2"/>
      <c r="I4236" s="90"/>
      <c r="J4236" s="90"/>
      <c r="K4236" s="2"/>
      <c r="L4236" s="49"/>
      <c r="M4236" s="49"/>
      <c r="N4236" s="49"/>
      <c r="O4236" s="49" t="str">
        <f t="shared" si="2"/>
        <v/>
      </c>
      <c r="P4236" s="49" t="str">
        <f t="shared" si="3"/>
        <v/>
      </c>
      <c r="Q4236" s="84"/>
      <c r="R4236" s="84"/>
      <c r="S4236" s="84"/>
      <c r="T4236" s="84"/>
      <c r="U4236" s="84"/>
      <c r="V4236" s="84"/>
      <c r="W4236" s="84"/>
      <c r="X4236" s="84"/>
      <c r="Y4236" s="84"/>
      <c r="Z4236" s="84"/>
      <c r="AA4236" s="84"/>
      <c r="AB4236" s="84"/>
    </row>
    <row r="4237">
      <c r="A4237" s="89"/>
      <c r="B4237" s="89"/>
      <c r="C4237" s="89"/>
      <c r="D4237" s="89"/>
      <c r="E4237" s="89"/>
      <c r="F4237" s="89"/>
      <c r="G4237" s="89"/>
      <c r="H4237" s="2"/>
      <c r="I4237" s="90"/>
      <c r="J4237" s="90"/>
      <c r="K4237" s="2"/>
      <c r="L4237" s="48"/>
      <c r="M4237" s="48"/>
      <c r="N4237" s="48"/>
      <c r="O4237" s="48" t="str">
        <f t="shared" si="2"/>
        <v/>
      </c>
      <c r="P4237" s="48" t="str">
        <f t="shared" si="3"/>
        <v/>
      </c>
      <c r="Q4237" s="84"/>
      <c r="R4237" s="84"/>
      <c r="S4237" s="84"/>
      <c r="T4237" s="84"/>
      <c r="U4237" s="84"/>
      <c r="V4237" s="84"/>
      <c r="W4237" s="84"/>
      <c r="X4237" s="84"/>
      <c r="Y4237" s="84"/>
      <c r="Z4237" s="84"/>
      <c r="AA4237" s="84"/>
      <c r="AB4237" s="84"/>
    </row>
    <row r="4238">
      <c r="A4238" s="89"/>
      <c r="B4238" s="89"/>
      <c r="C4238" s="89"/>
      <c r="D4238" s="89"/>
      <c r="E4238" s="89"/>
      <c r="F4238" s="89"/>
      <c r="G4238" s="89"/>
      <c r="H4238" s="2"/>
      <c r="I4238" s="90"/>
      <c r="J4238" s="90"/>
      <c r="K4238" s="2"/>
      <c r="L4238" s="49"/>
      <c r="M4238" s="49"/>
      <c r="N4238" s="49"/>
      <c r="O4238" s="49" t="str">
        <f t="shared" si="2"/>
        <v/>
      </c>
      <c r="P4238" s="49" t="str">
        <f t="shared" si="3"/>
        <v/>
      </c>
      <c r="Q4238" s="84"/>
      <c r="R4238" s="84"/>
      <c r="S4238" s="84"/>
      <c r="T4238" s="84"/>
      <c r="U4238" s="84"/>
      <c r="V4238" s="84"/>
      <c r="W4238" s="84"/>
      <c r="X4238" s="84"/>
      <c r="Y4238" s="84"/>
      <c r="Z4238" s="84"/>
      <c r="AA4238" s="84"/>
      <c r="AB4238" s="84"/>
    </row>
    <row r="4239">
      <c r="A4239" s="89"/>
      <c r="B4239" s="89"/>
      <c r="C4239" s="89"/>
      <c r="D4239" s="89"/>
      <c r="E4239" s="89"/>
      <c r="F4239" s="89"/>
      <c r="G4239" s="89"/>
      <c r="H4239" s="2"/>
      <c r="I4239" s="90"/>
      <c r="J4239" s="90"/>
      <c r="K4239" s="2"/>
      <c r="L4239" s="48"/>
      <c r="M4239" s="48"/>
      <c r="N4239" s="48"/>
      <c r="O4239" s="48" t="str">
        <f t="shared" si="2"/>
        <v/>
      </c>
      <c r="P4239" s="48" t="str">
        <f t="shared" si="3"/>
        <v/>
      </c>
      <c r="Q4239" s="84"/>
      <c r="R4239" s="84"/>
      <c r="S4239" s="84"/>
      <c r="T4239" s="84"/>
      <c r="U4239" s="84"/>
      <c r="V4239" s="84"/>
      <c r="W4239" s="84"/>
      <c r="X4239" s="84"/>
      <c r="Y4239" s="84"/>
      <c r="Z4239" s="84"/>
      <c r="AA4239" s="84"/>
      <c r="AB4239" s="84"/>
    </row>
    <row r="4240">
      <c r="A4240" s="89"/>
      <c r="B4240" s="89"/>
      <c r="C4240" s="89"/>
      <c r="D4240" s="89"/>
      <c r="E4240" s="89"/>
      <c r="F4240" s="89"/>
      <c r="G4240" s="89"/>
      <c r="H4240" s="2"/>
      <c r="I4240" s="90"/>
      <c r="J4240" s="90"/>
      <c r="K4240" s="2"/>
      <c r="L4240" s="49"/>
      <c r="M4240" s="49"/>
      <c r="N4240" s="49"/>
      <c r="O4240" s="49" t="str">
        <f t="shared" si="2"/>
        <v/>
      </c>
      <c r="P4240" s="49" t="str">
        <f t="shared" si="3"/>
        <v/>
      </c>
      <c r="Q4240" s="84"/>
      <c r="R4240" s="84"/>
      <c r="S4240" s="84"/>
      <c r="T4240" s="84"/>
      <c r="U4240" s="84"/>
      <c r="V4240" s="84"/>
      <c r="W4240" s="84"/>
      <c r="X4240" s="84"/>
      <c r="Y4240" s="84"/>
      <c r="Z4240" s="84"/>
      <c r="AA4240" s="84"/>
      <c r="AB4240" s="84"/>
    </row>
    <row r="4241">
      <c r="A4241" s="89"/>
      <c r="B4241" s="89"/>
      <c r="C4241" s="89"/>
      <c r="D4241" s="89"/>
      <c r="E4241" s="89"/>
      <c r="F4241" s="89"/>
      <c r="G4241" s="89"/>
      <c r="H4241" s="2"/>
      <c r="I4241" s="90"/>
      <c r="J4241" s="90"/>
      <c r="K4241" s="2"/>
      <c r="L4241" s="48"/>
      <c r="M4241" s="48"/>
      <c r="N4241" s="48"/>
      <c r="O4241" s="48" t="str">
        <f t="shared" si="2"/>
        <v/>
      </c>
      <c r="P4241" s="48" t="str">
        <f t="shared" si="3"/>
        <v/>
      </c>
      <c r="Q4241" s="84"/>
      <c r="R4241" s="84"/>
      <c r="S4241" s="84"/>
      <c r="T4241" s="84"/>
      <c r="U4241" s="84"/>
      <c r="V4241" s="84"/>
      <c r="W4241" s="84"/>
      <c r="X4241" s="84"/>
      <c r="Y4241" s="84"/>
      <c r="Z4241" s="84"/>
      <c r="AA4241" s="84"/>
      <c r="AB4241" s="84"/>
    </row>
    <row r="4242">
      <c r="A4242" s="89"/>
      <c r="B4242" s="89"/>
      <c r="C4242" s="89"/>
      <c r="D4242" s="89"/>
      <c r="E4242" s="89"/>
      <c r="F4242" s="89"/>
      <c r="G4242" s="89"/>
      <c r="H4242" s="2"/>
      <c r="I4242" s="90"/>
      <c r="J4242" s="90"/>
      <c r="K4242" s="2"/>
      <c r="L4242" s="49"/>
      <c r="M4242" s="49"/>
      <c r="N4242" s="49"/>
      <c r="O4242" s="49" t="str">
        <f t="shared" si="2"/>
        <v/>
      </c>
      <c r="P4242" s="49" t="str">
        <f t="shared" si="3"/>
        <v/>
      </c>
      <c r="Q4242" s="84"/>
      <c r="R4242" s="84"/>
      <c r="S4242" s="84"/>
      <c r="T4242" s="84"/>
      <c r="U4242" s="84"/>
      <c r="V4242" s="84"/>
      <c r="W4242" s="84"/>
      <c r="X4242" s="84"/>
      <c r="Y4242" s="84"/>
      <c r="Z4242" s="84"/>
      <c r="AA4242" s="84"/>
      <c r="AB4242" s="84"/>
    </row>
    <row r="4243">
      <c r="A4243" s="89"/>
      <c r="B4243" s="89"/>
      <c r="C4243" s="89"/>
      <c r="D4243" s="89"/>
      <c r="E4243" s="89"/>
      <c r="F4243" s="89"/>
      <c r="G4243" s="89"/>
      <c r="H4243" s="2"/>
      <c r="I4243" s="90"/>
      <c r="J4243" s="90"/>
      <c r="K4243" s="2"/>
      <c r="L4243" s="48"/>
      <c r="M4243" s="48"/>
      <c r="N4243" s="48"/>
      <c r="O4243" s="48" t="str">
        <f t="shared" si="2"/>
        <v/>
      </c>
      <c r="P4243" s="48" t="str">
        <f t="shared" si="3"/>
        <v/>
      </c>
      <c r="Q4243" s="84"/>
      <c r="R4243" s="84"/>
      <c r="S4243" s="84"/>
      <c r="T4243" s="84"/>
      <c r="U4243" s="84"/>
      <c r="V4243" s="84"/>
      <c r="W4243" s="84"/>
      <c r="X4243" s="84"/>
      <c r="Y4243" s="84"/>
      <c r="Z4243" s="84"/>
      <c r="AA4243" s="84"/>
      <c r="AB4243" s="84"/>
    </row>
    <row r="4244">
      <c r="A4244" s="89"/>
      <c r="B4244" s="89"/>
      <c r="C4244" s="89"/>
      <c r="D4244" s="89"/>
      <c r="E4244" s="89"/>
      <c r="F4244" s="89"/>
      <c r="G4244" s="89"/>
      <c r="H4244" s="2"/>
      <c r="I4244" s="90"/>
      <c r="J4244" s="90"/>
      <c r="K4244" s="2"/>
      <c r="L4244" s="49"/>
      <c r="M4244" s="49"/>
      <c r="N4244" s="49"/>
      <c r="O4244" s="49" t="str">
        <f t="shared" si="2"/>
        <v/>
      </c>
      <c r="P4244" s="49" t="str">
        <f t="shared" si="3"/>
        <v/>
      </c>
      <c r="Q4244" s="84"/>
      <c r="R4244" s="84"/>
      <c r="S4244" s="84"/>
      <c r="T4244" s="84"/>
      <c r="U4244" s="84"/>
      <c r="V4244" s="84"/>
      <c r="W4244" s="84"/>
      <c r="X4244" s="84"/>
      <c r="Y4244" s="84"/>
      <c r="Z4244" s="84"/>
      <c r="AA4244" s="84"/>
      <c r="AB4244" s="84"/>
    </row>
    <row r="4245">
      <c r="A4245" s="89"/>
      <c r="B4245" s="89"/>
      <c r="C4245" s="89"/>
      <c r="D4245" s="89"/>
      <c r="E4245" s="89"/>
      <c r="F4245" s="89"/>
      <c r="G4245" s="89"/>
      <c r="H4245" s="2"/>
      <c r="I4245" s="90"/>
      <c r="J4245" s="90"/>
      <c r="K4245" s="2"/>
      <c r="L4245" s="48"/>
      <c r="M4245" s="48"/>
      <c r="N4245" s="48"/>
      <c r="O4245" s="48" t="str">
        <f t="shared" si="2"/>
        <v/>
      </c>
      <c r="P4245" s="48" t="str">
        <f t="shared" si="3"/>
        <v/>
      </c>
      <c r="Q4245" s="84"/>
      <c r="R4245" s="84"/>
      <c r="S4245" s="84"/>
      <c r="T4245" s="84"/>
      <c r="U4245" s="84"/>
      <c r="V4245" s="84"/>
      <c r="W4245" s="84"/>
      <c r="X4245" s="84"/>
      <c r="Y4245" s="84"/>
      <c r="Z4245" s="84"/>
      <c r="AA4245" s="84"/>
      <c r="AB4245" s="84"/>
    </row>
    <row r="4246">
      <c r="A4246" s="89"/>
      <c r="B4246" s="89"/>
      <c r="C4246" s="89"/>
      <c r="D4246" s="89"/>
      <c r="E4246" s="89"/>
      <c r="F4246" s="89"/>
      <c r="G4246" s="89"/>
      <c r="H4246" s="2"/>
      <c r="I4246" s="90"/>
      <c r="J4246" s="90"/>
      <c r="K4246" s="2"/>
      <c r="L4246" s="49"/>
      <c r="M4246" s="49"/>
      <c r="N4246" s="49"/>
      <c r="O4246" s="49" t="str">
        <f t="shared" si="2"/>
        <v/>
      </c>
      <c r="P4246" s="49" t="str">
        <f t="shared" si="3"/>
        <v/>
      </c>
      <c r="Q4246" s="84"/>
      <c r="R4246" s="84"/>
      <c r="S4246" s="84"/>
      <c r="T4246" s="84"/>
      <c r="U4246" s="84"/>
      <c r="V4246" s="84"/>
      <c r="W4246" s="84"/>
      <c r="X4246" s="84"/>
      <c r="Y4246" s="84"/>
      <c r="Z4246" s="84"/>
      <c r="AA4246" s="84"/>
      <c r="AB4246" s="84"/>
    </row>
    <row r="4247">
      <c r="A4247" s="89"/>
      <c r="B4247" s="89"/>
      <c r="C4247" s="89"/>
      <c r="D4247" s="89"/>
      <c r="E4247" s="89"/>
      <c r="F4247" s="89"/>
      <c r="G4247" s="89"/>
      <c r="H4247" s="2"/>
      <c r="I4247" s="90"/>
      <c r="J4247" s="90"/>
      <c r="K4247" s="2"/>
      <c r="L4247" s="48"/>
      <c r="M4247" s="48"/>
      <c r="N4247" s="48"/>
      <c r="O4247" s="48" t="str">
        <f t="shared" si="2"/>
        <v/>
      </c>
      <c r="P4247" s="48" t="str">
        <f t="shared" si="3"/>
        <v/>
      </c>
      <c r="Q4247" s="84"/>
      <c r="R4247" s="84"/>
      <c r="S4247" s="84"/>
      <c r="T4247" s="84"/>
      <c r="U4247" s="84"/>
      <c r="V4247" s="84"/>
      <c r="W4247" s="84"/>
      <c r="X4247" s="84"/>
      <c r="Y4247" s="84"/>
      <c r="Z4247" s="84"/>
      <c r="AA4247" s="84"/>
      <c r="AB4247" s="84"/>
    </row>
    <row r="4248">
      <c r="A4248" s="89"/>
      <c r="B4248" s="89"/>
      <c r="C4248" s="89"/>
      <c r="D4248" s="89"/>
      <c r="E4248" s="89"/>
      <c r="F4248" s="89"/>
      <c r="G4248" s="89"/>
      <c r="H4248" s="2"/>
      <c r="I4248" s="90"/>
      <c r="J4248" s="90"/>
      <c r="K4248" s="2"/>
      <c r="L4248" s="49"/>
      <c r="M4248" s="49"/>
      <c r="N4248" s="49"/>
      <c r="O4248" s="49" t="str">
        <f t="shared" si="2"/>
        <v/>
      </c>
      <c r="P4248" s="49" t="str">
        <f t="shared" si="3"/>
        <v/>
      </c>
      <c r="Q4248" s="84"/>
      <c r="R4248" s="84"/>
      <c r="S4248" s="84"/>
      <c r="T4248" s="84"/>
      <c r="U4248" s="84"/>
      <c r="V4248" s="84"/>
      <c r="W4248" s="84"/>
      <c r="X4248" s="84"/>
      <c r="Y4248" s="84"/>
      <c r="Z4248" s="84"/>
      <c r="AA4248" s="84"/>
      <c r="AB4248" s="84"/>
    </row>
    <row r="4249">
      <c r="A4249" s="89"/>
      <c r="B4249" s="89"/>
      <c r="C4249" s="89"/>
      <c r="D4249" s="89"/>
      <c r="E4249" s="89"/>
      <c r="F4249" s="89"/>
      <c r="G4249" s="89"/>
      <c r="H4249" s="2"/>
      <c r="I4249" s="90"/>
      <c r="J4249" s="90"/>
      <c r="K4249" s="2"/>
      <c r="L4249" s="48"/>
      <c r="M4249" s="48"/>
      <c r="N4249" s="48"/>
      <c r="O4249" s="48" t="str">
        <f t="shared" si="2"/>
        <v/>
      </c>
      <c r="P4249" s="48" t="str">
        <f t="shared" si="3"/>
        <v/>
      </c>
      <c r="Q4249" s="84"/>
      <c r="R4249" s="84"/>
      <c r="S4249" s="84"/>
      <c r="T4249" s="84"/>
      <c r="U4249" s="84"/>
      <c r="V4249" s="84"/>
      <c r="W4249" s="84"/>
      <c r="X4249" s="84"/>
      <c r="Y4249" s="84"/>
      <c r="Z4249" s="84"/>
      <c r="AA4249" s="84"/>
      <c r="AB4249" s="84"/>
    </row>
    <row r="4250">
      <c r="A4250" s="89"/>
      <c r="B4250" s="89"/>
      <c r="C4250" s="89"/>
      <c r="D4250" s="89"/>
      <c r="E4250" s="89"/>
      <c r="F4250" s="89"/>
      <c r="G4250" s="89"/>
      <c r="H4250" s="2"/>
      <c r="I4250" s="90"/>
      <c r="J4250" s="90"/>
      <c r="K4250" s="2"/>
      <c r="L4250" s="49"/>
      <c r="M4250" s="49"/>
      <c r="N4250" s="49"/>
      <c r="O4250" s="49" t="str">
        <f t="shared" si="2"/>
        <v/>
      </c>
      <c r="P4250" s="49" t="str">
        <f t="shared" si="3"/>
        <v/>
      </c>
      <c r="Q4250" s="84"/>
      <c r="R4250" s="84"/>
      <c r="S4250" s="84"/>
      <c r="T4250" s="84"/>
      <c r="U4250" s="84"/>
      <c r="V4250" s="84"/>
      <c r="W4250" s="84"/>
      <c r="X4250" s="84"/>
      <c r="Y4250" s="84"/>
      <c r="Z4250" s="84"/>
      <c r="AA4250" s="84"/>
      <c r="AB4250" s="84"/>
    </row>
    <row r="4251">
      <c r="A4251" s="89"/>
      <c r="B4251" s="89"/>
      <c r="C4251" s="89"/>
      <c r="D4251" s="89"/>
      <c r="E4251" s="89"/>
      <c r="F4251" s="89"/>
      <c r="G4251" s="89"/>
      <c r="H4251" s="2"/>
      <c r="I4251" s="90"/>
      <c r="J4251" s="90"/>
      <c r="K4251" s="2"/>
      <c r="L4251" s="48"/>
      <c r="M4251" s="48"/>
      <c r="N4251" s="48"/>
      <c r="O4251" s="48" t="str">
        <f t="shared" si="2"/>
        <v/>
      </c>
      <c r="P4251" s="48" t="str">
        <f t="shared" si="3"/>
        <v/>
      </c>
      <c r="Q4251" s="84"/>
      <c r="R4251" s="84"/>
      <c r="S4251" s="84"/>
      <c r="T4251" s="84"/>
      <c r="U4251" s="84"/>
      <c r="V4251" s="84"/>
      <c r="W4251" s="84"/>
      <c r="X4251" s="84"/>
      <c r="Y4251" s="84"/>
      <c r="Z4251" s="84"/>
      <c r="AA4251" s="84"/>
      <c r="AB4251" s="84"/>
    </row>
    <row r="4252">
      <c r="A4252" s="89"/>
      <c r="B4252" s="89"/>
      <c r="C4252" s="89"/>
      <c r="D4252" s="89"/>
      <c r="E4252" s="89"/>
      <c r="F4252" s="89"/>
      <c r="G4252" s="89"/>
      <c r="H4252" s="2"/>
      <c r="I4252" s="90"/>
      <c r="J4252" s="90"/>
      <c r="K4252" s="2"/>
      <c r="L4252" s="49"/>
      <c r="M4252" s="49"/>
      <c r="N4252" s="49"/>
      <c r="O4252" s="49" t="str">
        <f t="shared" si="2"/>
        <v/>
      </c>
      <c r="P4252" s="49" t="str">
        <f t="shared" si="3"/>
        <v/>
      </c>
      <c r="Q4252" s="84"/>
      <c r="R4252" s="84"/>
      <c r="S4252" s="84"/>
      <c r="T4252" s="84"/>
      <c r="U4252" s="84"/>
      <c r="V4252" s="84"/>
      <c r="W4252" s="84"/>
      <c r="X4252" s="84"/>
      <c r="Y4252" s="84"/>
      <c r="Z4252" s="84"/>
      <c r="AA4252" s="84"/>
      <c r="AB4252" s="84"/>
    </row>
    <row r="4253">
      <c r="A4253" s="89"/>
      <c r="B4253" s="89"/>
      <c r="C4253" s="89"/>
      <c r="D4253" s="89"/>
      <c r="E4253" s="89"/>
      <c r="F4253" s="89"/>
      <c r="G4253" s="89"/>
      <c r="H4253" s="2"/>
      <c r="I4253" s="90"/>
      <c r="J4253" s="90"/>
      <c r="K4253" s="2"/>
      <c r="L4253" s="48"/>
      <c r="M4253" s="48"/>
      <c r="N4253" s="48"/>
      <c r="O4253" s="48" t="str">
        <f t="shared" si="2"/>
        <v/>
      </c>
      <c r="P4253" s="48" t="str">
        <f t="shared" si="3"/>
        <v/>
      </c>
      <c r="Q4253" s="84"/>
      <c r="R4253" s="84"/>
      <c r="S4253" s="84"/>
      <c r="T4253" s="84"/>
      <c r="U4253" s="84"/>
      <c r="V4253" s="84"/>
      <c r="W4253" s="84"/>
      <c r="X4253" s="84"/>
      <c r="Y4253" s="84"/>
      <c r="Z4253" s="84"/>
      <c r="AA4253" s="84"/>
      <c r="AB4253" s="84"/>
    </row>
    <row r="4254">
      <c r="A4254" s="89"/>
      <c r="B4254" s="89"/>
      <c r="C4254" s="89"/>
      <c r="D4254" s="89"/>
      <c r="E4254" s="89"/>
      <c r="F4254" s="89"/>
      <c r="G4254" s="89"/>
      <c r="H4254" s="2"/>
      <c r="I4254" s="90"/>
      <c r="J4254" s="90"/>
      <c r="K4254" s="2"/>
      <c r="L4254" s="49"/>
      <c r="M4254" s="49"/>
      <c r="N4254" s="49"/>
      <c r="O4254" s="49" t="str">
        <f t="shared" si="2"/>
        <v/>
      </c>
      <c r="P4254" s="49" t="str">
        <f t="shared" si="3"/>
        <v/>
      </c>
      <c r="Q4254" s="84"/>
      <c r="R4254" s="84"/>
      <c r="S4254" s="84"/>
      <c r="T4254" s="84"/>
      <c r="U4254" s="84"/>
      <c r="V4254" s="84"/>
      <c r="W4254" s="84"/>
      <c r="X4254" s="84"/>
      <c r="Y4254" s="84"/>
      <c r="Z4254" s="84"/>
      <c r="AA4254" s="84"/>
      <c r="AB4254" s="84"/>
    </row>
    <row r="4255">
      <c r="A4255" s="89"/>
      <c r="B4255" s="89"/>
      <c r="C4255" s="89"/>
      <c r="D4255" s="89"/>
      <c r="E4255" s="89"/>
      <c r="F4255" s="89"/>
      <c r="G4255" s="89"/>
      <c r="H4255" s="2"/>
      <c r="I4255" s="90"/>
      <c r="J4255" s="90"/>
      <c r="K4255" s="2"/>
      <c r="L4255" s="48"/>
      <c r="M4255" s="48"/>
      <c r="N4255" s="48"/>
      <c r="O4255" s="48" t="str">
        <f t="shared" si="2"/>
        <v/>
      </c>
      <c r="P4255" s="48" t="str">
        <f t="shared" si="3"/>
        <v/>
      </c>
      <c r="Q4255" s="84"/>
      <c r="R4255" s="84"/>
      <c r="S4255" s="84"/>
      <c r="T4255" s="84"/>
      <c r="U4255" s="84"/>
      <c r="V4255" s="84"/>
      <c r="W4255" s="84"/>
      <c r="X4255" s="84"/>
      <c r="Y4255" s="84"/>
      <c r="Z4255" s="84"/>
      <c r="AA4255" s="84"/>
      <c r="AB4255" s="84"/>
    </row>
    <row r="4256">
      <c r="A4256" s="89"/>
      <c r="B4256" s="89"/>
      <c r="C4256" s="89"/>
      <c r="D4256" s="89"/>
      <c r="E4256" s="89"/>
      <c r="F4256" s="89"/>
      <c r="G4256" s="89"/>
      <c r="H4256" s="2"/>
      <c r="I4256" s="90"/>
      <c r="J4256" s="90"/>
      <c r="K4256" s="2"/>
      <c r="L4256" s="49"/>
      <c r="M4256" s="49"/>
      <c r="N4256" s="49"/>
      <c r="O4256" s="49" t="str">
        <f t="shared" si="2"/>
        <v/>
      </c>
      <c r="P4256" s="49" t="str">
        <f t="shared" si="3"/>
        <v/>
      </c>
      <c r="Q4256" s="84"/>
      <c r="R4256" s="84"/>
      <c r="S4256" s="84"/>
      <c r="T4256" s="84"/>
      <c r="U4256" s="84"/>
      <c r="V4256" s="84"/>
      <c r="W4256" s="84"/>
      <c r="X4256" s="84"/>
      <c r="Y4256" s="84"/>
      <c r="Z4256" s="84"/>
      <c r="AA4256" s="84"/>
      <c r="AB4256" s="84"/>
    </row>
    <row r="4257">
      <c r="A4257" s="89"/>
      <c r="B4257" s="89"/>
      <c r="C4257" s="89"/>
      <c r="D4257" s="89"/>
      <c r="E4257" s="89"/>
      <c r="F4257" s="89"/>
      <c r="G4257" s="89"/>
      <c r="H4257" s="2"/>
      <c r="I4257" s="90"/>
      <c r="J4257" s="90"/>
      <c r="K4257" s="2"/>
      <c r="L4257" s="48"/>
      <c r="M4257" s="48"/>
      <c r="N4257" s="48"/>
      <c r="O4257" s="48" t="str">
        <f t="shared" si="2"/>
        <v/>
      </c>
      <c r="P4257" s="48" t="str">
        <f t="shared" si="3"/>
        <v/>
      </c>
      <c r="Q4257" s="84"/>
      <c r="R4257" s="84"/>
      <c r="S4257" s="84"/>
      <c r="T4257" s="84"/>
      <c r="U4257" s="84"/>
      <c r="V4257" s="84"/>
      <c r="W4257" s="84"/>
      <c r="X4257" s="84"/>
      <c r="Y4257" s="84"/>
      <c r="Z4257" s="84"/>
      <c r="AA4257" s="84"/>
      <c r="AB4257" s="84"/>
    </row>
    <row r="4258">
      <c r="A4258" s="89"/>
      <c r="B4258" s="89"/>
      <c r="C4258" s="89"/>
      <c r="D4258" s="89"/>
      <c r="E4258" s="89"/>
      <c r="F4258" s="89"/>
      <c r="G4258" s="89"/>
      <c r="H4258" s="2"/>
      <c r="I4258" s="90"/>
      <c r="J4258" s="90"/>
      <c r="K4258" s="2"/>
      <c r="L4258" s="49"/>
      <c r="M4258" s="49"/>
      <c r="N4258" s="49"/>
      <c r="O4258" s="49" t="str">
        <f t="shared" si="2"/>
        <v/>
      </c>
      <c r="P4258" s="49" t="str">
        <f t="shared" si="3"/>
        <v/>
      </c>
      <c r="Q4258" s="84"/>
      <c r="R4258" s="84"/>
      <c r="S4258" s="84"/>
      <c r="T4258" s="84"/>
      <c r="U4258" s="84"/>
      <c r="V4258" s="84"/>
      <c r="W4258" s="84"/>
      <c r="X4258" s="84"/>
      <c r="Y4258" s="84"/>
      <c r="Z4258" s="84"/>
      <c r="AA4258" s="84"/>
      <c r="AB4258" s="84"/>
    </row>
    <row r="4259">
      <c r="A4259" s="89"/>
      <c r="B4259" s="89"/>
      <c r="C4259" s="89"/>
      <c r="D4259" s="89"/>
      <c r="E4259" s="89"/>
      <c r="F4259" s="89"/>
      <c r="G4259" s="89"/>
      <c r="H4259" s="2"/>
      <c r="I4259" s="90"/>
      <c r="J4259" s="90"/>
      <c r="K4259" s="2"/>
      <c r="L4259" s="48"/>
      <c r="M4259" s="48"/>
      <c r="N4259" s="48"/>
      <c r="O4259" s="48" t="str">
        <f t="shared" si="2"/>
        <v/>
      </c>
      <c r="P4259" s="48" t="str">
        <f t="shared" si="3"/>
        <v/>
      </c>
      <c r="Q4259" s="84"/>
      <c r="R4259" s="84"/>
      <c r="S4259" s="84"/>
      <c r="T4259" s="84"/>
      <c r="U4259" s="84"/>
      <c r="V4259" s="84"/>
      <c r="W4259" s="84"/>
      <c r="X4259" s="84"/>
      <c r="Y4259" s="84"/>
      <c r="Z4259" s="84"/>
      <c r="AA4259" s="84"/>
      <c r="AB4259" s="84"/>
    </row>
    <row r="4260">
      <c r="A4260" s="89"/>
      <c r="B4260" s="89"/>
      <c r="C4260" s="89"/>
      <c r="D4260" s="89"/>
      <c r="E4260" s="89"/>
      <c r="F4260" s="89"/>
      <c r="G4260" s="89"/>
      <c r="H4260" s="2"/>
      <c r="I4260" s="90"/>
      <c r="J4260" s="90"/>
      <c r="K4260" s="2"/>
      <c r="L4260" s="49"/>
      <c r="M4260" s="49"/>
      <c r="N4260" s="49"/>
      <c r="O4260" s="49" t="str">
        <f t="shared" si="2"/>
        <v/>
      </c>
      <c r="P4260" s="49" t="str">
        <f t="shared" si="3"/>
        <v/>
      </c>
      <c r="Q4260" s="84"/>
      <c r="R4260" s="84"/>
      <c r="S4260" s="84"/>
      <c r="T4260" s="84"/>
      <c r="U4260" s="84"/>
      <c r="V4260" s="84"/>
      <c r="W4260" s="84"/>
      <c r="X4260" s="84"/>
      <c r="Y4260" s="84"/>
      <c r="Z4260" s="84"/>
      <c r="AA4260" s="84"/>
      <c r="AB4260" s="84"/>
    </row>
    <row r="4261">
      <c r="A4261" s="89"/>
      <c r="B4261" s="89"/>
      <c r="C4261" s="89"/>
      <c r="D4261" s="89"/>
      <c r="E4261" s="89"/>
      <c r="F4261" s="89"/>
      <c r="G4261" s="89"/>
      <c r="H4261" s="2"/>
      <c r="I4261" s="90"/>
      <c r="J4261" s="90"/>
      <c r="K4261" s="2"/>
      <c r="L4261" s="48"/>
      <c r="M4261" s="48"/>
      <c r="N4261" s="48"/>
      <c r="O4261" s="48" t="str">
        <f t="shared" si="2"/>
        <v/>
      </c>
      <c r="P4261" s="48" t="str">
        <f t="shared" si="3"/>
        <v/>
      </c>
      <c r="Q4261" s="84"/>
      <c r="R4261" s="84"/>
      <c r="S4261" s="84"/>
      <c r="T4261" s="84"/>
      <c r="U4261" s="84"/>
      <c r="V4261" s="84"/>
      <c r="W4261" s="84"/>
      <c r="X4261" s="84"/>
      <c r="Y4261" s="84"/>
      <c r="Z4261" s="84"/>
      <c r="AA4261" s="84"/>
      <c r="AB4261" s="84"/>
    </row>
    <row r="4262">
      <c r="A4262" s="89"/>
      <c r="B4262" s="89"/>
      <c r="C4262" s="89"/>
      <c r="D4262" s="89"/>
      <c r="E4262" s="89"/>
      <c r="F4262" s="89"/>
      <c r="G4262" s="89"/>
      <c r="H4262" s="2"/>
      <c r="I4262" s="90"/>
      <c r="J4262" s="90"/>
      <c r="K4262" s="2"/>
      <c r="L4262" s="49"/>
      <c r="M4262" s="49"/>
      <c r="N4262" s="49"/>
      <c r="O4262" s="49" t="str">
        <f t="shared" si="2"/>
        <v/>
      </c>
      <c r="P4262" s="49" t="str">
        <f t="shared" si="3"/>
        <v/>
      </c>
      <c r="Q4262" s="84"/>
      <c r="R4262" s="84"/>
      <c r="S4262" s="84"/>
      <c r="T4262" s="84"/>
      <c r="U4262" s="84"/>
      <c r="V4262" s="84"/>
      <c r="W4262" s="84"/>
      <c r="X4262" s="84"/>
      <c r="Y4262" s="84"/>
      <c r="Z4262" s="84"/>
      <c r="AA4262" s="84"/>
      <c r="AB4262" s="84"/>
    </row>
    <row r="4263">
      <c r="A4263" s="89"/>
      <c r="B4263" s="89"/>
      <c r="C4263" s="89"/>
      <c r="D4263" s="89"/>
      <c r="E4263" s="89"/>
      <c r="F4263" s="89"/>
      <c r="G4263" s="89"/>
      <c r="H4263" s="2"/>
      <c r="I4263" s="90"/>
      <c r="J4263" s="90"/>
      <c r="K4263" s="2"/>
      <c r="L4263" s="48"/>
      <c r="M4263" s="48"/>
      <c r="N4263" s="48"/>
      <c r="O4263" s="48" t="str">
        <f t="shared" si="2"/>
        <v/>
      </c>
      <c r="P4263" s="48" t="str">
        <f t="shared" si="3"/>
        <v/>
      </c>
      <c r="Q4263" s="84"/>
      <c r="R4263" s="84"/>
      <c r="S4263" s="84"/>
      <c r="T4263" s="84"/>
      <c r="U4263" s="84"/>
      <c r="V4263" s="84"/>
      <c r="W4263" s="84"/>
      <c r="X4263" s="84"/>
      <c r="Y4263" s="84"/>
      <c r="Z4263" s="84"/>
      <c r="AA4263" s="84"/>
      <c r="AB4263" s="84"/>
    </row>
    <row r="4264">
      <c r="A4264" s="89"/>
      <c r="B4264" s="89"/>
      <c r="C4264" s="89"/>
      <c r="D4264" s="89"/>
      <c r="E4264" s="89"/>
      <c r="F4264" s="89"/>
      <c r="G4264" s="89"/>
      <c r="H4264" s="2"/>
      <c r="I4264" s="90"/>
      <c r="J4264" s="90"/>
      <c r="K4264" s="2"/>
      <c r="L4264" s="49"/>
      <c r="M4264" s="49"/>
      <c r="N4264" s="49"/>
      <c r="O4264" s="49" t="str">
        <f t="shared" si="2"/>
        <v/>
      </c>
      <c r="P4264" s="49" t="str">
        <f t="shared" si="3"/>
        <v/>
      </c>
      <c r="Q4264" s="84"/>
      <c r="R4264" s="84"/>
      <c r="S4264" s="84"/>
      <c r="T4264" s="84"/>
      <c r="U4264" s="84"/>
      <c r="V4264" s="84"/>
      <c r="W4264" s="84"/>
      <c r="X4264" s="84"/>
      <c r="Y4264" s="84"/>
      <c r="Z4264" s="84"/>
      <c r="AA4264" s="84"/>
      <c r="AB4264" s="84"/>
    </row>
    <row r="4265">
      <c r="A4265" s="89"/>
      <c r="B4265" s="89"/>
      <c r="C4265" s="89"/>
      <c r="D4265" s="89"/>
      <c r="E4265" s="89"/>
      <c r="F4265" s="89"/>
      <c r="G4265" s="89"/>
      <c r="H4265" s="2"/>
      <c r="I4265" s="90"/>
      <c r="J4265" s="90"/>
      <c r="K4265" s="2"/>
      <c r="L4265" s="48"/>
      <c r="M4265" s="48"/>
      <c r="N4265" s="48"/>
      <c r="O4265" s="48" t="str">
        <f t="shared" si="2"/>
        <v/>
      </c>
      <c r="P4265" s="48" t="str">
        <f t="shared" si="3"/>
        <v/>
      </c>
      <c r="Q4265" s="84"/>
      <c r="R4265" s="84"/>
      <c r="S4265" s="84"/>
      <c r="T4265" s="84"/>
      <c r="U4265" s="84"/>
      <c r="V4265" s="84"/>
      <c r="W4265" s="84"/>
      <c r="X4265" s="84"/>
      <c r="Y4265" s="84"/>
      <c r="Z4265" s="84"/>
      <c r="AA4265" s="84"/>
      <c r="AB4265" s="84"/>
    </row>
    <row r="4266">
      <c r="A4266" s="89"/>
      <c r="B4266" s="89"/>
      <c r="C4266" s="89"/>
      <c r="D4266" s="89"/>
      <c r="E4266" s="89"/>
      <c r="F4266" s="89"/>
      <c r="G4266" s="89"/>
      <c r="H4266" s="2"/>
      <c r="I4266" s="90"/>
      <c r="J4266" s="90"/>
      <c r="K4266" s="2"/>
      <c r="L4266" s="49"/>
      <c r="M4266" s="49"/>
      <c r="N4266" s="49"/>
      <c r="O4266" s="49" t="str">
        <f t="shared" si="2"/>
        <v/>
      </c>
      <c r="P4266" s="49" t="str">
        <f t="shared" si="3"/>
        <v/>
      </c>
      <c r="Q4266" s="84"/>
      <c r="R4266" s="84"/>
      <c r="S4266" s="84"/>
      <c r="T4266" s="84"/>
      <c r="U4266" s="84"/>
      <c r="V4266" s="84"/>
      <c r="W4266" s="84"/>
      <c r="X4266" s="84"/>
      <c r="Y4266" s="84"/>
      <c r="Z4266" s="84"/>
      <c r="AA4266" s="84"/>
      <c r="AB4266" s="84"/>
    </row>
    <row r="4267">
      <c r="A4267" s="89"/>
      <c r="B4267" s="89"/>
      <c r="C4267" s="89"/>
      <c r="D4267" s="89"/>
      <c r="E4267" s="89"/>
      <c r="F4267" s="89"/>
      <c r="G4267" s="89"/>
      <c r="H4267" s="2"/>
      <c r="I4267" s="90"/>
      <c r="J4267" s="90"/>
      <c r="K4267" s="2"/>
      <c r="L4267" s="48"/>
      <c r="M4267" s="48"/>
      <c r="N4267" s="48"/>
      <c r="O4267" s="48" t="str">
        <f t="shared" si="2"/>
        <v/>
      </c>
      <c r="P4267" s="48" t="str">
        <f t="shared" si="3"/>
        <v/>
      </c>
      <c r="Q4267" s="84"/>
      <c r="R4267" s="84"/>
      <c r="S4267" s="84"/>
      <c r="T4267" s="84"/>
      <c r="U4267" s="84"/>
      <c r="V4267" s="84"/>
      <c r="W4267" s="84"/>
      <c r="X4267" s="84"/>
      <c r="Y4267" s="84"/>
      <c r="Z4267" s="84"/>
      <c r="AA4267" s="84"/>
      <c r="AB4267" s="84"/>
    </row>
    <row r="4268">
      <c r="A4268" s="89"/>
      <c r="B4268" s="89"/>
      <c r="C4268" s="89"/>
      <c r="D4268" s="89"/>
      <c r="E4268" s="89"/>
      <c r="F4268" s="89"/>
      <c r="G4268" s="89"/>
      <c r="H4268" s="2"/>
      <c r="I4268" s="90"/>
      <c r="J4268" s="90"/>
      <c r="K4268" s="2"/>
      <c r="L4268" s="49"/>
      <c r="M4268" s="49"/>
      <c r="N4268" s="49"/>
      <c r="O4268" s="49" t="str">
        <f t="shared" si="2"/>
        <v/>
      </c>
      <c r="P4268" s="49" t="str">
        <f t="shared" si="3"/>
        <v/>
      </c>
      <c r="Q4268" s="84"/>
      <c r="R4268" s="84"/>
      <c r="S4268" s="84"/>
      <c r="T4268" s="84"/>
      <c r="U4268" s="84"/>
      <c r="V4268" s="84"/>
      <c r="W4268" s="84"/>
      <c r="X4268" s="84"/>
      <c r="Y4268" s="84"/>
      <c r="Z4268" s="84"/>
      <c r="AA4268" s="84"/>
      <c r="AB4268" s="84"/>
    </row>
    <row r="4269">
      <c r="A4269" s="89"/>
      <c r="B4269" s="89"/>
      <c r="C4269" s="89"/>
      <c r="D4269" s="89"/>
      <c r="E4269" s="89"/>
      <c r="F4269" s="89"/>
      <c r="G4269" s="89"/>
      <c r="H4269" s="2"/>
      <c r="I4269" s="90"/>
      <c r="J4269" s="90"/>
      <c r="K4269" s="2"/>
      <c r="L4269" s="48"/>
      <c r="M4269" s="48"/>
      <c r="N4269" s="48"/>
      <c r="O4269" s="48" t="str">
        <f t="shared" si="2"/>
        <v/>
      </c>
      <c r="P4269" s="48" t="str">
        <f t="shared" si="3"/>
        <v/>
      </c>
      <c r="Q4269" s="84"/>
      <c r="R4269" s="84"/>
      <c r="S4269" s="84"/>
      <c r="T4269" s="84"/>
      <c r="U4269" s="84"/>
      <c r="V4269" s="84"/>
      <c r="W4269" s="84"/>
      <c r="X4269" s="84"/>
      <c r="Y4269" s="84"/>
      <c r="Z4269" s="84"/>
      <c r="AA4269" s="84"/>
      <c r="AB4269" s="84"/>
    </row>
    <row r="4270">
      <c r="A4270" s="89"/>
      <c r="B4270" s="89"/>
      <c r="C4270" s="89"/>
      <c r="D4270" s="89"/>
      <c r="E4270" s="89"/>
      <c r="F4270" s="89"/>
      <c r="G4270" s="89"/>
      <c r="H4270" s="2"/>
      <c r="I4270" s="90"/>
      <c r="J4270" s="90"/>
      <c r="K4270" s="2"/>
      <c r="L4270" s="49"/>
      <c r="M4270" s="49"/>
      <c r="N4270" s="49"/>
      <c r="O4270" s="49" t="str">
        <f t="shared" si="2"/>
        <v/>
      </c>
      <c r="P4270" s="49" t="str">
        <f t="shared" si="3"/>
        <v/>
      </c>
      <c r="Q4270" s="84"/>
      <c r="R4270" s="84"/>
      <c r="S4270" s="84"/>
      <c r="T4270" s="84"/>
      <c r="U4270" s="84"/>
      <c r="V4270" s="84"/>
      <c r="W4270" s="84"/>
      <c r="X4270" s="84"/>
      <c r="Y4270" s="84"/>
      <c r="Z4270" s="84"/>
      <c r="AA4270" s="84"/>
      <c r="AB4270" s="84"/>
    </row>
    <row r="4271">
      <c r="A4271" s="89"/>
      <c r="B4271" s="89"/>
      <c r="C4271" s="89"/>
      <c r="D4271" s="89"/>
      <c r="E4271" s="89"/>
      <c r="F4271" s="89"/>
      <c r="G4271" s="89"/>
      <c r="H4271" s="2"/>
      <c r="I4271" s="90"/>
      <c r="J4271" s="90"/>
      <c r="K4271" s="2"/>
      <c r="L4271" s="48"/>
      <c r="M4271" s="48"/>
      <c r="N4271" s="48"/>
      <c r="O4271" s="48" t="str">
        <f t="shared" si="2"/>
        <v/>
      </c>
      <c r="P4271" s="48" t="str">
        <f t="shared" si="3"/>
        <v/>
      </c>
      <c r="Q4271" s="84"/>
      <c r="R4271" s="84"/>
      <c r="S4271" s="84"/>
      <c r="T4271" s="84"/>
      <c r="U4271" s="84"/>
      <c r="V4271" s="84"/>
      <c r="W4271" s="84"/>
      <c r="X4271" s="84"/>
      <c r="Y4271" s="84"/>
      <c r="Z4271" s="84"/>
      <c r="AA4271" s="84"/>
      <c r="AB4271" s="84"/>
    </row>
    <row r="4272">
      <c r="A4272" s="89"/>
      <c r="B4272" s="89"/>
      <c r="C4272" s="89"/>
      <c r="D4272" s="89"/>
      <c r="E4272" s="89"/>
      <c r="F4272" s="89"/>
      <c r="G4272" s="89"/>
      <c r="H4272" s="2"/>
      <c r="I4272" s="90"/>
      <c r="J4272" s="90"/>
      <c r="K4272" s="2"/>
      <c r="L4272" s="49"/>
      <c r="M4272" s="49"/>
      <c r="N4272" s="49"/>
      <c r="O4272" s="49" t="str">
        <f t="shared" si="2"/>
        <v/>
      </c>
      <c r="P4272" s="49" t="str">
        <f t="shared" si="3"/>
        <v/>
      </c>
      <c r="Q4272" s="84"/>
      <c r="R4272" s="84"/>
      <c r="S4272" s="84"/>
      <c r="T4272" s="84"/>
      <c r="U4272" s="84"/>
      <c r="V4272" s="84"/>
      <c r="W4272" s="84"/>
      <c r="X4272" s="84"/>
      <c r="Y4272" s="84"/>
      <c r="Z4272" s="84"/>
      <c r="AA4272" s="84"/>
      <c r="AB4272" s="84"/>
    </row>
    <row r="4273">
      <c r="A4273" s="89"/>
      <c r="B4273" s="89"/>
      <c r="C4273" s="89"/>
      <c r="D4273" s="89"/>
      <c r="E4273" s="89"/>
      <c r="F4273" s="89"/>
      <c r="G4273" s="89"/>
      <c r="H4273" s="2"/>
      <c r="I4273" s="90"/>
      <c r="J4273" s="90"/>
      <c r="K4273" s="2"/>
      <c r="L4273" s="48"/>
      <c r="M4273" s="48"/>
      <c r="N4273" s="48"/>
      <c r="O4273" s="48" t="str">
        <f t="shared" si="2"/>
        <v/>
      </c>
      <c r="P4273" s="48" t="str">
        <f t="shared" si="3"/>
        <v/>
      </c>
      <c r="Q4273" s="84"/>
      <c r="R4273" s="84"/>
      <c r="S4273" s="84"/>
      <c r="T4273" s="84"/>
      <c r="U4273" s="84"/>
      <c r="V4273" s="84"/>
      <c r="W4273" s="84"/>
      <c r="X4273" s="84"/>
      <c r="Y4273" s="84"/>
      <c r="Z4273" s="84"/>
      <c r="AA4273" s="84"/>
      <c r="AB4273" s="84"/>
    </row>
    <row r="4274">
      <c r="A4274" s="89"/>
      <c r="B4274" s="89"/>
      <c r="C4274" s="89"/>
      <c r="D4274" s="89"/>
      <c r="E4274" s="89"/>
      <c r="F4274" s="89"/>
      <c r="G4274" s="89"/>
      <c r="H4274" s="2"/>
      <c r="I4274" s="90"/>
      <c r="J4274" s="90"/>
      <c r="K4274" s="2"/>
      <c r="L4274" s="49"/>
      <c r="M4274" s="49"/>
      <c r="N4274" s="49"/>
      <c r="O4274" s="49" t="str">
        <f t="shared" si="2"/>
        <v/>
      </c>
      <c r="P4274" s="49" t="str">
        <f t="shared" si="3"/>
        <v/>
      </c>
      <c r="Q4274" s="84"/>
      <c r="R4274" s="84"/>
      <c r="S4274" s="84"/>
      <c r="T4274" s="84"/>
      <c r="U4274" s="84"/>
      <c r="V4274" s="84"/>
      <c r="W4274" s="84"/>
      <c r="X4274" s="84"/>
      <c r="Y4274" s="84"/>
      <c r="Z4274" s="84"/>
      <c r="AA4274" s="84"/>
      <c r="AB4274" s="84"/>
    </row>
    <row r="4275">
      <c r="A4275" s="89"/>
      <c r="B4275" s="89"/>
      <c r="C4275" s="89"/>
      <c r="D4275" s="89"/>
      <c r="E4275" s="89"/>
      <c r="F4275" s="89"/>
      <c r="G4275" s="89"/>
      <c r="H4275" s="2"/>
      <c r="I4275" s="90"/>
      <c r="J4275" s="90"/>
      <c r="K4275" s="2"/>
      <c r="L4275" s="48"/>
      <c r="M4275" s="48"/>
      <c r="N4275" s="48"/>
      <c r="O4275" s="48" t="str">
        <f t="shared" si="2"/>
        <v/>
      </c>
      <c r="P4275" s="48" t="str">
        <f t="shared" si="3"/>
        <v/>
      </c>
      <c r="Q4275" s="84"/>
      <c r="R4275" s="84"/>
      <c r="S4275" s="84"/>
      <c r="T4275" s="84"/>
      <c r="U4275" s="84"/>
      <c r="V4275" s="84"/>
      <c r="W4275" s="84"/>
      <c r="X4275" s="84"/>
      <c r="Y4275" s="84"/>
      <c r="Z4275" s="84"/>
      <c r="AA4275" s="84"/>
      <c r="AB4275" s="84"/>
    </row>
    <row r="4276">
      <c r="A4276" s="89"/>
      <c r="B4276" s="89"/>
      <c r="C4276" s="89"/>
      <c r="D4276" s="89"/>
      <c r="E4276" s="89"/>
      <c r="F4276" s="89"/>
      <c r="G4276" s="89"/>
      <c r="H4276" s="2"/>
      <c r="I4276" s="90"/>
      <c r="J4276" s="90"/>
      <c r="K4276" s="2"/>
      <c r="L4276" s="49"/>
      <c r="M4276" s="49"/>
      <c r="N4276" s="49"/>
      <c r="O4276" s="49" t="str">
        <f t="shared" si="2"/>
        <v/>
      </c>
      <c r="P4276" s="49" t="str">
        <f t="shared" si="3"/>
        <v/>
      </c>
      <c r="Q4276" s="84"/>
      <c r="R4276" s="84"/>
      <c r="S4276" s="84"/>
      <c r="T4276" s="84"/>
      <c r="U4276" s="84"/>
      <c r="V4276" s="84"/>
      <c r="W4276" s="84"/>
      <c r="X4276" s="84"/>
      <c r="Y4276" s="84"/>
      <c r="Z4276" s="84"/>
      <c r="AA4276" s="84"/>
      <c r="AB4276" s="84"/>
    </row>
    <row r="4277">
      <c r="A4277" s="89"/>
      <c r="B4277" s="89"/>
      <c r="C4277" s="89"/>
      <c r="D4277" s="89"/>
      <c r="E4277" s="89"/>
      <c r="F4277" s="89"/>
      <c r="G4277" s="89"/>
      <c r="H4277" s="2"/>
      <c r="I4277" s="90"/>
      <c r="J4277" s="90"/>
      <c r="K4277" s="2"/>
      <c r="L4277" s="48"/>
      <c r="M4277" s="48"/>
      <c r="N4277" s="48"/>
      <c r="O4277" s="48" t="str">
        <f t="shared" si="2"/>
        <v/>
      </c>
      <c r="P4277" s="48" t="str">
        <f t="shared" si="3"/>
        <v/>
      </c>
      <c r="Q4277" s="84"/>
      <c r="R4277" s="84"/>
      <c r="S4277" s="84"/>
      <c r="T4277" s="84"/>
      <c r="U4277" s="84"/>
      <c r="V4277" s="84"/>
      <c r="W4277" s="84"/>
      <c r="X4277" s="84"/>
      <c r="Y4277" s="84"/>
      <c r="Z4277" s="84"/>
      <c r="AA4277" s="84"/>
      <c r="AB4277" s="84"/>
    </row>
    <row r="4278">
      <c r="A4278" s="89"/>
      <c r="B4278" s="89"/>
      <c r="C4278" s="89"/>
      <c r="D4278" s="89"/>
      <c r="E4278" s="89"/>
      <c r="F4278" s="89"/>
      <c r="G4278" s="89"/>
      <c r="H4278" s="2"/>
      <c r="I4278" s="90"/>
      <c r="J4278" s="90"/>
      <c r="K4278" s="2"/>
      <c r="L4278" s="49"/>
      <c r="M4278" s="49"/>
      <c r="N4278" s="49"/>
      <c r="O4278" s="49" t="str">
        <f t="shared" si="2"/>
        <v/>
      </c>
      <c r="P4278" s="49" t="str">
        <f t="shared" si="3"/>
        <v/>
      </c>
      <c r="Q4278" s="84"/>
      <c r="R4278" s="84"/>
      <c r="S4278" s="84"/>
      <c r="T4278" s="84"/>
      <c r="U4278" s="84"/>
      <c r="V4278" s="84"/>
      <c r="W4278" s="84"/>
      <c r="X4278" s="84"/>
      <c r="Y4278" s="84"/>
      <c r="Z4278" s="84"/>
      <c r="AA4278" s="84"/>
      <c r="AB4278" s="84"/>
    </row>
    <row r="4279">
      <c r="A4279" s="89"/>
      <c r="B4279" s="89"/>
      <c r="C4279" s="89"/>
      <c r="D4279" s="89"/>
      <c r="E4279" s="89"/>
      <c r="F4279" s="89"/>
      <c r="G4279" s="89"/>
      <c r="H4279" s="2"/>
      <c r="I4279" s="90"/>
      <c r="J4279" s="90"/>
      <c r="K4279" s="2"/>
      <c r="L4279" s="48"/>
      <c r="M4279" s="48"/>
      <c r="N4279" s="48"/>
      <c r="O4279" s="48" t="str">
        <f t="shared" si="2"/>
        <v/>
      </c>
      <c r="P4279" s="48" t="str">
        <f t="shared" si="3"/>
        <v/>
      </c>
      <c r="Q4279" s="84"/>
      <c r="R4279" s="84"/>
      <c r="S4279" s="84"/>
      <c r="T4279" s="84"/>
      <c r="U4279" s="84"/>
      <c r="V4279" s="84"/>
      <c r="W4279" s="84"/>
      <c r="X4279" s="84"/>
      <c r="Y4279" s="84"/>
      <c r="Z4279" s="84"/>
      <c r="AA4279" s="84"/>
      <c r="AB4279" s="84"/>
    </row>
    <row r="4280">
      <c r="A4280" s="89"/>
      <c r="B4280" s="89"/>
      <c r="C4280" s="89"/>
      <c r="D4280" s="89"/>
      <c r="E4280" s="89"/>
      <c r="F4280" s="89"/>
      <c r="G4280" s="89"/>
      <c r="H4280" s="2"/>
      <c r="I4280" s="90"/>
      <c r="J4280" s="90"/>
      <c r="K4280" s="2"/>
      <c r="L4280" s="49"/>
      <c r="M4280" s="49"/>
      <c r="N4280" s="49"/>
      <c r="O4280" s="49" t="str">
        <f t="shared" si="2"/>
        <v/>
      </c>
      <c r="P4280" s="49" t="str">
        <f t="shared" si="3"/>
        <v/>
      </c>
      <c r="Q4280" s="84"/>
      <c r="R4280" s="84"/>
      <c r="S4280" s="84"/>
      <c r="T4280" s="84"/>
      <c r="U4280" s="84"/>
      <c r="V4280" s="84"/>
      <c r="W4280" s="84"/>
      <c r="X4280" s="84"/>
      <c r="Y4280" s="84"/>
      <c r="Z4280" s="84"/>
      <c r="AA4280" s="84"/>
      <c r="AB4280" s="84"/>
    </row>
    <row r="4281">
      <c r="A4281" s="89"/>
      <c r="B4281" s="89"/>
      <c r="C4281" s="89"/>
      <c r="D4281" s="89"/>
      <c r="E4281" s="89"/>
      <c r="F4281" s="89"/>
      <c r="G4281" s="89"/>
      <c r="H4281" s="2"/>
      <c r="I4281" s="90"/>
      <c r="J4281" s="90"/>
      <c r="K4281" s="2"/>
      <c r="L4281" s="48"/>
      <c r="M4281" s="48"/>
      <c r="N4281" s="48"/>
      <c r="O4281" s="48" t="str">
        <f t="shared" si="2"/>
        <v/>
      </c>
      <c r="P4281" s="48" t="str">
        <f t="shared" si="3"/>
        <v/>
      </c>
      <c r="Q4281" s="84"/>
      <c r="R4281" s="84"/>
      <c r="S4281" s="84"/>
      <c r="T4281" s="84"/>
      <c r="U4281" s="84"/>
      <c r="V4281" s="84"/>
      <c r="W4281" s="84"/>
      <c r="X4281" s="84"/>
      <c r="Y4281" s="84"/>
      <c r="Z4281" s="84"/>
      <c r="AA4281" s="84"/>
      <c r="AB4281" s="84"/>
    </row>
    <row r="4282">
      <c r="A4282" s="89"/>
      <c r="B4282" s="89"/>
      <c r="C4282" s="89"/>
      <c r="D4282" s="89"/>
      <c r="E4282" s="89"/>
      <c r="F4282" s="89"/>
      <c r="G4282" s="89"/>
      <c r="H4282" s="2"/>
      <c r="I4282" s="90"/>
      <c r="J4282" s="90"/>
      <c r="K4282" s="2"/>
      <c r="L4282" s="49"/>
      <c r="M4282" s="49"/>
      <c r="N4282" s="49"/>
      <c r="O4282" s="49" t="str">
        <f t="shared" si="2"/>
        <v/>
      </c>
      <c r="P4282" s="49" t="str">
        <f t="shared" si="3"/>
        <v/>
      </c>
      <c r="Q4282" s="84"/>
      <c r="R4282" s="84"/>
      <c r="S4282" s="84"/>
      <c r="T4282" s="84"/>
      <c r="U4282" s="84"/>
      <c r="V4282" s="84"/>
      <c r="W4282" s="84"/>
      <c r="X4282" s="84"/>
      <c r="Y4282" s="84"/>
      <c r="Z4282" s="84"/>
      <c r="AA4282" s="84"/>
      <c r="AB4282" s="84"/>
    </row>
    <row r="4283">
      <c r="A4283" s="89"/>
      <c r="B4283" s="89"/>
      <c r="C4283" s="89"/>
      <c r="D4283" s="89"/>
      <c r="E4283" s="89"/>
      <c r="F4283" s="89"/>
      <c r="G4283" s="89"/>
      <c r="H4283" s="2"/>
      <c r="I4283" s="90"/>
      <c r="J4283" s="90"/>
      <c r="K4283" s="2"/>
      <c r="L4283" s="48"/>
      <c r="M4283" s="48"/>
      <c r="N4283" s="48"/>
      <c r="O4283" s="48" t="str">
        <f t="shared" si="2"/>
        <v/>
      </c>
      <c r="P4283" s="48" t="str">
        <f t="shared" si="3"/>
        <v/>
      </c>
      <c r="Q4283" s="84"/>
      <c r="R4283" s="84"/>
      <c r="S4283" s="84"/>
      <c r="T4283" s="84"/>
      <c r="U4283" s="84"/>
      <c r="V4283" s="84"/>
      <c r="W4283" s="84"/>
      <c r="X4283" s="84"/>
      <c r="Y4283" s="84"/>
      <c r="Z4283" s="84"/>
      <c r="AA4283" s="84"/>
      <c r="AB4283" s="84"/>
    </row>
    <row r="4284">
      <c r="A4284" s="89"/>
      <c r="B4284" s="89"/>
      <c r="C4284" s="89"/>
      <c r="D4284" s="89"/>
      <c r="E4284" s="89"/>
      <c r="F4284" s="89"/>
      <c r="G4284" s="89"/>
      <c r="H4284" s="2"/>
      <c r="I4284" s="90"/>
      <c r="J4284" s="90"/>
      <c r="K4284" s="2"/>
      <c r="L4284" s="49"/>
      <c r="M4284" s="49"/>
      <c r="N4284" s="49"/>
      <c r="O4284" s="49" t="str">
        <f t="shared" si="2"/>
        <v/>
      </c>
      <c r="P4284" s="49" t="str">
        <f t="shared" si="3"/>
        <v/>
      </c>
      <c r="Q4284" s="84"/>
      <c r="R4284" s="84"/>
      <c r="S4284" s="84"/>
      <c r="T4284" s="84"/>
      <c r="U4284" s="84"/>
      <c r="V4284" s="84"/>
      <c r="W4284" s="84"/>
      <c r="X4284" s="84"/>
      <c r="Y4284" s="84"/>
      <c r="Z4284" s="84"/>
      <c r="AA4284" s="84"/>
      <c r="AB4284" s="84"/>
    </row>
    <row r="4285">
      <c r="A4285" s="89"/>
      <c r="B4285" s="89"/>
      <c r="C4285" s="89"/>
      <c r="D4285" s="89"/>
      <c r="E4285" s="89"/>
      <c r="F4285" s="89"/>
      <c r="G4285" s="89"/>
      <c r="H4285" s="2"/>
      <c r="I4285" s="90"/>
      <c r="J4285" s="90"/>
      <c r="K4285" s="2"/>
      <c r="L4285" s="48"/>
      <c r="M4285" s="48"/>
      <c r="N4285" s="48"/>
      <c r="O4285" s="48" t="str">
        <f t="shared" si="2"/>
        <v/>
      </c>
      <c r="P4285" s="48" t="str">
        <f t="shared" si="3"/>
        <v/>
      </c>
      <c r="Q4285" s="84"/>
      <c r="R4285" s="84"/>
      <c r="S4285" s="84"/>
      <c r="T4285" s="84"/>
      <c r="U4285" s="84"/>
      <c r="V4285" s="84"/>
      <c r="W4285" s="84"/>
      <c r="X4285" s="84"/>
      <c r="Y4285" s="84"/>
      <c r="Z4285" s="84"/>
      <c r="AA4285" s="84"/>
      <c r="AB4285" s="84"/>
    </row>
    <row r="4286">
      <c r="A4286" s="89"/>
      <c r="B4286" s="89"/>
      <c r="C4286" s="89"/>
      <c r="D4286" s="89"/>
      <c r="E4286" s="89"/>
      <c r="F4286" s="89"/>
      <c r="G4286" s="89"/>
      <c r="H4286" s="2"/>
      <c r="I4286" s="90"/>
      <c r="J4286" s="90"/>
      <c r="K4286" s="2"/>
      <c r="L4286" s="49"/>
      <c r="M4286" s="49"/>
      <c r="N4286" s="49"/>
      <c r="O4286" s="49" t="str">
        <f t="shared" si="2"/>
        <v/>
      </c>
      <c r="P4286" s="49" t="str">
        <f t="shared" si="3"/>
        <v/>
      </c>
      <c r="Q4286" s="84"/>
      <c r="R4286" s="84"/>
      <c r="S4286" s="84"/>
      <c r="T4286" s="84"/>
      <c r="U4286" s="84"/>
      <c r="V4286" s="84"/>
      <c r="W4286" s="84"/>
      <c r="X4286" s="84"/>
      <c r="Y4286" s="84"/>
      <c r="Z4286" s="84"/>
      <c r="AA4286" s="84"/>
      <c r="AB4286" s="84"/>
    </row>
    <row r="4287">
      <c r="A4287" s="89"/>
      <c r="B4287" s="89"/>
      <c r="C4287" s="89"/>
      <c r="D4287" s="89"/>
      <c r="E4287" s="89"/>
      <c r="F4287" s="89"/>
      <c r="G4287" s="89"/>
      <c r="H4287" s="2"/>
      <c r="I4287" s="90"/>
      <c r="J4287" s="90"/>
      <c r="K4287" s="2"/>
      <c r="L4287" s="48"/>
      <c r="M4287" s="48"/>
      <c r="N4287" s="48"/>
      <c r="O4287" s="48" t="str">
        <f t="shared" si="2"/>
        <v/>
      </c>
      <c r="P4287" s="48" t="str">
        <f t="shared" si="3"/>
        <v/>
      </c>
      <c r="Q4287" s="84"/>
      <c r="R4287" s="84"/>
      <c r="S4287" s="84"/>
      <c r="T4287" s="84"/>
      <c r="U4287" s="84"/>
      <c r="V4287" s="84"/>
      <c r="W4287" s="84"/>
      <c r="X4287" s="84"/>
      <c r="Y4287" s="84"/>
      <c r="Z4287" s="84"/>
      <c r="AA4287" s="84"/>
      <c r="AB4287" s="84"/>
    </row>
    <row r="4288">
      <c r="A4288" s="89"/>
      <c r="B4288" s="89"/>
      <c r="C4288" s="89"/>
      <c r="D4288" s="89"/>
      <c r="E4288" s="89"/>
      <c r="F4288" s="89"/>
      <c r="G4288" s="89"/>
      <c r="H4288" s="2"/>
      <c r="I4288" s="90"/>
      <c r="J4288" s="90"/>
      <c r="K4288" s="2"/>
      <c r="L4288" s="49"/>
      <c r="M4288" s="49"/>
      <c r="N4288" s="49"/>
      <c r="O4288" s="49" t="str">
        <f t="shared" si="2"/>
        <v/>
      </c>
      <c r="P4288" s="49" t="str">
        <f t="shared" si="3"/>
        <v/>
      </c>
      <c r="Q4288" s="84"/>
      <c r="R4288" s="84"/>
      <c r="S4288" s="84"/>
      <c r="T4288" s="84"/>
      <c r="U4288" s="84"/>
      <c r="V4288" s="84"/>
      <c r="W4288" s="84"/>
      <c r="X4288" s="84"/>
      <c r="Y4288" s="84"/>
      <c r="Z4288" s="84"/>
      <c r="AA4288" s="84"/>
      <c r="AB4288" s="84"/>
    </row>
    <row r="4289">
      <c r="A4289" s="89"/>
      <c r="B4289" s="89"/>
      <c r="C4289" s="89"/>
      <c r="D4289" s="89"/>
      <c r="E4289" s="89"/>
      <c r="F4289" s="89"/>
      <c r="G4289" s="89"/>
      <c r="H4289" s="2"/>
      <c r="I4289" s="90"/>
      <c r="J4289" s="90"/>
      <c r="K4289" s="2"/>
      <c r="L4289" s="48"/>
      <c r="M4289" s="48"/>
      <c r="N4289" s="48"/>
      <c r="O4289" s="48" t="str">
        <f t="shared" si="2"/>
        <v/>
      </c>
      <c r="P4289" s="48" t="str">
        <f t="shared" si="3"/>
        <v/>
      </c>
      <c r="Q4289" s="84"/>
      <c r="R4289" s="84"/>
      <c r="S4289" s="84"/>
      <c r="T4289" s="84"/>
      <c r="U4289" s="84"/>
      <c r="V4289" s="84"/>
      <c r="W4289" s="84"/>
      <c r="X4289" s="84"/>
      <c r="Y4289" s="84"/>
      <c r="Z4289" s="84"/>
      <c r="AA4289" s="84"/>
      <c r="AB4289" s="84"/>
    </row>
    <row r="4290">
      <c r="A4290" s="89"/>
      <c r="B4290" s="89"/>
      <c r="C4290" s="89"/>
      <c r="D4290" s="89"/>
      <c r="E4290" s="89"/>
      <c r="F4290" s="89"/>
      <c r="G4290" s="89"/>
      <c r="H4290" s="2"/>
      <c r="I4290" s="90"/>
      <c r="J4290" s="90"/>
      <c r="K4290" s="2"/>
      <c r="L4290" s="49"/>
      <c r="M4290" s="49"/>
      <c r="N4290" s="49"/>
      <c r="O4290" s="49" t="str">
        <f t="shared" si="2"/>
        <v/>
      </c>
      <c r="P4290" s="49" t="str">
        <f t="shared" si="3"/>
        <v/>
      </c>
      <c r="Q4290" s="84"/>
      <c r="R4290" s="84"/>
      <c r="S4290" s="84"/>
      <c r="T4290" s="84"/>
      <c r="U4290" s="84"/>
      <c r="V4290" s="84"/>
      <c r="W4290" s="84"/>
      <c r="X4290" s="84"/>
      <c r="Y4290" s="84"/>
      <c r="Z4290" s="84"/>
      <c r="AA4290" s="84"/>
      <c r="AB4290" s="84"/>
    </row>
    <row r="4291">
      <c r="A4291" s="89"/>
      <c r="B4291" s="89"/>
      <c r="C4291" s="89"/>
      <c r="D4291" s="89"/>
      <c r="E4291" s="89"/>
      <c r="F4291" s="89"/>
      <c r="G4291" s="89"/>
      <c r="H4291" s="2"/>
      <c r="I4291" s="90"/>
      <c r="J4291" s="90"/>
      <c r="K4291" s="2"/>
      <c r="L4291" s="48"/>
      <c r="M4291" s="48"/>
      <c r="N4291" s="48"/>
      <c r="O4291" s="48" t="str">
        <f t="shared" si="2"/>
        <v/>
      </c>
      <c r="P4291" s="48" t="str">
        <f t="shared" si="3"/>
        <v/>
      </c>
      <c r="Q4291" s="84"/>
      <c r="R4291" s="84"/>
      <c r="S4291" s="84"/>
      <c r="T4291" s="84"/>
      <c r="U4291" s="84"/>
      <c r="V4291" s="84"/>
      <c r="W4291" s="84"/>
      <c r="X4291" s="84"/>
      <c r="Y4291" s="84"/>
      <c r="Z4291" s="84"/>
      <c r="AA4291" s="84"/>
      <c r="AB4291" s="84"/>
    </row>
    <row r="4292">
      <c r="A4292" s="89"/>
      <c r="B4292" s="89"/>
      <c r="C4292" s="89"/>
      <c r="D4292" s="89"/>
      <c r="E4292" s="89"/>
      <c r="F4292" s="89"/>
      <c r="G4292" s="89"/>
      <c r="H4292" s="2"/>
      <c r="I4292" s="90"/>
      <c r="J4292" s="90"/>
      <c r="K4292" s="2"/>
      <c r="L4292" s="49"/>
      <c r="M4292" s="49"/>
      <c r="N4292" s="49"/>
      <c r="O4292" s="49" t="str">
        <f t="shared" si="2"/>
        <v/>
      </c>
      <c r="P4292" s="49" t="str">
        <f t="shared" si="3"/>
        <v/>
      </c>
      <c r="Q4292" s="84"/>
      <c r="R4292" s="84"/>
      <c r="S4292" s="84"/>
      <c r="T4292" s="84"/>
      <c r="U4292" s="84"/>
      <c r="V4292" s="84"/>
      <c r="W4292" s="84"/>
      <c r="X4292" s="84"/>
      <c r="Y4292" s="84"/>
      <c r="Z4292" s="84"/>
      <c r="AA4292" s="84"/>
      <c r="AB4292" s="84"/>
    </row>
    <row r="4293">
      <c r="A4293" s="89"/>
      <c r="B4293" s="89"/>
      <c r="C4293" s="89"/>
      <c r="D4293" s="89"/>
      <c r="E4293" s="89"/>
      <c r="F4293" s="89"/>
      <c r="G4293" s="89"/>
      <c r="H4293" s="2"/>
      <c r="I4293" s="90"/>
      <c r="J4293" s="90"/>
      <c r="K4293" s="2"/>
      <c r="L4293" s="48"/>
      <c r="M4293" s="48"/>
      <c r="N4293" s="48"/>
      <c r="O4293" s="48" t="str">
        <f t="shared" si="2"/>
        <v/>
      </c>
      <c r="P4293" s="48" t="str">
        <f t="shared" si="3"/>
        <v/>
      </c>
      <c r="Q4293" s="84"/>
      <c r="R4293" s="84"/>
      <c r="S4293" s="84"/>
      <c r="T4293" s="84"/>
      <c r="U4293" s="84"/>
      <c r="V4293" s="84"/>
      <c r="W4293" s="84"/>
      <c r="X4293" s="84"/>
      <c r="Y4293" s="84"/>
      <c r="Z4293" s="84"/>
      <c r="AA4293" s="84"/>
      <c r="AB4293" s="84"/>
    </row>
    <row r="4294">
      <c r="A4294" s="89"/>
      <c r="B4294" s="89"/>
      <c r="C4294" s="89"/>
      <c r="D4294" s="89"/>
      <c r="E4294" s="89"/>
      <c r="F4294" s="89"/>
      <c r="G4294" s="89"/>
      <c r="H4294" s="2"/>
      <c r="I4294" s="90"/>
      <c r="J4294" s="90"/>
      <c r="K4294" s="2"/>
      <c r="L4294" s="49"/>
      <c r="M4294" s="49"/>
      <c r="N4294" s="49"/>
      <c r="O4294" s="49" t="str">
        <f t="shared" si="2"/>
        <v/>
      </c>
      <c r="P4294" s="49" t="str">
        <f t="shared" si="3"/>
        <v/>
      </c>
      <c r="Q4294" s="84"/>
      <c r="R4294" s="84"/>
      <c r="S4294" s="84"/>
      <c r="T4294" s="84"/>
      <c r="U4294" s="84"/>
      <c r="V4294" s="84"/>
      <c r="W4294" s="84"/>
      <c r="X4294" s="84"/>
      <c r="Y4294" s="84"/>
      <c r="Z4294" s="84"/>
      <c r="AA4294" s="84"/>
      <c r="AB4294" s="84"/>
    </row>
    <row r="4295">
      <c r="A4295" s="89"/>
      <c r="B4295" s="89"/>
      <c r="C4295" s="89"/>
      <c r="D4295" s="89"/>
      <c r="E4295" s="89"/>
      <c r="F4295" s="89"/>
      <c r="G4295" s="89"/>
      <c r="H4295" s="2"/>
      <c r="I4295" s="90"/>
      <c r="J4295" s="90"/>
      <c r="K4295" s="2"/>
      <c r="L4295" s="48"/>
      <c r="M4295" s="48"/>
      <c r="N4295" s="48"/>
      <c r="O4295" s="48" t="str">
        <f t="shared" si="2"/>
        <v/>
      </c>
      <c r="P4295" s="48" t="str">
        <f t="shared" si="3"/>
        <v/>
      </c>
      <c r="Q4295" s="84"/>
      <c r="R4295" s="84"/>
      <c r="S4295" s="84"/>
      <c r="T4295" s="84"/>
      <c r="U4295" s="84"/>
      <c r="V4295" s="84"/>
      <c r="W4295" s="84"/>
      <c r="X4295" s="84"/>
      <c r="Y4295" s="84"/>
      <c r="Z4295" s="84"/>
      <c r="AA4295" s="84"/>
      <c r="AB4295" s="84"/>
    </row>
    <row r="4296">
      <c r="A4296" s="89"/>
      <c r="B4296" s="89"/>
      <c r="C4296" s="89"/>
      <c r="D4296" s="89"/>
      <c r="E4296" s="89"/>
      <c r="F4296" s="89"/>
      <c r="G4296" s="89"/>
      <c r="H4296" s="2"/>
      <c r="I4296" s="90"/>
      <c r="J4296" s="90"/>
      <c r="K4296" s="2"/>
      <c r="L4296" s="49"/>
      <c r="M4296" s="49"/>
      <c r="N4296" s="49"/>
      <c r="O4296" s="49" t="str">
        <f t="shared" si="2"/>
        <v/>
      </c>
      <c r="P4296" s="49" t="str">
        <f t="shared" si="3"/>
        <v/>
      </c>
      <c r="Q4296" s="84"/>
      <c r="R4296" s="84"/>
      <c r="S4296" s="84"/>
      <c r="T4296" s="84"/>
      <c r="U4296" s="84"/>
      <c r="V4296" s="84"/>
      <c r="W4296" s="84"/>
      <c r="X4296" s="84"/>
      <c r="Y4296" s="84"/>
      <c r="Z4296" s="84"/>
      <c r="AA4296" s="84"/>
      <c r="AB4296" s="84"/>
    </row>
    <row r="4297">
      <c r="A4297" s="89"/>
      <c r="B4297" s="89"/>
      <c r="C4297" s="89"/>
      <c r="D4297" s="89"/>
      <c r="E4297" s="89"/>
      <c r="F4297" s="89"/>
      <c r="G4297" s="89"/>
      <c r="H4297" s="2"/>
      <c r="I4297" s="90"/>
      <c r="J4297" s="90"/>
      <c r="K4297" s="2"/>
      <c r="L4297" s="48"/>
      <c r="M4297" s="48"/>
      <c r="N4297" s="48"/>
      <c r="O4297" s="48" t="str">
        <f t="shared" si="2"/>
        <v/>
      </c>
      <c r="P4297" s="48" t="str">
        <f t="shared" si="3"/>
        <v/>
      </c>
      <c r="Q4297" s="84"/>
      <c r="R4297" s="84"/>
      <c r="S4297" s="84"/>
      <c r="T4297" s="84"/>
      <c r="U4297" s="84"/>
      <c r="V4297" s="84"/>
      <c r="W4297" s="84"/>
      <c r="X4297" s="84"/>
      <c r="Y4297" s="84"/>
      <c r="Z4297" s="84"/>
      <c r="AA4297" s="84"/>
      <c r="AB4297" s="84"/>
    </row>
    <row r="4298">
      <c r="A4298" s="89"/>
      <c r="B4298" s="89"/>
      <c r="C4298" s="89"/>
      <c r="D4298" s="89"/>
      <c r="E4298" s="89"/>
      <c r="F4298" s="89"/>
      <c r="G4298" s="89"/>
      <c r="H4298" s="2"/>
      <c r="I4298" s="90"/>
      <c r="J4298" s="90"/>
      <c r="K4298" s="2"/>
      <c r="L4298" s="49"/>
      <c r="M4298" s="49"/>
      <c r="N4298" s="49"/>
      <c r="O4298" s="49" t="str">
        <f t="shared" si="2"/>
        <v/>
      </c>
      <c r="P4298" s="49" t="str">
        <f t="shared" si="3"/>
        <v/>
      </c>
      <c r="Q4298" s="84"/>
      <c r="R4298" s="84"/>
      <c r="S4298" s="84"/>
      <c r="T4298" s="84"/>
      <c r="U4298" s="84"/>
      <c r="V4298" s="84"/>
      <c r="W4298" s="84"/>
      <c r="X4298" s="84"/>
      <c r="Y4298" s="84"/>
      <c r="Z4298" s="84"/>
      <c r="AA4298" s="84"/>
      <c r="AB4298" s="84"/>
    </row>
    <row r="4299">
      <c r="A4299" s="89"/>
      <c r="B4299" s="89"/>
      <c r="C4299" s="89"/>
      <c r="D4299" s="89"/>
      <c r="E4299" s="89"/>
      <c r="F4299" s="89"/>
      <c r="G4299" s="89"/>
      <c r="H4299" s="2"/>
      <c r="I4299" s="90"/>
      <c r="J4299" s="90"/>
      <c r="K4299" s="2"/>
      <c r="L4299" s="48"/>
      <c r="M4299" s="48"/>
      <c r="N4299" s="48"/>
      <c r="O4299" s="48" t="str">
        <f t="shared" si="2"/>
        <v/>
      </c>
      <c r="P4299" s="48" t="str">
        <f t="shared" si="3"/>
        <v/>
      </c>
      <c r="Q4299" s="84"/>
      <c r="R4299" s="84"/>
      <c r="S4299" s="84"/>
      <c r="T4299" s="84"/>
      <c r="U4299" s="84"/>
      <c r="V4299" s="84"/>
      <c r="W4299" s="84"/>
      <c r="X4299" s="84"/>
      <c r="Y4299" s="84"/>
      <c r="Z4299" s="84"/>
      <c r="AA4299" s="84"/>
      <c r="AB4299" s="84"/>
    </row>
    <row r="4300">
      <c r="A4300" s="89"/>
      <c r="B4300" s="89"/>
      <c r="C4300" s="89"/>
      <c r="D4300" s="89"/>
      <c r="E4300" s="89"/>
      <c r="F4300" s="89"/>
      <c r="G4300" s="89"/>
      <c r="H4300" s="2"/>
      <c r="I4300" s="90"/>
      <c r="J4300" s="90"/>
      <c r="K4300" s="2"/>
      <c r="L4300" s="49"/>
      <c r="M4300" s="49"/>
      <c r="N4300" s="49"/>
      <c r="O4300" s="49" t="str">
        <f t="shared" si="2"/>
        <v/>
      </c>
      <c r="P4300" s="49" t="str">
        <f t="shared" si="3"/>
        <v/>
      </c>
      <c r="Q4300" s="84"/>
      <c r="R4300" s="84"/>
      <c r="S4300" s="84"/>
      <c r="T4300" s="84"/>
      <c r="U4300" s="84"/>
      <c r="V4300" s="84"/>
      <c r="W4300" s="84"/>
      <c r="X4300" s="84"/>
      <c r="Y4300" s="84"/>
      <c r="Z4300" s="84"/>
      <c r="AA4300" s="84"/>
      <c r="AB4300" s="84"/>
    </row>
    <row r="4301">
      <c r="A4301" s="89"/>
      <c r="B4301" s="89"/>
      <c r="C4301" s="89"/>
      <c r="D4301" s="89"/>
      <c r="E4301" s="89"/>
      <c r="F4301" s="89"/>
      <c r="G4301" s="89"/>
      <c r="H4301" s="2"/>
      <c r="I4301" s="90"/>
      <c r="J4301" s="90"/>
      <c r="K4301" s="2"/>
      <c r="L4301" s="48"/>
      <c r="M4301" s="48"/>
      <c r="N4301" s="48"/>
      <c r="O4301" s="48" t="str">
        <f t="shared" si="2"/>
        <v/>
      </c>
      <c r="P4301" s="48" t="str">
        <f t="shared" si="3"/>
        <v/>
      </c>
      <c r="Q4301" s="84"/>
      <c r="R4301" s="84"/>
      <c r="S4301" s="84"/>
      <c r="T4301" s="84"/>
      <c r="U4301" s="84"/>
      <c r="V4301" s="84"/>
      <c r="W4301" s="84"/>
      <c r="X4301" s="84"/>
      <c r="Y4301" s="84"/>
      <c r="Z4301" s="84"/>
      <c r="AA4301" s="84"/>
      <c r="AB4301" s="84"/>
    </row>
    <row r="4302">
      <c r="A4302" s="89"/>
      <c r="B4302" s="89"/>
      <c r="C4302" s="89"/>
      <c r="D4302" s="89"/>
      <c r="E4302" s="89"/>
      <c r="F4302" s="89"/>
      <c r="G4302" s="89"/>
      <c r="H4302" s="2"/>
      <c r="I4302" s="90"/>
      <c r="J4302" s="90"/>
      <c r="K4302" s="2"/>
      <c r="L4302" s="49"/>
      <c r="M4302" s="49"/>
      <c r="N4302" s="49"/>
      <c r="O4302" s="49" t="str">
        <f t="shared" si="2"/>
        <v/>
      </c>
      <c r="P4302" s="49" t="str">
        <f t="shared" si="3"/>
        <v/>
      </c>
      <c r="Q4302" s="84"/>
      <c r="R4302" s="84"/>
      <c r="S4302" s="84"/>
      <c r="T4302" s="84"/>
      <c r="U4302" s="84"/>
      <c r="V4302" s="84"/>
      <c r="W4302" s="84"/>
      <c r="X4302" s="84"/>
      <c r="Y4302" s="84"/>
      <c r="Z4302" s="84"/>
      <c r="AA4302" s="84"/>
      <c r="AB4302" s="84"/>
    </row>
    <row r="4303">
      <c r="A4303" s="89"/>
      <c r="B4303" s="89"/>
      <c r="C4303" s="89"/>
      <c r="D4303" s="89"/>
      <c r="E4303" s="89"/>
      <c r="F4303" s="89"/>
      <c r="G4303" s="89"/>
      <c r="H4303" s="2"/>
      <c r="I4303" s="90"/>
      <c r="J4303" s="90"/>
      <c r="K4303" s="2"/>
      <c r="L4303" s="48"/>
      <c r="M4303" s="48"/>
      <c r="N4303" s="48"/>
      <c r="O4303" s="48" t="str">
        <f t="shared" si="2"/>
        <v/>
      </c>
      <c r="P4303" s="48" t="str">
        <f t="shared" si="3"/>
        <v/>
      </c>
      <c r="Q4303" s="84"/>
      <c r="R4303" s="84"/>
      <c r="S4303" s="84"/>
      <c r="T4303" s="84"/>
      <c r="U4303" s="84"/>
      <c r="V4303" s="84"/>
      <c r="W4303" s="84"/>
      <c r="X4303" s="84"/>
      <c r="Y4303" s="84"/>
      <c r="Z4303" s="84"/>
      <c r="AA4303" s="84"/>
      <c r="AB4303" s="84"/>
    </row>
    <row r="4304">
      <c r="A4304" s="89"/>
      <c r="B4304" s="89"/>
      <c r="C4304" s="89"/>
      <c r="D4304" s="89"/>
      <c r="E4304" s="89"/>
      <c r="F4304" s="89"/>
      <c r="G4304" s="89"/>
      <c r="H4304" s="2"/>
      <c r="I4304" s="90"/>
      <c r="J4304" s="90"/>
      <c r="K4304" s="2"/>
      <c r="L4304" s="49"/>
      <c r="M4304" s="49"/>
      <c r="N4304" s="49"/>
      <c r="O4304" s="49" t="str">
        <f t="shared" si="2"/>
        <v/>
      </c>
      <c r="P4304" s="49" t="str">
        <f t="shared" si="3"/>
        <v/>
      </c>
      <c r="Q4304" s="84"/>
      <c r="R4304" s="84"/>
      <c r="S4304" s="84"/>
      <c r="T4304" s="84"/>
      <c r="U4304" s="84"/>
      <c r="V4304" s="84"/>
      <c r="W4304" s="84"/>
      <c r="X4304" s="84"/>
      <c r="Y4304" s="84"/>
      <c r="Z4304" s="84"/>
      <c r="AA4304" s="84"/>
      <c r="AB4304" s="84"/>
    </row>
    <row r="4305">
      <c r="A4305" s="89"/>
      <c r="B4305" s="89"/>
      <c r="C4305" s="89"/>
      <c r="D4305" s="89"/>
      <c r="E4305" s="89"/>
      <c r="F4305" s="89"/>
      <c r="G4305" s="89"/>
      <c r="H4305" s="2"/>
      <c r="I4305" s="90"/>
      <c r="J4305" s="90"/>
      <c r="K4305" s="2"/>
      <c r="L4305" s="48"/>
      <c r="M4305" s="48"/>
      <c r="N4305" s="48"/>
      <c r="O4305" s="48" t="str">
        <f t="shared" si="2"/>
        <v/>
      </c>
      <c r="P4305" s="48" t="str">
        <f t="shared" si="3"/>
        <v/>
      </c>
      <c r="Q4305" s="84"/>
      <c r="R4305" s="84"/>
      <c r="S4305" s="84"/>
      <c r="T4305" s="84"/>
      <c r="U4305" s="84"/>
      <c r="V4305" s="84"/>
      <c r="W4305" s="84"/>
      <c r="X4305" s="84"/>
      <c r="Y4305" s="84"/>
      <c r="Z4305" s="84"/>
      <c r="AA4305" s="84"/>
      <c r="AB4305" s="84"/>
    </row>
    <row r="4306">
      <c r="A4306" s="89"/>
      <c r="B4306" s="89"/>
      <c r="C4306" s="89"/>
      <c r="D4306" s="89"/>
      <c r="E4306" s="89"/>
      <c r="F4306" s="89"/>
      <c r="G4306" s="89"/>
      <c r="H4306" s="2"/>
      <c r="I4306" s="90"/>
      <c r="J4306" s="90"/>
      <c r="K4306" s="2"/>
      <c r="L4306" s="49"/>
      <c r="M4306" s="49"/>
      <c r="N4306" s="49"/>
      <c r="O4306" s="49" t="str">
        <f t="shared" si="2"/>
        <v/>
      </c>
      <c r="P4306" s="49" t="str">
        <f t="shared" si="3"/>
        <v/>
      </c>
      <c r="Q4306" s="84"/>
      <c r="R4306" s="84"/>
      <c r="S4306" s="84"/>
      <c r="T4306" s="84"/>
      <c r="U4306" s="84"/>
      <c r="V4306" s="84"/>
      <c r="W4306" s="84"/>
      <c r="X4306" s="84"/>
      <c r="Y4306" s="84"/>
      <c r="Z4306" s="84"/>
      <c r="AA4306" s="84"/>
      <c r="AB4306" s="84"/>
    </row>
    <row r="4307">
      <c r="A4307" s="89"/>
      <c r="B4307" s="89"/>
      <c r="C4307" s="89"/>
      <c r="D4307" s="89"/>
      <c r="E4307" s="89"/>
      <c r="F4307" s="89"/>
      <c r="G4307" s="89"/>
      <c r="H4307" s="2"/>
      <c r="I4307" s="90"/>
      <c r="J4307" s="90"/>
      <c r="K4307" s="2"/>
      <c r="L4307" s="48"/>
      <c r="M4307" s="48"/>
      <c r="N4307" s="48"/>
      <c r="O4307" s="48" t="str">
        <f t="shared" si="2"/>
        <v/>
      </c>
      <c r="P4307" s="48" t="str">
        <f t="shared" si="3"/>
        <v/>
      </c>
      <c r="Q4307" s="84"/>
      <c r="R4307" s="84"/>
      <c r="S4307" s="84"/>
      <c r="T4307" s="84"/>
      <c r="U4307" s="84"/>
      <c r="V4307" s="84"/>
      <c r="W4307" s="84"/>
      <c r="X4307" s="84"/>
      <c r="Y4307" s="84"/>
      <c r="Z4307" s="84"/>
      <c r="AA4307" s="84"/>
      <c r="AB4307" s="84"/>
    </row>
    <row r="4308">
      <c r="A4308" s="89"/>
      <c r="B4308" s="89"/>
      <c r="C4308" s="89"/>
      <c r="D4308" s="89"/>
      <c r="E4308" s="89"/>
      <c r="F4308" s="89"/>
      <c r="G4308" s="89"/>
      <c r="H4308" s="2"/>
      <c r="I4308" s="90"/>
      <c r="J4308" s="90"/>
      <c r="K4308" s="2"/>
      <c r="L4308" s="49"/>
      <c r="M4308" s="49"/>
      <c r="N4308" s="49"/>
      <c r="O4308" s="49" t="str">
        <f t="shared" si="2"/>
        <v/>
      </c>
      <c r="P4308" s="49" t="str">
        <f t="shared" si="3"/>
        <v/>
      </c>
      <c r="Q4308" s="84"/>
      <c r="R4308" s="84"/>
      <c r="S4308" s="84"/>
      <c r="T4308" s="84"/>
      <c r="U4308" s="84"/>
      <c r="V4308" s="84"/>
      <c r="W4308" s="84"/>
      <c r="X4308" s="84"/>
      <c r="Y4308" s="84"/>
      <c r="Z4308" s="84"/>
      <c r="AA4308" s="84"/>
      <c r="AB4308" s="84"/>
    </row>
    <row r="4309">
      <c r="A4309" s="89"/>
      <c r="B4309" s="89"/>
      <c r="C4309" s="89"/>
      <c r="D4309" s="89"/>
      <c r="E4309" s="89"/>
      <c r="F4309" s="89"/>
      <c r="G4309" s="89"/>
      <c r="H4309" s="2"/>
      <c r="I4309" s="90"/>
      <c r="J4309" s="90"/>
      <c r="K4309" s="2"/>
      <c r="L4309" s="48"/>
      <c r="M4309" s="48"/>
      <c r="N4309" s="48"/>
      <c r="O4309" s="48" t="str">
        <f t="shared" si="2"/>
        <v/>
      </c>
      <c r="P4309" s="48" t="str">
        <f t="shared" si="3"/>
        <v/>
      </c>
      <c r="Q4309" s="84"/>
      <c r="R4309" s="84"/>
      <c r="S4309" s="84"/>
      <c r="T4309" s="84"/>
      <c r="U4309" s="84"/>
      <c r="V4309" s="84"/>
      <c r="W4309" s="84"/>
      <c r="X4309" s="84"/>
      <c r="Y4309" s="84"/>
      <c r="Z4309" s="84"/>
      <c r="AA4309" s="84"/>
      <c r="AB4309" s="84"/>
    </row>
    <row r="4310">
      <c r="A4310" s="89"/>
      <c r="B4310" s="89"/>
      <c r="C4310" s="89"/>
      <c r="D4310" s="89"/>
      <c r="E4310" s="89"/>
      <c r="F4310" s="89"/>
      <c r="G4310" s="89"/>
      <c r="H4310" s="2"/>
      <c r="I4310" s="90"/>
      <c r="J4310" s="90"/>
      <c r="K4310" s="2"/>
      <c r="L4310" s="49"/>
      <c r="M4310" s="49"/>
      <c r="N4310" s="49"/>
      <c r="O4310" s="49" t="str">
        <f t="shared" si="2"/>
        <v/>
      </c>
      <c r="P4310" s="49" t="str">
        <f t="shared" si="3"/>
        <v/>
      </c>
      <c r="Q4310" s="84"/>
      <c r="R4310" s="84"/>
      <c r="S4310" s="84"/>
      <c r="T4310" s="84"/>
      <c r="U4310" s="84"/>
      <c r="V4310" s="84"/>
      <c r="W4310" s="84"/>
      <c r="X4310" s="84"/>
      <c r="Y4310" s="84"/>
      <c r="Z4310" s="84"/>
      <c r="AA4310" s="84"/>
      <c r="AB4310" s="84"/>
    </row>
    <row r="4311">
      <c r="A4311" s="89"/>
      <c r="B4311" s="89"/>
      <c r="C4311" s="89"/>
      <c r="D4311" s="89"/>
      <c r="E4311" s="89"/>
      <c r="F4311" s="89"/>
      <c r="G4311" s="89"/>
      <c r="H4311" s="2"/>
      <c r="I4311" s="90"/>
      <c r="J4311" s="90"/>
      <c r="K4311" s="2"/>
      <c r="L4311" s="48"/>
      <c r="M4311" s="48"/>
      <c r="N4311" s="48"/>
      <c r="O4311" s="48" t="str">
        <f t="shared" si="2"/>
        <v/>
      </c>
      <c r="P4311" s="48" t="str">
        <f t="shared" si="3"/>
        <v/>
      </c>
      <c r="Q4311" s="84"/>
      <c r="R4311" s="84"/>
      <c r="S4311" s="84"/>
      <c r="T4311" s="84"/>
      <c r="U4311" s="84"/>
      <c r="V4311" s="84"/>
      <c r="W4311" s="84"/>
      <c r="X4311" s="84"/>
      <c r="Y4311" s="84"/>
      <c r="Z4311" s="84"/>
      <c r="AA4311" s="84"/>
      <c r="AB4311" s="84"/>
    </row>
    <row r="4312">
      <c r="A4312" s="89"/>
      <c r="B4312" s="89"/>
      <c r="C4312" s="89"/>
      <c r="D4312" s="89"/>
      <c r="E4312" s="89"/>
      <c r="F4312" s="89"/>
      <c r="G4312" s="89"/>
      <c r="H4312" s="2"/>
      <c r="I4312" s="90"/>
      <c r="J4312" s="90"/>
      <c r="K4312" s="2"/>
      <c r="L4312" s="49"/>
      <c r="M4312" s="49"/>
      <c r="N4312" s="49"/>
      <c r="O4312" s="49" t="str">
        <f t="shared" si="2"/>
        <v/>
      </c>
      <c r="P4312" s="49" t="str">
        <f t="shared" si="3"/>
        <v/>
      </c>
      <c r="Q4312" s="84"/>
      <c r="R4312" s="84"/>
      <c r="S4312" s="84"/>
      <c r="T4312" s="84"/>
      <c r="U4312" s="84"/>
      <c r="V4312" s="84"/>
      <c r="W4312" s="84"/>
      <c r="X4312" s="84"/>
      <c r="Y4312" s="84"/>
      <c r="Z4312" s="84"/>
      <c r="AA4312" s="84"/>
      <c r="AB4312" s="84"/>
    </row>
    <row r="4313">
      <c r="A4313" s="89"/>
      <c r="B4313" s="89"/>
      <c r="C4313" s="89"/>
      <c r="D4313" s="89"/>
      <c r="E4313" s="89"/>
      <c r="F4313" s="89"/>
      <c r="G4313" s="89"/>
      <c r="H4313" s="2"/>
      <c r="I4313" s="90"/>
      <c r="J4313" s="90"/>
      <c r="K4313" s="2"/>
      <c r="L4313" s="48"/>
      <c r="M4313" s="48"/>
      <c r="N4313" s="48"/>
      <c r="O4313" s="48" t="str">
        <f t="shared" si="2"/>
        <v/>
      </c>
      <c r="P4313" s="48" t="str">
        <f t="shared" si="3"/>
        <v/>
      </c>
      <c r="Q4313" s="84"/>
      <c r="R4313" s="84"/>
      <c r="S4313" s="84"/>
      <c r="T4313" s="84"/>
      <c r="U4313" s="84"/>
      <c r="V4313" s="84"/>
      <c r="W4313" s="84"/>
      <c r="X4313" s="84"/>
      <c r="Y4313" s="84"/>
      <c r="Z4313" s="84"/>
      <c r="AA4313" s="84"/>
      <c r="AB4313" s="84"/>
    </row>
    <row r="4314">
      <c r="A4314" s="89"/>
      <c r="B4314" s="89"/>
      <c r="C4314" s="89"/>
      <c r="D4314" s="89"/>
      <c r="E4314" s="89"/>
      <c r="F4314" s="89"/>
      <c r="G4314" s="89"/>
      <c r="H4314" s="2"/>
      <c r="I4314" s="90"/>
      <c r="J4314" s="90"/>
      <c r="K4314" s="2"/>
      <c r="L4314" s="49"/>
      <c r="M4314" s="49"/>
      <c r="N4314" s="49"/>
      <c r="O4314" s="49" t="str">
        <f t="shared" si="2"/>
        <v/>
      </c>
      <c r="P4314" s="49" t="str">
        <f t="shared" si="3"/>
        <v/>
      </c>
      <c r="Q4314" s="84"/>
      <c r="R4314" s="84"/>
      <c r="S4314" s="84"/>
      <c r="T4314" s="84"/>
      <c r="U4314" s="84"/>
      <c r="V4314" s="84"/>
      <c r="W4314" s="84"/>
      <c r="X4314" s="84"/>
      <c r="Y4314" s="84"/>
      <c r="Z4314" s="84"/>
      <c r="AA4314" s="84"/>
      <c r="AB4314" s="84"/>
    </row>
    <row r="4315">
      <c r="A4315" s="89"/>
      <c r="B4315" s="89"/>
      <c r="C4315" s="89"/>
      <c r="D4315" s="89"/>
      <c r="E4315" s="89"/>
      <c r="F4315" s="89"/>
      <c r="G4315" s="89"/>
      <c r="H4315" s="2"/>
      <c r="I4315" s="90"/>
      <c r="J4315" s="90"/>
      <c r="K4315" s="2"/>
      <c r="L4315" s="48"/>
      <c r="M4315" s="48"/>
      <c r="N4315" s="48"/>
      <c r="O4315" s="48" t="str">
        <f t="shared" si="2"/>
        <v/>
      </c>
      <c r="P4315" s="48" t="str">
        <f t="shared" si="3"/>
        <v/>
      </c>
      <c r="Q4315" s="84"/>
      <c r="R4315" s="84"/>
      <c r="S4315" s="84"/>
      <c r="T4315" s="84"/>
      <c r="U4315" s="84"/>
      <c r="V4315" s="84"/>
      <c r="W4315" s="84"/>
      <c r="X4315" s="84"/>
      <c r="Y4315" s="84"/>
      <c r="Z4315" s="84"/>
      <c r="AA4315" s="84"/>
      <c r="AB4315" s="84"/>
    </row>
    <row r="4316">
      <c r="A4316" s="89"/>
      <c r="B4316" s="89"/>
      <c r="C4316" s="89"/>
      <c r="D4316" s="89"/>
      <c r="E4316" s="89"/>
      <c r="F4316" s="89"/>
      <c r="G4316" s="89"/>
      <c r="H4316" s="2"/>
      <c r="I4316" s="90"/>
      <c r="J4316" s="90"/>
      <c r="K4316" s="2"/>
      <c r="L4316" s="49"/>
      <c r="M4316" s="49"/>
      <c r="N4316" s="49"/>
      <c r="O4316" s="49" t="str">
        <f t="shared" si="2"/>
        <v/>
      </c>
      <c r="P4316" s="49" t="str">
        <f t="shared" si="3"/>
        <v/>
      </c>
      <c r="Q4316" s="84"/>
      <c r="R4316" s="84"/>
      <c r="S4316" s="84"/>
      <c r="T4316" s="84"/>
      <c r="U4316" s="84"/>
      <c r="V4316" s="84"/>
      <c r="W4316" s="84"/>
      <c r="X4316" s="84"/>
      <c r="Y4316" s="84"/>
      <c r="Z4316" s="84"/>
      <c r="AA4316" s="84"/>
      <c r="AB4316" s="84"/>
    </row>
    <row r="4317">
      <c r="A4317" s="89"/>
      <c r="B4317" s="89"/>
      <c r="C4317" s="89"/>
      <c r="D4317" s="89"/>
      <c r="E4317" s="89"/>
      <c r="F4317" s="89"/>
      <c r="G4317" s="89"/>
      <c r="H4317" s="2"/>
      <c r="I4317" s="90"/>
      <c r="J4317" s="90"/>
      <c r="K4317" s="2"/>
      <c r="L4317" s="48"/>
      <c r="M4317" s="48"/>
      <c r="N4317" s="48"/>
      <c r="O4317" s="48" t="str">
        <f t="shared" si="2"/>
        <v/>
      </c>
      <c r="P4317" s="48" t="str">
        <f t="shared" si="3"/>
        <v/>
      </c>
      <c r="Q4317" s="84"/>
      <c r="R4317" s="84"/>
      <c r="S4317" s="84"/>
      <c r="T4317" s="84"/>
      <c r="U4317" s="84"/>
      <c r="V4317" s="84"/>
      <c r="W4317" s="84"/>
      <c r="X4317" s="84"/>
      <c r="Y4317" s="84"/>
      <c r="Z4317" s="84"/>
      <c r="AA4317" s="84"/>
      <c r="AB4317" s="84"/>
    </row>
    <row r="4318">
      <c r="A4318" s="89"/>
      <c r="B4318" s="89"/>
      <c r="C4318" s="89"/>
      <c r="D4318" s="89"/>
      <c r="E4318" s="89"/>
      <c r="F4318" s="89"/>
      <c r="G4318" s="89"/>
      <c r="H4318" s="2"/>
      <c r="I4318" s="90"/>
      <c r="J4318" s="90"/>
      <c r="K4318" s="2"/>
      <c r="L4318" s="49"/>
      <c r="M4318" s="49"/>
      <c r="N4318" s="49"/>
      <c r="O4318" s="49" t="str">
        <f t="shared" si="2"/>
        <v/>
      </c>
      <c r="P4318" s="49" t="str">
        <f t="shared" si="3"/>
        <v/>
      </c>
      <c r="Q4318" s="84"/>
      <c r="R4318" s="84"/>
      <c r="S4318" s="84"/>
      <c r="T4318" s="84"/>
      <c r="U4318" s="84"/>
      <c r="V4318" s="84"/>
      <c r="W4318" s="84"/>
      <c r="X4318" s="84"/>
      <c r="Y4318" s="84"/>
      <c r="Z4318" s="84"/>
      <c r="AA4318" s="84"/>
      <c r="AB4318" s="84"/>
    </row>
    <row r="4319">
      <c r="A4319" s="89"/>
      <c r="B4319" s="89"/>
      <c r="C4319" s="89"/>
      <c r="D4319" s="89"/>
      <c r="E4319" s="89"/>
      <c r="F4319" s="89"/>
      <c r="G4319" s="89"/>
      <c r="H4319" s="2"/>
      <c r="I4319" s="90"/>
      <c r="J4319" s="90"/>
      <c r="K4319" s="2"/>
      <c r="L4319" s="48"/>
      <c r="M4319" s="48"/>
      <c r="N4319" s="48"/>
      <c r="O4319" s="48" t="str">
        <f t="shared" si="2"/>
        <v/>
      </c>
      <c r="P4319" s="48" t="str">
        <f t="shared" si="3"/>
        <v/>
      </c>
      <c r="Q4319" s="84"/>
      <c r="R4319" s="84"/>
      <c r="S4319" s="84"/>
      <c r="T4319" s="84"/>
      <c r="U4319" s="84"/>
      <c r="V4319" s="84"/>
      <c r="W4319" s="84"/>
      <c r="X4319" s="84"/>
      <c r="Y4319" s="84"/>
      <c r="Z4319" s="84"/>
      <c r="AA4319" s="84"/>
      <c r="AB4319" s="84"/>
    </row>
    <row r="4320">
      <c r="A4320" s="89"/>
      <c r="B4320" s="89"/>
      <c r="C4320" s="89"/>
      <c r="D4320" s="89"/>
      <c r="E4320" s="89"/>
      <c r="F4320" s="89"/>
      <c r="G4320" s="89"/>
      <c r="H4320" s="2"/>
      <c r="I4320" s="90"/>
      <c r="J4320" s="90"/>
      <c r="K4320" s="2"/>
      <c r="L4320" s="49"/>
      <c r="M4320" s="49"/>
      <c r="N4320" s="49"/>
      <c r="O4320" s="49" t="str">
        <f t="shared" si="2"/>
        <v/>
      </c>
      <c r="P4320" s="49" t="str">
        <f t="shared" si="3"/>
        <v/>
      </c>
      <c r="Q4320" s="84"/>
      <c r="R4320" s="84"/>
      <c r="S4320" s="84"/>
      <c r="T4320" s="84"/>
      <c r="U4320" s="84"/>
      <c r="V4320" s="84"/>
      <c r="W4320" s="84"/>
      <c r="X4320" s="84"/>
      <c r="Y4320" s="84"/>
      <c r="Z4320" s="84"/>
      <c r="AA4320" s="84"/>
      <c r="AB4320" s="84"/>
    </row>
    <row r="4321">
      <c r="A4321" s="89"/>
      <c r="B4321" s="89"/>
      <c r="C4321" s="89"/>
      <c r="D4321" s="89"/>
      <c r="E4321" s="89"/>
      <c r="F4321" s="89"/>
      <c r="G4321" s="89"/>
      <c r="H4321" s="2"/>
      <c r="I4321" s="90"/>
      <c r="J4321" s="90"/>
      <c r="K4321" s="2"/>
      <c r="L4321" s="48"/>
      <c r="M4321" s="48"/>
      <c r="N4321" s="48"/>
      <c r="O4321" s="48" t="str">
        <f t="shared" si="2"/>
        <v/>
      </c>
      <c r="P4321" s="48" t="str">
        <f t="shared" si="3"/>
        <v/>
      </c>
      <c r="Q4321" s="84"/>
      <c r="R4321" s="84"/>
      <c r="S4321" s="84"/>
      <c r="T4321" s="84"/>
      <c r="U4321" s="84"/>
      <c r="V4321" s="84"/>
      <c r="W4321" s="84"/>
      <c r="X4321" s="84"/>
      <c r="Y4321" s="84"/>
      <c r="Z4321" s="84"/>
      <c r="AA4321" s="84"/>
      <c r="AB4321" s="84"/>
    </row>
    <row r="4322">
      <c r="A4322" s="89"/>
      <c r="B4322" s="89"/>
      <c r="C4322" s="89"/>
      <c r="D4322" s="89"/>
      <c r="E4322" s="89"/>
      <c r="F4322" s="89"/>
      <c r="G4322" s="89"/>
      <c r="H4322" s="2"/>
      <c r="I4322" s="90"/>
      <c r="J4322" s="90"/>
      <c r="K4322" s="2"/>
      <c r="L4322" s="49"/>
      <c r="M4322" s="49"/>
      <c r="N4322" s="49"/>
      <c r="O4322" s="49" t="str">
        <f t="shared" si="2"/>
        <v/>
      </c>
      <c r="P4322" s="49" t="str">
        <f t="shared" si="3"/>
        <v/>
      </c>
      <c r="Q4322" s="84"/>
      <c r="R4322" s="84"/>
      <c r="S4322" s="84"/>
      <c r="T4322" s="84"/>
      <c r="U4322" s="84"/>
      <c r="V4322" s="84"/>
      <c r="W4322" s="84"/>
      <c r="X4322" s="84"/>
      <c r="Y4322" s="84"/>
      <c r="Z4322" s="84"/>
      <c r="AA4322" s="84"/>
      <c r="AB4322" s="84"/>
    </row>
    <row r="4323">
      <c r="A4323" s="89"/>
      <c r="B4323" s="89"/>
      <c r="C4323" s="89"/>
      <c r="D4323" s="89"/>
      <c r="E4323" s="89"/>
      <c r="F4323" s="89"/>
      <c r="G4323" s="89"/>
      <c r="H4323" s="2"/>
      <c r="I4323" s="90"/>
      <c r="J4323" s="90"/>
      <c r="K4323" s="2"/>
      <c r="L4323" s="48"/>
      <c r="M4323" s="48"/>
      <c r="N4323" s="48"/>
      <c r="O4323" s="48" t="str">
        <f t="shared" si="2"/>
        <v/>
      </c>
      <c r="P4323" s="48" t="str">
        <f t="shared" si="3"/>
        <v/>
      </c>
      <c r="Q4323" s="84"/>
      <c r="R4323" s="84"/>
      <c r="S4323" s="84"/>
      <c r="T4323" s="84"/>
      <c r="U4323" s="84"/>
      <c r="V4323" s="84"/>
      <c r="W4323" s="84"/>
      <c r="X4323" s="84"/>
      <c r="Y4323" s="84"/>
      <c r="Z4323" s="84"/>
      <c r="AA4323" s="84"/>
      <c r="AB4323" s="84"/>
    </row>
    <row r="4324">
      <c r="A4324" s="89"/>
      <c r="B4324" s="89"/>
      <c r="C4324" s="89"/>
      <c r="D4324" s="89"/>
      <c r="E4324" s="89"/>
      <c r="F4324" s="89"/>
      <c r="G4324" s="89"/>
      <c r="H4324" s="2"/>
      <c r="I4324" s="90"/>
      <c r="J4324" s="90"/>
      <c r="K4324" s="2"/>
      <c r="L4324" s="49"/>
      <c r="M4324" s="49"/>
      <c r="N4324" s="49"/>
      <c r="O4324" s="49" t="str">
        <f t="shared" si="2"/>
        <v/>
      </c>
      <c r="P4324" s="49" t="str">
        <f t="shared" si="3"/>
        <v/>
      </c>
      <c r="Q4324" s="84"/>
      <c r="R4324" s="84"/>
      <c r="S4324" s="84"/>
      <c r="T4324" s="84"/>
      <c r="U4324" s="84"/>
      <c r="V4324" s="84"/>
      <c r="W4324" s="84"/>
      <c r="X4324" s="84"/>
      <c r="Y4324" s="84"/>
      <c r="Z4324" s="84"/>
      <c r="AA4324" s="84"/>
      <c r="AB4324" s="84"/>
    </row>
    <row r="4325">
      <c r="A4325" s="89"/>
      <c r="B4325" s="89"/>
      <c r="C4325" s="89"/>
      <c r="D4325" s="89"/>
      <c r="E4325" s="89"/>
      <c r="F4325" s="89"/>
      <c r="G4325" s="89"/>
      <c r="H4325" s="2"/>
      <c r="I4325" s="90"/>
      <c r="J4325" s="90"/>
      <c r="K4325" s="2"/>
      <c r="L4325" s="48"/>
      <c r="M4325" s="48"/>
      <c r="N4325" s="48"/>
      <c r="O4325" s="48" t="str">
        <f t="shared" si="2"/>
        <v/>
      </c>
      <c r="P4325" s="48" t="str">
        <f t="shared" si="3"/>
        <v/>
      </c>
      <c r="Q4325" s="84"/>
      <c r="R4325" s="84"/>
      <c r="S4325" s="84"/>
      <c r="T4325" s="84"/>
      <c r="U4325" s="84"/>
      <c r="V4325" s="84"/>
      <c r="W4325" s="84"/>
      <c r="X4325" s="84"/>
      <c r="Y4325" s="84"/>
      <c r="Z4325" s="84"/>
      <c r="AA4325" s="84"/>
      <c r="AB4325" s="84"/>
    </row>
    <row r="4326">
      <c r="A4326" s="89"/>
      <c r="B4326" s="89"/>
      <c r="C4326" s="89"/>
      <c r="D4326" s="89"/>
      <c r="E4326" s="89"/>
      <c r="F4326" s="89"/>
      <c r="G4326" s="89"/>
      <c r="H4326" s="2"/>
      <c r="I4326" s="90"/>
      <c r="J4326" s="90"/>
      <c r="K4326" s="2"/>
      <c r="L4326" s="49"/>
      <c r="M4326" s="49"/>
      <c r="N4326" s="49"/>
      <c r="O4326" s="49" t="str">
        <f t="shared" si="2"/>
        <v/>
      </c>
      <c r="P4326" s="49" t="str">
        <f t="shared" si="3"/>
        <v/>
      </c>
      <c r="Q4326" s="84"/>
      <c r="R4326" s="84"/>
      <c r="S4326" s="84"/>
      <c r="T4326" s="84"/>
      <c r="U4326" s="84"/>
      <c r="V4326" s="84"/>
      <c r="W4326" s="84"/>
      <c r="X4326" s="84"/>
      <c r="Y4326" s="84"/>
      <c r="Z4326" s="84"/>
      <c r="AA4326" s="84"/>
      <c r="AB4326" s="84"/>
    </row>
    <row r="4327">
      <c r="A4327" s="89"/>
      <c r="B4327" s="89"/>
      <c r="C4327" s="89"/>
      <c r="D4327" s="89"/>
      <c r="E4327" s="89"/>
      <c r="F4327" s="89"/>
      <c r="G4327" s="89"/>
      <c r="H4327" s="2"/>
      <c r="I4327" s="90"/>
      <c r="J4327" s="90"/>
      <c r="K4327" s="2"/>
      <c r="L4327" s="48"/>
      <c r="M4327" s="48"/>
      <c r="N4327" s="48"/>
      <c r="O4327" s="48" t="str">
        <f t="shared" si="2"/>
        <v/>
      </c>
      <c r="P4327" s="48" t="str">
        <f t="shared" si="3"/>
        <v/>
      </c>
      <c r="Q4327" s="84"/>
      <c r="R4327" s="84"/>
      <c r="S4327" s="84"/>
      <c r="T4327" s="84"/>
      <c r="U4327" s="84"/>
      <c r="V4327" s="84"/>
      <c r="W4327" s="84"/>
      <c r="X4327" s="84"/>
      <c r="Y4327" s="84"/>
      <c r="Z4327" s="84"/>
      <c r="AA4327" s="84"/>
      <c r="AB4327" s="84"/>
    </row>
    <row r="4328">
      <c r="A4328" s="89"/>
      <c r="B4328" s="89"/>
      <c r="C4328" s="89"/>
      <c r="D4328" s="89"/>
      <c r="E4328" s="89"/>
      <c r="F4328" s="89"/>
      <c r="G4328" s="89"/>
      <c r="H4328" s="2"/>
      <c r="I4328" s="90"/>
      <c r="J4328" s="90"/>
      <c r="K4328" s="2"/>
      <c r="L4328" s="49"/>
      <c r="M4328" s="49"/>
      <c r="N4328" s="49"/>
      <c r="O4328" s="49" t="str">
        <f t="shared" si="2"/>
        <v/>
      </c>
      <c r="P4328" s="49" t="str">
        <f t="shared" si="3"/>
        <v/>
      </c>
      <c r="Q4328" s="84"/>
      <c r="R4328" s="84"/>
      <c r="S4328" s="84"/>
      <c r="T4328" s="84"/>
      <c r="U4328" s="84"/>
      <c r="V4328" s="84"/>
      <c r="W4328" s="84"/>
      <c r="X4328" s="84"/>
      <c r="Y4328" s="84"/>
      <c r="Z4328" s="84"/>
      <c r="AA4328" s="84"/>
      <c r="AB4328" s="84"/>
    </row>
    <row r="4329">
      <c r="A4329" s="89"/>
      <c r="B4329" s="89"/>
      <c r="C4329" s="89"/>
      <c r="D4329" s="89"/>
      <c r="E4329" s="89"/>
      <c r="F4329" s="89"/>
      <c r="G4329" s="89"/>
      <c r="H4329" s="2"/>
      <c r="I4329" s="90"/>
      <c r="J4329" s="90"/>
      <c r="K4329" s="2"/>
      <c r="L4329" s="48"/>
      <c r="M4329" s="48"/>
      <c r="N4329" s="48"/>
      <c r="O4329" s="48" t="str">
        <f t="shared" si="2"/>
        <v/>
      </c>
      <c r="P4329" s="48" t="str">
        <f t="shared" si="3"/>
        <v/>
      </c>
      <c r="Q4329" s="84"/>
      <c r="R4329" s="84"/>
      <c r="S4329" s="84"/>
      <c r="T4329" s="84"/>
      <c r="U4329" s="84"/>
      <c r="V4329" s="84"/>
      <c r="W4329" s="84"/>
      <c r="X4329" s="84"/>
      <c r="Y4329" s="84"/>
      <c r="Z4329" s="84"/>
      <c r="AA4329" s="84"/>
      <c r="AB4329" s="84"/>
    </row>
    <row r="4330">
      <c r="A4330" s="89"/>
      <c r="B4330" s="89"/>
      <c r="C4330" s="89"/>
      <c r="D4330" s="89"/>
      <c r="E4330" s="89"/>
      <c r="F4330" s="89"/>
      <c r="G4330" s="89"/>
      <c r="H4330" s="2"/>
      <c r="I4330" s="90"/>
      <c r="J4330" s="90"/>
      <c r="K4330" s="2"/>
      <c r="L4330" s="49"/>
      <c r="M4330" s="49"/>
      <c r="N4330" s="49"/>
      <c r="O4330" s="49" t="str">
        <f t="shared" si="2"/>
        <v/>
      </c>
      <c r="P4330" s="49" t="str">
        <f t="shared" si="3"/>
        <v/>
      </c>
      <c r="Q4330" s="84"/>
      <c r="R4330" s="84"/>
      <c r="S4330" s="84"/>
      <c r="T4330" s="84"/>
      <c r="U4330" s="84"/>
      <c r="V4330" s="84"/>
      <c r="W4330" s="84"/>
      <c r="X4330" s="84"/>
      <c r="Y4330" s="84"/>
      <c r="Z4330" s="84"/>
      <c r="AA4330" s="84"/>
      <c r="AB4330" s="84"/>
    </row>
    <row r="4331">
      <c r="A4331" s="89"/>
      <c r="B4331" s="89"/>
      <c r="C4331" s="89"/>
      <c r="D4331" s="89"/>
      <c r="E4331" s="89"/>
      <c r="F4331" s="89"/>
      <c r="G4331" s="89"/>
      <c r="H4331" s="2"/>
      <c r="I4331" s="90"/>
      <c r="J4331" s="90"/>
      <c r="K4331" s="2"/>
      <c r="L4331" s="48"/>
      <c r="M4331" s="48"/>
      <c r="N4331" s="48"/>
      <c r="O4331" s="48" t="str">
        <f t="shared" si="2"/>
        <v/>
      </c>
      <c r="P4331" s="48" t="str">
        <f t="shared" si="3"/>
        <v/>
      </c>
      <c r="Q4331" s="84"/>
      <c r="R4331" s="84"/>
      <c r="S4331" s="84"/>
      <c r="T4331" s="84"/>
      <c r="U4331" s="84"/>
      <c r="V4331" s="84"/>
      <c r="W4331" s="84"/>
      <c r="X4331" s="84"/>
      <c r="Y4331" s="84"/>
      <c r="Z4331" s="84"/>
      <c r="AA4331" s="84"/>
      <c r="AB4331" s="84"/>
    </row>
    <row r="4332">
      <c r="A4332" s="89"/>
      <c r="B4332" s="89"/>
      <c r="C4332" s="89"/>
      <c r="D4332" s="89"/>
      <c r="E4332" s="89"/>
      <c r="F4332" s="89"/>
      <c r="G4332" s="89"/>
      <c r="H4332" s="2"/>
      <c r="I4332" s="90"/>
      <c r="J4332" s="90"/>
      <c r="K4332" s="2"/>
      <c r="L4332" s="49"/>
      <c r="M4332" s="49"/>
      <c r="N4332" s="49"/>
      <c r="O4332" s="49" t="str">
        <f t="shared" si="2"/>
        <v/>
      </c>
      <c r="P4332" s="49" t="str">
        <f t="shared" si="3"/>
        <v/>
      </c>
      <c r="Q4332" s="84"/>
      <c r="R4332" s="84"/>
      <c r="S4332" s="84"/>
      <c r="T4332" s="84"/>
      <c r="U4332" s="84"/>
      <c r="V4332" s="84"/>
      <c r="W4332" s="84"/>
      <c r="X4332" s="84"/>
      <c r="Y4332" s="84"/>
      <c r="Z4332" s="84"/>
      <c r="AA4332" s="84"/>
      <c r="AB4332" s="84"/>
    </row>
    <row r="4333">
      <c r="A4333" s="89"/>
      <c r="B4333" s="89"/>
      <c r="C4333" s="89"/>
      <c r="D4333" s="89"/>
      <c r="E4333" s="89"/>
      <c r="F4333" s="89"/>
      <c r="G4333" s="89"/>
      <c r="H4333" s="2"/>
      <c r="I4333" s="90"/>
      <c r="J4333" s="90"/>
      <c r="K4333" s="2"/>
      <c r="L4333" s="48"/>
      <c r="M4333" s="48"/>
      <c r="N4333" s="48"/>
      <c r="O4333" s="48" t="str">
        <f t="shared" si="2"/>
        <v/>
      </c>
      <c r="P4333" s="48" t="str">
        <f t="shared" si="3"/>
        <v/>
      </c>
      <c r="Q4333" s="84"/>
      <c r="R4333" s="84"/>
      <c r="S4333" s="84"/>
      <c r="T4333" s="84"/>
      <c r="U4333" s="84"/>
      <c r="V4333" s="84"/>
      <c r="W4333" s="84"/>
      <c r="X4333" s="84"/>
      <c r="Y4333" s="84"/>
      <c r="Z4333" s="84"/>
      <c r="AA4333" s="84"/>
      <c r="AB4333" s="84"/>
    </row>
    <row r="4334">
      <c r="A4334" s="89"/>
      <c r="B4334" s="89"/>
      <c r="C4334" s="89"/>
      <c r="D4334" s="89"/>
      <c r="E4334" s="89"/>
      <c r="F4334" s="89"/>
      <c r="G4334" s="89"/>
      <c r="H4334" s="2"/>
      <c r="I4334" s="90"/>
      <c r="J4334" s="90"/>
      <c r="K4334" s="2"/>
      <c r="L4334" s="49"/>
      <c r="M4334" s="49"/>
      <c r="N4334" s="49"/>
      <c r="O4334" s="49" t="str">
        <f t="shared" si="2"/>
        <v/>
      </c>
      <c r="P4334" s="49" t="str">
        <f t="shared" si="3"/>
        <v/>
      </c>
      <c r="Q4334" s="84"/>
      <c r="R4334" s="84"/>
      <c r="S4334" s="84"/>
      <c r="T4334" s="84"/>
      <c r="U4334" s="84"/>
      <c r="V4334" s="84"/>
      <c r="W4334" s="84"/>
      <c r="X4334" s="84"/>
      <c r="Y4334" s="84"/>
      <c r="Z4334" s="84"/>
      <c r="AA4334" s="84"/>
      <c r="AB4334" s="84"/>
    </row>
    <row r="4335">
      <c r="A4335" s="89"/>
      <c r="B4335" s="89"/>
      <c r="C4335" s="89"/>
      <c r="D4335" s="89"/>
      <c r="E4335" s="89"/>
      <c r="F4335" s="89"/>
      <c r="G4335" s="89"/>
      <c r="H4335" s="2"/>
      <c r="I4335" s="90"/>
      <c r="J4335" s="90"/>
      <c r="K4335" s="2"/>
      <c r="L4335" s="48"/>
      <c r="M4335" s="48"/>
      <c r="N4335" s="48"/>
      <c r="O4335" s="48" t="str">
        <f t="shared" si="2"/>
        <v/>
      </c>
      <c r="P4335" s="48" t="str">
        <f t="shared" si="3"/>
        <v/>
      </c>
      <c r="Q4335" s="84"/>
      <c r="R4335" s="84"/>
      <c r="S4335" s="84"/>
      <c r="T4335" s="84"/>
      <c r="U4335" s="84"/>
      <c r="V4335" s="84"/>
      <c r="W4335" s="84"/>
      <c r="X4335" s="84"/>
      <c r="Y4335" s="84"/>
      <c r="Z4335" s="84"/>
      <c r="AA4335" s="84"/>
      <c r="AB4335" s="84"/>
    </row>
    <row r="4336">
      <c r="A4336" s="89"/>
      <c r="B4336" s="89"/>
      <c r="C4336" s="89"/>
      <c r="D4336" s="89"/>
      <c r="E4336" s="89"/>
      <c r="F4336" s="89"/>
      <c r="G4336" s="89"/>
      <c r="H4336" s="2"/>
      <c r="I4336" s="90"/>
      <c r="J4336" s="90"/>
      <c r="K4336" s="2"/>
      <c r="L4336" s="49"/>
      <c r="M4336" s="49"/>
      <c r="N4336" s="49"/>
      <c r="O4336" s="49" t="str">
        <f t="shared" si="2"/>
        <v/>
      </c>
      <c r="P4336" s="49" t="str">
        <f t="shared" si="3"/>
        <v/>
      </c>
      <c r="Q4336" s="84"/>
      <c r="R4336" s="84"/>
      <c r="S4336" s="84"/>
      <c r="T4336" s="84"/>
      <c r="U4336" s="84"/>
      <c r="V4336" s="84"/>
      <c r="W4336" s="84"/>
      <c r="X4336" s="84"/>
      <c r="Y4336" s="84"/>
      <c r="Z4336" s="84"/>
      <c r="AA4336" s="84"/>
      <c r="AB4336" s="84"/>
    </row>
    <row r="4337">
      <c r="A4337" s="89"/>
      <c r="B4337" s="89"/>
      <c r="C4337" s="89"/>
      <c r="D4337" s="89"/>
      <c r="E4337" s="89"/>
      <c r="F4337" s="89"/>
      <c r="G4337" s="89"/>
      <c r="H4337" s="2"/>
      <c r="I4337" s="90"/>
      <c r="J4337" s="90"/>
      <c r="K4337" s="2"/>
      <c r="L4337" s="48"/>
      <c r="M4337" s="48"/>
      <c r="N4337" s="48"/>
      <c r="O4337" s="48" t="str">
        <f t="shared" si="2"/>
        <v/>
      </c>
      <c r="P4337" s="48" t="str">
        <f t="shared" si="3"/>
        <v/>
      </c>
      <c r="Q4337" s="84"/>
      <c r="R4337" s="84"/>
      <c r="S4337" s="84"/>
      <c r="T4337" s="84"/>
      <c r="U4337" s="84"/>
      <c r="V4337" s="84"/>
      <c r="W4337" s="84"/>
      <c r="X4337" s="84"/>
      <c r="Y4337" s="84"/>
      <c r="Z4337" s="84"/>
      <c r="AA4337" s="84"/>
      <c r="AB4337" s="84"/>
    </row>
    <row r="4338">
      <c r="A4338" s="89"/>
      <c r="B4338" s="89"/>
      <c r="C4338" s="89"/>
      <c r="D4338" s="89"/>
      <c r="E4338" s="89"/>
      <c r="F4338" s="89"/>
      <c r="G4338" s="89"/>
      <c r="H4338" s="2"/>
      <c r="I4338" s="90"/>
      <c r="J4338" s="90"/>
      <c r="K4338" s="2"/>
      <c r="L4338" s="49"/>
      <c r="M4338" s="49"/>
      <c r="N4338" s="49"/>
      <c r="O4338" s="49" t="str">
        <f t="shared" si="2"/>
        <v/>
      </c>
      <c r="P4338" s="49" t="str">
        <f t="shared" si="3"/>
        <v/>
      </c>
      <c r="Q4338" s="84"/>
      <c r="R4338" s="84"/>
      <c r="S4338" s="84"/>
      <c r="T4338" s="84"/>
      <c r="U4338" s="84"/>
      <c r="V4338" s="84"/>
      <c r="W4338" s="84"/>
      <c r="X4338" s="84"/>
      <c r="Y4338" s="84"/>
      <c r="Z4338" s="84"/>
      <c r="AA4338" s="84"/>
      <c r="AB4338" s="84"/>
    </row>
    <row r="4339">
      <c r="A4339" s="89"/>
      <c r="B4339" s="89"/>
      <c r="C4339" s="89"/>
      <c r="D4339" s="89"/>
      <c r="E4339" s="89"/>
      <c r="F4339" s="89"/>
      <c r="G4339" s="89"/>
      <c r="H4339" s="2"/>
      <c r="I4339" s="90"/>
      <c r="J4339" s="90"/>
      <c r="K4339" s="2"/>
      <c r="L4339" s="48"/>
      <c r="M4339" s="48"/>
      <c r="N4339" s="48"/>
      <c r="O4339" s="48" t="str">
        <f t="shared" si="2"/>
        <v/>
      </c>
      <c r="P4339" s="48" t="str">
        <f t="shared" si="3"/>
        <v/>
      </c>
      <c r="Q4339" s="84"/>
      <c r="R4339" s="84"/>
      <c r="S4339" s="84"/>
      <c r="T4339" s="84"/>
      <c r="U4339" s="84"/>
      <c r="V4339" s="84"/>
      <c r="W4339" s="84"/>
      <c r="X4339" s="84"/>
      <c r="Y4339" s="84"/>
      <c r="Z4339" s="84"/>
      <c r="AA4339" s="84"/>
      <c r="AB4339" s="84"/>
    </row>
    <row r="4340">
      <c r="A4340" s="89"/>
      <c r="B4340" s="89"/>
      <c r="C4340" s="89"/>
      <c r="D4340" s="89"/>
      <c r="E4340" s="89"/>
      <c r="F4340" s="89"/>
      <c r="G4340" s="89"/>
      <c r="H4340" s="2"/>
      <c r="I4340" s="90"/>
      <c r="J4340" s="90"/>
      <c r="K4340" s="2"/>
      <c r="L4340" s="49"/>
      <c r="M4340" s="49"/>
      <c r="N4340" s="49"/>
      <c r="O4340" s="49" t="str">
        <f t="shared" si="2"/>
        <v/>
      </c>
      <c r="P4340" s="49" t="str">
        <f t="shared" si="3"/>
        <v/>
      </c>
      <c r="Q4340" s="84"/>
      <c r="R4340" s="84"/>
      <c r="S4340" s="84"/>
      <c r="T4340" s="84"/>
      <c r="U4340" s="84"/>
      <c r="V4340" s="84"/>
      <c r="W4340" s="84"/>
      <c r="X4340" s="84"/>
      <c r="Y4340" s="84"/>
      <c r="Z4340" s="84"/>
      <c r="AA4340" s="84"/>
      <c r="AB4340" s="84"/>
    </row>
    <row r="4341">
      <c r="A4341" s="89"/>
      <c r="B4341" s="89"/>
      <c r="C4341" s="89"/>
      <c r="D4341" s="89"/>
      <c r="E4341" s="89"/>
      <c r="F4341" s="89"/>
      <c r="G4341" s="89"/>
      <c r="H4341" s="2"/>
      <c r="I4341" s="90"/>
      <c r="J4341" s="90"/>
      <c r="K4341" s="2"/>
      <c r="L4341" s="48"/>
      <c r="M4341" s="48"/>
      <c r="N4341" s="48"/>
      <c r="O4341" s="48" t="str">
        <f t="shared" si="2"/>
        <v/>
      </c>
      <c r="P4341" s="48" t="str">
        <f t="shared" si="3"/>
        <v/>
      </c>
      <c r="Q4341" s="84"/>
      <c r="R4341" s="84"/>
      <c r="S4341" s="84"/>
      <c r="T4341" s="84"/>
      <c r="U4341" s="84"/>
      <c r="V4341" s="84"/>
      <c r="W4341" s="84"/>
      <c r="X4341" s="84"/>
      <c r="Y4341" s="84"/>
      <c r="Z4341" s="84"/>
      <c r="AA4341" s="84"/>
      <c r="AB4341" s="84"/>
    </row>
    <row r="4342">
      <c r="A4342" s="89"/>
      <c r="B4342" s="89"/>
      <c r="C4342" s="89"/>
      <c r="D4342" s="89"/>
      <c r="E4342" s="89"/>
      <c r="F4342" s="89"/>
      <c r="G4342" s="89"/>
      <c r="H4342" s="2"/>
      <c r="I4342" s="90"/>
      <c r="J4342" s="90"/>
      <c r="K4342" s="2"/>
      <c r="L4342" s="49"/>
      <c r="M4342" s="49"/>
      <c r="N4342" s="49"/>
      <c r="O4342" s="49" t="str">
        <f t="shared" si="2"/>
        <v/>
      </c>
      <c r="P4342" s="49" t="str">
        <f t="shared" si="3"/>
        <v/>
      </c>
      <c r="Q4342" s="84"/>
      <c r="R4342" s="84"/>
      <c r="S4342" s="84"/>
      <c r="T4342" s="84"/>
      <c r="U4342" s="84"/>
      <c r="V4342" s="84"/>
      <c r="W4342" s="84"/>
      <c r="X4342" s="84"/>
      <c r="Y4342" s="84"/>
      <c r="Z4342" s="84"/>
      <c r="AA4342" s="84"/>
      <c r="AB4342" s="84"/>
    </row>
    <row r="4343">
      <c r="A4343" s="89"/>
      <c r="B4343" s="89"/>
      <c r="C4343" s="89"/>
      <c r="D4343" s="89"/>
      <c r="E4343" s="89"/>
      <c r="F4343" s="89"/>
      <c r="G4343" s="89"/>
      <c r="H4343" s="2"/>
      <c r="I4343" s="90"/>
      <c r="J4343" s="90"/>
      <c r="K4343" s="2"/>
      <c r="L4343" s="48"/>
      <c r="M4343" s="48"/>
      <c r="N4343" s="48"/>
      <c r="O4343" s="48" t="str">
        <f t="shared" si="2"/>
        <v/>
      </c>
      <c r="P4343" s="48" t="str">
        <f t="shared" si="3"/>
        <v/>
      </c>
      <c r="Q4343" s="84"/>
      <c r="R4343" s="84"/>
      <c r="S4343" s="84"/>
      <c r="T4343" s="84"/>
      <c r="U4343" s="84"/>
      <c r="V4343" s="84"/>
      <c r="W4343" s="84"/>
      <c r="X4343" s="84"/>
      <c r="Y4343" s="84"/>
      <c r="Z4343" s="84"/>
      <c r="AA4343" s="84"/>
      <c r="AB4343" s="84"/>
    </row>
    <row r="4344">
      <c r="A4344" s="89"/>
      <c r="B4344" s="89"/>
      <c r="C4344" s="89"/>
      <c r="D4344" s="89"/>
      <c r="E4344" s="89"/>
      <c r="F4344" s="89"/>
      <c r="G4344" s="89"/>
      <c r="H4344" s="2"/>
      <c r="I4344" s="90"/>
      <c r="J4344" s="90"/>
      <c r="K4344" s="2"/>
      <c r="L4344" s="49"/>
      <c r="M4344" s="49"/>
      <c r="N4344" s="49"/>
      <c r="O4344" s="49" t="str">
        <f t="shared" si="2"/>
        <v/>
      </c>
      <c r="P4344" s="49" t="str">
        <f t="shared" si="3"/>
        <v/>
      </c>
      <c r="Q4344" s="84"/>
      <c r="R4344" s="84"/>
      <c r="S4344" s="84"/>
      <c r="T4344" s="84"/>
      <c r="U4344" s="84"/>
      <c r="V4344" s="84"/>
      <c r="W4344" s="84"/>
      <c r="X4344" s="84"/>
      <c r="Y4344" s="84"/>
      <c r="Z4344" s="84"/>
      <c r="AA4344" s="84"/>
      <c r="AB4344" s="84"/>
    </row>
    <row r="4345">
      <c r="A4345" s="89"/>
      <c r="B4345" s="89"/>
      <c r="C4345" s="89"/>
      <c r="D4345" s="89"/>
      <c r="E4345" s="89"/>
      <c r="F4345" s="89"/>
      <c r="G4345" s="89"/>
      <c r="H4345" s="2"/>
      <c r="I4345" s="90"/>
      <c r="J4345" s="90"/>
      <c r="K4345" s="2"/>
      <c r="L4345" s="48"/>
      <c r="M4345" s="48"/>
      <c r="N4345" s="48"/>
      <c r="O4345" s="48" t="str">
        <f t="shared" si="2"/>
        <v/>
      </c>
      <c r="P4345" s="48" t="str">
        <f t="shared" si="3"/>
        <v/>
      </c>
      <c r="Q4345" s="84"/>
      <c r="R4345" s="84"/>
      <c r="S4345" s="84"/>
      <c r="T4345" s="84"/>
      <c r="U4345" s="84"/>
      <c r="V4345" s="84"/>
      <c r="W4345" s="84"/>
      <c r="X4345" s="84"/>
      <c r="Y4345" s="84"/>
      <c r="Z4345" s="84"/>
      <c r="AA4345" s="84"/>
      <c r="AB4345" s="84"/>
    </row>
    <row r="4346">
      <c r="A4346" s="89"/>
      <c r="B4346" s="89"/>
      <c r="C4346" s="89"/>
      <c r="D4346" s="89"/>
      <c r="E4346" s="89"/>
      <c r="F4346" s="89"/>
      <c r="G4346" s="89"/>
      <c r="H4346" s="2"/>
      <c r="I4346" s="90"/>
      <c r="J4346" s="90"/>
      <c r="K4346" s="2"/>
      <c r="L4346" s="49"/>
      <c r="M4346" s="49"/>
      <c r="N4346" s="49"/>
      <c r="O4346" s="49" t="str">
        <f t="shared" si="2"/>
        <v/>
      </c>
      <c r="P4346" s="49" t="str">
        <f t="shared" si="3"/>
        <v/>
      </c>
      <c r="Q4346" s="84"/>
      <c r="R4346" s="84"/>
      <c r="S4346" s="84"/>
      <c r="T4346" s="84"/>
      <c r="U4346" s="84"/>
      <c r="V4346" s="84"/>
      <c r="W4346" s="84"/>
      <c r="X4346" s="84"/>
      <c r="Y4346" s="84"/>
      <c r="Z4346" s="84"/>
      <c r="AA4346" s="84"/>
      <c r="AB4346" s="84"/>
    </row>
    <row r="4347">
      <c r="A4347" s="89"/>
      <c r="B4347" s="89"/>
      <c r="C4347" s="89"/>
      <c r="D4347" s="89"/>
      <c r="E4347" s="89"/>
      <c r="F4347" s="89"/>
      <c r="G4347" s="89"/>
      <c r="H4347" s="2"/>
      <c r="I4347" s="90"/>
      <c r="J4347" s="90"/>
      <c r="K4347" s="2"/>
      <c r="L4347" s="48"/>
      <c r="M4347" s="48"/>
      <c r="N4347" s="48"/>
      <c r="O4347" s="48" t="str">
        <f t="shared" si="2"/>
        <v/>
      </c>
      <c r="P4347" s="48" t="str">
        <f t="shared" si="3"/>
        <v/>
      </c>
      <c r="Q4347" s="84"/>
      <c r="R4347" s="84"/>
      <c r="S4347" s="84"/>
      <c r="T4347" s="84"/>
      <c r="U4347" s="84"/>
      <c r="V4347" s="84"/>
      <c r="W4347" s="84"/>
      <c r="X4347" s="84"/>
      <c r="Y4347" s="84"/>
      <c r="Z4347" s="84"/>
      <c r="AA4347" s="84"/>
      <c r="AB4347" s="84"/>
    </row>
    <row r="4348">
      <c r="A4348" s="89"/>
      <c r="B4348" s="89"/>
      <c r="C4348" s="89"/>
      <c r="D4348" s="89"/>
      <c r="E4348" s="89"/>
      <c r="F4348" s="89"/>
      <c r="G4348" s="89"/>
      <c r="H4348" s="2"/>
      <c r="I4348" s="90"/>
      <c r="J4348" s="90"/>
      <c r="K4348" s="2"/>
      <c r="L4348" s="49"/>
      <c r="M4348" s="49"/>
      <c r="N4348" s="49"/>
      <c r="O4348" s="49" t="str">
        <f t="shared" si="2"/>
        <v/>
      </c>
      <c r="P4348" s="49" t="str">
        <f t="shared" si="3"/>
        <v/>
      </c>
      <c r="Q4348" s="84"/>
      <c r="R4348" s="84"/>
      <c r="S4348" s="84"/>
      <c r="T4348" s="84"/>
      <c r="U4348" s="84"/>
      <c r="V4348" s="84"/>
      <c r="W4348" s="84"/>
      <c r="X4348" s="84"/>
      <c r="Y4348" s="84"/>
      <c r="Z4348" s="84"/>
      <c r="AA4348" s="84"/>
      <c r="AB4348" s="84"/>
    </row>
    <row r="4349">
      <c r="A4349" s="89"/>
      <c r="B4349" s="89"/>
      <c r="C4349" s="89"/>
      <c r="D4349" s="89"/>
      <c r="E4349" s="89"/>
      <c r="F4349" s="89"/>
      <c r="G4349" s="89"/>
      <c r="H4349" s="2"/>
      <c r="I4349" s="90"/>
      <c r="J4349" s="90"/>
      <c r="K4349" s="2"/>
      <c r="L4349" s="48"/>
      <c r="M4349" s="48"/>
      <c r="N4349" s="48"/>
      <c r="O4349" s="48" t="str">
        <f t="shared" si="2"/>
        <v/>
      </c>
      <c r="P4349" s="48" t="str">
        <f t="shared" si="3"/>
        <v/>
      </c>
      <c r="Q4349" s="84"/>
      <c r="R4349" s="84"/>
      <c r="S4349" s="84"/>
      <c r="T4349" s="84"/>
      <c r="U4349" s="84"/>
      <c r="V4349" s="84"/>
      <c r="W4349" s="84"/>
      <c r="X4349" s="84"/>
      <c r="Y4349" s="84"/>
      <c r="Z4349" s="84"/>
      <c r="AA4349" s="84"/>
      <c r="AB4349" s="84"/>
    </row>
    <row r="4350">
      <c r="A4350" s="89"/>
      <c r="B4350" s="89"/>
      <c r="C4350" s="89"/>
      <c r="D4350" s="89"/>
      <c r="E4350" s="89"/>
      <c r="F4350" s="89"/>
      <c r="G4350" s="89"/>
      <c r="H4350" s="2"/>
      <c r="I4350" s="90"/>
      <c r="J4350" s="90"/>
      <c r="K4350" s="2"/>
      <c r="L4350" s="49"/>
      <c r="M4350" s="49"/>
      <c r="N4350" s="49"/>
      <c r="O4350" s="49" t="str">
        <f t="shared" si="2"/>
        <v/>
      </c>
      <c r="P4350" s="49" t="str">
        <f t="shared" si="3"/>
        <v/>
      </c>
      <c r="Q4350" s="84"/>
      <c r="R4350" s="84"/>
      <c r="S4350" s="84"/>
      <c r="T4350" s="84"/>
      <c r="U4350" s="84"/>
      <c r="V4350" s="84"/>
      <c r="W4350" s="84"/>
      <c r="X4350" s="84"/>
      <c r="Y4350" s="84"/>
      <c r="Z4350" s="84"/>
      <c r="AA4350" s="84"/>
      <c r="AB4350" s="84"/>
    </row>
    <row r="4351">
      <c r="A4351" s="89"/>
      <c r="B4351" s="89"/>
      <c r="C4351" s="89"/>
      <c r="D4351" s="89"/>
      <c r="E4351" s="89"/>
      <c r="F4351" s="89"/>
      <c r="G4351" s="89"/>
      <c r="H4351" s="2"/>
      <c r="I4351" s="90"/>
      <c r="J4351" s="90"/>
      <c r="K4351" s="2"/>
      <c r="L4351" s="48"/>
      <c r="M4351" s="48"/>
      <c r="N4351" s="48"/>
      <c r="O4351" s="48" t="str">
        <f t="shared" si="2"/>
        <v/>
      </c>
      <c r="P4351" s="48" t="str">
        <f t="shared" si="3"/>
        <v/>
      </c>
      <c r="Q4351" s="84"/>
      <c r="R4351" s="84"/>
      <c r="S4351" s="84"/>
      <c r="T4351" s="84"/>
      <c r="U4351" s="84"/>
      <c r="V4351" s="84"/>
      <c r="W4351" s="84"/>
      <c r="X4351" s="84"/>
      <c r="Y4351" s="84"/>
      <c r="Z4351" s="84"/>
      <c r="AA4351" s="84"/>
      <c r="AB4351" s="84"/>
    </row>
    <row r="4352">
      <c r="A4352" s="89"/>
      <c r="B4352" s="89"/>
      <c r="C4352" s="89"/>
      <c r="D4352" s="89"/>
      <c r="E4352" s="89"/>
      <c r="F4352" s="89"/>
      <c r="G4352" s="89"/>
      <c r="H4352" s="2"/>
      <c r="I4352" s="90"/>
      <c r="J4352" s="90"/>
      <c r="K4352" s="2"/>
      <c r="L4352" s="49"/>
      <c r="M4352" s="49"/>
      <c r="N4352" s="49"/>
      <c r="O4352" s="49" t="str">
        <f t="shared" si="2"/>
        <v/>
      </c>
      <c r="P4352" s="49" t="str">
        <f t="shared" si="3"/>
        <v/>
      </c>
      <c r="Q4352" s="84"/>
      <c r="R4352" s="84"/>
      <c r="S4352" s="84"/>
      <c r="T4352" s="84"/>
      <c r="U4352" s="84"/>
      <c r="V4352" s="84"/>
      <c r="W4352" s="84"/>
      <c r="X4352" s="84"/>
      <c r="Y4352" s="84"/>
      <c r="Z4352" s="84"/>
      <c r="AA4352" s="84"/>
      <c r="AB4352" s="84"/>
    </row>
    <row r="4353">
      <c r="A4353" s="89"/>
      <c r="B4353" s="89"/>
      <c r="C4353" s="89"/>
      <c r="D4353" s="89"/>
      <c r="E4353" s="89"/>
      <c r="F4353" s="89"/>
      <c r="G4353" s="89"/>
      <c r="H4353" s="2"/>
      <c r="I4353" s="90"/>
      <c r="J4353" s="90"/>
      <c r="K4353" s="2"/>
      <c r="L4353" s="48"/>
      <c r="M4353" s="48"/>
      <c r="N4353" s="48"/>
      <c r="O4353" s="48" t="str">
        <f t="shared" si="2"/>
        <v/>
      </c>
      <c r="P4353" s="48" t="str">
        <f t="shared" si="3"/>
        <v/>
      </c>
      <c r="Q4353" s="84"/>
      <c r="R4353" s="84"/>
      <c r="S4353" s="84"/>
      <c r="T4353" s="84"/>
      <c r="U4353" s="84"/>
      <c r="V4353" s="84"/>
      <c r="W4353" s="84"/>
      <c r="X4353" s="84"/>
      <c r="Y4353" s="84"/>
      <c r="Z4353" s="84"/>
      <c r="AA4353" s="84"/>
      <c r="AB4353" s="84"/>
    </row>
    <row r="4354">
      <c r="A4354" s="89"/>
      <c r="B4354" s="89"/>
      <c r="C4354" s="89"/>
      <c r="D4354" s="89"/>
      <c r="E4354" s="89"/>
      <c r="F4354" s="89"/>
      <c r="G4354" s="89"/>
      <c r="H4354" s="2"/>
      <c r="I4354" s="90"/>
      <c r="J4354" s="90"/>
      <c r="K4354" s="2"/>
      <c r="L4354" s="49"/>
      <c r="M4354" s="49"/>
      <c r="N4354" s="49"/>
      <c r="O4354" s="49" t="str">
        <f t="shared" si="2"/>
        <v/>
      </c>
      <c r="P4354" s="49" t="str">
        <f t="shared" si="3"/>
        <v/>
      </c>
      <c r="Q4354" s="84"/>
      <c r="R4354" s="84"/>
      <c r="S4354" s="84"/>
      <c r="T4354" s="84"/>
      <c r="U4354" s="84"/>
      <c r="V4354" s="84"/>
      <c r="W4354" s="84"/>
      <c r="X4354" s="84"/>
      <c r="Y4354" s="84"/>
      <c r="Z4354" s="84"/>
      <c r="AA4354" s="84"/>
      <c r="AB4354" s="84"/>
    </row>
    <row r="4355">
      <c r="A4355" s="89"/>
      <c r="B4355" s="89"/>
      <c r="C4355" s="89"/>
      <c r="D4355" s="89"/>
      <c r="E4355" s="89"/>
      <c r="F4355" s="89"/>
      <c r="G4355" s="89"/>
      <c r="H4355" s="2"/>
      <c r="I4355" s="90"/>
      <c r="J4355" s="90"/>
      <c r="K4355" s="2"/>
      <c r="L4355" s="48"/>
      <c r="M4355" s="48"/>
      <c r="N4355" s="48"/>
      <c r="O4355" s="48" t="str">
        <f t="shared" si="2"/>
        <v/>
      </c>
      <c r="P4355" s="48" t="str">
        <f t="shared" si="3"/>
        <v/>
      </c>
      <c r="Q4355" s="84"/>
      <c r="R4355" s="84"/>
      <c r="S4355" s="84"/>
      <c r="T4355" s="84"/>
      <c r="U4355" s="84"/>
      <c r="V4355" s="84"/>
      <c r="W4355" s="84"/>
      <c r="X4355" s="84"/>
      <c r="Y4355" s="84"/>
      <c r="Z4355" s="84"/>
      <c r="AA4355" s="84"/>
      <c r="AB4355" s="84"/>
    </row>
    <row r="4356">
      <c r="A4356" s="89"/>
      <c r="B4356" s="89"/>
      <c r="C4356" s="89"/>
      <c r="D4356" s="89"/>
      <c r="E4356" s="89"/>
      <c r="F4356" s="89"/>
      <c r="G4356" s="89"/>
      <c r="H4356" s="2"/>
      <c r="I4356" s="90"/>
      <c r="J4356" s="90"/>
      <c r="K4356" s="2"/>
      <c r="L4356" s="49"/>
      <c r="M4356" s="49"/>
      <c r="N4356" s="49"/>
      <c r="O4356" s="49" t="str">
        <f t="shared" si="2"/>
        <v/>
      </c>
      <c r="P4356" s="49" t="str">
        <f t="shared" si="3"/>
        <v/>
      </c>
      <c r="Q4356" s="84"/>
      <c r="R4356" s="84"/>
      <c r="S4356" s="84"/>
      <c r="T4356" s="84"/>
      <c r="U4356" s="84"/>
      <c r="V4356" s="84"/>
      <c r="W4356" s="84"/>
      <c r="X4356" s="84"/>
      <c r="Y4356" s="84"/>
      <c r="Z4356" s="84"/>
      <c r="AA4356" s="84"/>
      <c r="AB4356" s="84"/>
    </row>
    <row r="4357">
      <c r="A4357" s="89"/>
      <c r="B4357" s="89"/>
      <c r="C4357" s="89"/>
      <c r="D4357" s="89"/>
      <c r="E4357" s="89"/>
      <c r="F4357" s="89"/>
      <c r="G4357" s="89"/>
      <c r="H4357" s="2"/>
      <c r="I4357" s="90"/>
      <c r="J4357" s="90"/>
      <c r="K4357" s="2"/>
      <c r="L4357" s="48"/>
      <c r="M4357" s="48"/>
      <c r="N4357" s="48"/>
      <c r="O4357" s="48" t="str">
        <f t="shared" si="2"/>
        <v/>
      </c>
      <c r="P4357" s="48" t="str">
        <f t="shared" si="3"/>
        <v/>
      </c>
      <c r="Q4357" s="84"/>
      <c r="R4357" s="84"/>
      <c r="S4357" s="84"/>
      <c r="T4357" s="84"/>
      <c r="U4357" s="84"/>
      <c r="V4357" s="84"/>
      <c r="W4357" s="84"/>
      <c r="X4357" s="84"/>
      <c r="Y4357" s="84"/>
      <c r="Z4357" s="84"/>
      <c r="AA4357" s="84"/>
      <c r="AB4357" s="84"/>
    </row>
    <row r="4358">
      <c r="A4358" s="89"/>
      <c r="B4358" s="89"/>
      <c r="C4358" s="89"/>
      <c r="D4358" s="89"/>
      <c r="E4358" s="89"/>
      <c r="F4358" s="89"/>
      <c r="G4358" s="89"/>
      <c r="H4358" s="2"/>
      <c r="I4358" s="90"/>
      <c r="J4358" s="90"/>
      <c r="K4358" s="2"/>
      <c r="L4358" s="49"/>
      <c r="M4358" s="49"/>
      <c r="N4358" s="49"/>
      <c r="O4358" s="49" t="str">
        <f t="shared" si="2"/>
        <v/>
      </c>
      <c r="P4358" s="49" t="str">
        <f t="shared" si="3"/>
        <v/>
      </c>
      <c r="Q4358" s="84"/>
      <c r="R4358" s="84"/>
      <c r="S4358" s="84"/>
      <c r="T4358" s="84"/>
      <c r="U4358" s="84"/>
      <c r="V4358" s="84"/>
      <c r="W4358" s="84"/>
      <c r="X4358" s="84"/>
      <c r="Y4358" s="84"/>
      <c r="Z4358" s="84"/>
      <c r="AA4358" s="84"/>
      <c r="AB4358" s="84"/>
    </row>
    <row r="4359">
      <c r="A4359" s="89"/>
      <c r="B4359" s="89"/>
      <c r="C4359" s="89"/>
      <c r="D4359" s="89"/>
      <c r="E4359" s="89"/>
      <c r="F4359" s="89"/>
      <c r="G4359" s="89"/>
      <c r="H4359" s="2"/>
      <c r="I4359" s="90"/>
      <c r="J4359" s="90"/>
      <c r="K4359" s="2"/>
      <c r="L4359" s="48"/>
      <c r="M4359" s="48"/>
      <c r="N4359" s="48"/>
      <c r="O4359" s="48" t="str">
        <f t="shared" si="2"/>
        <v/>
      </c>
      <c r="P4359" s="48" t="str">
        <f t="shared" si="3"/>
        <v/>
      </c>
      <c r="Q4359" s="84"/>
      <c r="R4359" s="84"/>
      <c r="S4359" s="84"/>
      <c r="T4359" s="84"/>
      <c r="U4359" s="84"/>
      <c r="V4359" s="84"/>
      <c r="W4359" s="84"/>
      <c r="X4359" s="84"/>
      <c r="Y4359" s="84"/>
      <c r="Z4359" s="84"/>
      <c r="AA4359" s="84"/>
      <c r="AB4359" s="84"/>
    </row>
    <row r="4360">
      <c r="A4360" s="89"/>
      <c r="B4360" s="89"/>
      <c r="C4360" s="89"/>
      <c r="D4360" s="89"/>
      <c r="E4360" s="89"/>
      <c r="F4360" s="89"/>
      <c r="G4360" s="89"/>
      <c r="H4360" s="2"/>
      <c r="I4360" s="90"/>
      <c r="J4360" s="90"/>
      <c r="K4360" s="2"/>
      <c r="L4360" s="49"/>
      <c r="M4360" s="49"/>
      <c r="N4360" s="49"/>
      <c r="O4360" s="49" t="str">
        <f t="shared" si="2"/>
        <v/>
      </c>
      <c r="P4360" s="49" t="str">
        <f t="shared" si="3"/>
        <v/>
      </c>
      <c r="Q4360" s="84"/>
      <c r="R4360" s="84"/>
      <c r="S4360" s="84"/>
      <c r="T4360" s="84"/>
      <c r="U4360" s="84"/>
      <c r="V4360" s="84"/>
      <c r="W4360" s="84"/>
      <c r="X4360" s="84"/>
      <c r="Y4360" s="84"/>
      <c r="Z4360" s="84"/>
      <c r="AA4360" s="84"/>
      <c r="AB4360" s="84"/>
    </row>
    <row r="4361">
      <c r="A4361" s="89"/>
      <c r="B4361" s="89"/>
      <c r="C4361" s="89"/>
      <c r="D4361" s="89"/>
      <c r="E4361" s="89"/>
      <c r="F4361" s="89"/>
      <c r="G4361" s="89"/>
      <c r="H4361" s="2"/>
      <c r="I4361" s="90"/>
      <c r="J4361" s="90"/>
      <c r="K4361" s="2"/>
      <c r="L4361" s="48"/>
      <c r="M4361" s="48"/>
      <c r="N4361" s="48"/>
      <c r="O4361" s="48" t="str">
        <f t="shared" si="2"/>
        <v/>
      </c>
      <c r="P4361" s="48" t="str">
        <f t="shared" si="3"/>
        <v/>
      </c>
      <c r="Q4361" s="84"/>
      <c r="R4361" s="84"/>
      <c r="S4361" s="84"/>
      <c r="T4361" s="84"/>
      <c r="U4361" s="84"/>
      <c r="V4361" s="84"/>
      <c r="W4361" s="84"/>
      <c r="X4361" s="84"/>
      <c r="Y4361" s="84"/>
      <c r="Z4361" s="84"/>
      <c r="AA4361" s="84"/>
      <c r="AB4361" s="84"/>
    </row>
    <row r="4362">
      <c r="A4362" s="89"/>
      <c r="B4362" s="89"/>
      <c r="C4362" s="89"/>
      <c r="D4362" s="89"/>
      <c r="E4362" s="89"/>
      <c r="F4362" s="89"/>
      <c r="G4362" s="89"/>
      <c r="H4362" s="2"/>
      <c r="I4362" s="90"/>
      <c r="J4362" s="90"/>
      <c r="K4362" s="2"/>
      <c r="L4362" s="49"/>
      <c r="M4362" s="49"/>
      <c r="N4362" s="49"/>
      <c r="O4362" s="49" t="str">
        <f t="shared" si="2"/>
        <v/>
      </c>
      <c r="P4362" s="49" t="str">
        <f t="shared" si="3"/>
        <v/>
      </c>
      <c r="Q4362" s="84"/>
      <c r="R4362" s="84"/>
      <c r="S4362" s="84"/>
      <c r="T4362" s="84"/>
      <c r="U4362" s="84"/>
      <c r="V4362" s="84"/>
      <c r="W4362" s="84"/>
      <c r="X4362" s="84"/>
      <c r="Y4362" s="84"/>
      <c r="Z4362" s="84"/>
      <c r="AA4362" s="84"/>
      <c r="AB4362" s="84"/>
    </row>
    <row r="4363">
      <c r="A4363" s="89"/>
      <c r="B4363" s="89"/>
      <c r="C4363" s="89"/>
      <c r="D4363" s="89"/>
      <c r="E4363" s="89"/>
      <c r="F4363" s="89"/>
      <c r="G4363" s="89"/>
      <c r="H4363" s="2"/>
      <c r="I4363" s="90"/>
      <c r="J4363" s="90"/>
      <c r="K4363" s="2"/>
      <c r="L4363" s="48"/>
      <c r="M4363" s="48"/>
      <c r="N4363" s="48"/>
      <c r="O4363" s="48" t="str">
        <f t="shared" si="2"/>
        <v/>
      </c>
      <c r="P4363" s="48" t="str">
        <f t="shared" si="3"/>
        <v/>
      </c>
      <c r="Q4363" s="84"/>
      <c r="R4363" s="84"/>
      <c r="S4363" s="84"/>
      <c r="T4363" s="84"/>
      <c r="U4363" s="84"/>
      <c r="V4363" s="84"/>
      <c r="W4363" s="84"/>
      <c r="X4363" s="84"/>
      <c r="Y4363" s="84"/>
      <c r="Z4363" s="84"/>
      <c r="AA4363" s="84"/>
      <c r="AB4363" s="84"/>
    </row>
    <row r="4364">
      <c r="A4364" s="89"/>
      <c r="B4364" s="89"/>
      <c r="C4364" s="89"/>
      <c r="D4364" s="89"/>
      <c r="E4364" s="89"/>
      <c r="F4364" s="89"/>
      <c r="G4364" s="89"/>
      <c r="H4364" s="2"/>
      <c r="I4364" s="90"/>
      <c r="J4364" s="90"/>
      <c r="K4364" s="2"/>
      <c r="L4364" s="49"/>
      <c r="M4364" s="49"/>
      <c r="N4364" s="49"/>
      <c r="O4364" s="49" t="str">
        <f t="shared" si="2"/>
        <v/>
      </c>
      <c r="P4364" s="49" t="str">
        <f t="shared" si="3"/>
        <v/>
      </c>
      <c r="Q4364" s="84"/>
      <c r="R4364" s="84"/>
      <c r="S4364" s="84"/>
      <c r="T4364" s="84"/>
      <c r="U4364" s="84"/>
      <c r="V4364" s="84"/>
      <c r="W4364" s="84"/>
      <c r="X4364" s="84"/>
      <c r="Y4364" s="84"/>
      <c r="Z4364" s="84"/>
      <c r="AA4364" s="84"/>
      <c r="AB4364" s="84"/>
    </row>
    <row r="4365">
      <c r="A4365" s="89"/>
      <c r="B4365" s="89"/>
      <c r="C4365" s="89"/>
      <c r="D4365" s="89"/>
      <c r="E4365" s="89"/>
      <c r="F4365" s="89"/>
      <c r="G4365" s="89"/>
      <c r="H4365" s="2"/>
      <c r="I4365" s="90"/>
      <c r="J4365" s="90"/>
      <c r="K4365" s="2"/>
      <c r="L4365" s="48"/>
      <c r="M4365" s="48"/>
      <c r="N4365" s="48"/>
      <c r="O4365" s="48" t="str">
        <f t="shared" si="2"/>
        <v/>
      </c>
      <c r="P4365" s="48" t="str">
        <f t="shared" si="3"/>
        <v/>
      </c>
      <c r="Q4365" s="84"/>
      <c r="R4365" s="84"/>
      <c r="S4365" s="84"/>
      <c r="T4365" s="84"/>
      <c r="U4365" s="84"/>
      <c r="V4365" s="84"/>
      <c r="W4365" s="84"/>
      <c r="X4365" s="84"/>
      <c r="Y4365" s="84"/>
      <c r="Z4365" s="84"/>
      <c r="AA4365" s="84"/>
      <c r="AB4365" s="84"/>
    </row>
    <row r="4366">
      <c r="A4366" s="89"/>
      <c r="B4366" s="89"/>
      <c r="C4366" s="89"/>
      <c r="D4366" s="89"/>
      <c r="E4366" s="89"/>
      <c r="F4366" s="89"/>
      <c r="G4366" s="89"/>
      <c r="H4366" s="2"/>
      <c r="I4366" s="90"/>
      <c r="J4366" s="90"/>
      <c r="K4366" s="2"/>
      <c r="L4366" s="49"/>
      <c r="M4366" s="49"/>
      <c r="N4366" s="49"/>
      <c r="O4366" s="49" t="str">
        <f t="shared" si="2"/>
        <v/>
      </c>
      <c r="P4366" s="49" t="str">
        <f t="shared" si="3"/>
        <v/>
      </c>
      <c r="Q4366" s="84"/>
      <c r="R4366" s="84"/>
      <c r="S4366" s="84"/>
      <c r="T4366" s="84"/>
      <c r="U4366" s="84"/>
      <c r="V4366" s="84"/>
      <c r="W4366" s="84"/>
      <c r="X4366" s="84"/>
      <c r="Y4366" s="84"/>
      <c r="Z4366" s="84"/>
      <c r="AA4366" s="84"/>
      <c r="AB4366" s="84"/>
    </row>
    <row r="4367">
      <c r="A4367" s="89"/>
      <c r="B4367" s="89"/>
      <c r="C4367" s="89"/>
      <c r="D4367" s="89"/>
      <c r="E4367" s="89"/>
      <c r="F4367" s="89"/>
      <c r="G4367" s="89"/>
      <c r="H4367" s="2"/>
      <c r="I4367" s="90"/>
      <c r="J4367" s="90"/>
      <c r="K4367" s="2"/>
      <c r="L4367" s="48"/>
      <c r="M4367" s="48"/>
      <c r="N4367" s="48"/>
      <c r="O4367" s="48" t="str">
        <f t="shared" si="2"/>
        <v/>
      </c>
      <c r="P4367" s="48" t="str">
        <f t="shared" si="3"/>
        <v/>
      </c>
      <c r="Q4367" s="84"/>
      <c r="R4367" s="84"/>
      <c r="S4367" s="84"/>
      <c r="T4367" s="84"/>
      <c r="U4367" s="84"/>
      <c r="V4367" s="84"/>
      <c r="W4367" s="84"/>
      <c r="X4367" s="84"/>
      <c r="Y4367" s="84"/>
      <c r="Z4367" s="84"/>
      <c r="AA4367" s="84"/>
      <c r="AB4367" s="84"/>
    </row>
    <row r="4368">
      <c r="A4368" s="89"/>
      <c r="B4368" s="89"/>
      <c r="C4368" s="89"/>
      <c r="D4368" s="89"/>
      <c r="E4368" s="89"/>
      <c r="F4368" s="89"/>
      <c r="G4368" s="89"/>
      <c r="H4368" s="2"/>
      <c r="I4368" s="90"/>
      <c r="J4368" s="90"/>
      <c r="K4368" s="2"/>
      <c r="L4368" s="49"/>
      <c r="M4368" s="49"/>
      <c r="N4368" s="49"/>
      <c r="O4368" s="49" t="str">
        <f t="shared" si="2"/>
        <v/>
      </c>
      <c r="P4368" s="49" t="str">
        <f t="shared" si="3"/>
        <v/>
      </c>
      <c r="Q4368" s="84"/>
      <c r="R4368" s="84"/>
      <c r="S4368" s="84"/>
      <c r="T4368" s="84"/>
      <c r="U4368" s="84"/>
      <c r="V4368" s="84"/>
      <c r="W4368" s="84"/>
      <c r="X4368" s="84"/>
      <c r="Y4368" s="84"/>
      <c r="Z4368" s="84"/>
      <c r="AA4368" s="84"/>
      <c r="AB4368" s="84"/>
    </row>
    <row r="4369">
      <c r="A4369" s="89"/>
      <c r="B4369" s="89"/>
      <c r="C4369" s="89"/>
      <c r="D4369" s="89"/>
      <c r="E4369" s="89"/>
      <c r="F4369" s="89"/>
      <c r="G4369" s="89"/>
      <c r="H4369" s="2"/>
      <c r="I4369" s="90"/>
      <c r="J4369" s="90"/>
      <c r="K4369" s="2"/>
      <c r="L4369" s="48"/>
      <c r="M4369" s="48"/>
      <c r="N4369" s="48"/>
      <c r="O4369" s="48" t="str">
        <f t="shared" si="2"/>
        <v/>
      </c>
      <c r="P4369" s="48" t="str">
        <f t="shared" si="3"/>
        <v/>
      </c>
      <c r="Q4369" s="84"/>
      <c r="R4369" s="84"/>
      <c r="S4369" s="84"/>
      <c r="T4369" s="84"/>
      <c r="U4369" s="84"/>
      <c r="V4369" s="84"/>
      <c r="W4369" s="84"/>
      <c r="X4369" s="84"/>
      <c r="Y4369" s="84"/>
      <c r="Z4369" s="84"/>
      <c r="AA4369" s="84"/>
      <c r="AB4369" s="84"/>
    </row>
    <row r="4370">
      <c r="A4370" s="89"/>
      <c r="B4370" s="89"/>
      <c r="C4370" s="89"/>
      <c r="D4370" s="89"/>
      <c r="E4370" s="89"/>
      <c r="F4370" s="89"/>
      <c r="G4370" s="89"/>
      <c r="H4370" s="2"/>
      <c r="I4370" s="90"/>
      <c r="J4370" s="90"/>
      <c r="K4370" s="2"/>
      <c r="L4370" s="49"/>
      <c r="M4370" s="49"/>
      <c r="N4370" s="49"/>
      <c r="O4370" s="49" t="str">
        <f t="shared" si="2"/>
        <v/>
      </c>
      <c r="P4370" s="49" t="str">
        <f t="shared" si="3"/>
        <v/>
      </c>
      <c r="Q4370" s="84"/>
      <c r="R4370" s="84"/>
      <c r="S4370" s="84"/>
      <c r="T4370" s="84"/>
      <c r="U4370" s="84"/>
      <c r="V4370" s="84"/>
      <c r="W4370" s="84"/>
      <c r="X4370" s="84"/>
      <c r="Y4370" s="84"/>
      <c r="Z4370" s="84"/>
      <c r="AA4370" s="84"/>
      <c r="AB4370" s="84"/>
    </row>
    <row r="4371">
      <c r="A4371" s="89"/>
      <c r="B4371" s="89"/>
      <c r="C4371" s="89"/>
      <c r="D4371" s="89"/>
      <c r="E4371" s="89"/>
      <c r="F4371" s="89"/>
      <c r="G4371" s="89"/>
      <c r="H4371" s="2"/>
      <c r="I4371" s="90"/>
      <c r="J4371" s="90"/>
      <c r="K4371" s="2"/>
      <c r="L4371" s="48"/>
      <c r="M4371" s="48"/>
      <c r="N4371" s="48"/>
      <c r="O4371" s="48" t="str">
        <f t="shared" si="2"/>
        <v/>
      </c>
      <c r="P4371" s="48" t="str">
        <f t="shared" si="3"/>
        <v/>
      </c>
      <c r="Q4371" s="84"/>
      <c r="R4371" s="84"/>
      <c r="S4371" s="84"/>
      <c r="T4371" s="84"/>
      <c r="U4371" s="84"/>
      <c r="V4371" s="84"/>
      <c r="W4371" s="84"/>
      <c r="X4371" s="84"/>
      <c r="Y4371" s="84"/>
      <c r="Z4371" s="84"/>
      <c r="AA4371" s="84"/>
      <c r="AB4371" s="84"/>
    </row>
    <row r="4372">
      <c r="A4372" s="89"/>
      <c r="B4372" s="89"/>
      <c r="C4372" s="89"/>
      <c r="D4372" s="89"/>
      <c r="E4372" s="89"/>
      <c r="F4372" s="89"/>
      <c r="G4372" s="89"/>
      <c r="H4372" s="2"/>
      <c r="I4372" s="90"/>
      <c r="J4372" s="90"/>
      <c r="K4372" s="2"/>
      <c r="L4372" s="49"/>
      <c r="M4372" s="49"/>
      <c r="N4372" s="49"/>
      <c r="O4372" s="49" t="str">
        <f t="shared" si="2"/>
        <v/>
      </c>
      <c r="P4372" s="49" t="str">
        <f t="shared" si="3"/>
        <v/>
      </c>
      <c r="Q4372" s="84"/>
      <c r="R4372" s="84"/>
      <c r="S4372" s="84"/>
      <c r="T4372" s="84"/>
      <c r="U4372" s="84"/>
      <c r="V4372" s="84"/>
      <c r="W4372" s="84"/>
      <c r="X4372" s="84"/>
      <c r="Y4372" s="84"/>
      <c r="Z4372" s="84"/>
      <c r="AA4372" s="84"/>
      <c r="AB4372" s="84"/>
    </row>
    <row r="4373">
      <c r="A4373" s="89"/>
      <c r="B4373" s="89"/>
      <c r="C4373" s="89"/>
      <c r="D4373" s="89"/>
      <c r="E4373" s="89"/>
      <c r="F4373" s="89"/>
      <c r="G4373" s="89"/>
      <c r="H4373" s="2"/>
      <c r="I4373" s="90"/>
      <c r="J4373" s="90"/>
      <c r="K4373" s="2"/>
      <c r="L4373" s="48"/>
      <c r="M4373" s="48"/>
      <c r="N4373" s="48"/>
      <c r="O4373" s="48" t="str">
        <f t="shared" si="2"/>
        <v/>
      </c>
      <c r="P4373" s="48" t="str">
        <f t="shared" si="3"/>
        <v/>
      </c>
      <c r="Q4373" s="84"/>
      <c r="R4373" s="84"/>
      <c r="S4373" s="84"/>
      <c r="T4373" s="84"/>
      <c r="U4373" s="84"/>
      <c r="V4373" s="84"/>
      <c r="W4373" s="84"/>
      <c r="X4373" s="84"/>
      <c r="Y4373" s="84"/>
      <c r="Z4373" s="84"/>
      <c r="AA4373" s="84"/>
      <c r="AB4373" s="84"/>
    </row>
    <row r="4374">
      <c r="A4374" s="89"/>
      <c r="B4374" s="89"/>
      <c r="C4374" s="89"/>
      <c r="D4374" s="89"/>
      <c r="E4374" s="89"/>
      <c r="F4374" s="89"/>
      <c r="G4374" s="89"/>
      <c r="H4374" s="2"/>
      <c r="I4374" s="90"/>
      <c r="J4374" s="90"/>
      <c r="K4374" s="2"/>
      <c r="L4374" s="49"/>
      <c r="M4374" s="49"/>
      <c r="N4374" s="49"/>
      <c r="O4374" s="49" t="str">
        <f t="shared" si="2"/>
        <v/>
      </c>
      <c r="P4374" s="49" t="str">
        <f t="shared" si="3"/>
        <v/>
      </c>
      <c r="Q4374" s="84"/>
      <c r="R4374" s="84"/>
      <c r="S4374" s="84"/>
      <c r="T4374" s="84"/>
      <c r="U4374" s="84"/>
      <c r="V4374" s="84"/>
      <c r="W4374" s="84"/>
      <c r="X4374" s="84"/>
      <c r="Y4374" s="84"/>
      <c r="Z4374" s="84"/>
      <c r="AA4374" s="84"/>
      <c r="AB4374" s="84"/>
    </row>
    <row r="4375">
      <c r="A4375" s="89"/>
      <c r="B4375" s="89"/>
      <c r="C4375" s="89"/>
      <c r="D4375" s="89"/>
      <c r="E4375" s="89"/>
      <c r="F4375" s="89"/>
      <c r="G4375" s="89"/>
      <c r="H4375" s="2"/>
      <c r="I4375" s="90"/>
      <c r="J4375" s="90"/>
      <c r="K4375" s="2"/>
      <c r="L4375" s="48"/>
      <c r="M4375" s="48"/>
      <c r="N4375" s="48"/>
      <c r="O4375" s="48" t="str">
        <f t="shared" si="2"/>
        <v/>
      </c>
      <c r="P4375" s="48" t="str">
        <f t="shared" si="3"/>
        <v/>
      </c>
      <c r="Q4375" s="84"/>
      <c r="R4375" s="84"/>
      <c r="S4375" s="84"/>
      <c r="T4375" s="84"/>
      <c r="U4375" s="84"/>
      <c r="V4375" s="84"/>
      <c r="W4375" s="84"/>
      <c r="X4375" s="84"/>
      <c r="Y4375" s="84"/>
      <c r="Z4375" s="84"/>
      <c r="AA4375" s="84"/>
      <c r="AB4375" s="84"/>
    </row>
    <row r="4376">
      <c r="A4376" s="89"/>
      <c r="B4376" s="89"/>
      <c r="C4376" s="89"/>
      <c r="D4376" s="89"/>
      <c r="E4376" s="89"/>
      <c r="F4376" s="89"/>
      <c r="G4376" s="89"/>
      <c r="H4376" s="2"/>
      <c r="I4376" s="90"/>
      <c r="J4376" s="90"/>
      <c r="K4376" s="2"/>
      <c r="L4376" s="49"/>
      <c r="M4376" s="49"/>
      <c r="N4376" s="49"/>
      <c r="O4376" s="49" t="str">
        <f t="shared" si="2"/>
        <v/>
      </c>
      <c r="P4376" s="49" t="str">
        <f t="shared" si="3"/>
        <v/>
      </c>
      <c r="Q4376" s="84"/>
      <c r="R4376" s="84"/>
      <c r="S4376" s="84"/>
      <c r="T4376" s="84"/>
      <c r="U4376" s="84"/>
      <c r="V4376" s="84"/>
      <c r="W4376" s="84"/>
      <c r="X4376" s="84"/>
      <c r="Y4376" s="84"/>
      <c r="Z4376" s="84"/>
      <c r="AA4376" s="84"/>
      <c r="AB4376" s="84"/>
    </row>
    <row r="4377">
      <c r="A4377" s="89"/>
      <c r="B4377" s="89"/>
      <c r="C4377" s="89"/>
      <c r="D4377" s="89"/>
      <c r="E4377" s="89"/>
      <c r="F4377" s="89"/>
      <c r="G4377" s="89"/>
      <c r="H4377" s="2"/>
      <c r="I4377" s="90"/>
      <c r="J4377" s="90"/>
      <c r="K4377" s="2"/>
      <c r="L4377" s="48"/>
      <c r="M4377" s="48"/>
      <c r="N4377" s="48"/>
      <c r="O4377" s="48" t="str">
        <f t="shared" si="2"/>
        <v/>
      </c>
      <c r="P4377" s="48" t="str">
        <f t="shared" si="3"/>
        <v/>
      </c>
      <c r="Q4377" s="84"/>
      <c r="R4377" s="84"/>
      <c r="S4377" s="84"/>
      <c r="T4377" s="84"/>
      <c r="U4377" s="84"/>
      <c r="V4377" s="84"/>
      <c r="W4377" s="84"/>
      <c r="X4377" s="84"/>
      <c r="Y4377" s="84"/>
      <c r="Z4377" s="84"/>
      <c r="AA4377" s="84"/>
      <c r="AB4377" s="84"/>
    </row>
    <row r="4378">
      <c r="A4378" s="89"/>
      <c r="B4378" s="89"/>
      <c r="C4378" s="89"/>
      <c r="D4378" s="89"/>
      <c r="E4378" s="89"/>
      <c r="F4378" s="89"/>
      <c r="G4378" s="89"/>
      <c r="H4378" s="2"/>
      <c r="I4378" s="90"/>
      <c r="J4378" s="90"/>
      <c r="K4378" s="2"/>
      <c r="L4378" s="49"/>
      <c r="M4378" s="49"/>
      <c r="N4378" s="49"/>
      <c r="O4378" s="49" t="str">
        <f t="shared" si="2"/>
        <v/>
      </c>
      <c r="P4378" s="49" t="str">
        <f t="shared" si="3"/>
        <v/>
      </c>
      <c r="Q4378" s="84"/>
      <c r="R4378" s="84"/>
      <c r="S4378" s="84"/>
      <c r="T4378" s="84"/>
      <c r="U4378" s="84"/>
      <c r="V4378" s="84"/>
      <c r="W4378" s="84"/>
      <c r="X4378" s="84"/>
      <c r="Y4378" s="84"/>
      <c r="Z4378" s="84"/>
      <c r="AA4378" s="84"/>
      <c r="AB4378" s="84"/>
    </row>
    <row r="4379">
      <c r="A4379" s="89"/>
      <c r="B4379" s="89"/>
      <c r="C4379" s="89"/>
      <c r="D4379" s="89"/>
      <c r="E4379" s="89"/>
      <c r="F4379" s="89"/>
      <c r="G4379" s="89"/>
      <c r="H4379" s="2"/>
      <c r="I4379" s="90"/>
      <c r="J4379" s="90"/>
      <c r="K4379" s="2"/>
      <c r="L4379" s="48"/>
      <c r="M4379" s="48"/>
      <c r="N4379" s="48"/>
      <c r="O4379" s="48" t="str">
        <f t="shared" si="2"/>
        <v/>
      </c>
      <c r="P4379" s="48" t="str">
        <f t="shared" si="3"/>
        <v/>
      </c>
      <c r="Q4379" s="84"/>
      <c r="R4379" s="84"/>
      <c r="S4379" s="84"/>
      <c r="T4379" s="84"/>
      <c r="U4379" s="84"/>
      <c r="V4379" s="84"/>
      <c r="W4379" s="84"/>
      <c r="X4379" s="84"/>
      <c r="Y4379" s="84"/>
      <c r="Z4379" s="84"/>
      <c r="AA4379" s="84"/>
      <c r="AB4379" s="84"/>
    </row>
    <row r="4380">
      <c r="A4380" s="89"/>
      <c r="B4380" s="89"/>
      <c r="C4380" s="89"/>
      <c r="D4380" s="89"/>
      <c r="E4380" s="89"/>
      <c r="F4380" s="89"/>
      <c r="G4380" s="89"/>
      <c r="H4380" s="2"/>
      <c r="I4380" s="90"/>
      <c r="J4380" s="90"/>
      <c r="K4380" s="2"/>
      <c r="L4380" s="49"/>
      <c r="M4380" s="49"/>
      <c r="N4380" s="49"/>
      <c r="O4380" s="49" t="str">
        <f t="shared" si="2"/>
        <v/>
      </c>
      <c r="P4380" s="49" t="str">
        <f t="shared" si="3"/>
        <v/>
      </c>
      <c r="Q4380" s="84"/>
      <c r="R4380" s="84"/>
      <c r="S4380" s="84"/>
      <c r="T4380" s="84"/>
      <c r="U4380" s="84"/>
      <c r="V4380" s="84"/>
      <c r="W4380" s="84"/>
      <c r="X4380" s="84"/>
      <c r="Y4380" s="84"/>
      <c r="Z4380" s="84"/>
      <c r="AA4380" s="84"/>
      <c r="AB4380" s="84"/>
    </row>
    <row r="4381">
      <c r="A4381" s="89"/>
      <c r="B4381" s="89"/>
      <c r="C4381" s="89"/>
      <c r="D4381" s="89"/>
      <c r="E4381" s="89"/>
      <c r="F4381" s="89"/>
      <c r="G4381" s="89"/>
      <c r="H4381" s="2"/>
      <c r="I4381" s="90"/>
      <c r="J4381" s="90"/>
      <c r="K4381" s="2"/>
      <c r="L4381" s="48"/>
      <c r="M4381" s="48"/>
      <c r="N4381" s="48"/>
      <c r="O4381" s="48" t="str">
        <f t="shared" si="2"/>
        <v/>
      </c>
      <c r="P4381" s="48" t="str">
        <f t="shared" si="3"/>
        <v/>
      </c>
      <c r="Q4381" s="84"/>
      <c r="R4381" s="84"/>
      <c r="S4381" s="84"/>
      <c r="T4381" s="84"/>
      <c r="U4381" s="84"/>
      <c r="V4381" s="84"/>
      <c r="W4381" s="84"/>
      <c r="X4381" s="84"/>
      <c r="Y4381" s="84"/>
      <c r="Z4381" s="84"/>
      <c r="AA4381" s="84"/>
      <c r="AB4381" s="84"/>
    </row>
    <row r="4382">
      <c r="A4382" s="89"/>
      <c r="B4382" s="89"/>
      <c r="C4382" s="89"/>
      <c r="D4382" s="89"/>
      <c r="E4382" s="89"/>
      <c r="F4382" s="89"/>
      <c r="G4382" s="89"/>
      <c r="H4382" s="2"/>
      <c r="I4382" s="90"/>
      <c r="J4382" s="90"/>
      <c r="K4382" s="2"/>
      <c r="L4382" s="49"/>
      <c r="M4382" s="49"/>
      <c r="N4382" s="49"/>
      <c r="O4382" s="49" t="str">
        <f t="shared" si="2"/>
        <v/>
      </c>
      <c r="P4382" s="49" t="str">
        <f t="shared" si="3"/>
        <v/>
      </c>
      <c r="Q4382" s="84"/>
      <c r="R4382" s="84"/>
      <c r="S4382" s="84"/>
      <c r="T4382" s="84"/>
      <c r="U4382" s="84"/>
      <c r="V4382" s="84"/>
      <c r="W4382" s="84"/>
      <c r="X4382" s="84"/>
      <c r="Y4382" s="84"/>
      <c r="Z4382" s="84"/>
      <c r="AA4382" s="84"/>
      <c r="AB4382" s="84"/>
    </row>
    <row r="4383">
      <c r="A4383" s="89"/>
      <c r="B4383" s="89"/>
      <c r="C4383" s="89"/>
      <c r="D4383" s="89"/>
      <c r="E4383" s="89"/>
      <c r="F4383" s="89"/>
      <c r="G4383" s="89"/>
      <c r="H4383" s="2"/>
      <c r="I4383" s="90"/>
      <c r="J4383" s="90"/>
      <c r="K4383" s="2"/>
      <c r="L4383" s="48"/>
      <c r="M4383" s="48"/>
      <c r="N4383" s="48"/>
      <c r="O4383" s="48" t="str">
        <f t="shared" si="2"/>
        <v/>
      </c>
      <c r="P4383" s="48" t="str">
        <f t="shared" si="3"/>
        <v/>
      </c>
      <c r="Q4383" s="84"/>
      <c r="R4383" s="84"/>
      <c r="S4383" s="84"/>
      <c r="T4383" s="84"/>
      <c r="U4383" s="84"/>
      <c r="V4383" s="84"/>
      <c r="W4383" s="84"/>
      <c r="X4383" s="84"/>
      <c r="Y4383" s="84"/>
      <c r="Z4383" s="84"/>
      <c r="AA4383" s="84"/>
      <c r="AB4383" s="84"/>
    </row>
    <row r="4384">
      <c r="A4384" s="89"/>
      <c r="B4384" s="89"/>
      <c r="C4384" s="89"/>
      <c r="D4384" s="89"/>
      <c r="E4384" s="89"/>
      <c r="F4384" s="89"/>
      <c r="G4384" s="89"/>
      <c r="H4384" s="2"/>
      <c r="I4384" s="90"/>
      <c r="J4384" s="90"/>
      <c r="K4384" s="2"/>
      <c r="L4384" s="49"/>
      <c r="M4384" s="49"/>
      <c r="N4384" s="49"/>
      <c r="O4384" s="49" t="str">
        <f t="shared" si="2"/>
        <v/>
      </c>
      <c r="P4384" s="49" t="str">
        <f t="shared" si="3"/>
        <v/>
      </c>
      <c r="Q4384" s="84"/>
      <c r="R4384" s="84"/>
      <c r="S4384" s="84"/>
      <c r="T4384" s="84"/>
      <c r="U4384" s="84"/>
      <c r="V4384" s="84"/>
      <c r="W4384" s="84"/>
      <c r="X4384" s="84"/>
      <c r="Y4384" s="84"/>
      <c r="Z4384" s="84"/>
      <c r="AA4384" s="84"/>
      <c r="AB4384" s="84"/>
    </row>
    <row r="4385">
      <c r="A4385" s="89"/>
      <c r="B4385" s="89"/>
      <c r="C4385" s="89"/>
      <c r="D4385" s="89"/>
      <c r="E4385" s="89"/>
      <c r="F4385" s="89"/>
      <c r="G4385" s="89"/>
      <c r="H4385" s="2"/>
      <c r="I4385" s="90"/>
      <c r="J4385" s="90"/>
      <c r="K4385" s="2"/>
      <c r="L4385" s="48"/>
      <c r="M4385" s="48"/>
      <c r="N4385" s="48"/>
      <c r="O4385" s="48" t="str">
        <f t="shared" si="2"/>
        <v/>
      </c>
      <c r="P4385" s="48" t="str">
        <f t="shared" si="3"/>
        <v/>
      </c>
      <c r="Q4385" s="84"/>
      <c r="R4385" s="84"/>
      <c r="S4385" s="84"/>
      <c r="T4385" s="84"/>
      <c r="U4385" s="84"/>
      <c r="V4385" s="84"/>
      <c r="W4385" s="84"/>
      <c r="X4385" s="84"/>
      <c r="Y4385" s="84"/>
      <c r="Z4385" s="84"/>
      <c r="AA4385" s="84"/>
      <c r="AB4385" s="84"/>
    </row>
    <row r="4386">
      <c r="A4386" s="89"/>
      <c r="B4386" s="89"/>
      <c r="C4386" s="89"/>
      <c r="D4386" s="89"/>
      <c r="E4386" s="89"/>
      <c r="F4386" s="89"/>
      <c r="G4386" s="89"/>
      <c r="H4386" s="2"/>
      <c r="I4386" s="90"/>
      <c r="J4386" s="90"/>
      <c r="K4386" s="2"/>
      <c r="L4386" s="49"/>
      <c r="M4386" s="49"/>
      <c r="N4386" s="49"/>
      <c r="O4386" s="49" t="str">
        <f t="shared" si="2"/>
        <v/>
      </c>
      <c r="P4386" s="49" t="str">
        <f t="shared" si="3"/>
        <v/>
      </c>
      <c r="Q4386" s="84"/>
      <c r="R4386" s="84"/>
      <c r="S4386" s="84"/>
      <c r="T4386" s="84"/>
      <c r="U4386" s="84"/>
      <c r="V4386" s="84"/>
      <c r="W4386" s="84"/>
      <c r="X4386" s="84"/>
      <c r="Y4386" s="84"/>
      <c r="Z4386" s="84"/>
      <c r="AA4386" s="84"/>
      <c r="AB4386" s="84"/>
    </row>
    <row r="4387">
      <c r="A4387" s="89"/>
      <c r="B4387" s="89"/>
      <c r="C4387" s="89"/>
      <c r="D4387" s="89"/>
      <c r="E4387" s="89"/>
      <c r="F4387" s="89"/>
      <c r="G4387" s="89"/>
      <c r="H4387" s="2"/>
      <c r="I4387" s="90"/>
      <c r="J4387" s="90"/>
      <c r="K4387" s="2"/>
      <c r="L4387" s="48"/>
      <c r="M4387" s="48"/>
      <c r="N4387" s="48"/>
      <c r="O4387" s="48" t="str">
        <f t="shared" si="2"/>
        <v/>
      </c>
      <c r="P4387" s="48" t="str">
        <f t="shared" si="3"/>
        <v/>
      </c>
      <c r="Q4387" s="84"/>
      <c r="R4387" s="84"/>
      <c r="S4387" s="84"/>
      <c r="T4387" s="84"/>
      <c r="U4387" s="84"/>
      <c r="V4387" s="84"/>
      <c r="W4387" s="84"/>
      <c r="X4387" s="84"/>
      <c r="Y4387" s="84"/>
      <c r="Z4387" s="84"/>
      <c r="AA4387" s="84"/>
      <c r="AB4387" s="84"/>
    </row>
    <row r="4388">
      <c r="A4388" s="89"/>
      <c r="B4388" s="89"/>
      <c r="C4388" s="89"/>
      <c r="D4388" s="89"/>
      <c r="E4388" s="89"/>
      <c r="F4388" s="89"/>
      <c r="G4388" s="89"/>
      <c r="H4388" s="2"/>
      <c r="I4388" s="90"/>
      <c r="J4388" s="90"/>
      <c r="K4388" s="2"/>
      <c r="L4388" s="49"/>
      <c r="M4388" s="49"/>
      <c r="N4388" s="49"/>
      <c r="O4388" s="49" t="str">
        <f t="shared" si="2"/>
        <v/>
      </c>
      <c r="P4388" s="49" t="str">
        <f t="shared" si="3"/>
        <v/>
      </c>
      <c r="Q4388" s="84"/>
      <c r="R4388" s="84"/>
      <c r="S4388" s="84"/>
      <c r="T4388" s="84"/>
      <c r="U4388" s="84"/>
      <c r="V4388" s="84"/>
      <c r="W4388" s="84"/>
      <c r="X4388" s="84"/>
      <c r="Y4388" s="84"/>
      <c r="Z4388" s="84"/>
      <c r="AA4388" s="84"/>
      <c r="AB4388" s="84"/>
    </row>
    <row r="4389">
      <c r="A4389" s="89"/>
      <c r="B4389" s="89"/>
      <c r="C4389" s="89"/>
      <c r="D4389" s="89"/>
      <c r="E4389" s="89"/>
      <c r="F4389" s="89"/>
      <c r="G4389" s="89"/>
      <c r="H4389" s="2"/>
      <c r="I4389" s="90"/>
      <c r="J4389" s="90"/>
      <c r="K4389" s="2"/>
      <c r="L4389" s="48"/>
      <c r="M4389" s="48"/>
      <c r="N4389" s="48"/>
      <c r="O4389" s="48" t="str">
        <f t="shared" si="2"/>
        <v/>
      </c>
      <c r="P4389" s="48" t="str">
        <f t="shared" si="3"/>
        <v/>
      </c>
      <c r="Q4389" s="84"/>
      <c r="R4389" s="84"/>
      <c r="S4389" s="84"/>
      <c r="T4389" s="84"/>
      <c r="U4389" s="84"/>
      <c r="V4389" s="84"/>
      <c r="W4389" s="84"/>
      <c r="X4389" s="84"/>
      <c r="Y4389" s="84"/>
      <c r="Z4389" s="84"/>
      <c r="AA4389" s="84"/>
      <c r="AB4389" s="84"/>
    </row>
    <row r="4390">
      <c r="A4390" s="89"/>
      <c r="B4390" s="89"/>
      <c r="C4390" s="89"/>
      <c r="D4390" s="89"/>
      <c r="E4390" s="89"/>
      <c r="F4390" s="89"/>
      <c r="G4390" s="89"/>
      <c r="H4390" s="2"/>
      <c r="I4390" s="90"/>
      <c r="J4390" s="90"/>
      <c r="K4390" s="2"/>
      <c r="L4390" s="49"/>
      <c r="M4390" s="49"/>
      <c r="N4390" s="49"/>
      <c r="O4390" s="49" t="str">
        <f t="shared" si="2"/>
        <v/>
      </c>
      <c r="P4390" s="49" t="str">
        <f t="shared" si="3"/>
        <v/>
      </c>
      <c r="Q4390" s="84"/>
      <c r="R4390" s="84"/>
      <c r="S4390" s="84"/>
      <c r="T4390" s="84"/>
      <c r="U4390" s="84"/>
      <c r="V4390" s="84"/>
      <c r="W4390" s="84"/>
      <c r="X4390" s="84"/>
      <c r="Y4390" s="84"/>
      <c r="Z4390" s="84"/>
      <c r="AA4390" s="84"/>
      <c r="AB4390" s="84"/>
    </row>
    <row r="4391">
      <c r="A4391" s="89"/>
      <c r="B4391" s="89"/>
      <c r="C4391" s="89"/>
      <c r="D4391" s="89"/>
      <c r="E4391" s="89"/>
      <c r="F4391" s="89"/>
      <c r="G4391" s="89"/>
      <c r="H4391" s="2"/>
      <c r="I4391" s="90"/>
      <c r="J4391" s="90"/>
      <c r="K4391" s="2"/>
      <c r="L4391" s="48"/>
      <c r="M4391" s="48"/>
      <c r="N4391" s="48"/>
      <c r="O4391" s="48" t="str">
        <f t="shared" si="2"/>
        <v/>
      </c>
      <c r="P4391" s="48" t="str">
        <f t="shared" si="3"/>
        <v/>
      </c>
      <c r="Q4391" s="84"/>
      <c r="R4391" s="84"/>
      <c r="S4391" s="84"/>
      <c r="T4391" s="84"/>
      <c r="U4391" s="84"/>
      <c r="V4391" s="84"/>
      <c r="W4391" s="84"/>
      <c r="X4391" s="84"/>
      <c r="Y4391" s="84"/>
      <c r="Z4391" s="84"/>
      <c r="AA4391" s="84"/>
      <c r="AB4391" s="84"/>
    </row>
    <row r="4392">
      <c r="A4392" s="89"/>
      <c r="B4392" s="89"/>
      <c r="C4392" s="89"/>
      <c r="D4392" s="89"/>
      <c r="E4392" s="89"/>
      <c r="F4392" s="89"/>
      <c r="G4392" s="89"/>
      <c r="H4392" s="2"/>
      <c r="I4392" s="90"/>
      <c r="J4392" s="90"/>
      <c r="K4392" s="2"/>
      <c r="L4392" s="49"/>
      <c r="M4392" s="49"/>
      <c r="N4392" s="49"/>
      <c r="O4392" s="49" t="str">
        <f t="shared" si="2"/>
        <v/>
      </c>
      <c r="P4392" s="49" t="str">
        <f t="shared" si="3"/>
        <v/>
      </c>
      <c r="Q4392" s="84"/>
      <c r="R4392" s="84"/>
      <c r="S4392" s="84"/>
      <c r="T4392" s="84"/>
      <c r="U4392" s="84"/>
      <c r="V4392" s="84"/>
      <c r="W4392" s="84"/>
      <c r="X4392" s="84"/>
      <c r="Y4392" s="84"/>
      <c r="Z4392" s="84"/>
      <c r="AA4392" s="84"/>
      <c r="AB4392" s="84"/>
    </row>
    <row r="4393">
      <c r="A4393" s="89"/>
      <c r="B4393" s="89"/>
      <c r="C4393" s="89"/>
      <c r="D4393" s="89"/>
      <c r="E4393" s="89"/>
      <c r="F4393" s="89"/>
      <c r="G4393" s="89"/>
      <c r="H4393" s="2"/>
      <c r="I4393" s="90"/>
      <c r="J4393" s="90"/>
      <c r="K4393" s="2"/>
      <c r="L4393" s="48"/>
      <c r="M4393" s="48"/>
      <c r="N4393" s="48"/>
      <c r="O4393" s="48" t="str">
        <f t="shared" si="2"/>
        <v/>
      </c>
      <c r="P4393" s="48" t="str">
        <f t="shared" si="3"/>
        <v/>
      </c>
      <c r="Q4393" s="84"/>
      <c r="R4393" s="84"/>
      <c r="S4393" s="84"/>
      <c r="T4393" s="84"/>
      <c r="U4393" s="84"/>
      <c r="V4393" s="84"/>
      <c r="W4393" s="84"/>
      <c r="X4393" s="84"/>
      <c r="Y4393" s="84"/>
      <c r="Z4393" s="84"/>
      <c r="AA4393" s="84"/>
      <c r="AB4393" s="84"/>
    </row>
    <row r="4394">
      <c r="A4394" s="89"/>
      <c r="B4394" s="89"/>
      <c r="C4394" s="89"/>
      <c r="D4394" s="89"/>
      <c r="E4394" s="89"/>
      <c r="F4394" s="89"/>
      <c r="G4394" s="89"/>
      <c r="H4394" s="2"/>
      <c r="I4394" s="90"/>
      <c r="J4394" s="90"/>
      <c r="K4394" s="2"/>
      <c r="L4394" s="49"/>
      <c r="M4394" s="49"/>
      <c r="N4394" s="49"/>
      <c r="O4394" s="49" t="str">
        <f t="shared" si="2"/>
        <v/>
      </c>
      <c r="P4394" s="49" t="str">
        <f t="shared" si="3"/>
        <v/>
      </c>
      <c r="Q4394" s="84"/>
      <c r="R4394" s="84"/>
      <c r="S4394" s="84"/>
      <c r="T4394" s="84"/>
      <c r="U4394" s="84"/>
      <c r="V4394" s="84"/>
      <c r="W4394" s="84"/>
      <c r="X4394" s="84"/>
      <c r="Y4394" s="84"/>
      <c r="Z4394" s="84"/>
      <c r="AA4394" s="84"/>
      <c r="AB4394" s="84"/>
    </row>
    <row r="4395">
      <c r="A4395" s="89"/>
      <c r="B4395" s="89"/>
      <c r="C4395" s="89"/>
      <c r="D4395" s="89"/>
      <c r="E4395" s="89"/>
      <c r="F4395" s="89"/>
      <c r="G4395" s="89"/>
      <c r="H4395" s="2"/>
      <c r="I4395" s="90"/>
      <c r="J4395" s="90"/>
      <c r="K4395" s="2"/>
      <c r="L4395" s="48"/>
      <c r="M4395" s="48"/>
      <c r="N4395" s="48"/>
      <c r="O4395" s="48" t="str">
        <f t="shared" si="2"/>
        <v/>
      </c>
      <c r="P4395" s="48" t="str">
        <f t="shared" si="3"/>
        <v/>
      </c>
      <c r="Q4395" s="84"/>
      <c r="R4395" s="84"/>
      <c r="S4395" s="84"/>
      <c r="T4395" s="84"/>
      <c r="U4395" s="84"/>
      <c r="V4395" s="84"/>
      <c r="W4395" s="84"/>
      <c r="X4395" s="84"/>
      <c r="Y4395" s="84"/>
      <c r="Z4395" s="84"/>
      <c r="AA4395" s="84"/>
      <c r="AB4395" s="84"/>
    </row>
    <row r="4396">
      <c r="A4396" s="89"/>
      <c r="B4396" s="89"/>
      <c r="C4396" s="89"/>
      <c r="D4396" s="89"/>
      <c r="E4396" s="89"/>
      <c r="F4396" s="89"/>
      <c r="G4396" s="89"/>
      <c r="H4396" s="2"/>
      <c r="I4396" s="90"/>
      <c r="J4396" s="90"/>
      <c r="K4396" s="2"/>
      <c r="L4396" s="49"/>
      <c r="M4396" s="49"/>
      <c r="N4396" s="49"/>
      <c r="O4396" s="49" t="str">
        <f t="shared" si="2"/>
        <v/>
      </c>
      <c r="P4396" s="49" t="str">
        <f t="shared" si="3"/>
        <v/>
      </c>
      <c r="Q4396" s="84"/>
      <c r="R4396" s="84"/>
      <c r="S4396" s="84"/>
      <c r="T4396" s="84"/>
      <c r="U4396" s="84"/>
      <c r="V4396" s="84"/>
      <c r="W4396" s="84"/>
      <c r="X4396" s="84"/>
      <c r="Y4396" s="84"/>
      <c r="Z4396" s="84"/>
      <c r="AA4396" s="84"/>
      <c r="AB4396" s="84"/>
    </row>
    <row r="4397">
      <c r="A4397" s="89"/>
      <c r="B4397" s="89"/>
      <c r="C4397" s="89"/>
      <c r="D4397" s="89"/>
      <c r="E4397" s="89"/>
      <c r="F4397" s="89"/>
      <c r="G4397" s="89"/>
      <c r="H4397" s="2"/>
      <c r="I4397" s="90"/>
      <c r="J4397" s="90"/>
      <c r="K4397" s="2"/>
      <c r="L4397" s="48"/>
      <c r="M4397" s="48"/>
      <c r="N4397" s="48"/>
      <c r="O4397" s="48" t="str">
        <f t="shared" si="2"/>
        <v/>
      </c>
      <c r="P4397" s="48" t="str">
        <f t="shared" si="3"/>
        <v/>
      </c>
      <c r="Q4397" s="84"/>
      <c r="R4397" s="84"/>
      <c r="S4397" s="84"/>
      <c r="T4397" s="84"/>
      <c r="U4397" s="84"/>
      <c r="V4397" s="84"/>
      <c r="W4397" s="84"/>
      <c r="X4397" s="84"/>
      <c r="Y4397" s="84"/>
      <c r="Z4397" s="84"/>
      <c r="AA4397" s="84"/>
      <c r="AB4397" s="84"/>
    </row>
    <row r="4398">
      <c r="A4398" s="89"/>
      <c r="B4398" s="89"/>
      <c r="C4398" s="89"/>
      <c r="D4398" s="89"/>
      <c r="E4398" s="89"/>
      <c r="F4398" s="89"/>
      <c r="G4398" s="89"/>
      <c r="H4398" s="2"/>
      <c r="I4398" s="90"/>
      <c r="J4398" s="90"/>
      <c r="K4398" s="2"/>
      <c r="L4398" s="49"/>
      <c r="M4398" s="49"/>
      <c r="N4398" s="49"/>
      <c r="O4398" s="49" t="str">
        <f t="shared" si="2"/>
        <v/>
      </c>
      <c r="P4398" s="49" t="str">
        <f t="shared" si="3"/>
        <v/>
      </c>
      <c r="Q4398" s="84"/>
      <c r="R4398" s="84"/>
      <c r="S4398" s="84"/>
      <c r="T4398" s="84"/>
      <c r="U4398" s="84"/>
      <c r="V4398" s="84"/>
      <c r="W4398" s="84"/>
      <c r="X4398" s="84"/>
      <c r="Y4398" s="84"/>
      <c r="Z4398" s="84"/>
      <c r="AA4398" s="84"/>
      <c r="AB4398" s="84"/>
    </row>
    <row r="4399">
      <c r="A4399" s="89"/>
      <c r="B4399" s="89"/>
      <c r="C4399" s="89"/>
      <c r="D4399" s="89"/>
      <c r="E4399" s="89"/>
      <c r="F4399" s="89"/>
      <c r="G4399" s="89"/>
      <c r="H4399" s="2"/>
      <c r="I4399" s="90"/>
      <c r="J4399" s="90"/>
      <c r="K4399" s="2"/>
      <c r="L4399" s="48"/>
      <c r="M4399" s="48"/>
      <c r="N4399" s="48"/>
      <c r="O4399" s="48" t="str">
        <f t="shared" si="2"/>
        <v/>
      </c>
      <c r="P4399" s="48" t="str">
        <f t="shared" si="3"/>
        <v/>
      </c>
      <c r="Q4399" s="84"/>
      <c r="R4399" s="84"/>
      <c r="S4399" s="84"/>
      <c r="T4399" s="84"/>
      <c r="U4399" s="84"/>
      <c r="V4399" s="84"/>
      <c r="W4399" s="84"/>
      <c r="X4399" s="84"/>
      <c r="Y4399" s="84"/>
      <c r="Z4399" s="84"/>
      <c r="AA4399" s="84"/>
      <c r="AB4399" s="84"/>
    </row>
    <row r="4400">
      <c r="A4400" s="89"/>
      <c r="B4400" s="89"/>
      <c r="C4400" s="89"/>
      <c r="D4400" s="89"/>
      <c r="E4400" s="89"/>
      <c r="F4400" s="89"/>
      <c r="G4400" s="89"/>
      <c r="H4400" s="2"/>
      <c r="I4400" s="90"/>
      <c r="J4400" s="90"/>
      <c r="K4400" s="2"/>
      <c r="L4400" s="49"/>
      <c r="M4400" s="49"/>
      <c r="N4400" s="49"/>
      <c r="O4400" s="49" t="str">
        <f t="shared" si="2"/>
        <v/>
      </c>
      <c r="P4400" s="49" t="str">
        <f t="shared" si="3"/>
        <v/>
      </c>
      <c r="Q4400" s="84"/>
      <c r="R4400" s="84"/>
      <c r="S4400" s="84"/>
      <c r="T4400" s="84"/>
      <c r="U4400" s="84"/>
      <c r="V4400" s="84"/>
      <c r="W4400" s="84"/>
      <c r="X4400" s="84"/>
      <c r="Y4400" s="84"/>
      <c r="Z4400" s="84"/>
      <c r="AA4400" s="84"/>
      <c r="AB4400" s="84"/>
    </row>
    <row r="4401">
      <c r="A4401" s="89"/>
      <c r="B4401" s="89"/>
      <c r="C4401" s="89"/>
      <c r="D4401" s="89"/>
      <c r="E4401" s="89"/>
      <c r="F4401" s="89"/>
      <c r="G4401" s="89"/>
      <c r="H4401" s="2"/>
      <c r="I4401" s="90"/>
      <c r="J4401" s="90"/>
      <c r="K4401" s="2"/>
      <c r="L4401" s="48"/>
      <c r="M4401" s="48"/>
      <c r="N4401" s="48"/>
      <c r="O4401" s="48" t="str">
        <f t="shared" si="2"/>
        <v/>
      </c>
      <c r="P4401" s="48" t="str">
        <f t="shared" si="3"/>
        <v/>
      </c>
      <c r="Q4401" s="84"/>
      <c r="R4401" s="84"/>
      <c r="S4401" s="84"/>
      <c r="T4401" s="84"/>
      <c r="U4401" s="84"/>
      <c r="V4401" s="84"/>
      <c r="W4401" s="84"/>
      <c r="X4401" s="84"/>
      <c r="Y4401" s="84"/>
      <c r="Z4401" s="84"/>
      <c r="AA4401" s="84"/>
      <c r="AB4401" s="84"/>
    </row>
    <row r="4402">
      <c r="A4402" s="89"/>
      <c r="B4402" s="89"/>
      <c r="C4402" s="89"/>
      <c r="D4402" s="89"/>
      <c r="E4402" s="89"/>
      <c r="F4402" s="89"/>
      <c r="G4402" s="89"/>
      <c r="H4402" s="2"/>
      <c r="I4402" s="90"/>
      <c r="J4402" s="90"/>
      <c r="K4402" s="2"/>
      <c r="L4402" s="49"/>
      <c r="M4402" s="49"/>
      <c r="N4402" s="49"/>
      <c r="O4402" s="49" t="str">
        <f t="shared" si="2"/>
        <v/>
      </c>
      <c r="P4402" s="49" t="str">
        <f t="shared" si="3"/>
        <v/>
      </c>
      <c r="Q4402" s="84"/>
      <c r="R4402" s="84"/>
      <c r="S4402" s="84"/>
      <c r="T4402" s="84"/>
      <c r="U4402" s="84"/>
      <c r="V4402" s="84"/>
      <c r="W4402" s="84"/>
      <c r="X4402" s="84"/>
      <c r="Y4402" s="84"/>
      <c r="Z4402" s="84"/>
      <c r="AA4402" s="84"/>
      <c r="AB4402" s="84"/>
    </row>
    <row r="4403">
      <c r="A4403" s="89"/>
      <c r="B4403" s="89"/>
      <c r="C4403" s="89"/>
      <c r="D4403" s="89"/>
      <c r="E4403" s="89"/>
      <c r="F4403" s="89"/>
      <c r="G4403" s="89"/>
      <c r="H4403" s="2"/>
      <c r="I4403" s="90"/>
      <c r="J4403" s="90"/>
      <c r="K4403" s="2"/>
      <c r="L4403" s="48"/>
      <c r="M4403" s="48"/>
      <c r="N4403" s="48"/>
      <c r="O4403" s="48" t="str">
        <f t="shared" si="2"/>
        <v/>
      </c>
      <c r="P4403" s="48" t="str">
        <f t="shared" si="3"/>
        <v/>
      </c>
      <c r="Q4403" s="84"/>
      <c r="R4403" s="84"/>
      <c r="S4403" s="84"/>
      <c r="T4403" s="84"/>
      <c r="U4403" s="84"/>
      <c r="V4403" s="84"/>
      <c r="W4403" s="84"/>
      <c r="X4403" s="84"/>
      <c r="Y4403" s="84"/>
      <c r="Z4403" s="84"/>
      <c r="AA4403" s="84"/>
      <c r="AB4403" s="84"/>
    </row>
    <row r="4404">
      <c r="A4404" s="89"/>
      <c r="B4404" s="89"/>
      <c r="C4404" s="89"/>
      <c r="D4404" s="89"/>
      <c r="E4404" s="89"/>
      <c r="F4404" s="89"/>
      <c r="G4404" s="89"/>
      <c r="H4404" s="2"/>
      <c r="I4404" s="90"/>
      <c r="J4404" s="90"/>
      <c r="K4404" s="2"/>
      <c r="L4404" s="49"/>
      <c r="M4404" s="49"/>
      <c r="N4404" s="49"/>
      <c r="O4404" s="49" t="str">
        <f t="shared" si="2"/>
        <v/>
      </c>
      <c r="P4404" s="49" t="str">
        <f t="shared" si="3"/>
        <v/>
      </c>
      <c r="Q4404" s="84"/>
      <c r="R4404" s="84"/>
      <c r="S4404" s="84"/>
      <c r="T4404" s="84"/>
      <c r="U4404" s="84"/>
      <c r="V4404" s="84"/>
      <c r="W4404" s="84"/>
      <c r="X4404" s="84"/>
      <c r="Y4404" s="84"/>
      <c r="Z4404" s="84"/>
      <c r="AA4404" s="84"/>
      <c r="AB4404" s="84"/>
    </row>
    <row r="4405">
      <c r="A4405" s="89"/>
      <c r="B4405" s="89"/>
      <c r="C4405" s="89"/>
      <c r="D4405" s="89"/>
      <c r="E4405" s="89"/>
      <c r="F4405" s="89"/>
      <c r="G4405" s="89"/>
      <c r="H4405" s="2"/>
      <c r="I4405" s="90"/>
      <c r="J4405" s="90"/>
      <c r="K4405" s="2"/>
      <c r="L4405" s="48"/>
      <c r="M4405" s="48"/>
      <c r="N4405" s="48"/>
      <c r="O4405" s="48" t="str">
        <f t="shared" si="2"/>
        <v/>
      </c>
      <c r="P4405" s="48" t="str">
        <f t="shared" si="3"/>
        <v/>
      </c>
      <c r="Q4405" s="84"/>
      <c r="R4405" s="84"/>
      <c r="S4405" s="84"/>
      <c r="T4405" s="84"/>
      <c r="U4405" s="84"/>
      <c r="V4405" s="84"/>
      <c r="W4405" s="84"/>
      <c r="X4405" s="84"/>
      <c r="Y4405" s="84"/>
      <c r="Z4405" s="84"/>
      <c r="AA4405" s="84"/>
      <c r="AB4405" s="84"/>
    </row>
    <row r="4406">
      <c r="A4406" s="89"/>
      <c r="B4406" s="89"/>
      <c r="C4406" s="89"/>
      <c r="D4406" s="89"/>
      <c r="E4406" s="89"/>
      <c r="F4406" s="89"/>
      <c r="G4406" s="89"/>
      <c r="H4406" s="2"/>
      <c r="I4406" s="90"/>
      <c r="J4406" s="90"/>
      <c r="K4406" s="2"/>
      <c r="L4406" s="49"/>
      <c r="M4406" s="49"/>
      <c r="N4406" s="49"/>
      <c r="O4406" s="49" t="str">
        <f t="shared" si="2"/>
        <v/>
      </c>
      <c r="P4406" s="49" t="str">
        <f t="shared" si="3"/>
        <v/>
      </c>
      <c r="Q4406" s="84"/>
      <c r="R4406" s="84"/>
      <c r="S4406" s="84"/>
      <c r="T4406" s="84"/>
      <c r="U4406" s="84"/>
      <c r="V4406" s="84"/>
      <c r="W4406" s="84"/>
      <c r="X4406" s="84"/>
      <c r="Y4406" s="84"/>
      <c r="Z4406" s="84"/>
      <c r="AA4406" s="84"/>
      <c r="AB4406" s="84"/>
    </row>
    <row r="4407">
      <c r="A4407" s="89"/>
      <c r="B4407" s="89"/>
      <c r="C4407" s="89"/>
      <c r="D4407" s="89"/>
      <c r="E4407" s="89"/>
      <c r="F4407" s="89"/>
      <c r="G4407" s="89"/>
      <c r="H4407" s="2"/>
      <c r="I4407" s="90"/>
      <c r="J4407" s="90"/>
      <c r="K4407" s="2"/>
      <c r="L4407" s="48"/>
      <c r="M4407" s="48"/>
      <c r="N4407" s="48"/>
      <c r="O4407" s="48" t="str">
        <f t="shared" si="2"/>
        <v/>
      </c>
      <c r="P4407" s="48" t="str">
        <f t="shared" si="3"/>
        <v/>
      </c>
      <c r="Q4407" s="84"/>
      <c r="R4407" s="84"/>
      <c r="S4407" s="84"/>
      <c r="T4407" s="84"/>
      <c r="U4407" s="84"/>
      <c r="V4407" s="84"/>
      <c r="W4407" s="84"/>
      <c r="X4407" s="84"/>
      <c r="Y4407" s="84"/>
      <c r="Z4407" s="84"/>
      <c r="AA4407" s="84"/>
      <c r="AB4407" s="84"/>
    </row>
    <row r="4408">
      <c r="A4408" s="89"/>
      <c r="B4408" s="89"/>
      <c r="C4408" s="89"/>
      <c r="D4408" s="89"/>
      <c r="E4408" s="89"/>
      <c r="F4408" s="89"/>
      <c r="G4408" s="89"/>
      <c r="H4408" s="2"/>
      <c r="I4408" s="90"/>
      <c r="J4408" s="90"/>
      <c r="K4408" s="2"/>
      <c r="L4408" s="49"/>
      <c r="M4408" s="49"/>
      <c r="N4408" s="49"/>
      <c r="O4408" s="49" t="str">
        <f t="shared" si="2"/>
        <v/>
      </c>
      <c r="P4408" s="49" t="str">
        <f t="shared" si="3"/>
        <v/>
      </c>
      <c r="Q4408" s="84"/>
      <c r="R4408" s="84"/>
      <c r="S4408" s="84"/>
      <c r="T4408" s="84"/>
      <c r="U4408" s="84"/>
      <c r="V4408" s="84"/>
      <c r="W4408" s="84"/>
      <c r="X4408" s="84"/>
      <c r="Y4408" s="84"/>
      <c r="Z4408" s="84"/>
      <c r="AA4408" s="84"/>
      <c r="AB4408" s="84"/>
    </row>
    <row r="4409">
      <c r="A4409" s="89"/>
      <c r="B4409" s="89"/>
      <c r="C4409" s="89"/>
      <c r="D4409" s="89"/>
      <c r="E4409" s="89"/>
      <c r="F4409" s="89"/>
      <c r="G4409" s="89"/>
      <c r="H4409" s="2"/>
      <c r="I4409" s="90"/>
      <c r="J4409" s="90"/>
      <c r="K4409" s="2"/>
      <c r="L4409" s="48"/>
      <c r="M4409" s="48"/>
      <c r="N4409" s="48"/>
      <c r="O4409" s="48" t="str">
        <f t="shared" si="2"/>
        <v/>
      </c>
      <c r="P4409" s="48" t="str">
        <f t="shared" si="3"/>
        <v/>
      </c>
      <c r="Q4409" s="84"/>
      <c r="R4409" s="84"/>
      <c r="S4409" s="84"/>
      <c r="T4409" s="84"/>
      <c r="U4409" s="84"/>
      <c r="V4409" s="84"/>
      <c r="W4409" s="84"/>
      <c r="X4409" s="84"/>
      <c r="Y4409" s="84"/>
      <c r="Z4409" s="84"/>
      <c r="AA4409" s="84"/>
      <c r="AB4409" s="84"/>
    </row>
    <row r="4410">
      <c r="A4410" s="89"/>
      <c r="B4410" s="89"/>
      <c r="C4410" s="89"/>
      <c r="D4410" s="89"/>
      <c r="E4410" s="89"/>
      <c r="F4410" s="89"/>
      <c r="G4410" s="89"/>
      <c r="H4410" s="2"/>
      <c r="I4410" s="90"/>
      <c r="J4410" s="90"/>
      <c r="K4410" s="2"/>
      <c r="L4410" s="49"/>
      <c r="M4410" s="49"/>
      <c r="N4410" s="49"/>
      <c r="O4410" s="49" t="str">
        <f t="shared" si="2"/>
        <v/>
      </c>
      <c r="P4410" s="49" t="str">
        <f t="shared" si="3"/>
        <v/>
      </c>
      <c r="Q4410" s="84"/>
      <c r="R4410" s="84"/>
      <c r="S4410" s="84"/>
      <c r="T4410" s="84"/>
      <c r="U4410" s="84"/>
      <c r="V4410" s="84"/>
      <c r="W4410" s="84"/>
      <c r="X4410" s="84"/>
      <c r="Y4410" s="84"/>
      <c r="Z4410" s="84"/>
      <c r="AA4410" s="84"/>
      <c r="AB4410" s="84"/>
    </row>
    <row r="4411">
      <c r="A4411" s="89"/>
      <c r="B4411" s="89"/>
      <c r="C4411" s="89"/>
      <c r="D4411" s="89"/>
      <c r="E4411" s="89"/>
      <c r="F4411" s="89"/>
      <c r="G4411" s="89"/>
      <c r="H4411" s="2"/>
      <c r="I4411" s="90"/>
      <c r="J4411" s="90"/>
      <c r="K4411" s="2"/>
      <c r="L4411" s="48"/>
      <c r="M4411" s="48"/>
      <c r="N4411" s="48"/>
      <c r="O4411" s="48" t="str">
        <f t="shared" si="2"/>
        <v/>
      </c>
      <c r="P4411" s="48" t="str">
        <f t="shared" si="3"/>
        <v/>
      </c>
      <c r="Q4411" s="84"/>
      <c r="R4411" s="84"/>
      <c r="S4411" s="84"/>
      <c r="T4411" s="84"/>
      <c r="U4411" s="84"/>
      <c r="V4411" s="84"/>
      <c r="W4411" s="84"/>
      <c r="X4411" s="84"/>
      <c r="Y4411" s="84"/>
      <c r="Z4411" s="84"/>
      <c r="AA4411" s="84"/>
      <c r="AB4411" s="84"/>
    </row>
    <row r="4412">
      <c r="A4412" s="89"/>
      <c r="B4412" s="89"/>
      <c r="C4412" s="89"/>
      <c r="D4412" s="89"/>
      <c r="E4412" s="89"/>
      <c r="F4412" s="89"/>
      <c r="G4412" s="89"/>
      <c r="H4412" s="2"/>
      <c r="I4412" s="90"/>
      <c r="J4412" s="90"/>
      <c r="K4412" s="2"/>
      <c r="L4412" s="49"/>
      <c r="M4412" s="49"/>
      <c r="N4412" s="49"/>
      <c r="O4412" s="49" t="str">
        <f t="shared" si="2"/>
        <v/>
      </c>
      <c r="P4412" s="49" t="str">
        <f t="shared" si="3"/>
        <v/>
      </c>
      <c r="Q4412" s="84"/>
      <c r="R4412" s="84"/>
      <c r="S4412" s="84"/>
      <c r="T4412" s="84"/>
      <c r="U4412" s="84"/>
      <c r="V4412" s="84"/>
      <c r="W4412" s="84"/>
      <c r="X4412" s="84"/>
      <c r="Y4412" s="84"/>
      <c r="Z4412" s="84"/>
      <c r="AA4412" s="84"/>
      <c r="AB4412" s="84"/>
    </row>
    <row r="4413">
      <c r="A4413" s="89"/>
      <c r="B4413" s="89"/>
      <c r="C4413" s="89"/>
      <c r="D4413" s="89"/>
      <c r="E4413" s="89"/>
      <c r="F4413" s="89"/>
      <c r="G4413" s="89"/>
      <c r="H4413" s="2"/>
      <c r="I4413" s="90"/>
      <c r="J4413" s="90"/>
      <c r="K4413" s="2"/>
      <c r="L4413" s="48"/>
      <c r="M4413" s="48"/>
      <c r="N4413" s="48"/>
      <c r="O4413" s="48" t="str">
        <f t="shared" si="2"/>
        <v/>
      </c>
      <c r="P4413" s="48" t="str">
        <f t="shared" si="3"/>
        <v/>
      </c>
      <c r="Q4413" s="84"/>
      <c r="R4413" s="84"/>
      <c r="S4413" s="84"/>
      <c r="T4413" s="84"/>
      <c r="U4413" s="84"/>
      <c r="V4413" s="84"/>
      <c r="W4413" s="84"/>
      <c r="X4413" s="84"/>
      <c r="Y4413" s="84"/>
      <c r="Z4413" s="84"/>
      <c r="AA4413" s="84"/>
      <c r="AB4413" s="84"/>
    </row>
    <row r="4414">
      <c r="A4414" s="89"/>
      <c r="B4414" s="89"/>
      <c r="C4414" s="89"/>
      <c r="D4414" s="89"/>
      <c r="E4414" s="89"/>
      <c r="F4414" s="89"/>
      <c r="G4414" s="89"/>
      <c r="H4414" s="2"/>
      <c r="I4414" s="90"/>
      <c r="J4414" s="90"/>
      <c r="K4414" s="2"/>
      <c r="L4414" s="49"/>
      <c r="M4414" s="49"/>
      <c r="N4414" s="49"/>
      <c r="O4414" s="49" t="str">
        <f t="shared" si="2"/>
        <v/>
      </c>
      <c r="P4414" s="49" t="str">
        <f t="shared" si="3"/>
        <v/>
      </c>
      <c r="Q4414" s="84"/>
      <c r="R4414" s="84"/>
      <c r="S4414" s="84"/>
      <c r="T4414" s="84"/>
      <c r="U4414" s="84"/>
      <c r="V4414" s="84"/>
      <c r="W4414" s="84"/>
      <c r="X4414" s="84"/>
      <c r="Y4414" s="84"/>
      <c r="Z4414" s="84"/>
      <c r="AA4414" s="84"/>
      <c r="AB4414" s="84"/>
    </row>
    <row r="4415">
      <c r="A4415" s="89"/>
      <c r="B4415" s="89"/>
      <c r="C4415" s="89"/>
      <c r="D4415" s="89"/>
      <c r="E4415" s="89"/>
      <c r="F4415" s="89"/>
      <c r="G4415" s="89"/>
      <c r="H4415" s="2"/>
      <c r="I4415" s="90"/>
      <c r="J4415" s="90"/>
      <c r="K4415" s="2"/>
      <c r="L4415" s="48"/>
      <c r="M4415" s="48"/>
      <c r="N4415" s="48"/>
      <c r="O4415" s="48" t="str">
        <f t="shared" si="2"/>
        <v/>
      </c>
      <c r="P4415" s="48" t="str">
        <f t="shared" si="3"/>
        <v/>
      </c>
      <c r="Q4415" s="84"/>
      <c r="R4415" s="84"/>
      <c r="S4415" s="84"/>
      <c r="T4415" s="84"/>
      <c r="U4415" s="84"/>
      <c r="V4415" s="84"/>
      <c r="W4415" s="84"/>
      <c r="X4415" s="84"/>
      <c r="Y4415" s="84"/>
      <c r="Z4415" s="84"/>
      <c r="AA4415" s="84"/>
      <c r="AB4415" s="84"/>
    </row>
    <row r="4416">
      <c r="A4416" s="89"/>
      <c r="B4416" s="89"/>
      <c r="C4416" s="89"/>
      <c r="D4416" s="89"/>
      <c r="E4416" s="89"/>
      <c r="F4416" s="89"/>
      <c r="G4416" s="89"/>
      <c r="H4416" s="2"/>
      <c r="I4416" s="90"/>
      <c r="J4416" s="90"/>
      <c r="K4416" s="2"/>
      <c r="L4416" s="49"/>
      <c r="M4416" s="49"/>
      <c r="N4416" s="49"/>
      <c r="O4416" s="49" t="str">
        <f t="shared" si="2"/>
        <v/>
      </c>
      <c r="P4416" s="49" t="str">
        <f t="shared" si="3"/>
        <v/>
      </c>
      <c r="Q4416" s="84"/>
      <c r="R4416" s="84"/>
      <c r="S4416" s="84"/>
      <c r="T4416" s="84"/>
      <c r="U4416" s="84"/>
      <c r="V4416" s="84"/>
      <c r="W4416" s="84"/>
      <c r="X4416" s="84"/>
      <c r="Y4416" s="84"/>
      <c r="Z4416" s="84"/>
      <c r="AA4416" s="84"/>
      <c r="AB4416" s="84"/>
    </row>
    <row r="4417">
      <c r="A4417" s="89"/>
      <c r="B4417" s="89"/>
      <c r="C4417" s="89"/>
      <c r="D4417" s="89"/>
      <c r="E4417" s="89"/>
      <c r="F4417" s="89"/>
      <c r="G4417" s="89"/>
      <c r="H4417" s="2"/>
      <c r="I4417" s="90"/>
      <c r="J4417" s="90"/>
      <c r="K4417" s="2"/>
      <c r="L4417" s="48"/>
      <c r="M4417" s="48"/>
      <c r="N4417" s="48"/>
      <c r="O4417" s="48" t="str">
        <f t="shared" si="2"/>
        <v/>
      </c>
      <c r="P4417" s="48" t="str">
        <f t="shared" si="3"/>
        <v/>
      </c>
      <c r="Q4417" s="84"/>
      <c r="R4417" s="84"/>
      <c r="S4417" s="84"/>
      <c r="T4417" s="84"/>
      <c r="U4417" s="84"/>
      <c r="V4417" s="84"/>
      <c r="W4417" s="84"/>
      <c r="X4417" s="84"/>
      <c r="Y4417" s="84"/>
      <c r="Z4417" s="84"/>
      <c r="AA4417" s="84"/>
      <c r="AB4417" s="84"/>
    </row>
    <row r="4418">
      <c r="A4418" s="89"/>
      <c r="B4418" s="89"/>
      <c r="C4418" s="89"/>
      <c r="D4418" s="89"/>
      <c r="E4418" s="89"/>
      <c r="F4418" s="89"/>
      <c r="G4418" s="89"/>
      <c r="H4418" s="2"/>
      <c r="I4418" s="90"/>
      <c r="J4418" s="90"/>
      <c r="K4418" s="2"/>
      <c r="L4418" s="49"/>
      <c r="M4418" s="49"/>
      <c r="N4418" s="49"/>
      <c r="O4418" s="49" t="str">
        <f t="shared" si="2"/>
        <v/>
      </c>
      <c r="P4418" s="49" t="str">
        <f t="shared" si="3"/>
        <v/>
      </c>
      <c r="Q4418" s="84"/>
      <c r="R4418" s="84"/>
      <c r="S4418" s="84"/>
      <c r="T4418" s="84"/>
      <c r="U4418" s="84"/>
      <c r="V4418" s="84"/>
      <c r="W4418" s="84"/>
      <c r="X4418" s="84"/>
      <c r="Y4418" s="84"/>
      <c r="Z4418" s="84"/>
      <c r="AA4418" s="84"/>
      <c r="AB4418" s="84"/>
    </row>
    <row r="4419">
      <c r="A4419" s="89"/>
      <c r="B4419" s="89"/>
      <c r="C4419" s="89"/>
      <c r="D4419" s="89"/>
      <c r="E4419" s="89"/>
      <c r="F4419" s="89"/>
      <c r="G4419" s="89"/>
      <c r="H4419" s="2"/>
      <c r="I4419" s="90"/>
      <c r="J4419" s="90"/>
      <c r="K4419" s="2"/>
      <c r="L4419" s="48"/>
      <c r="M4419" s="48"/>
      <c r="N4419" s="48"/>
      <c r="O4419" s="48" t="str">
        <f t="shared" si="2"/>
        <v/>
      </c>
      <c r="P4419" s="48" t="str">
        <f t="shared" si="3"/>
        <v/>
      </c>
      <c r="Q4419" s="84"/>
      <c r="R4419" s="84"/>
      <c r="S4419" s="84"/>
      <c r="T4419" s="84"/>
      <c r="U4419" s="84"/>
      <c r="V4419" s="84"/>
      <c r="W4419" s="84"/>
      <c r="X4419" s="84"/>
      <c r="Y4419" s="84"/>
      <c r="Z4419" s="84"/>
      <c r="AA4419" s="84"/>
      <c r="AB4419" s="84"/>
    </row>
    <row r="4420">
      <c r="A4420" s="89"/>
      <c r="B4420" s="89"/>
      <c r="C4420" s="89"/>
      <c r="D4420" s="89"/>
      <c r="E4420" s="89"/>
      <c r="F4420" s="89"/>
      <c r="G4420" s="89"/>
      <c r="H4420" s="2"/>
      <c r="I4420" s="90"/>
      <c r="J4420" s="90"/>
      <c r="K4420" s="2"/>
      <c r="L4420" s="49"/>
      <c r="M4420" s="49"/>
      <c r="N4420" s="49"/>
      <c r="O4420" s="49" t="str">
        <f t="shared" si="2"/>
        <v/>
      </c>
      <c r="P4420" s="49" t="str">
        <f t="shared" si="3"/>
        <v/>
      </c>
      <c r="Q4420" s="84"/>
      <c r="R4420" s="84"/>
      <c r="S4420" s="84"/>
      <c r="T4420" s="84"/>
      <c r="U4420" s="84"/>
      <c r="V4420" s="84"/>
      <c r="W4420" s="84"/>
      <c r="X4420" s="84"/>
      <c r="Y4420" s="84"/>
      <c r="Z4420" s="84"/>
      <c r="AA4420" s="84"/>
      <c r="AB4420" s="84"/>
    </row>
    <row r="4421">
      <c r="A4421" s="89"/>
      <c r="B4421" s="89"/>
      <c r="C4421" s="89"/>
      <c r="D4421" s="89"/>
      <c r="E4421" s="89"/>
      <c r="F4421" s="89"/>
      <c r="G4421" s="89"/>
      <c r="H4421" s="2"/>
      <c r="I4421" s="90"/>
      <c r="J4421" s="90"/>
      <c r="K4421" s="2"/>
      <c r="L4421" s="48"/>
      <c r="M4421" s="48"/>
      <c r="N4421" s="48"/>
      <c r="O4421" s="48" t="str">
        <f t="shared" si="2"/>
        <v/>
      </c>
      <c r="P4421" s="48" t="str">
        <f t="shared" si="3"/>
        <v/>
      </c>
      <c r="Q4421" s="84"/>
      <c r="R4421" s="84"/>
      <c r="S4421" s="84"/>
      <c r="T4421" s="84"/>
      <c r="U4421" s="84"/>
      <c r="V4421" s="84"/>
      <c r="W4421" s="84"/>
      <c r="X4421" s="84"/>
      <c r="Y4421" s="84"/>
      <c r="Z4421" s="84"/>
      <c r="AA4421" s="84"/>
      <c r="AB4421" s="84"/>
    </row>
    <row r="4422">
      <c r="A4422" s="89"/>
      <c r="B4422" s="89"/>
      <c r="C4422" s="89"/>
      <c r="D4422" s="89"/>
      <c r="E4422" s="89"/>
      <c r="F4422" s="89"/>
      <c r="G4422" s="89"/>
      <c r="H4422" s="2"/>
      <c r="I4422" s="90"/>
      <c r="J4422" s="90"/>
      <c r="K4422" s="2"/>
      <c r="L4422" s="49"/>
      <c r="M4422" s="49"/>
      <c r="N4422" s="49"/>
      <c r="O4422" s="49" t="str">
        <f t="shared" si="2"/>
        <v/>
      </c>
      <c r="P4422" s="49" t="str">
        <f t="shared" si="3"/>
        <v/>
      </c>
      <c r="Q4422" s="84"/>
      <c r="R4422" s="84"/>
      <c r="S4422" s="84"/>
      <c r="T4422" s="84"/>
      <c r="U4422" s="84"/>
      <c r="V4422" s="84"/>
      <c r="W4422" s="84"/>
      <c r="X4422" s="84"/>
      <c r="Y4422" s="84"/>
      <c r="Z4422" s="84"/>
      <c r="AA4422" s="84"/>
      <c r="AB4422" s="84"/>
    </row>
    <row r="4423">
      <c r="A4423" s="89"/>
      <c r="B4423" s="89"/>
      <c r="C4423" s="89"/>
      <c r="D4423" s="89"/>
      <c r="E4423" s="89"/>
      <c r="F4423" s="89"/>
      <c r="G4423" s="89"/>
      <c r="H4423" s="2"/>
      <c r="I4423" s="90"/>
      <c r="J4423" s="90"/>
      <c r="K4423" s="2"/>
      <c r="L4423" s="48"/>
      <c r="M4423" s="48"/>
      <c r="N4423" s="48"/>
      <c r="O4423" s="48" t="str">
        <f t="shared" si="2"/>
        <v/>
      </c>
      <c r="P4423" s="48" t="str">
        <f t="shared" si="3"/>
        <v/>
      </c>
      <c r="Q4423" s="84"/>
      <c r="R4423" s="84"/>
      <c r="S4423" s="84"/>
      <c r="T4423" s="84"/>
      <c r="U4423" s="84"/>
      <c r="V4423" s="84"/>
      <c r="W4423" s="84"/>
      <c r="X4423" s="84"/>
      <c r="Y4423" s="84"/>
      <c r="Z4423" s="84"/>
      <c r="AA4423" s="84"/>
      <c r="AB4423" s="84"/>
    </row>
    <row r="4424">
      <c r="A4424" s="89"/>
      <c r="B4424" s="89"/>
      <c r="C4424" s="89"/>
      <c r="D4424" s="89"/>
      <c r="E4424" s="89"/>
      <c r="F4424" s="89"/>
      <c r="G4424" s="89"/>
      <c r="H4424" s="2"/>
      <c r="I4424" s="90"/>
      <c r="J4424" s="90"/>
      <c r="K4424" s="2"/>
      <c r="L4424" s="49"/>
      <c r="M4424" s="49"/>
      <c r="N4424" s="49"/>
      <c r="O4424" s="49" t="str">
        <f t="shared" si="2"/>
        <v/>
      </c>
      <c r="P4424" s="49" t="str">
        <f t="shared" si="3"/>
        <v/>
      </c>
      <c r="Q4424" s="84"/>
      <c r="R4424" s="84"/>
      <c r="S4424" s="84"/>
      <c r="T4424" s="84"/>
      <c r="U4424" s="84"/>
      <c r="V4424" s="84"/>
      <c r="W4424" s="84"/>
      <c r="X4424" s="84"/>
      <c r="Y4424" s="84"/>
      <c r="Z4424" s="84"/>
      <c r="AA4424" s="84"/>
      <c r="AB4424" s="84"/>
    </row>
    <row r="4425">
      <c r="A4425" s="89"/>
      <c r="B4425" s="89"/>
      <c r="C4425" s="89"/>
      <c r="D4425" s="89"/>
      <c r="E4425" s="89"/>
      <c r="F4425" s="89"/>
      <c r="G4425" s="89"/>
      <c r="H4425" s="2"/>
      <c r="I4425" s="90"/>
      <c r="J4425" s="90"/>
      <c r="K4425" s="2"/>
      <c r="L4425" s="48"/>
      <c r="M4425" s="48"/>
      <c r="N4425" s="48"/>
      <c r="O4425" s="48" t="str">
        <f t="shared" si="2"/>
        <v/>
      </c>
      <c r="P4425" s="48" t="str">
        <f t="shared" si="3"/>
        <v/>
      </c>
      <c r="Q4425" s="84"/>
      <c r="R4425" s="84"/>
      <c r="S4425" s="84"/>
      <c r="T4425" s="84"/>
      <c r="U4425" s="84"/>
      <c r="V4425" s="84"/>
      <c r="W4425" s="84"/>
      <c r="X4425" s="84"/>
      <c r="Y4425" s="84"/>
      <c r="Z4425" s="84"/>
      <c r="AA4425" s="84"/>
      <c r="AB4425" s="84"/>
    </row>
    <row r="4426">
      <c r="A4426" s="89"/>
      <c r="B4426" s="89"/>
      <c r="C4426" s="89"/>
      <c r="D4426" s="89"/>
      <c r="E4426" s="89"/>
      <c r="F4426" s="89"/>
      <c r="G4426" s="89"/>
      <c r="H4426" s="2"/>
      <c r="I4426" s="90"/>
      <c r="J4426" s="90"/>
      <c r="K4426" s="2"/>
      <c r="L4426" s="49"/>
      <c r="M4426" s="49"/>
      <c r="N4426" s="49"/>
      <c r="O4426" s="49" t="str">
        <f t="shared" si="2"/>
        <v/>
      </c>
      <c r="P4426" s="49" t="str">
        <f t="shared" si="3"/>
        <v/>
      </c>
      <c r="Q4426" s="84"/>
      <c r="R4426" s="84"/>
      <c r="S4426" s="84"/>
      <c r="T4426" s="84"/>
      <c r="U4426" s="84"/>
      <c r="V4426" s="84"/>
      <c r="W4426" s="84"/>
      <c r="X4426" s="84"/>
      <c r="Y4426" s="84"/>
      <c r="Z4426" s="84"/>
      <c r="AA4426" s="84"/>
      <c r="AB4426" s="84"/>
    </row>
    <row r="4427">
      <c r="A4427" s="89"/>
      <c r="B4427" s="89"/>
      <c r="C4427" s="89"/>
      <c r="D4427" s="89"/>
      <c r="E4427" s="89"/>
      <c r="F4427" s="89"/>
      <c r="G4427" s="89"/>
      <c r="H4427" s="2"/>
      <c r="I4427" s="90"/>
      <c r="J4427" s="90"/>
      <c r="K4427" s="2"/>
      <c r="L4427" s="48"/>
      <c r="M4427" s="48"/>
      <c r="N4427" s="48"/>
      <c r="O4427" s="48" t="str">
        <f t="shared" si="2"/>
        <v/>
      </c>
      <c r="P4427" s="48" t="str">
        <f t="shared" si="3"/>
        <v/>
      </c>
      <c r="Q4427" s="84"/>
      <c r="R4427" s="84"/>
      <c r="S4427" s="84"/>
      <c r="T4427" s="84"/>
      <c r="U4427" s="84"/>
      <c r="V4427" s="84"/>
      <c r="W4427" s="84"/>
      <c r="X4427" s="84"/>
      <c r="Y4427" s="84"/>
      <c r="Z4427" s="84"/>
      <c r="AA4427" s="84"/>
      <c r="AB4427" s="84"/>
    </row>
    <row r="4428">
      <c r="A4428" s="89"/>
      <c r="B4428" s="89"/>
      <c r="C4428" s="89"/>
      <c r="D4428" s="89"/>
      <c r="E4428" s="89"/>
      <c r="F4428" s="89"/>
      <c r="G4428" s="89"/>
      <c r="H4428" s="2"/>
      <c r="I4428" s="90"/>
      <c r="J4428" s="90"/>
      <c r="K4428" s="2"/>
      <c r="L4428" s="49"/>
      <c r="M4428" s="49"/>
      <c r="N4428" s="49"/>
      <c r="O4428" s="49" t="str">
        <f t="shared" si="2"/>
        <v/>
      </c>
      <c r="P4428" s="49" t="str">
        <f t="shared" si="3"/>
        <v/>
      </c>
      <c r="Q4428" s="84"/>
      <c r="R4428" s="84"/>
      <c r="S4428" s="84"/>
      <c r="T4428" s="84"/>
      <c r="U4428" s="84"/>
      <c r="V4428" s="84"/>
      <c r="W4428" s="84"/>
      <c r="X4428" s="84"/>
      <c r="Y4428" s="84"/>
      <c r="Z4428" s="84"/>
      <c r="AA4428" s="84"/>
      <c r="AB4428" s="84"/>
    </row>
    <row r="4429">
      <c r="A4429" s="89"/>
      <c r="B4429" s="89"/>
      <c r="C4429" s="89"/>
      <c r="D4429" s="89"/>
      <c r="E4429" s="89"/>
      <c r="F4429" s="89"/>
      <c r="G4429" s="89"/>
      <c r="H4429" s="2"/>
      <c r="I4429" s="90"/>
      <c r="J4429" s="90"/>
      <c r="K4429" s="2"/>
      <c r="L4429" s="48"/>
      <c r="M4429" s="48"/>
      <c r="N4429" s="48"/>
      <c r="O4429" s="48" t="str">
        <f t="shared" si="2"/>
        <v/>
      </c>
      <c r="P4429" s="48" t="str">
        <f t="shared" si="3"/>
        <v/>
      </c>
      <c r="Q4429" s="84"/>
      <c r="R4429" s="84"/>
      <c r="S4429" s="84"/>
      <c r="T4429" s="84"/>
      <c r="U4429" s="84"/>
      <c r="V4429" s="84"/>
      <c r="W4429" s="84"/>
      <c r="X4429" s="84"/>
      <c r="Y4429" s="84"/>
      <c r="Z4429" s="84"/>
      <c r="AA4429" s="84"/>
      <c r="AB4429" s="84"/>
    </row>
    <row r="4430">
      <c r="A4430" s="89"/>
      <c r="B4430" s="89"/>
      <c r="C4430" s="89"/>
      <c r="D4430" s="89"/>
      <c r="E4430" s="89"/>
      <c r="F4430" s="89"/>
      <c r="G4430" s="89"/>
      <c r="H4430" s="2"/>
      <c r="I4430" s="90"/>
      <c r="J4430" s="90"/>
      <c r="K4430" s="2"/>
      <c r="L4430" s="49"/>
      <c r="M4430" s="49"/>
      <c r="N4430" s="49"/>
      <c r="O4430" s="49" t="str">
        <f t="shared" si="2"/>
        <v/>
      </c>
      <c r="P4430" s="49" t="str">
        <f t="shared" si="3"/>
        <v/>
      </c>
      <c r="Q4430" s="84"/>
      <c r="R4430" s="84"/>
      <c r="S4430" s="84"/>
      <c r="T4430" s="84"/>
      <c r="U4430" s="84"/>
      <c r="V4430" s="84"/>
      <c r="W4430" s="84"/>
      <c r="X4430" s="84"/>
      <c r="Y4430" s="84"/>
      <c r="Z4430" s="84"/>
      <c r="AA4430" s="84"/>
      <c r="AB4430" s="84"/>
    </row>
    <row r="4431">
      <c r="A4431" s="89"/>
      <c r="B4431" s="89"/>
      <c r="C4431" s="89"/>
      <c r="D4431" s="89"/>
      <c r="E4431" s="89"/>
      <c r="F4431" s="89"/>
      <c r="G4431" s="89"/>
      <c r="H4431" s="2"/>
      <c r="I4431" s="90"/>
      <c r="J4431" s="90"/>
      <c r="K4431" s="2"/>
      <c r="L4431" s="48"/>
      <c r="M4431" s="48"/>
      <c r="N4431" s="48"/>
      <c r="O4431" s="48" t="str">
        <f t="shared" si="2"/>
        <v/>
      </c>
      <c r="P4431" s="48" t="str">
        <f t="shared" si="3"/>
        <v/>
      </c>
      <c r="Q4431" s="84"/>
      <c r="R4431" s="84"/>
      <c r="S4431" s="84"/>
      <c r="T4431" s="84"/>
      <c r="U4431" s="84"/>
      <c r="V4431" s="84"/>
      <c r="W4431" s="84"/>
      <c r="X4431" s="84"/>
      <c r="Y4431" s="84"/>
      <c r="Z4431" s="84"/>
      <c r="AA4431" s="84"/>
      <c r="AB4431" s="84"/>
    </row>
    <row r="4432">
      <c r="A4432" s="89"/>
      <c r="B4432" s="89"/>
      <c r="C4432" s="89"/>
      <c r="D4432" s="89"/>
      <c r="E4432" s="89"/>
      <c r="F4432" s="89"/>
      <c r="G4432" s="89"/>
      <c r="H4432" s="2"/>
      <c r="I4432" s="90"/>
      <c r="J4432" s="90"/>
      <c r="K4432" s="2"/>
      <c r="L4432" s="49"/>
      <c r="M4432" s="49"/>
      <c r="N4432" s="49"/>
      <c r="O4432" s="49" t="str">
        <f t="shared" si="2"/>
        <v/>
      </c>
      <c r="P4432" s="49" t="str">
        <f t="shared" si="3"/>
        <v/>
      </c>
      <c r="Q4432" s="84"/>
      <c r="R4432" s="84"/>
      <c r="S4432" s="84"/>
      <c r="T4432" s="84"/>
      <c r="U4432" s="84"/>
      <c r="V4432" s="84"/>
      <c r="W4432" s="84"/>
      <c r="X4432" s="84"/>
      <c r="Y4432" s="84"/>
      <c r="Z4432" s="84"/>
      <c r="AA4432" s="84"/>
      <c r="AB4432" s="84"/>
    </row>
    <row r="4433">
      <c r="A4433" s="89"/>
      <c r="B4433" s="89"/>
      <c r="C4433" s="89"/>
      <c r="D4433" s="89"/>
      <c r="E4433" s="89"/>
      <c r="F4433" s="89"/>
      <c r="G4433" s="89"/>
      <c r="H4433" s="2"/>
      <c r="I4433" s="90"/>
      <c r="J4433" s="90"/>
      <c r="K4433" s="2"/>
      <c r="L4433" s="48"/>
      <c r="M4433" s="48"/>
      <c r="N4433" s="48"/>
      <c r="O4433" s="48" t="str">
        <f t="shared" si="2"/>
        <v/>
      </c>
      <c r="P4433" s="48" t="str">
        <f t="shared" si="3"/>
        <v/>
      </c>
      <c r="Q4433" s="84"/>
      <c r="R4433" s="84"/>
      <c r="S4433" s="84"/>
      <c r="T4433" s="84"/>
      <c r="U4433" s="84"/>
      <c r="V4433" s="84"/>
      <c r="W4433" s="84"/>
      <c r="X4433" s="84"/>
      <c r="Y4433" s="84"/>
      <c r="Z4433" s="84"/>
      <c r="AA4433" s="84"/>
      <c r="AB4433" s="84"/>
    </row>
    <row r="4434">
      <c r="A4434" s="89"/>
      <c r="B4434" s="89"/>
      <c r="C4434" s="89"/>
      <c r="D4434" s="89"/>
      <c r="E4434" s="89"/>
      <c r="F4434" s="89"/>
      <c r="G4434" s="89"/>
      <c r="H4434" s="2"/>
      <c r="I4434" s="90"/>
      <c r="J4434" s="90"/>
      <c r="K4434" s="2"/>
      <c r="L4434" s="49"/>
      <c r="M4434" s="49"/>
      <c r="N4434" s="49"/>
      <c r="O4434" s="49" t="str">
        <f t="shared" si="2"/>
        <v/>
      </c>
      <c r="P4434" s="49" t="str">
        <f t="shared" si="3"/>
        <v/>
      </c>
      <c r="Q4434" s="84"/>
      <c r="R4434" s="84"/>
      <c r="S4434" s="84"/>
      <c r="T4434" s="84"/>
      <c r="U4434" s="84"/>
      <c r="V4434" s="84"/>
      <c r="W4434" s="84"/>
      <c r="X4434" s="84"/>
      <c r="Y4434" s="84"/>
      <c r="Z4434" s="84"/>
      <c r="AA4434" s="84"/>
      <c r="AB4434" s="84"/>
    </row>
    <row r="4435">
      <c r="A4435" s="89"/>
      <c r="B4435" s="89"/>
      <c r="C4435" s="89"/>
      <c r="D4435" s="89"/>
      <c r="E4435" s="89"/>
      <c r="F4435" s="89"/>
      <c r="G4435" s="89"/>
      <c r="H4435" s="2"/>
      <c r="I4435" s="90"/>
      <c r="J4435" s="90"/>
      <c r="K4435" s="2"/>
      <c r="L4435" s="48"/>
      <c r="M4435" s="48"/>
      <c r="N4435" s="48"/>
      <c r="O4435" s="48" t="str">
        <f t="shared" si="2"/>
        <v/>
      </c>
      <c r="P4435" s="48" t="str">
        <f t="shared" si="3"/>
        <v/>
      </c>
      <c r="Q4435" s="84"/>
      <c r="R4435" s="84"/>
      <c r="S4435" s="84"/>
      <c r="T4435" s="84"/>
      <c r="U4435" s="84"/>
      <c r="V4435" s="84"/>
      <c r="W4435" s="84"/>
      <c r="X4435" s="84"/>
      <c r="Y4435" s="84"/>
      <c r="Z4435" s="84"/>
      <c r="AA4435" s="84"/>
      <c r="AB4435" s="84"/>
    </row>
    <row r="4436">
      <c r="A4436" s="89"/>
      <c r="B4436" s="89"/>
      <c r="C4436" s="89"/>
      <c r="D4436" s="89"/>
      <c r="E4436" s="89"/>
      <c r="F4436" s="89"/>
      <c r="G4436" s="89"/>
      <c r="H4436" s="2"/>
      <c r="I4436" s="90"/>
      <c r="J4436" s="90"/>
      <c r="K4436" s="2"/>
      <c r="L4436" s="49"/>
      <c r="M4436" s="49"/>
      <c r="N4436" s="49"/>
      <c r="O4436" s="49" t="str">
        <f t="shared" si="2"/>
        <v/>
      </c>
      <c r="P4436" s="49" t="str">
        <f t="shared" si="3"/>
        <v/>
      </c>
      <c r="Q4436" s="84"/>
      <c r="R4436" s="84"/>
      <c r="S4436" s="84"/>
      <c r="T4436" s="84"/>
      <c r="U4436" s="84"/>
      <c r="V4436" s="84"/>
      <c r="W4436" s="84"/>
      <c r="X4436" s="84"/>
      <c r="Y4436" s="84"/>
      <c r="Z4436" s="84"/>
      <c r="AA4436" s="84"/>
      <c r="AB4436" s="84"/>
    </row>
    <row r="4437">
      <c r="A4437" s="89"/>
      <c r="B4437" s="89"/>
      <c r="C4437" s="89"/>
      <c r="D4437" s="89"/>
      <c r="E4437" s="89"/>
      <c r="F4437" s="89"/>
      <c r="G4437" s="89"/>
      <c r="H4437" s="2"/>
      <c r="I4437" s="90"/>
      <c r="J4437" s="90"/>
      <c r="K4437" s="2"/>
      <c r="L4437" s="48"/>
      <c r="M4437" s="48"/>
      <c r="N4437" s="48"/>
      <c r="O4437" s="48" t="str">
        <f t="shared" si="2"/>
        <v/>
      </c>
      <c r="P4437" s="48" t="str">
        <f t="shared" si="3"/>
        <v/>
      </c>
      <c r="Q4437" s="84"/>
      <c r="R4437" s="84"/>
      <c r="S4437" s="84"/>
      <c r="T4437" s="84"/>
      <c r="U4437" s="84"/>
      <c r="V4437" s="84"/>
      <c r="W4437" s="84"/>
      <c r="X4437" s="84"/>
      <c r="Y4437" s="84"/>
      <c r="Z4437" s="84"/>
      <c r="AA4437" s="84"/>
      <c r="AB4437" s="84"/>
    </row>
    <row r="4438">
      <c r="A4438" s="89"/>
      <c r="B4438" s="89"/>
      <c r="C4438" s="89"/>
      <c r="D4438" s="89"/>
      <c r="E4438" s="89"/>
      <c r="F4438" s="89"/>
      <c r="G4438" s="89"/>
      <c r="H4438" s="2"/>
      <c r="I4438" s="90"/>
      <c r="J4438" s="90"/>
      <c r="K4438" s="2"/>
      <c r="L4438" s="49"/>
      <c r="M4438" s="49"/>
      <c r="N4438" s="49"/>
      <c r="O4438" s="49" t="str">
        <f t="shared" si="2"/>
        <v/>
      </c>
      <c r="P4438" s="49" t="str">
        <f t="shared" si="3"/>
        <v/>
      </c>
      <c r="Q4438" s="84"/>
      <c r="R4438" s="84"/>
      <c r="S4438" s="84"/>
      <c r="T4438" s="84"/>
      <c r="U4438" s="84"/>
      <c r="V4438" s="84"/>
      <c r="W4438" s="84"/>
      <c r="X4438" s="84"/>
      <c r="Y4438" s="84"/>
      <c r="Z4438" s="84"/>
      <c r="AA4438" s="84"/>
      <c r="AB4438" s="84"/>
    </row>
    <row r="4439">
      <c r="A4439" s="89"/>
      <c r="B4439" s="89"/>
      <c r="C4439" s="89"/>
      <c r="D4439" s="89"/>
      <c r="E4439" s="89"/>
      <c r="F4439" s="89"/>
      <c r="G4439" s="89"/>
      <c r="H4439" s="2"/>
      <c r="I4439" s="90"/>
      <c r="J4439" s="90"/>
      <c r="K4439" s="2"/>
      <c r="L4439" s="48"/>
      <c r="M4439" s="48"/>
      <c r="N4439" s="48"/>
      <c r="O4439" s="48" t="str">
        <f t="shared" si="2"/>
        <v/>
      </c>
      <c r="P4439" s="48" t="str">
        <f t="shared" si="3"/>
        <v/>
      </c>
      <c r="Q4439" s="84"/>
      <c r="R4439" s="84"/>
      <c r="S4439" s="84"/>
      <c r="T4439" s="84"/>
      <c r="U4439" s="84"/>
      <c r="V4439" s="84"/>
      <c r="W4439" s="84"/>
      <c r="X4439" s="84"/>
      <c r="Y4439" s="84"/>
      <c r="Z4439" s="84"/>
      <c r="AA4439" s="84"/>
      <c r="AB4439" s="84"/>
    </row>
    <row r="4440">
      <c r="A4440" s="89"/>
      <c r="B4440" s="89"/>
      <c r="C4440" s="89"/>
      <c r="D4440" s="89"/>
      <c r="E4440" s="89"/>
      <c r="F4440" s="89"/>
      <c r="G4440" s="89"/>
      <c r="H4440" s="2"/>
      <c r="I4440" s="90"/>
      <c r="J4440" s="90"/>
      <c r="K4440" s="2"/>
      <c r="L4440" s="49"/>
      <c r="M4440" s="49"/>
      <c r="N4440" s="49"/>
      <c r="O4440" s="49" t="str">
        <f t="shared" si="2"/>
        <v/>
      </c>
      <c r="P4440" s="49" t="str">
        <f t="shared" si="3"/>
        <v/>
      </c>
      <c r="Q4440" s="84"/>
      <c r="R4440" s="84"/>
      <c r="S4440" s="84"/>
      <c r="T4440" s="84"/>
      <c r="U4440" s="84"/>
      <c r="V4440" s="84"/>
      <c r="W4440" s="84"/>
      <c r="X4440" s="84"/>
      <c r="Y4440" s="84"/>
      <c r="Z4440" s="84"/>
      <c r="AA4440" s="84"/>
      <c r="AB4440" s="84"/>
    </row>
    <row r="4441">
      <c r="A4441" s="89"/>
      <c r="B4441" s="89"/>
      <c r="C4441" s="89"/>
      <c r="D4441" s="89"/>
      <c r="E4441" s="89"/>
      <c r="F4441" s="89"/>
      <c r="G4441" s="89"/>
      <c r="H4441" s="2"/>
      <c r="I4441" s="90"/>
      <c r="J4441" s="90"/>
      <c r="K4441" s="2"/>
      <c r="L4441" s="48"/>
      <c r="M4441" s="48"/>
      <c r="N4441" s="48"/>
      <c r="O4441" s="48" t="str">
        <f t="shared" si="2"/>
        <v/>
      </c>
      <c r="P4441" s="48" t="str">
        <f t="shared" si="3"/>
        <v/>
      </c>
      <c r="Q4441" s="84"/>
      <c r="R4441" s="84"/>
      <c r="S4441" s="84"/>
      <c r="T4441" s="84"/>
      <c r="U4441" s="84"/>
      <c r="V4441" s="84"/>
      <c r="W4441" s="84"/>
      <c r="X4441" s="84"/>
      <c r="Y4441" s="84"/>
      <c r="Z4441" s="84"/>
      <c r="AA4441" s="84"/>
      <c r="AB4441" s="84"/>
    </row>
    <row r="4442">
      <c r="A4442" s="89"/>
      <c r="B4442" s="89"/>
      <c r="C4442" s="89"/>
      <c r="D4442" s="89"/>
      <c r="E4442" s="89"/>
      <c r="F4442" s="89"/>
      <c r="G4442" s="89"/>
      <c r="H4442" s="2"/>
      <c r="I4442" s="90"/>
      <c r="J4442" s="90"/>
      <c r="K4442" s="2"/>
      <c r="L4442" s="49"/>
      <c r="M4442" s="49"/>
      <c r="N4442" s="49"/>
      <c r="O4442" s="49" t="str">
        <f t="shared" si="2"/>
        <v/>
      </c>
      <c r="P4442" s="49" t="str">
        <f t="shared" si="3"/>
        <v/>
      </c>
      <c r="Q4442" s="84"/>
      <c r="R4442" s="84"/>
      <c r="S4442" s="84"/>
      <c r="T4442" s="84"/>
      <c r="U4442" s="84"/>
      <c r="V4442" s="84"/>
      <c r="W4442" s="84"/>
      <c r="X4442" s="84"/>
      <c r="Y4442" s="84"/>
      <c r="Z4442" s="84"/>
      <c r="AA4442" s="84"/>
      <c r="AB4442" s="84"/>
    </row>
    <row r="4443">
      <c r="A4443" s="89"/>
      <c r="B4443" s="89"/>
      <c r="C4443" s="89"/>
      <c r="D4443" s="89"/>
      <c r="E4443" s="89"/>
      <c r="F4443" s="89"/>
      <c r="G4443" s="89"/>
      <c r="H4443" s="2"/>
      <c r="I4443" s="90"/>
      <c r="J4443" s="90"/>
      <c r="K4443" s="2"/>
      <c r="L4443" s="48"/>
      <c r="M4443" s="48"/>
      <c r="N4443" s="48"/>
      <c r="O4443" s="48" t="str">
        <f t="shared" si="2"/>
        <v/>
      </c>
      <c r="P4443" s="48" t="str">
        <f t="shared" si="3"/>
        <v/>
      </c>
      <c r="Q4443" s="84"/>
      <c r="R4443" s="84"/>
      <c r="S4443" s="84"/>
      <c r="T4443" s="84"/>
      <c r="U4443" s="84"/>
      <c r="V4443" s="84"/>
      <c r="W4443" s="84"/>
      <c r="X4443" s="84"/>
      <c r="Y4443" s="84"/>
      <c r="Z4443" s="84"/>
      <c r="AA4443" s="84"/>
      <c r="AB4443" s="84"/>
    </row>
    <row r="4444">
      <c r="A4444" s="89"/>
      <c r="B4444" s="89"/>
      <c r="C4444" s="89"/>
      <c r="D4444" s="89"/>
      <c r="E4444" s="89"/>
      <c r="F4444" s="89"/>
      <c r="G4444" s="89"/>
      <c r="H4444" s="2"/>
      <c r="I4444" s="90"/>
      <c r="J4444" s="90"/>
      <c r="K4444" s="2"/>
      <c r="L4444" s="49"/>
      <c r="M4444" s="49"/>
      <c r="N4444" s="49"/>
      <c r="O4444" s="49" t="str">
        <f t="shared" si="2"/>
        <v/>
      </c>
      <c r="P4444" s="49" t="str">
        <f t="shared" si="3"/>
        <v/>
      </c>
      <c r="Q4444" s="84"/>
      <c r="R4444" s="84"/>
      <c r="S4444" s="84"/>
      <c r="T4444" s="84"/>
      <c r="U4444" s="84"/>
      <c r="V4444" s="84"/>
      <c r="W4444" s="84"/>
      <c r="X4444" s="84"/>
      <c r="Y4444" s="84"/>
      <c r="Z4444" s="84"/>
      <c r="AA4444" s="84"/>
      <c r="AB4444" s="84"/>
    </row>
    <row r="4445">
      <c r="A4445" s="89"/>
      <c r="B4445" s="89"/>
      <c r="C4445" s="89"/>
      <c r="D4445" s="89"/>
      <c r="E4445" s="89"/>
      <c r="F4445" s="89"/>
      <c r="G4445" s="89"/>
      <c r="H4445" s="2"/>
      <c r="I4445" s="90"/>
      <c r="J4445" s="90"/>
      <c r="K4445" s="2"/>
      <c r="L4445" s="48"/>
      <c r="M4445" s="48"/>
      <c r="N4445" s="48"/>
      <c r="O4445" s="48" t="str">
        <f t="shared" si="2"/>
        <v/>
      </c>
      <c r="P4445" s="48" t="str">
        <f t="shared" si="3"/>
        <v/>
      </c>
      <c r="Q4445" s="84"/>
      <c r="R4445" s="84"/>
      <c r="S4445" s="84"/>
      <c r="T4445" s="84"/>
      <c r="U4445" s="84"/>
      <c r="V4445" s="84"/>
      <c r="W4445" s="84"/>
      <c r="X4445" s="84"/>
      <c r="Y4445" s="84"/>
      <c r="Z4445" s="84"/>
      <c r="AA4445" s="84"/>
      <c r="AB4445" s="84"/>
    </row>
    <row r="4446">
      <c r="A4446" s="89"/>
      <c r="B4446" s="89"/>
      <c r="C4446" s="89"/>
      <c r="D4446" s="89"/>
      <c r="E4446" s="89"/>
      <c r="F4446" s="89"/>
      <c r="G4446" s="89"/>
      <c r="H4446" s="2"/>
      <c r="I4446" s="90"/>
      <c r="J4446" s="90"/>
      <c r="K4446" s="2"/>
      <c r="L4446" s="49"/>
      <c r="M4446" s="49"/>
      <c r="N4446" s="49"/>
      <c r="O4446" s="49" t="str">
        <f t="shared" si="2"/>
        <v/>
      </c>
      <c r="P4446" s="49" t="str">
        <f t="shared" si="3"/>
        <v/>
      </c>
      <c r="Q4446" s="84"/>
      <c r="R4446" s="84"/>
      <c r="S4446" s="84"/>
      <c r="T4446" s="84"/>
      <c r="U4446" s="84"/>
      <c r="V4446" s="84"/>
      <c r="W4446" s="84"/>
      <c r="X4446" s="84"/>
      <c r="Y4446" s="84"/>
      <c r="Z4446" s="84"/>
      <c r="AA4446" s="84"/>
      <c r="AB4446" s="84"/>
    </row>
    <row r="4447">
      <c r="A4447" s="89"/>
      <c r="B4447" s="89"/>
      <c r="C4447" s="89"/>
      <c r="D4447" s="89"/>
      <c r="E4447" s="89"/>
      <c r="F4447" s="89"/>
      <c r="G4447" s="89"/>
      <c r="H4447" s="2"/>
      <c r="I4447" s="90"/>
      <c r="J4447" s="90"/>
      <c r="K4447" s="2"/>
      <c r="L4447" s="48"/>
      <c r="M4447" s="48"/>
      <c r="N4447" s="48"/>
      <c r="O4447" s="48" t="str">
        <f t="shared" si="2"/>
        <v/>
      </c>
      <c r="P4447" s="48" t="str">
        <f t="shared" si="3"/>
        <v/>
      </c>
      <c r="Q4447" s="84"/>
      <c r="R4447" s="84"/>
      <c r="S4447" s="84"/>
      <c r="T4447" s="84"/>
      <c r="U4447" s="84"/>
      <c r="V4447" s="84"/>
      <c r="W4447" s="84"/>
      <c r="X4447" s="84"/>
      <c r="Y4447" s="84"/>
      <c r="Z4447" s="84"/>
      <c r="AA4447" s="84"/>
      <c r="AB4447" s="84"/>
    </row>
    <row r="4448">
      <c r="A4448" s="89"/>
      <c r="B4448" s="89"/>
      <c r="C4448" s="89"/>
      <c r="D4448" s="89"/>
      <c r="E4448" s="89"/>
      <c r="F4448" s="89"/>
      <c r="G4448" s="89"/>
      <c r="H4448" s="2"/>
      <c r="I4448" s="90"/>
      <c r="J4448" s="90"/>
      <c r="K4448" s="2"/>
      <c r="L4448" s="49"/>
      <c r="M4448" s="49"/>
      <c r="N4448" s="49"/>
      <c r="O4448" s="49" t="str">
        <f t="shared" si="2"/>
        <v/>
      </c>
      <c r="P4448" s="49" t="str">
        <f t="shared" si="3"/>
        <v/>
      </c>
      <c r="Q4448" s="84"/>
      <c r="R4448" s="84"/>
      <c r="S4448" s="84"/>
      <c r="T4448" s="84"/>
      <c r="U4448" s="84"/>
      <c r="V4448" s="84"/>
      <c r="W4448" s="84"/>
      <c r="X4448" s="84"/>
      <c r="Y4448" s="84"/>
      <c r="Z4448" s="84"/>
      <c r="AA4448" s="84"/>
      <c r="AB4448" s="84"/>
    </row>
    <row r="4449">
      <c r="A4449" s="89"/>
      <c r="B4449" s="89"/>
      <c r="C4449" s="89"/>
      <c r="D4449" s="89"/>
      <c r="E4449" s="89"/>
      <c r="F4449" s="89"/>
      <c r="G4449" s="89"/>
      <c r="H4449" s="2"/>
      <c r="I4449" s="90"/>
      <c r="J4449" s="90"/>
      <c r="K4449" s="2"/>
      <c r="L4449" s="48"/>
      <c r="M4449" s="48"/>
      <c r="N4449" s="48"/>
      <c r="O4449" s="48" t="str">
        <f t="shared" si="2"/>
        <v/>
      </c>
      <c r="P4449" s="48" t="str">
        <f t="shared" si="3"/>
        <v/>
      </c>
      <c r="Q4449" s="84"/>
      <c r="R4449" s="84"/>
      <c r="S4449" s="84"/>
      <c r="T4449" s="84"/>
      <c r="U4449" s="84"/>
      <c r="V4449" s="84"/>
      <c r="W4449" s="84"/>
      <c r="X4449" s="84"/>
      <c r="Y4449" s="84"/>
      <c r="Z4449" s="84"/>
      <c r="AA4449" s="84"/>
      <c r="AB4449" s="84"/>
    </row>
    <row r="4450">
      <c r="A4450" s="89"/>
      <c r="B4450" s="89"/>
      <c r="C4450" s="89"/>
      <c r="D4450" s="89"/>
      <c r="E4450" s="89"/>
      <c r="F4450" s="89"/>
      <c r="G4450" s="89"/>
      <c r="H4450" s="2"/>
      <c r="I4450" s="90"/>
      <c r="J4450" s="90"/>
      <c r="K4450" s="2"/>
      <c r="L4450" s="49"/>
      <c r="M4450" s="49"/>
      <c r="N4450" s="49"/>
      <c r="O4450" s="49" t="str">
        <f t="shared" si="2"/>
        <v/>
      </c>
      <c r="P4450" s="49" t="str">
        <f t="shared" si="3"/>
        <v/>
      </c>
      <c r="Q4450" s="84"/>
      <c r="R4450" s="84"/>
      <c r="S4450" s="84"/>
      <c r="T4450" s="84"/>
      <c r="U4450" s="84"/>
      <c r="V4450" s="84"/>
      <c r="W4450" s="84"/>
      <c r="X4450" s="84"/>
      <c r="Y4450" s="84"/>
      <c r="Z4450" s="84"/>
      <c r="AA4450" s="84"/>
      <c r="AB4450" s="84"/>
    </row>
    <row r="4451">
      <c r="A4451" s="89"/>
      <c r="B4451" s="89"/>
      <c r="C4451" s="89"/>
      <c r="D4451" s="89"/>
      <c r="E4451" s="89"/>
      <c r="F4451" s="89"/>
      <c r="G4451" s="89"/>
      <c r="H4451" s="2"/>
      <c r="I4451" s="90"/>
      <c r="J4451" s="90"/>
      <c r="K4451" s="2"/>
      <c r="L4451" s="48"/>
      <c r="M4451" s="48"/>
      <c r="N4451" s="48"/>
      <c r="O4451" s="48" t="str">
        <f t="shared" si="2"/>
        <v/>
      </c>
      <c r="P4451" s="48" t="str">
        <f t="shared" si="3"/>
        <v/>
      </c>
      <c r="Q4451" s="84"/>
      <c r="R4451" s="84"/>
      <c r="S4451" s="84"/>
      <c r="T4451" s="84"/>
      <c r="U4451" s="84"/>
      <c r="V4451" s="84"/>
      <c r="W4451" s="84"/>
      <c r="X4451" s="84"/>
      <c r="Y4451" s="84"/>
      <c r="Z4451" s="84"/>
      <c r="AA4451" s="84"/>
      <c r="AB4451" s="84"/>
    </row>
    <row r="4452">
      <c r="A4452" s="89"/>
      <c r="B4452" s="89"/>
      <c r="C4452" s="89"/>
      <c r="D4452" s="89"/>
      <c r="E4452" s="89"/>
      <c r="F4452" s="89"/>
      <c r="G4452" s="89"/>
      <c r="H4452" s="2"/>
      <c r="I4452" s="90"/>
      <c r="J4452" s="90"/>
      <c r="K4452" s="2"/>
      <c r="L4452" s="49"/>
      <c r="M4452" s="49"/>
      <c r="N4452" s="49"/>
      <c r="O4452" s="49" t="str">
        <f t="shared" si="2"/>
        <v/>
      </c>
      <c r="P4452" s="49" t="str">
        <f t="shared" si="3"/>
        <v/>
      </c>
      <c r="Q4452" s="84"/>
      <c r="R4452" s="84"/>
      <c r="S4452" s="84"/>
      <c r="T4452" s="84"/>
      <c r="U4452" s="84"/>
      <c r="V4452" s="84"/>
      <c r="W4452" s="84"/>
      <c r="X4452" s="84"/>
      <c r="Y4452" s="84"/>
      <c r="Z4452" s="84"/>
      <c r="AA4452" s="84"/>
      <c r="AB4452" s="84"/>
    </row>
    <row r="4453">
      <c r="A4453" s="89"/>
      <c r="B4453" s="89"/>
      <c r="C4453" s="89"/>
      <c r="D4453" s="89"/>
      <c r="E4453" s="89"/>
      <c r="F4453" s="89"/>
      <c r="G4453" s="89"/>
      <c r="H4453" s="2"/>
      <c r="I4453" s="90"/>
      <c r="J4453" s="90"/>
      <c r="K4453" s="2"/>
      <c r="L4453" s="48"/>
      <c r="M4453" s="48"/>
      <c r="N4453" s="48"/>
      <c r="O4453" s="48" t="str">
        <f t="shared" si="2"/>
        <v/>
      </c>
      <c r="P4453" s="48" t="str">
        <f t="shared" si="3"/>
        <v/>
      </c>
      <c r="Q4453" s="84"/>
      <c r="R4453" s="84"/>
      <c r="S4453" s="84"/>
      <c r="T4453" s="84"/>
      <c r="U4453" s="84"/>
      <c r="V4453" s="84"/>
      <c r="W4453" s="84"/>
      <c r="X4453" s="84"/>
      <c r="Y4453" s="84"/>
      <c r="Z4453" s="84"/>
      <c r="AA4453" s="84"/>
      <c r="AB4453" s="84"/>
    </row>
    <row r="4454">
      <c r="A4454" s="89"/>
      <c r="B4454" s="89"/>
      <c r="C4454" s="89"/>
      <c r="D4454" s="89"/>
      <c r="E4454" s="89"/>
      <c r="F4454" s="89"/>
      <c r="G4454" s="89"/>
      <c r="H4454" s="2"/>
      <c r="I4454" s="90"/>
      <c r="J4454" s="90"/>
      <c r="K4454" s="2"/>
      <c r="L4454" s="49"/>
      <c r="M4454" s="49"/>
      <c r="N4454" s="49"/>
      <c r="O4454" s="49" t="str">
        <f t="shared" si="2"/>
        <v/>
      </c>
      <c r="P4454" s="49" t="str">
        <f t="shared" si="3"/>
        <v/>
      </c>
      <c r="Q4454" s="84"/>
      <c r="R4454" s="84"/>
      <c r="S4454" s="84"/>
      <c r="T4454" s="84"/>
      <c r="U4454" s="84"/>
      <c r="V4454" s="84"/>
      <c r="W4454" s="84"/>
      <c r="X4454" s="84"/>
      <c r="Y4454" s="84"/>
      <c r="Z4454" s="84"/>
      <c r="AA4454" s="84"/>
      <c r="AB4454" s="84"/>
    </row>
    <row r="4455">
      <c r="A4455" s="89"/>
      <c r="B4455" s="89"/>
      <c r="C4455" s="89"/>
      <c r="D4455" s="89"/>
      <c r="E4455" s="89"/>
      <c r="F4455" s="89"/>
      <c r="G4455" s="89"/>
      <c r="H4455" s="2"/>
      <c r="I4455" s="90"/>
      <c r="J4455" s="90"/>
      <c r="K4455" s="2"/>
      <c r="L4455" s="48"/>
      <c r="M4455" s="48"/>
      <c r="N4455" s="48"/>
      <c r="O4455" s="48" t="str">
        <f t="shared" si="2"/>
        <v/>
      </c>
      <c r="P4455" s="48" t="str">
        <f t="shared" si="3"/>
        <v/>
      </c>
      <c r="Q4455" s="84"/>
      <c r="R4455" s="84"/>
      <c r="S4455" s="84"/>
      <c r="T4455" s="84"/>
      <c r="U4455" s="84"/>
      <c r="V4455" s="84"/>
      <c r="W4455" s="84"/>
      <c r="X4455" s="84"/>
      <c r="Y4455" s="84"/>
      <c r="Z4455" s="84"/>
      <c r="AA4455" s="84"/>
      <c r="AB4455" s="84"/>
    </row>
    <row r="4456">
      <c r="A4456" s="89"/>
      <c r="B4456" s="89"/>
      <c r="C4456" s="89"/>
      <c r="D4456" s="89"/>
      <c r="E4456" s="89"/>
      <c r="F4456" s="89"/>
      <c r="G4456" s="89"/>
      <c r="H4456" s="2"/>
      <c r="I4456" s="90"/>
      <c r="J4456" s="90"/>
      <c r="K4456" s="2"/>
      <c r="L4456" s="49"/>
      <c r="M4456" s="49"/>
      <c r="N4456" s="49"/>
      <c r="O4456" s="49" t="str">
        <f t="shared" si="2"/>
        <v/>
      </c>
      <c r="P4456" s="49" t="str">
        <f t="shared" si="3"/>
        <v/>
      </c>
      <c r="Q4456" s="84"/>
      <c r="R4456" s="84"/>
      <c r="S4456" s="84"/>
      <c r="T4456" s="84"/>
      <c r="U4456" s="84"/>
      <c r="V4456" s="84"/>
      <c r="W4456" s="84"/>
      <c r="X4456" s="84"/>
      <c r="Y4456" s="84"/>
      <c r="Z4456" s="84"/>
      <c r="AA4456" s="84"/>
      <c r="AB4456" s="84"/>
    </row>
    <row r="4457">
      <c r="A4457" s="89"/>
      <c r="B4457" s="89"/>
      <c r="C4457" s="89"/>
      <c r="D4457" s="89"/>
      <c r="E4457" s="89"/>
      <c r="F4457" s="89"/>
      <c r="G4457" s="89"/>
      <c r="H4457" s="2"/>
      <c r="I4457" s="90"/>
      <c r="J4457" s="90"/>
      <c r="K4457" s="2"/>
      <c r="L4457" s="48"/>
      <c r="M4457" s="48"/>
      <c r="N4457" s="48"/>
      <c r="O4457" s="48" t="str">
        <f t="shared" si="2"/>
        <v/>
      </c>
      <c r="P4457" s="48" t="str">
        <f t="shared" si="3"/>
        <v/>
      </c>
      <c r="Q4457" s="84"/>
      <c r="R4457" s="84"/>
      <c r="S4457" s="84"/>
      <c r="T4457" s="84"/>
      <c r="U4457" s="84"/>
      <c r="V4457" s="84"/>
      <c r="W4457" s="84"/>
      <c r="X4457" s="84"/>
      <c r="Y4457" s="84"/>
      <c r="Z4457" s="84"/>
      <c r="AA4457" s="84"/>
      <c r="AB4457" s="84"/>
    </row>
    <row r="4458">
      <c r="A4458" s="89"/>
      <c r="B4458" s="89"/>
      <c r="C4458" s="89"/>
      <c r="D4458" s="89"/>
      <c r="E4458" s="89"/>
      <c r="F4458" s="89"/>
      <c r="G4458" s="89"/>
      <c r="H4458" s="2"/>
      <c r="I4458" s="90"/>
      <c r="J4458" s="90"/>
      <c r="K4458" s="2"/>
      <c r="L4458" s="49"/>
      <c r="M4458" s="49"/>
      <c r="N4458" s="49"/>
      <c r="O4458" s="49" t="str">
        <f t="shared" si="2"/>
        <v/>
      </c>
      <c r="P4458" s="49" t="str">
        <f t="shared" si="3"/>
        <v/>
      </c>
      <c r="Q4458" s="84"/>
      <c r="R4458" s="84"/>
      <c r="S4458" s="84"/>
      <c r="T4458" s="84"/>
      <c r="U4458" s="84"/>
      <c r="V4458" s="84"/>
      <c r="W4458" s="84"/>
      <c r="X4458" s="84"/>
      <c r="Y4458" s="84"/>
      <c r="Z4458" s="84"/>
      <c r="AA4458" s="84"/>
      <c r="AB4458" s="84"/>
    </row>
    <row r="4459">
      <c r="A4459" s="89"/>
      <c r="B4459" s="89"/>
      <c r="C4459" s="89"/>
      <c r="D4459" s="89"/>
      <c r="E4459" s="89"/>
      <c r="F4459" s="89"/>
      <c r="G4459" s="89"/>
      <c r="H4459" s="2"/>
      <c r="I4459" s="90"/>
      <c r="J4459" s="90"/>
      <c r="K4459" s="2"/>
      <c r="L4459" s="48"/>
      <c r="M4459" s="48"/>
      <c r="N4459" s="48"/>
      <c r="O4459" s="48" t="str">
        <f t="shared" si="2"/>
        <v/>
      </c>
      <c r="P4459" s="48" t="str">
        <f t="shared" si="3"/>
        <v/>
      </c>
      <c r="Q4459" s="84"/>
      <c r="R4459" s="84"/>
      <c r="S4459" s="84"/>
      <c r="T4459" s="84"/>
      <c r="U4459" s="84"/>
      <c r="V4459" s="84"/>
      <c r="W4459" s="84"/>
      <c r="X4459" s="84"/>
      <c r="Y4459" s="84"/>
      <c r="Z4459" s="84"/>
      <c r="AA4459" s="84"/>
      <c r="AB4459" s="84"/>
    </row>
    <row r="4460">
      <c r="A4460" s="89"/>
      <c r="B4460" s="89"/>
      <c r="C4460" s="89"/>
      <c r="D4460" s="89"/>
      <c r="E4460" s="89"/>
      <c r="F4460" s="89"/>
      <c r="G4460" s="89"/>
      <c r="H4460" s="2"/>
      <c r="I4460" s="90"/>
      <c r="J4460" s="90"/>
      <c r="K4460" s="2"/>
      <c r="L4460" s="49"/>
      <c r="M4460" s="49"/>
      <c r="N4460" s="49"/>
      <c r="O4460" s="49" t="str">
        <f t="shared" si="2"/>
        <v/>
      </c>
      <c r="P4460" s="49" t="str">
        <f t="shared" si="3"/>
        <v/>
      </c>
      <c r="Q4460" s="84"/>
      <c r="R4460" s="84"/>
      <c r="S4460" s="84"/>
      <c r="T4460" s="84"/>
      <c r="U4460" s="84"/>
      <c r="V4460" s="84"/>
      <c r="W4460" s="84"/>
      <c r="X4460" s="84"/>
      <c r="Y4460" s="84"/>
      <c r="Z4460" s="84"/>
      <c r="AA4460" s="84"/>
      <c r="AB4460" s="84"/>
    </row>
    <row r="4461">
      <c r="A4461" s="89"/>
      <c r="B4461" s="89"/>
      <c r="C4461" s="89"/>
      <c r="D4461" s="89"/>
      <c r="E4461" s="89"/>
      <c r="F4461" s="89"/>
      <c r="G4461" s="89"/>
      <c r="H4461" s="2"/>
      <c r="I4461" s="90"/>
      <c r="J4461" s="90"/>
      <c r="K4461" s="2"/>
      <c r="L4461" s="48"/>
      <c r="M4461" s="48"/>
      <c r="N4461" s="48"/>
      <c r="O4461" s="48" t="str">
        <f t="shared" si="2"/>
        <v/>
      </c>
      <c r="P4461" s="48" t="str">
        <f t="shared" si="3"/>
        <v/>
      </c>
      <c r="Q4461" s="84"/>
      <c r="R4461" s="84"/>
      <c r="S4461" s="84"/>
      <c r="T4461" s="84"/>
      <c r="U4461" s="84"/>
      <c r="V4461" s="84"/>
      <c r="W4461" s="84"/>
      <c r="X4461" s="84"/>
      <c r="Y4461" s="84"/>
      <c r="Z4461" s="84"/>
      <c r="AA4461" s="84"/>
      <c r="AB4461" s="84"/>
    </row>
    <row r="4462">
      <c r="A4462" s="89"/>
      <c r="B4462" s="89"/>
      <c r="C4462" s="89"/>
      <c r="D4462" s="89"/>
      <c r="E4462" s="89"/>
      <c r="F4462" s="89"/>
      <c r="G4462" s="89"/>
      <c r="H4462" s="2"/>
      <c r="I4462" s="90"/>
      <c r="J4462" s="90"/>
      <c r="K4462" s="2"/>
      <c r="L4462" s="49"/>
      <c r="M4462" s="49"/>
      <c r="N4462" s="49"/>
      <c r="O4462" s="49" t="str">
        <f t="shared" si="2"/>
        <v/>
      </c>
      <c r="P4462" s="49" t="str">
        <f t="shared" si="3"/>
        <v/>
      </c>
      <c r="Q4462" s="84"/>
      <c r="R4462" s="84"/>
      <c r="S4462" s="84"/>
      <c r="T4462" s="84"/>
      <c r="U4462" s="84"/>
      <c r="V4462" s="84"/>
      <c r="W4462" s="84"/>
      <c r="X4462" s="84"/>
      <c r="Y4462" s="84"/>
      <c r="Z4462" s="84"/>
      <c r="AA4462" s="84"/>
      <c r="AB4462" s="84"/>
    </row>
    <row r="4463">
      <c r="A4463" s="89"/>
      <c r="B4463" s="89"/>
      <c r="C4463" s="89"/>
      <c r="D4463" s="89"/>
      <c r="E4463" s="89"/>
      <c r="F4463" s="89"/>
      <c r="G4463" s="89"/>
      <c r="H4463" s="2"/>
      <c r="I4463" s="90"/>
      <c r="J4463" s="90"/>
      <c r="K4463" s="2"/>
      <c r="L4463" s="48"/>
      <c r="M4463" s="48"/>
      <c r="N4463" s="48"/>
      <c r="O4463" s="48" t="str">
        <f t="shared" si="2"/>
        <v/>
      </c>
      <c r="P4463" s="48" t="str">
        <f t="shared" si="3"/>
        <v/>
      </c>
      <c r="Q4463" s="84"/>
      <c r="R4463" s="84"/>
      <c r="S4463" s="84"/>
      <c r="T4463" s="84"/>
      <c r="U4463" s="84"/>
      <c r="V4463" s="84"/>
      <c r="W4463" s="84"/>
      <c r="X4463" s="84"/>
      <c r="Y4463" s="84"/>
      <c r="Z4463" s="84"/>
      <c r="AA4463" s="84"/>
      <c r="AB4463" s="84"/>
    </row>
    <row r="4464">
      <c r="A4464" s="89"/>
      <c r="B4464" s="89"/>
      <c r="C4464" s="89"/>
      <c r="D4464" s="89"/>
      <c r="E4464" s="89"/>
      <c r="F4464" s="89"/>
      <c r="G4464" s="89"/>
      <c r="H4464" s="2"/>
      <c r="I4464" s="90"/>
      <c r="J4464" s="90"/>
      <c r="K4464" s="2"/>
      <c r="L4464" s="49"/>
      <c r="M4464" s="49"/>
      <c r="N4464" s="49"/>
      <c r="O4464" s="49" t="str">
        <f t="shared" si="2"/>
        <v/>
      </c>
      <c r="P4464" s="49" t="str">
        <f t="shared" si="3"/>
        <v/>
      </c>
      <c r="Q4464" s="84"/>
      <c r="R4464" s="84"/>
      <c r="S4464" s="84"/>
      <c r="T4464" s="84"/>
      <c r="U4464" s="84"/>
      <c r="V4464" s="84"/>
      <c r="W4464" s="84"/>
      <c r="X4464" s="84"/>
      <c r="Y4464" s="84"/>
      <c r="Z4464" s="84"/>
      <c r="AA4464" s="84"/>
      <c r="AB4464" s="84"/>
    </row>
    <row r="4465">
      <c r="A4465" s="89"/>
      <c r="B4465" s="89"/>
      <c r="C4465" s="89"/>
      <c r="D4465" s="89"/>
      <c r="E4465" s="89"/>
      <c r="F4465" s="89"/>
      <c r="G4465" s="89"/>
      <c r="H4465" s="2"/>
      <c r="I4465" s="90"/>
      <c r="J4465" s="90"/>
      <c r="K4465" s="2"/>
      <c r="L4465" s="48"/>
      <c r="M4465" s="48"/>
      <c r="N4465" s="48"/>
      <c r="O4465" s="48" t="str">
        <f t="shared" si="2"/>
        <v/>
      </c>
      <c r="P4465" s="48" t="str">
        <f t="shared" si="3"/>
        <v/>
      </c>
      <c r="Q4465" s="84"/>
      <c r="R4465" s="84"/>
      <c r="S4465" s="84"/>
      <c r="T4465" s="84"/>
      <c r="U4465" s="84"/>
      <c r="V4465" s="84"/>
      <c r="W4465" s="84"/>
      <c r="X4465" s="84"/>
      <c r="Y4465" s="84"/>
      <c r="Z4465" s="84"/>
      <c r="AA4465" s="84"/>
      <c r="AB4465" s="84"/>
    </row>
    <row r="4466">
      <c r="A4466" s="89"/>
      <c r="B4466" s="89"/>
      <c r="C4466" s="89"/>
      <c r="D4466" s="89"/>
      <c r="E4466" s="89"/>
      <c r="F4466" s="89"/>
      <c r="G4466" s="89"/>
      <c r="H4466" s="2"/>
      <c r="I4466" s="90"/>
      <c r="J4466" s="90"/>
      <c r="K4466" s="2"/>
      <c r="L4466" s="49"/>
      <c r="M4466" s="49"/>
      <c r="N4466" s="49"/>
      <c r="O4466" s="49" t="str">
        <f t="shared" si="2"/>
        <v/>
      </c>
      <c r="P4466" s="49" t="str">
        <f t="shared" si="3"/>
        <v/>
      </c>
      <c r="Q4466" s="84"/>
      <c r="R4466" s="84"/>
      <c r="S4466" s="84"/>
      <c r="T4466" s="84"/>
      <c r="U4466" s="84"/>
      <c r="V4466" s="84"/>
      <c r="W4466" s="84"/>
      <c r="X4466" s="84"/>
      <c r="Y4466" s="84"/>
      <c r="Z4466" s="84"/>
      <c r="AA4466" s="84"/>
      <c r="AB4466" s="84"/>
    </row>
    <row r="4467">
      <c r="A4467" s="89"/>
      <c r="B4467" s="89"/>
      <c r="C4467" s="89"/>
      <c r="D4467" s="89"/>
      <c r="E4467" s="89"/>
      <c r="F4467" s="89"/>
      <c r="G4467" s="89"/>
      <c r="H4467" s="2"/>
      <c r="I4467" s="90"/>
      <c r="J4467" s="90"/>
      <c r="K4467" s="2"/>
      <c r="L4467" s="48"/>
      <c r="M4467" s="48"/>
      <c r="N4467" s="48"/>
      <c r="O4467" s="48" t="str">
        <f t="shared" si="2"/>
        <v/>
      </c>
      <c r="P4467" s="48" t="str">
        <f t="shared" si="3"/>
        <v/>
      </c>
      <c r="Q4467" s="84"/>
      <c r="R4467" s="84"/>
      <c r="S4467" s="84"/>
      <c r="T4467" s="84"/>
      <c r="U4467" s="84"/>
      <c r="V4467" s="84"/>
      <c r="W4467" s="84"/>
      <c r="X4467" s="84"/>
      <c r="Y4467" s="84"/>
      <c r="Z4467" s="84"/>
      <c r="AA4467" s="84"/>
      <c r="AB4467" s="84"/>
    </row>
    <row r="4468">
      <c r="A4468" s="89"/>
      <c r="B4468" s="89"/>
      <c r="C4468" s="89"/>
      <c r="D4468" s="89"/>
      <c r="E4468" s="89"/>
      <c r="F4468" s="89"/>
      <c r="G4468" s="89"/>
      <c r="H4468" s="2"/>
      <c r="I4468" s="90"/>
      <c r="J4468" s="90"/>
      <c r="K4468" s="2"/>
      <c r="L4468" s="49"/>
      <c r="M4468" s="49"/>
      <c r="N4468" s="49"/>
      <c r="O4468" s="49" t="str">
        <f t="shared" si="2"/>
        <v/>
      </c>
      <c r="P4468" s="49" t="str">
        <f t="shared" si="3"/>
        <v/>
      </c>
      <c r="Q4468" s="84"/>
      <c r="R4468" s="84"/>
      <c r="S4468" s="84"/>
      <c r="T4468" s="84"/>
      <c r="U4468" s="84"/>
      <c r="V4468" s="84"/>
      <c r="W4468" s="84"/>
      <c r="X4468" s="84"/>
      <c r="Y4468" s="84"/>
      <c r="Z4468" s="84"/>
      <c r="AA4468" s="84"/>
      <c r="AB4468" s="84"/>
    </row>
    <row r="4469">
      <c r="A4469" s="89"/>
      <c r="B4469" s="89"/>
      <c r="C4469" s="89"/>
      <c r="D4469" s="89"/>
      <c r="E4469" s="89"/>
      <c r="F4469" s="89"/>
      <c r="G4469" s="89"/>
      <c r="H4469" s="2"/>
      <c r="I4469" s="90"/>
      <c r="J4469" s="90"/>
      <c r="K4469" s="2"/>
      <c r="L4469" s="48"/>
      <c r="M4469" s="48"/>
      <c r="N4469" s="48"/>
      <c r="O4469" s="48" t="str">
        <f t="shared" si="2"/>
        <v/>
      </c>
      <c r="P4469" s="48" t="str">
        <f t="shared" si="3"/>
        <v/>
      </c>
      <c r="Q4469" s="84"/>
      <c r="R4469" s="84"/>
      <c r="S4469" s="84"/>
      <c r="T4469" s="84"/>
      <c r="U4469" s="84"/>
      <c r="V4469" s="84"/>
      <c r="W4469" s="84"/>
      <c r="X4469" s="84"/>
      <c r="Y4469" s="84"/>
      <c r="Z4469" s="84"/>
      <c r="AA4469" s="84"/>
      <c r="AB4469" s="84"/>
    </row>
    <row r="4470">
      <c r="A4470" s="89"/>
      <c r="B4470" s="89"/>
      <c r="C4470" s="89"/>
      <c r="D4470" s="89"/>
      <c r="E4470" s="89"/>
      <c r="F4470" s="89"/>
      <c r="G4470" s="89"/>
      <c r="H4470" s="2"/>
      <c r="I4470" s="90"/>
      <c r="J4470" s="90"/>
      <c r="K4470" s="2"/>
      <c r="L4470" s="49"/>
      <c r="M4470" s="49"/>
      <c r="N4470" s="49"/>
      <c r="O4470" s="49" t="str">
        <f t="shared" si="2"/>
        <v/>
      </c>
      <c r="P4470" s="49" t="str">
        <f t="shared" si="3"/>
        <v/>
      </c>
      <c r="Q4470" s="84"/>
      <c r="R4470" s="84"/>
      <c r="S4470" s="84"/>
      <c r="T4470" s="84"/>
      <c r="U4470" s="84"/>
      <c r="V4470" s="84"/>
      <c r="W4470" s="84"/>
      <c r="X4470" s="84"/>
      <c r="Y4470" s="84"/>
      <c r="Z4470" s="84"/>
      <c r="AA4470" s="84"/>
      <c r="AB4470" s="84"/>
    </row>
    <row r="4471">
      <c r="A4471" s="89"/>
      <c r="B4471" s="89"/>
      <c r="C4471" s="89"/>
      <c r="D4471" s="89"/>
      <c r="E4471" s="89"/>
      <c r="F4471" s="89"/>
      <c r="G4471" s="89"/>
      <c r="H4471" s="2"/>
      <c r="I4471" s="90"/>
      <c r="J4471" s="90"/>
      <c r="K4471" s="2"/>
      <c r="L4471" s="48"/>
      <c r="M4471" s="48"/>
      <c r="N4471" s="48"/>
      <c r="O4471" s="48" t="str">
        <f t="shared" si="2"/>
        <v/>
      </c>
      <c r="P4471" s="48" t="str">
        <f t="shared" si="3"/>
        <v/>
      </c>
      <c r="Q4471" s="84"/>
      <c r="R4471" s="84"/>
      <c r="S4471" s="84"/>
      <c r="T4471" s="84"/>
      <c r="U4471" s="84"/>
      <c r="V4471" s="84"/>
      <c r="W4471" s="84"/>
      <c r="X4471" s="84"/>
      <c r="Y4471" s="84"/>
      <c r="Z4471" s="84"/>
      <c r="AA4471" s="84"/>
      <c r="AB4471" s="84"/>
    </row>
    <row r="4472">
      <c r="A4472" s="89"/>
      <c r="B4472" s="89"/>
      <c r="C4472" s="89"/>
      <c r="D4472" s="89"/>
      <c r="E4472" s="89"/>
      <c r="F4472" s="89"/>
      <c r="G4472" s="89"/>
      <c r="H4472" s="2"/>
      <c r="I4472" s="90"/>
      <c r="J4472" s="90"/>
      <c r="K4472" s="2"/>
      <c r="L4472" s="49"/>
      <c r="M4472" s="49"/>
      <c r="N4472" s="49"/>
      <c r="O4472" s="49" t="str">
        <f t="shared" si="2"/>
        <v/>
      </c>
      <c r="P4472" s="49" t="str">
        <f t="shared" si="3"/>
        <v/>
      </c>
      <c r="Q4472" s="84"/>
      <c r="R4472" s="84"/>
      <c r="S4472" s="84"/>
      <c r="T4472" s="84"/>
      <c r="U4472" s="84"/>
      <c r="V4472" s="84"/>
      <c r="W4472" s="84"/>
      <c r="X4472" s="84"/>
      <c r="Y4472" s="84"/>
      <c r="Z4472" s="84"/>
      <c r="AA4472" s="84"/>
      <c r="AB4472" s="84"/>
    </row>
    <row r="4473">
      <c r="A4473" s="89"/>
      <c r="B4473" s="89"/>
      <c r="C4473" s="89"/>
      <c r="D4473" s="89"/>
      <c r="E4473" s="89"/>
      <c r="F4473" s="89"/>
      <c r="G4473" s="89"/>
      <c r="H4473" s="2"/>
      <c r="I4473" s="90"/>
      <c r="J4473" s="90"/>
      <c r="K4473" s="2"/>
      <c r="L4473" s="48"/>
      <c r="M4473" s="48"/>
      <c r="N4473" s="48"/>
      <c r="O4473" s="48" t="str">
        <f t="shared" si="2"/>
        <v/>
      </c>
      <c r="P4473" s="48" t="str">
        <f t="shared" si="3"/>
        <v/>
      </c>
      <c r="Q4473" s="84"/>
      <c r="R4473" s="84"/>
      <c r="S4473" s="84"/>
      <c r="T4473" s="84"/>
      <c r="U4473" s="84"/>
      <c r="V4473" s="84"/>
      <c r="W4473" s="84"/>
      <c r="X4473" s="84"/>
      <c r="Y4473" s="84"/>
      <c r="Z4473" s="84"/>
      <c r="AA4473" s="84"/>
      <c r="AB4473" s="84"/>
    </row>
    <row r="4474">
      <c r="A4474" s="89"/>
      <c r="B4474" s="89"/>
      <c r="C4474" s="89"/>
      <c r="D4474" s="89"/>
      <c r="E4474" s="89"/>
      <c r="F4474" s="89"/>
      <c r="G4474" s="89"/>
      <c r="H4474" s="2"/>
      <c r="I4474" s="90"/>
      <c r="J4474" s="90"/>
      <c r="K4474" s="2"/>
      <c r="L4474" s="49"/>
      <c r="M4474" s="49"/>
      <c r="N4474" s="49"/>
      <c r="O4474" s="49" t="str">
        <f t="shared" si="2"/>
        <v/>
      </c>
      <c r="P4474" s="49" t="str">
        <f t="shared" si="3"/>
        <v/>
      </c>
      <c r="Q4474" s="84"/>
      <c r="R4474" s="84"/>
      <c r="S4474" s="84"/>
      <c r="T4474" s="84"/>
      <c r="U4474" s="84"/>
      <c r="V4474" s="84"/>
      <c r="W4474" s="84"/>
      <c r="X4474" s="84"/>
      <c r="Y4474" s="84"/>
      <c r="Z4474" s="84"/>
      <c r="AA4474" s="84"/>
      <c r="AB4474" s="84"/>
    </row>
    <row r="4475">
      <c r="A4475" s="89"/>
      <c r="B4475" s="89"/>
      <c r="C4475" s="89"/>
      <c r="D4475" s="89"/>
      <c r="E4475" s="89"/>
      <c r="F4475" s="89"/>
      <c r="G4475" s="89"/>
      <c r="H4475" s="2"/>
      <c r="I4475" s="90"/>
      <c r="J4475" s="90"/>
      <c r="K4475" s="2"/>
      <c r="L4475" s="48"/>
      <c r="M4475" s="48"/>
      <c r="N4475" s="48"/>
      <c r="O4475" s="48" t="str">
        <f t="shared" si="2"/>
        <v/>
      </c>
      <c r="P4475" s="48" t="str">
        <f t="shared" si="3"/>
        <v/>
      </c>
      <c r="Q4475" s="84"/>
      <c r="R4475" s="84"/>
      <c r="S4475" s="84"/>
      <c r="T4475" s="84"/>
      <c r="U4475" s="84"/>
      <c r="V4475" s="84"/>
      <c r="W4475" s="84"/>
      <c r="X4475" s="84"/>
      <c r="Y4475" s="84"/>
      <c r="Z4475" s="84"/>
      <c r="AA4475" s="84"/>
      <c r="AB4475" s="84"/>
    </row>
    <row r="4476">
      <c r="A4476" s="89"/>
      <c r="B4476" s="89"/>
      <c r="C4476" s="89"/>
      <c r="D4476" s="89"/>
      <c r="E4476" s="89"/>
      <c r="F4476" s="89"/>
      <c r="G4476" s="89"/>
      <c r="H4476" s="2"/>
      <c r="I4476" s="90"/>
      <c r="J4476" s="90"/>
      <c r="K4476" s="2"/>
      <c r="L4476" s="49"/>
      <c r="M4476" s="49"/>
      <c r="N4476" s="49"/>
      <c r="O4476" s="49" t="str">
        <f t="shared" si="2"/>
        <v/>
      </c>
      <c r="P4476" s="49" t="str">
        <f t="shared" si="3"/>
        <v/>
      </c>
      <c r="Q4476" s="84"/>
      <c r="R4476" s="84"/>
      <c r="S4476" s="84"/>
      <c r="T4476" s="84"/>
      <c r="U4476" s="84"/>
      <c r="V4476" s="84"/>
      <c r="W4476" s="84"/>
      <c r="X4476" s="84"/>
      <c r="Y4476" s="84"/>
      <c r="Z4476" s="84"/>
      <c r="AA4476" s="84"/>
      <c r="AB4476" s="84"/>
    </row>
    <row r="4477">
      <c r="A4477" s="89"/>
      <c r="B4477" s="89"/>
      <c r="C4477" s="89"/>
      <c r="D4477" s="89"/>
      <c r="E4477" s="89"/>
      <c r="F4477" s="89"/>
      <c r="G4477" s="89"/>
      <c r="H4477" s="2"/>
      <c r="I4477" s="90"/>
      <c r="J4477" s="90"/>
      <c r="K4477" s="2"/>
      <c r="L4477" s="48"/>
      <c r="M4477" s="48"/>
      <c r="N4477" s="48"/>
      <c r="O4477" s="48" t="str">
        <f t="shared" si="2"/>
        <v/>
      </c>
      <c r="P4477" s="48" t="str">
        <f t="shared" si="3"/>
        <v/>
      </c>
      <c r="Q4477" s="84"/>
      <c r="R4477" s="84"/>
      <c r="S4477" s="84"/>
      <c r="T4477" s="84"/>
      <c r="U4477" s="84"/>
      <c r="V4477" s="84"/>
      <c r="W4477" s="84"/>
      <c r="X4477" s="84"/>
      <c r="Y4477" s="84"/>
      <c r="Z4477" s="84"/>
      <c r="AA4477" s="84"/>
      <c r="AB4477" s="84"/>
    </row>
    <row r="4478">
      <c r="A4478" s="89"/>
      <c r="B4478" s="89"/>
      <c r="C4478" s="89"/>
      <c r="D4478" s="89"/>
      <c r="E4478" s="89"/>
      <c r="F4478" s="89"/>
      <c r="G4478" s="89"/>
      <c r="H4478" s="2"/>
      <c r="I4478" s="90"/>
      <c r="J4478" s="90"/>
      <c r="K4478" s="2"/>
      <c r="L4478" s="49"/>
      <c r="M4478" s="49"/>
      <c r="N4478" s="49"/>
      <c r="O4478" s="49" t="str">
        <f t="shared" si="2"/>
        <v/>
      </c>
      <c r="P4478" s="49" t="str">
        <f t="shared" si="3"/>
        <v/>
      </c>
      <c r="Q4478" s="84"/>
      <c r="R4478" s="84"/>
      <c r="S4478" s="84"/>
      <c r="T4478" s="84"/>
      <c r="U4478" s="84"/>
      <c r="V4478" s="84"/>
      <c r="W4478" s="84"/>
      <c r="X4478" s="84"/>
      <c r="Y4478" s="84"/>
      <c r="Z4478" s="84"/>
      <c r="AA4478" s="84"/>
      <c r="AB4478" s="84"/>
    </row>
    <row r="4479">
      <c r="A4479" s="89"/>
      <c r="B4479" s="89"/>
      <c r="C4479" s="89"/>
      <c r="D4479" s="89"/>
      <c r="E4479" s="89"/>
      <c r="F4479" s="89"/>
      <c r="G4479" s="89"/>
      <c r="H4479" s="2"/>
      <c r="I4479" s="90"/>
      <c r="J4479" s="90"/>
      <c r="K4479" s="2"/>
      <c r="L4479" s="48"/>
      <c r="M4479" s="48"/>
      <c r="N4479" s="48"/>
      <c r="O4479" s="48" t="str">
        <f t="shared" si="2"/>
        <v/>
      </c>
      <c r="P4479" s="48" t="str">
        <f t="shared" si="3"/>
        <v/>
      </c>
      <c r="Q4479" s="84"/>
      <c r="R4479" s="84"/>
      <c r="S4479" s="84"/>
      <c r="T4479" s="84"/>
      <c r="U4479" s="84"/>
      <c r="V4479" s="84"/>
      <c r="W4479" s="84"/>
      <c r="X4479" s="84"/>
      <c r="Y4479" s="84"/>
      <c r="Z4479" s="84"/>
      <c r="AA4479" s="84"/>
      <c r="AB4479" s="84"/>
    </row>
    <row r="4480">
      <c r="A4480" s="89"/>
      <c r="B4480" s="89"/>
      <c r="C4480" s="89"/>
      <c r="D4480" s="89"/>
      <c r="E4480" s="89"/>
      <c r="F4480" s="89"/>
      <c r="G4480" s="89"/>
      <c r="H4480" s="2"/>
      <c r="I4480" s="90"/>
      <c r="J4480" s="90"/>
      <c r="K4480" s="2"/>
      <c r="L4480" s="49"/>
      <c r="M4480" s="49"/>
      <c r="N4480" s="49"/>
      <c r="O4480" s="49" t="str">
        <f t="shared" si="2"/>
        <v/>
      </c>
      <c r="P4480" s="49" t="str">
        <f t="shared" si="3"/>
        <v/>
      </c>
      <c r="Q4480" s="84"/>
      <c r="R4480" s="84"/>
      <c r="S4480" s="84"/>
      <c r="T4480" s="84"/>
      <c r="U4480" s="84"/>
      <c r="V4480" s="84"/>
      <c r="W4480" s="84"/>
      <c r="X4480" s="84"/>
      <c r="Y4480" s="84"/>
      <c r="Z4480" s="84"/>
      <c r="AA4480" s="84"/>
      <c r="AB4480" s="84"/>
    </row>
    <row r="4481">
      <c r="A4481" s="89"/>
      <c r="B4481" s="89"/>
      <c r="C4481" s="89"/>
      <c r="D4481" s="89"/>
      <c r="E4481" s="89"/>
      <c r="F4481" s="89"/>
      <c r="G4481" s="89"/>
      <c r="H4481" s="2"/>
      <c r="I4481" s="90"/>
      <c r="J4481" s="90"/>
      <c r="K4481" s="2"/>
      <c r="L4481" s="48"/>
      <c r="M4481" s="48"/>
      <c r="N4481" s="48"/>
      <c r="O4481" s="48" t="str">
        <f t="shared" si="2"/>
        <v/>
      </c>
      <c r="P4481" s="48" t="str">
        <f t="shared" si="3"/>
        <v/>
      </c>
      <c r="Q4481" s="84"/>
      <c r="R4481" s="84"/>
      <c r="S4481" s="84"/>
      <c r="T4481" s="84"/>
      <c r="U4481" s="84"/>
      <c r="V4481" s="84"/>
      <c r="W4481" s="84"/>
      <c r="X4481" s="84"/>
      <c r="Y4481" s="84"/>
      <c r="Z4481" s="84"/>
      <c r="AA4481" s="84"/>
      <c r="AB4481" s="84"/>
    </row>
    <row r="4482">
      <c r="A4482" s="89"/>
      <c r="B4482" s="89"/>
      <c r="C4482" s="89"/>
      <c r="D4482" s="89"/>
      <c r="E4482" s="89"/>
      <c r="F4482" s="89"/>
      <c r="G4482" s="89"/>
      <c r="H4482" s="2"/>
      <c r="I4482" s="90"/>
      <c r="J4482" s="90"/>
      <c r="K4482" s="2"/>
      <c r="L4482" s="49"/>
      <c r="M4482" s="49"/>
      <c r="N4482" s="49"/>
      <c r="O4482" s="49" t="str">
        <f t="shared" si="2"/>
        <v/>
      </c>
      <c r="P4482" s="49" t="str">
        <f t="shared" si="3"/>
        <v/>
      </c>
      <c r="Q4482" s="84"/>
      <c r="R4482" s="84"/>
      <c r="S4482" s="84"/>
      <c r="T4482" s="84"/>
      <c r="U4482" s="84"/>
      <c r="V4482" s="84"/>
      <c r="W4482" s="84"/>
      <c r="X4482" s="84"/>
      <c r="Y4482" s="84"/>
      <c r="Z4482" s="84"/>
      <c r="AA4482" s="84"/>
      <c r="AB4482" s="84"/>
    </row>
    <row r="4483">
      <c r="A4483" s="89"/>
      <c r="B4483" s="89"/>
      <c r="C4483" s="89"/>
      <c r="D4483" s="89"/>
      <c r="E4483" s="89"/>
      <c r="F4483" s="89"/>
      <c r="G4483" s="89"/>
      <c r="H4483" s="2"/>
      <c r="I4483" s="90"/>
      <c r="J4483" s="90"/>
      <c r="K4483" s="2"/>
      <c r="L4483" s="48"/>
      <c r="M4483" s="48"/>
      <c r="N4483" s="48"/>
      <c r="O4483" s="48" t="str">
        <f t="shared" si="2"/>
        <v/>
      </c>
      <c r="P4483" s="48" t="str">
        <f t="shared" si="3"/>
        <v/>
      </c>
      <c r="Q4483" s="84"/>
      <c r="R4483" s="84"/>
      <c r="S4483" s="84"/>
      <c r="T4483" s="84"/>
      <c r="U4483" s="84"/>
      <c r="V4483" s="84"/>
      <c r="W4483" s="84"/>
      <c r="X4483" s="84"/>
      <c r="Y4483" s="84"/>
      <c r="Z4483" s="84"/>
      <c r="AA4483" s="84"/>
      <c r="AB4483" s="84"/>
    </row>
    <row r="4484">
      <c r="A4484" s="89"/>
      <c r="B4484" s="89"/>
      <c r="C4484" s="89"/>
      <c r="D4484" s="89"/>
      <c r="E4484" s="89"/>
      <c r="F4484" s="89"/>
      <c r="G4484" s="89"/>
      <c r="H4484" s="2"/>
      <c r="I4484" s="90"/>
      <c r="J4484" s="90"/>
      <c r="K4484" s="2"/>
      <c r="L4484" s="49"/>
      <c r="M4484" s="49"/>
      <c r="N4484" s="49"/>
      <c r="O4484" s="49" t="str">
        <f t="shared" si="2"/>
        <v/>
      </c>
      <c r="P4484" s="49" t="str">
        <f t="shared" si="3"/>
        <v/>
      </c>
      <c r="Q4484" s="84"/>
      <c r="R4484" s="84"/>
      <c r="S4484" s="84"/>
      <c r="T4484" s="84"/>
      <c r="U4484" s="84"/>
      <c r="V4484" s="84"/>
      <c r="W4484" s="84"/>
      <c r="X4484" s="84"/>
      <c r="Y4484" s="84"/>
      <c r="Z4484" s="84"/>
      <c r="AA4484" s="84"/>
      <c r="AB4484" s="84"/>
    </row>
    <row r="4485">
      <c r="A4485" s="89"/>
      <c r="B4485" s="89"/>
      <c r="C4485" s="89"/>
      <c r="D4485" s="89"/>
      <c r="E4485" s="89"/>
      <c r="F4485" s="89"/>
      <c r="G4485" s="89"/>
      <c r="H4485" s="2"/>
      <c r="I4485" s="90"/>
      <c r="J4485" s="90"/>
      <c r="K4485" s="2"/>
      <c r="L4485" s="48"/>
      <c r="M4485" s="48"/>
      <c r="N4485" s="48"/>
      <c r="O4485" s="48" t="str">
        <f t="shared" si="2"/>
        <v/>
      </c>
      <c r="P4485" s="48" t="str">
        <f t="shared" si="3"/>
        <v/>
      </c>
      <c r="Q4485" s="84"/>
      <c r="R4485" s="84"/>
      <c r="S4485" s="84"/>
      <c r="T4485" s="84"/>
      <c r="U4485" s="84"/>
      <c r="V4485" s="84"/>
      <c r="W4485" s="84"/>
      <c r="X4485" s="84"/>
      <c r="Y4485" s="84"/>
      <c r="Z4485" s="84"/>
      <c r="AA4485" s="84"/>
      <c r="AB4485" s="84"/>
    </row>
    <row r="4486">
      <c r="A4486" s="89"/>
      <c r="B4486" s="89"/>
      <c r="C4486" s="89"/>
      <c r="D4486" s="89"/>
      <c r="E4486" s="89"/>
      <c r="F4486" s="89"/>
      <c r="G4486" s="89"/>
      <c r="H4486" s="2"/>
      <c r="I4486" s="90"/>
      <c r="J4486" s="90"/>
      <c r="K4486" s="2"/>
      <c r="L4486" s="49"/>
      <c r="M4486" s="49"/>
      <c r="N4486" s="49"/>
      <c r="O4486" s="49" t="str">
        <f t="shared" si="2"/>
        <v/>
      </c>
      <c r="P4486" s="49" t="str">
        <f t="shared" si="3"/>
        <v/>
      </c>
      <c r="Q4486" s="84"/>
      <c r="R4486" s="84"/>
      <c r="S4486" s="84"/>
      <c r="T4486" s="84"/>
      <c r="U4486" s="84"/>
      <c r="V4486" s="84"/>
      <c r="W4486" s="84"/>
      <c r="X4486" s="84"/>
      <c r="Y4486" s="84"/>
      <c r="Z4486" s="84"/>
      <c r="AA4486" s="84"/>
      <c r="AB4486" s="84"/>
    </row>
    <row r="4487">
      <c r="A4487" s="89"/>
      <c r="B4487" s="89"/>
      <c r="C4487" s="89"/>
      <c r="D4487" s="89"/>
      <c r="E4487" s="89"/>
      <c r="F4487" s="89"/>
      <c r="G4487" s="89"/>
      <c r="H4487" s="2"/>
      <c r="I4487" s="90"/>
      <c r="J4487" s="90"/>
      <c r="K4487" s="2"/>
      <c r="L4487" s="48"/>
      <c r="M4487" s="48"/>
      <c r="N4487" s="48"/>
      <c r="O4487" s="48" t="str">
        <f t="shared" si="2"/>
        <v/>
      </c>
      <c r="P4487" s="48" t="str">
        <f t="shared" si="3"/>
        <v/>
      </c>
      <c r="Q4487" s="84"/>
      <c r="R4487" s="84"/>
      <c r="S4487" s="84"/>
      <c r="T4487" s="84"/>
      <c r="U4487" s="84"/>
      <c r="V4487" s="84"/>
      <c r="W4487" s="84"/>
      <c r="X4487" s="84"/>
      <c r="Y4487" s="84"/>
      <c r="Z4487" s="84"/>
      <c r="AA4487" s="84"/>
      <c r="AB4487" s="84"/>
    </row>
    <row r="4488">
      <c r="A4488" s="89"/>
      <c r="B4488" s="89"/>
      <c r="C4488" s="89"/>
      <c r="D4488" s="89"/>
      <c r="E4488" s="89"/>
      <c r="F4488" s="89"/>
      <c r="G4488" s="89"/>
      <c r="H4488" s="2"/>
      <c r="I4488" s="90"/>
      <c r="J4488" s="90"/>
      <c r="K4488" s="2"/>
      <c r="L4488" s="49"/>
      <c r="M4488" s="49"/>
      <c r="N4488" s="49"/>
      <c r="O4488" s="49" t="str">
        <f t="shared" si="2"/>
        <v/>
      </c>
      <c r="P4488" s="49" t="str">
        <f t="shared" si="3"/>
        <v/>
      </c>
      <c r="Q4488" s="84"/>
      <c r="R4488" s="84"/>
      <c r="S4488" s="84"/>
      <c r="T4488" s="84"/>
      <c r="U4488" s="84"/>
      <c r="V4488" s="84"/>
      <c r="W4488" s="84"/>
      <c r="X4488" s="84"/>
      <c r="Y4488" s="84"/>
      <c r="Z4488" s="84"/>
      <c r="AA4488" s="84"/>
      <c r="AB4488" s="84"/>
    </row>
    <row r="4489">
      <c r="A4489" s="89"/>
      <c r="B4489" s="89"/>
      <c r="C4489" s="89"/>
      <c r="D4489" s="89"/>
      <c r="E4489" s="89"/>
      <c r="F4489" s="89"/>
      <c r="G4489" s="89"/>
      <c r="H4489" s="2"/>
      <c r="I4489" s="90"/>
      <c r="J4489" s="90"/>
      <c r="K4489" s="2"/>
      <c r="L4489" s="48"/>
      <c r="M4489" s="48"/>
      <c r="N4489" s="48"/>
      <c r="O4489" s="48" t="str">
        <f t="shared" si="2"/>
        <v/>
      </c>
      <c r="P4489" s="48" t="str">
        <f t="shared" si="3"/>
        <v/>
      </c>
      <c r="Q4489" s="84"/>
      <c r="R4489" s="84"/>
      <c r="S4489" s="84"/>
      <c r="T4489" s="84"/>
      <c r="U4489" s="84"/>
      <c r="V4489" s="84"/>
      <c r="W4489" s="84"/>
      <c r="X4489" s="84"/>
      <c r="Y4489" s="84"/>
      <c r="Z4489" s="84"/>
      <c r="AA4489" s="84"/>
      <c r="AB4489" s="84"/>
    </row>
    <row r="4490">
      <c r="A4490" s="89"/>
      <c r="B4490" s="89"/>
      <c r="C4490" s="89"/>
      <c r="D4490" s="89"/>
      <c r="E4490" s="89"/>
      <c r="F4490" s="89"/>
      <c r="G4490" s="89"/>
      <c r="H4490" s="2"/>
      <c r="I4490" s="90"/>
      <c r="J4490" s="90"/>
      <c r="K4490" s="2"/>
      <c r="L4490" s="49"/>
      <c r="M4490" s="49"/>
      <c r="N4490" s="49"/>
      <c r="O4490" s="49" t="str">
        <f t="shared" si="2"/>
        <v/>
      </c>
      <c r="P4490" s="49" t="str">
        <f t="shared" si="3"/>
        <v/>
      </c>
      <c r="Q4490" s="84"/>
      <c r="R4490" s="84"/>
      <c r="S4490" s="84"/>
      <c r="T4490" s="84"/>
      <c r="U4490" s="84"/>
      <c r="V4490" s="84"/>
      <c r="W4490" s="84"/>
      <c r="X4490" s="84"/>
      <c r="Y4490" s="84"/>
      <c r="Z4490" s="84"/>
      <c r="AA4490" s="84"/>
      <c r="AB4490" s="84"/>
    </row>
    <row r="4491">
      <c r="A4491" s="89"/>
      <c r="B4491" s="89"/>
      <c r="C4491" s="89"/>
      <c r="D4491" s="89"/>
      <c r="E4491" s="89"/>
      <c r="F4491" s="89"/>
      <c r="G4491" s="89"/>
      <c r="H4491" s="2"/>
      <c r="I4491" s="90"/>
      <c r="J4491" s="90"/>
      <c r="K4491" s="2"/>
      <c r="L4491" s="48"/>
      <c r="M4491" s="48"/>
      <c r="N4491" s="48"/>
      <c r="O4491" s="48" t="str">
        <f t="shared" si="2"/>
        <v/>
      </c>
      <c r="P4491" s="48" t="str">
        <f t="shared" si="3"/>
        <v/>
      </c>
      <c r="Q4491" s="84"/>
      <c r="R4491" s="84"/>
      <c r="S4491" s="84"/>
      <c r="T4491" s="84"/>
      <c r="U4491" s="84"/>
      <c r="V4491" s="84"/>
      <c r="W4491" s="84"/>
      <c r="X4491" s="84"/>
      <c r="Y4491" s="84"/>
      <c r="Z4491" s="84"/>
      <c r="AA4491" s="84"/>
      <c r="AB4491" s="84"/>
    </row>
    <row r="4492">
      <c r="A4492" s="89"/>
      <c r="B4492" s="89"/>
      <c r="C4492" s="89"/>
      <c r="D4492" s="89"/>
      <c r="E4492" s="89"/>
      <c r="F4492" s="89"/>
      <c r="G4492" s="89"/>
      <c r="H4492" s="2"/>
      <c r="I4492" s="90"/>
      <c r="J4492" s="90"/>
      <c r="K4492" s="2"/>
      <c r="L4492" s="49"/>
      <c r="M4492" s="49"/>
      <c r="N4492" s="49"/>
      <c r="O4492" s="49" t="str">
        <f t="shared" si="2"/>
        <v/>
      </c>
      <c r="P4492" s="49" t="str">
        <f t="shared" si="3"/>
        <v/>
      </c>
      <c r="Q4492" s="84"/>
      <c r="R4492" s="84"/>
      <c r="S4492" s="84"/>
      <c r="T4492" s="84"/>
      <c r="U4492" s="84"/>
      <c r="V4492" s="84"/>
      <c r="W4492" s="84"/>
      <c r="X4492" s="84"/>
      <c r="Y4492" s="84"/>
      <c r="Z4492" s="84"/>
      <c r="AA4492" s="84"/>
      <c r="AB4492" s="84"/>
    </row>
    <row r="4493">
      <c r="A4493" s="89"/>
      <c r="B4493" s="89"/>
      <c r="C4493" s="89"/>
      <c r="D4493" s="89"/>
      <c r="E4493" s="89"/>
      <c r="F4493" s="89"/>
      <c r="G4493" s="89"/>
      <c r="H4493" s="2"/>
      <c r="I4493" s="90"/>
      <c r="J4493" s="90"/>
      <c r="K4493" s="2"/>
      <c r="L4493" s="48"/>
      <c r="M4493" s="48"/>
      <c r="N4493" s="48"/>
      <c r="O4493" s="48" t="str">
        <f t="shared" si="2"/>
        <v/>
      </c>
      <c r="P4493" s="48" t="str">
        <f t="shared" si="3"/>
        <v/>
      </c>
      <c r="Q4493" s="84"/>
      <c r="R4493" s="84"/>
      <c r="S4493" s="84"/>
      <c r="T4493" s="84"/>
      <c r="U4493" s="84"/>
      <c r="V4493" s="84"/>
      <c r="W4493" s="84"/>
      <c r="X4493" s="84"/>
      <c r="Y4493" s="84"/>
      <c r="Z4493" s="84"/>
      <c r="AA4493" s="84"/>
      <c r="AB4493" s="84"/>
    </row>
    <row r="4494">
      <c r="A4494" s="89"/>
      <c r="B4494" s="89"/>
      <c r="C4494" s="89"/>
      <c r="D4494" s="89"/>
      <c r="E4494" s="89"/>
      <c r="F4494" s="89"/>
      <c r="G4494" s="89"/>
      <c r="H4494" s="2"/>
      <c r="I4494" s="90"/>
      <c r="J4494" s="90"/>
      <c r="K4494" s="2"/>
      <c r="L4494" s="49"/>
      <c r="M4494" s="49"/>
      <c r="N4494" s="49"/>
      <c r="O4494" s="49" t="str">
        <f t="shared" si="2"/>
        <v/>
      </c>
      <c r="P4494" s="49" t="str">
        <f t="shared" si="3"/>
        <v/>
      </c>
      <c r="Q4494" s="84"/>
      <c r="R4494" s="84"/>
      <c r="S4494" s="84"/>
      <c r="T4494" s="84"/>
      <c r="U4494" s="84"/>
      <c r="V4494" s="84"/>
      <c r="W4494" s="84"/>
      <c r="X4494" s="84"/>
      <c r="Y4494" s="84"/>
      <c r="Z4494" s="84"/>
      <c r="AA4494" s="84"/>
      <c r="AB4494" s="84"/>
    </row>
    <row r="4495">
      <c r="A4495" s="89"/>
      <c r="B4495" s="89"/>
      <c r="C4495" s="89"/>
      <c r="D4495" s="89"/>
      <c r="E4495" s="89"/>
      <c r="F4495" s="89"/>
      <c r="G4495" s="89"/>
      <c r="H4495" s="2"/>
      <c r="I4495" s="90"/>
      <c r="J4495" s="90"/>
      <c r="K4495" s="2"/>
      <c r="L4495" s="48"/>
      <c r="M4495" s="48"/>
      <c r="N4495" s="48"/>
      <c r="O4495" s="48" t="str">
        <f t="shared" si="2"/>
        <v/>
      </c>
      <c r="P4495" s="48" t="str">
        <f t="shared" si="3"/>
        <v/>
      </c>
      <c r="Q4495" s="84"/>
      <c r="R4495" s="84"/>
      <c r="S4495" s="84"/>
      <c r="T4495" s="84"/>
      <c r="U4495" s="84"/>
      <c r="V4495" s="84"/>
      <c r="W4495" s="84"/>
      <c r="X4495" s="84"/>
      <c r="Y4495" s="84"/>
      <c r="Z4495" s="84"/>
      <c r="AA4495" s="84"/>
      <c r="AB4495" s="84"/>
    </row>
    <row r="4496">
      <c r="A4496" s="89"/>
      <c r="B4496" s="89"/>
      <c r="C4496" s="89"/>
      <c r="D4496" s="89"/>
      <c r="E4496" s="89"/>
      <c r="F4496" s="89"/>
      <c r="G4496" s="89"/>
      <c r="H4496" s="2"/>
      <c r="I4496" s="90"/>
      <c r="J4496" s="90"/>
      <c r="K4496" s="2"/>
      <c r="L4496" s="49"/>
      <c r="M4496" s="49"/>
      <c r="N4496" s="49"/>
      <c r="O4496" s="49" t="str">
        <f t="shared" si="2"/>
        <v/>
      </c>
      <c r="P4496" s="49" t="str">
        <f t="shared" si="3"/>
        <v/>
      </c>
      <c r="Q4496" s="84"/>
      <c r="R4496" s="84"/>
      <c r="S4496" s="84"/>
      <c r="T4496" s="84"/>
      <c r="U4496" s="84"/>
      <c r="V4496" s="84"/>
      <c r="W4496" s="84"/>
      <c r="X4496" s="84"/>
      <c r="Y4496" s="84"/>
      <c r="Z4496" s="84"/>
      <c r="AA4496" s="84"/>
      <c r="AB4496" s="84"/>
    </row>
    <row r="4497">
      <c r="A4497" s="89"/>
      <c r="B4497" s="89"/>
      <c r="C4497" s="89"/>
      <c r="D4497" s="89"/>
      <c r="E4497" s="89"/>
      <c r="F4497" s="89"/>
      <c r="G4497" s="89"/>
      <c r="H4497" s="2"/>
      <c r="I4497" s="90"/>
      <c r="J4497" s="90"/>
      <c r="K4497" s="2"/>
      <c r="L4497" s="48"/>
      <c r="M4497" s="48"/>
      <c r="N4497" s="48"/>
      <c r="O4497" s="48" t="str">
        <f t="shared" si="2"/>
        <v/>
      </c>
      <c r="P4497" s="48" t="str">
        <f t="shared" si="3"/>
        <v/>
      </c>
      <c r="Q4497" s="84"/>
      <c r="R4497" s="84"/>
      <c r="S4497" s="84"/>
      <c r="T4497" s="84"/>
      <c r="U4497" s="84"/>
      <c r="V4497" s="84"/>
      <c r="W4497" s="84"/>
      <c r="X4497" s="84"/>
      <c r="Y4497" s="84"/>
      <c r="Z4497" s="84"/>
      <c r="AA4497" s="84"/>
      <c r="AB4497" s="84"/>
    </row>
    <row r="4498">
      <c r="A4498" s="89"/>
      <c r="B4498" s="89"/>
      <c r="C4498" s="89"/>
      <c r="D4498" s="89"/>
      <c r="E4498" s="89"/>
      <c r="F4498" s="89"/>
      <c r="G4498" s="89"/>
      <c r="H4498" s="2"/>
      <c r="I4498" s="90"/>
      <c r="J4498" s="90"/>
      <c r="K4498" s="2"/>
      <c r="L4498" s="49"/>
      <c r="M4498" s="49"/>
      <c r="N4498" s="49"/>
      <c r="O4498" s="49" t="str">
        <f t="shared" si="2"/>
        <v/>
      </c>
      <c r="P4498" s="49" t="str">
        <f t="shared" si="3"/>
        <v/>
      </c>
      <c r="Q4498" s="84"/>
      <c r="R4498" s="84"/>
      <c r="S4498" s="84"/>
      <c r="T4498" s="84"/>
      <c r="U4498" s="84"/>
      <c r="V4498" s="84"/>
      <c r="W4498" s="84"/>
      <c r="X4498" s="84"/>
      <c r="Y4498" s="84"/>
      <c r="Z4498" s="84"/>
      <c r="AA4498" s="84"/>
      <c r="AB4498" s="84"/>
    </row>
    <row r="4499">
      <c r="A4499" s="89"/>
      <c r="B4499" s="89"/>
      <c r="C4499" s="89"/>
      <c r="D4499" s="89"/>
      <c r="E4499" s="89"/>
      <c r="F4499" s="89"/>
      <c r="G4499" s="89"/>
      <c r="H4499" s="2"/>
      <c r="I4499" s="90"/>
      <c r="J4499" s="90"/>
      <c r="K4499" s="2"/>
      <c r="L4499" s="48"/>
      <c r="M4499" s="48"/>
      <c r="N4499" s="48"/>
      <c r="O4499" s="48" t="str">
        <f t="shared" si="2"/>
        <v/>
      </c>
      <c r="P4499" s="48" t="str">
        <f t="shared" si="3"/>
        <v/>
      </c>
      <c r="Q4499" s="84"/>
      <c r="R4499" s="84"/>
      <c r="S4499" s="84"/>
      <c r="T4499" s="84"/>
      <c r="U4499" s="84"/>
      <c r="V4499" s="84"/>
      <c r="W4499" s="84"/>
      <c r="X4499" s="84"/>
      <c r="Y4499" s="84"/>
      <c r="Z4499" s="84"/>
      <c r="AA4499" s="84"/>
      <c r="AB4499" s="84"/>
    </row>
    <row r="4500">
      <c r="A4500" s="89"/>
      <c r="B4500" s="89"/>
      <c r="C4500" s="89"/>
      <c r="D4500" s="89"/>
      <c r="E4500" s="89"/>
      <c r="F4500" s="89"/>
      <c r="G4500" s="89"/>
      <c r="H4500" s="2"/>
      <c r="I4500" s="90"/>
      <c r="J4500" s="90"/>
      <c r="K4500" s="2"/>
      <c r="L4500" s="49"/>
      <c r="M4500" s="49"/>
      <c r="N4500" s="49"/>
      <c r="O4500" s="49" t="str">
        <f t="shared" si="2"/>
        <v/>
      </c>
      <c r="P4500" s="49" t="str">
        <f t="shared" si="3"/>
        <v/>
      </c>
      <c r="Q4500" s="84"/>
      <c r="R4500" s="84"/>
      <c r="S4500" s="84"/>
      <c r="T4500" s="84"/>
      <c r="U4500" s="84"/>
      <c r="V4500" s="84"/>
      <c r="W4500" s="84"/>
      <c r="X4500" s="84"/>
      <c r="Y4500" s="84"/>
      <c r="Z4500" s="84"/>
      <c r="AA4500" s="84"/>
      <c r="AB4500" s="84"/>
    </row>
    <row r="4501">
      <c r="A4501" s="89"/>
      <c r="B4501" s="89"/>
      <c r="C4501" s="89"/>
      <c r="D4501" s="89"/>
      <c r="E4501" s="89"/>
      <c r="F4501" s="89"/>
      <c r="G4501" s="89"/>
      <c r="H4501" s="2"/>
      <c r="I4501" s="90"/>
      <c r="J4501" s="90"/>
      <c r="K4501" s="2"/>
      <c r="L4501" s="48"/>
      <c r="M4501" s="48"/>
      <c r="N4501" s="48"/>
      <c r="O4501" s="48" t="str">
        <f t="shared" si="2"/>
        <v/>
      </c>
      <c r="P4501" s="48" t="str">
        <f t="shared" si="3"/>
        <v/>
      </c>
      <c r="Q4501" s="84"/>
      <c r="R4501" s="84"/>
      <c r="S4501" s="84"/>
      <c r="T4501" s="84"/>
      <c r="U4501" s="84"/>
      <c r="V4501" s="84"/>
      <c r="W4501" s="84"/>
      <c r="X4501" s="84"/>
      <c r="Y4501" s="84"/>
      <c r="Z4501" s="84"/>
      <c r="AA4501" s="84"/>
      <c r="AB4501" s="84"/>
    </row>
    <row r="4502">
      <c r="A4502" s="89"/>
      <c r="B4502" s="89"/>
      <c r="C4502" s="89"/>
      <c r="D4502" s="89"/>
      <c r="E4502" s="89"/>
      <c r="F4502" s="89"/>
      <c r="G4502" s="89"/>
      <c r="H4502" s="2"/>
      <c r="I4502" s="90"/>
      <c r="J4502" s="90"/>
      <c r="K4502" s="2"/>
      <c r="L4502" s="49"/>
      <c r="M4502" s="49"/>
      <c r="N4502" s="49"/>
      <c r="O4502" s="49" t="str">
        <f t="shared" si="2"/>
        <v/>
      </c>
      <c r="P4502" s="49" t="str">
        <f t="shared" si="3"/>
        <v/>
      </c>
      <c r="Q4502" s="84"/>
      <c r="R4502" s="84"/>
      <c r="S4502" s="84"/>
      <c r="T4502" s="84"/>
      <c r="U4502" s="84"/>
      <c r="V4502" s="84"/>
      <c r="W4502" s="84"/>
      <c r="X4502" s="84"/>
      <c r="Y4502" s="84"/>
      <c r="Z4502" s="84"/>
      <c r="AA4502" s="84"/>
      <c r="AB4502" s="84"/>
    </row>
    <row r="4503">
      <c r="A4503" s="89"/>
      <c r="B4503" s="89"/>
      <c r="C4503" s="89"/>
      <c r="D4503" s="89"/>
      <c r="E4503" s="89"/>
      <c r="F4503" s="89"/>
      <c r="G4503" s="89"/>
      <c r="H4503" s="2"/>
      <c r="I4503" s="90"/>
      <c r="J4503" s="90"/>
      <c r="K4503" s="2"/>
      <c r="L4503" s="48"/>
      <c r="M4503" s="48"/>
      <c r="N4503" s="48"/>
      <c r="O4503" s="48" t="str">
        <f t="shared" si="2"/>
        <v/>
      </c>
      <c r="P4503" s="48" t="str">
        <f t="shared" si="3"/>
        <v/>
      </c>
      <c r="Q4503" s="84"/>
      <c r="R4503" s="84"/>
      <c r="S4503" s="84"/>
      <c r="T4503" s="84"/>
      <c r="U4503" s="84"/>
      <c r="V4503" s="84"/>
      <c r="W4503" s="84"/>
      <c r="X4503" s="84"/>
      <c r="Y4503" s="84"/>
      <c r="Z4503" s="84"/>
      <c r="AA4503" s="84"/>
      <c r="AB4503" s="84"/>
    </row>
    <row r="4504">
      <c r="A4504" s="89"/>
      <c r="B4504" s="89"/>
      <c r="C4504" s="89"/>
      <c r="D4504" s="89"/>
      <c r="E4504" s="89"/>
      <c r="F4504" s="89"/>
      <c r="G4504" s="89"/>
      <c r="H4504" s="2"/>
      <c r="I4504" s="90"/>
      <c r="J4504" s="90"/>
      <c r="K4504" s="2"/>
      <c r="L4504" s="49"/>
      <c r="M4504" s="49"/>
      <c r="N4504" s="49"/>
      <c r="O4504" s="49" t="str">
        <f t="shared" si="2"/>
        <v/>
      </c>
      <c r="P4504" s="49" t="str">
        <f t="shared" si="3"/>
        <v/>
      </c>
      <c r="Q4504" s="84"/>
      <c r="R4504" s="84"/>
      <c r="S4504" s="84"/>
      <c r="T4504" s="84"/>
      <c r="U4504" s="84"/>
      <c r="V4504" s="84"/>
      <c r="W4504" s="84"/>
      <c r="X4504" s="84"/>
      <c r="Y4504" s="84"/>
      <c r="Z4504" s="84"/>
      <c r="AA4504" s="84"/>
      <c r="AB4504" s="84"/>
    </row>
    <row r="4505">
      <c r="A4505" s="89"/>
      <c r="B4505" s="89"/>
      <c r="C4505" s="89"/>
      <c r="D4505" s="89"/>
      <c r="E4505" s="89"/>
      <c r="F4505" s="89"/>
      <c r="G4505" s="89"/>
      <c r="H4505" s="2"/>
      <c r="I4505" s="90"/>
      <c r="J4505" s="90"/>
      <c r="K4505" s="2"/>
      <c r="L4505" s="48"/>
      <c r="M4505" s="48"/>
      <c r="N4505" s="48"/>
      <c r="O4505" s="48" t="str">
        <f t="shared" si="2"/>
        <v/>
      </c>
      <c r="P4505" s="48" t="str">
        <f t="shared" si="3"/>
        <v/>
      </c>
      <c r="Q4505" s="84"/>
      <c r="R4505" s="84"/>
      <c r="S4505" s="84"/>
      <c r="T4505" s="84"/>
      <c r="U4505" s="84"/>
      <c r="V4505" s="84"/>
      <c r="W4505" s="84"/>
      <c r="X4505" s="84"/>
      <c r="Y4505" s="84"/>
      <c r="Z4505" s="84"/>
      <c r="AA4505" s="84"/>
      <c r="AB4505" s="84"/>
    </row>
    <row r="4506">
      <c r="A4506" s="89"/>
      <c r="B4506" s="89"/>
      <c r="C4506" s="89"/>
      <c r="D4506" s="89"/>
      <c r="E4506" s="89"/>
      <c r="F4506" s="89"/>
      <c r="G4506" s="89"/>
      <c r="H4506" s="2"/>
      <c r="I4506" s="90"/>
      <c r="J4506" s="90"/>
      <c r="K4506" s="2"/>
      <c r="L4506" s="49"/>
      <c r="M4506" s="49"/>
      <c r="N4506" s="49"/>
      <c r="O4506" s="49" t="str">
        <f t="shared" si="2"/>
        <v/>
      </c>
      <c r="P4506" s="49" t="str">
        <f t="shared" si="3"/>
        <v/>
      </c>
      <c r="Q4506" s="84"/>
      <c r="R4506" s="84"/>
      <c r="S4506" s="84"/>
      <c r="T4506" s="84"/>
      <c r="U4506" s="84"/>
      <c r="V4506" s="84"/>
      <c r="W4506" s="84"/>
      <c r="X4506" s="84"/>
      <c r="Y4506" s="84"/>
      <c r="Z4506" s="84"/>
      <c r="AA4506" s="84"/>
      <c r="AB4506" s="84"/>
    </row>
    <row r="4507">
      <c r="A4507" s="89"/>
      <c r="B4507" s="89"/>
      <c r="C4507" s="89"/>
      <c r="D4507" s="89"/>
      <c r="E4507" s="89"/>
      <c r="F4507" s="89"/>
      <c r="G4507" s="89"/>
      <c r="H4507" s="2"/>
      <c r="I4507" s="90"/>
      <c r="J4507" s="90"/>
      <c r="K4507" s="2"/>
      <c r="L4507" s="48"/>
      <c r="M4507" s="48"/>
      <c r="N4507" s="48"/>
      <c r="O4507" s="48" t="str">
        <f t="shared" si="2"/>
        <v/>
      </c>
      <c r="P4507" s="48" t="str">
        <f t="shared" si="3"/>
        <v/>
      </c>
      <c r="Q4507" s="84"/>
      <c r="R4507" s="84"/>
      <c r="S4507" s="84"/>
      <c r="T4507" s="84"/>
      <c r="U4507" s="84"/>
      <c r="V4507" s="84"/>
      <c r="W4507" s="84"/>
      <c r="X4507" s="84"/>
      <c r="Y4507" s="84"/>
      <c r="Z4507" s="84"/>
      <c r="AA4507" s="84"/>
      <c r="AB4507" s="84"/>
    </row>
    <row r="4508">
      <c r="A4508" s="89"/>
      <c r="B4508" s="89"/>
      <c r="C4508" s="89"/>
      <c r="D4508" s="89"/>
      <c r="E4508" s="89"/>
      <c r="F4508" s="89"/>
      <c r="G4508" s="89"/>
      <c r="H4508" s="2"/>
      <c r="I4508" s="90"/>
      <c r="J4508" s="90"/>
      <c r="K4508" s="2"/>
      <c r="L4508" s="49"/>
      <c r="M4508" s="49"/>
      <c r="N4508" s="49"/>
      <c r="O4508" s="49" t="str">
        <f t="shared" si="2"/>
        <v/>
      </c>
      <c r="P4508" s="49" t="str">
        <f t="shared" si="3"/>
        <v/>
      </c>
      <c r="Q4508" s="84"/>
      <c r="R4508" s="84"/>
      <c r="S4508" s="84"/>
      <c r="T4508" s="84"/>
      <c r="U4508" s="84"/>
      <c r="V4508" s="84"/>
      <c r="W4508" s="84"/>
      <c r="X4508" s="84"/>
      <c r="Y4508" s="84"/>
      <c r="Z4508" s="84"/>
      <c r="AA4508" s="84"/>
      <c r="AB4508" s="84"/>
    </row>
    <row r="4509">
      <c r="A4509" s="89"/>
      <c r="B4509" s="89"/>
      <c r="C4509" s="89"/>
      <c r="D4509" s="89"/>
      <c r="E4509" s="89"/>
      <c r="F4509" s="89"/>
      <c r="G4509" s="89"/>
      <c r="H4509" s="2"/>
      <c r="I4509" s="90"/>
      <c r="J4509" s="90"/>
      <c r="K4509" s="2"/>
      <c r="L4509" s="48"/>
      <c r="M4509" s="48"/>
      <c r="N4509" s="48"/>
      <c r="O4509" s="48" t="str">
        <f t="shared" si="2"/>
        <v/>
      </c>
      <c r="P4509" s="48" t="str">
        <f t="shared" si="3"/>
        <v/>
      </c>
      <c r="Q4509" s="84"/>
      <c r="R4509" s="84"/>
      <c r="S4509" s="84"/>
      <c r="T4509" s="84"/>
      <c r="U4509" s="84"/>
      <c r="V4509" s="84"/>
      <c r="W4509" s="84"/>
      <c r="X4509" s="84"/>
      <c r="Y4509" s="84"/>
      <c r="Z4509" s="84"/>
      <c r="AA4509" s="84"/>
      <c r="AB4509" s="84"/>
    </row>
    <row r="4510">
      <c r="A4510" s="89"/>
      <c r="B4510" s="89"/>
      <c r="C4510" s="89"/>
      <c r="D4510" s="89"/>
      <c r="E4510" s="89"/>
      <c r="F4510" s="89"/>
      <c r="G4510" s="89"/>
      <c r="H4510" s="2"/>
      <c r="I4510" s="90"/>
      <c r="J4510" s="90"/>
      <c r="K4510" s="2"/>
      <c r="L4510" s="49"/>
      <c r="M4510" s="49"/>
      <c r="N4510" s="49"/>
      <c r="O4510" s="49" t="str">
        <f t="shared" si="2"/>
        <v/>
      </c>
      <c r="P4510" s="49" t="str">
        <f t="shared" si="3"/>
        <v/>
      </c>
      <c r="Q4510" s="84"/>
      <c r="R4510" s="84"/>
      <c r="S4510" s="84"/>
      <c r="T4510" s="84"/>
      <c r="U4510" s="84"/>
      <c r="V4510" s="84"/>
      <c r="W4510" s="84"/>
      <c r="X4510" s="84"/>
      <c r="Y4510" s="84"/>
      <c r="Z4510" s="84"/>
      <c r="AA4510" s="84"/>
      <c r="AB4510" s="84"/>
    </row>
    <row r="4511">
      <c r="A4511" s="89"/>
      <c r="B4511" s="89"/>
      <c r="C4511" s="89"/>
      <c r="D4511" s="89"/>
      <c r="E4511" s="89"/>
      <c r="F4511" s="89"/>
      <c r="G4511" s="89"/>
      <c r="H4511" s="2"/>
      <c r="I4511" s="90"/>
      <c r="J4511" s="90"/>
      <c r="K4511" s="2"/>
      <c r="L4511" s="48"/>
      <c r="M4511" s="48"/>
      <c r="N4511" s="48"/>
      <c r="O4511" s="48" t="str">
        <f t="shared" si="2"/>
        <v/>
      </c>
      <c r="P4511" s="48" t="str">
        <f t="shared" si="3"/>
        <v/>
      </c>
      <c r="Q4511" s="84"/>
      <c r="R4511" s="84"/>
      <c r="S4511" s="84"/>
      <c r="T4511" s="84"/>
      <c r="U4511" s="84"/>
      <c r="V4511" s="84"/>
      <c r="W4511" s="84"/>
      <c r="X4511" s="84"/>
      <c r="Y4511" s="84"/>
      <c r="Z4511" s="84"/>
      <c r="AA4511" s="84"/>
      <c r="AB4511" s="84"/>
    </row>
    <row r="4512">
      <c r="A4512" s="89"/>
      <c r="B4512" s="89"/>
      <c r="C4512" s="89"/>
      <c r="D4512" s="89"/>
      <c r="E4512" s="89"/>
      <c r="F4512" s="89"/>
      <c r="G4512" s="89"/>
      <c r="H4512" s="2"/>
      <c r="I4512" s="90"/>
      <c r="J4512" s="90"/>
      <c r="K4512" s="2"/>
      <c r="L4512" s="49"/>
      <c r="M4512" s="49"/>
      <c r="N4512" s="49"/>
      <c r="O4512" s="49" t="str">
        <f t="shared" si="2"/>
        <v/>
      </c>
      <c r="P4512" s="49" t="str">
        <f t="shared" si="3"/>
        <v/>
      </c>
      <c r="Q4512" s="84"/>
      <c r="R4512" s="84"/>
      <c r="S4512" s="84"/>
      <c r="T4512" s="84"/>
      <c r="U4512" s="84"/>
      <c r="V4512" s="84"/>
      <c r="W4512" s="84"/>
      <c r="X4512" s="84"/>
      <c r="Y4512" s="84"/>
      <c r="Z4512" s="84"/>
      <c r="AA4512" s="84"/>
      <c r="AB4512" s="84"/>
    </row>
    <row r="4513">
      <c r="A4513" s="89"/>
      <c r="B4513" s="89"/>
      <c r="C4513" s="89"/>
      <c r="D4513" s="89"/>
      <c r="E4513" s="89"/>
      <c r="F4513" s="89"/>
      <c r="G4513" s="89"/>
      <c r="H4513" s="2"/>
      <c r="I4513" s="90"/>
      <c r="J4513" s="90"/>
      <c r="K4513" s="2"/>
      <c r="L4513" s="48"/>
      <c r="M4513" s="48"/>
      <c r="N4513" s="48"/>
      <c r="O4513" s="48" t="str">
        <f t="shared" si="2"/>
        <v/>
      </c>
      <c r="P4513" s="48" t="str">
        <f t="shared" si="3"/>
        <v/>
      </c>
      <c r="Q4513" s="84"/>
      <c r="R4513" s="84"/>
      <c r="S4513" s="84"/>
      <c r="T4513" s="84"/>
      <c r="U4513" s="84"/>
      <c r="V4513" s="84"/>
      <c r="W4513" s="84"/>
      <c r="X4513" s="84"/>
      <c r="Y4513" s="84"/>
      <c r="Z4513" s="84"/>
      <c r="AA4513" s="84"/>
      <c r="AB4513" s="84"/>
    </row>
    <row r="4514">
      <c r="A4514" s="89"/>
      <c r="B4514" s="89"/>
      <c r="C4514" s="89"/>
      <c r="D4514" s="89"/>
      <c r="E4514" s="89"/>
      <c r="F4514" s="89"/>
      <c r="G4514" s="89"/>
      <c r="H4514" s="2"/>
      <c r="I4514" s="90"/>
      <c r="J4514" s="90"/>
      <c r="K4514" s="2"/>
      <c r="L4514" s="49"/>
      <c r="M4514" s="49"/>
      <c r="N4514" s="49"/>
      <c r="O4514" s="49" t="str">
        <f t="shared" si="2"/>
        <v/>
      </c>
      <c r="P4514" s="49" t="str">
        <f t="shared" si="3"/>
        <v/>
      </c>
      <c r="Q4514" s="84"/>
      <c r="R4514" s="84"/>
      <c r="S4514" s="84"/>
      <c r="T4514" s="84"/>
      <c r="U4514" s="84"/>
      <c r="V4514" s="84"/>
      <c r="W4514" s="84"/>
      <c r="X4514" s="84"/>
      <c r="Y4514" s="84"/>
      <c r="Z4514" s="84"/>
      <c r="AA4514" s="84"/>
      <c r="AB4514" s="84"/>
    </row>
    <row r="4515">
      <c r="A4515" s="89"/>
      <c r="B4515" s="89"/>
      <c r="C4515" s="89"/>
      <c r="D4515" s="89"/>
      <c r="E4515" s="89"/>
      <c r="F4515" s="89"/>
      <c r="G4515" s="89"/>
      <c r="H4515" s="2"/>
      <c r="I4515" s="90"/>
      <c r="J4515" s="90"/>
      <c r="K4515" s="2"/>
      <c r="L4515" s="48"/>
      <c r="M4515" s="48"/>
      <c r="N4515" s="48"/>
      <c r="O4515" s="48" t="str">
        <f t="shared" si="2"/>
        <v/>
      </c>
      <c r="P4515" s="48" t="str">
        <f t="shared" si="3"/>
        <v/>
      </c>
      <c r="Q4515" s="84"/>
      <c r="R4515" s="84"/>
      <c r="S4515" s="84"/>
      <c r="T4515" s="84"/>
      <c r="U4515" s="84"/>
      <c r="V4515" s="84"/>
      <c r="W4515" s="84"/>
      <c r="X4515" s="84"/>
      <c r="Y4515" s="84"/>
      <c r="Z4515" s="84"/>
      <c r="AA4515" s="84"/>
      <c r="AB4515" s="84"/>
    </row>
    <row r="4516">
      <c r="A4516" s="89"/>
      <c r="B4516" s="89"/>
      <c r="C4516" s="89"/>
      <c r="D4516" s="89"/>
      <c r="E4516" s="89"/>
      <c r="F4516" s="89"/>
      <c r="G4516" s="89"/>
      <c r="H4516" s="2"/>
      <c r="I4516" s="90"/>
      <c r="J4516" s="90"/>
      <c r="K4516" s="2"/>
      <c r="L4516" s="49"/>
      <c r="M4516" s="49"/>
      <c r="N4516" s="49"/>
      <c r="O4516" s="49" t="str">
        <f t="shared" si="2"/>
        <v/>
      </c>
      <c r="P4516" s="49" t="str">
        <f t="shared" si="3"/>
        <v/>
      </c>
      <c r="Q4516" s="84"/>
      <c r="R4516" s="84"/>
      <c r="S4516" s="84"/>
      <c r="T4516" s="84"/>
      <c r="U4516" s="84"/>
      <c r="V4516" s="84"/>
      <c r="W4516" s="84"/>
      <c r="X4516" s="84"/>
      <c r="Y4516" s="84"/>
      <c r="Z4516" s="84"/>
      <c r="AA4516" s="84"/>
      <c r="AB4516" s="84"/>
    </row>
    <row r="4517">
      <c r="A4517" s="89"/>
      <c r="B4517" s="89"/>
      <c r="C4517" s="89"/>
      <c r="D4517" s="89"/>
      <c r="E4517" s="89"/>
      <c r="F4517" s="89"/>
      <c r="G4517" s="89"/>
      <c r="H4517" s="2"/>
      <c r="I4517" s="90"/>
      <c r="J4517" s="90"/>
      <c r="K4517" s="2"/>
      <c r="L4517" s="48"/>
      <c r="M4517" s="48"/>
      <c r="N4517" s="48"/>
      <c r="O4517" s="48" t="str">
        <f t="shared" si="2"/>
        <v/>
      </c>
      <c r="P4517" s="48" t="str">
        <f t="shared" si="3"/>
        <v/>
      </c>
      <c r="Q4517" s="84"/>
      <c r="R4517" s="84"/>
      <c r="S4517" s="84"/>
      <c r="T4517" s="84"/>
      <c r="U4517" s="84"/>
      <c r="V4517" s="84"/>
      <c r="W4517" s="84"/>
      <c r="X4517" s="84"/>
      <c r="Y4517" s="84"/>
      <c r="Z4517" s="84"/>
      <c r="AA4517" s="84"/>
      <c r="AB4517" s="84"/>
    </row>
    <row r="4518">
      <c r="A4518" s="89"/>
      <c r="B4518" s="89"/>
      <c r="C4518" s="89"/>
      <c r="D4518" s="89"/>
      <c r="E4518" s="89"/>
      <c r="F4518" s="89"/>
      <c r="G4518" s="89"/>
      <c r="H4518" s="2"/>
      <c r="I4518" s="90"/>
      <c r="J4518" s="90"/>
      <c r="K4518" s="2"/>
      <c r="L4518" s="49"/>
      <c r="M4518" s="49"/>
      <c r="N4518" s="49"/>
      <c r="O4518" s="49" t="str">
        <f t="shared" si="2"/>
        <v/>
      </c>
      <c r="P4518" s="49" t="str">
        <f t="shared" si="3"/>
        <v/>
      </c>
      <c r="Q4518" s="84"/>
      <c r="R4518" s="84"/>
      <c r="S4518" s="84"/>
      <c r="T4518" s="84"/>
      <c r="U4518" s="84"/>
      <c r="V4518" s="84"/>
      <c r="W4518" s="84"/>
      <c r="X4518" s="84"/>
      <c r="Y4518" s="84"/>
      <c r="Z4518" s="84"/>
      <c r="AA4518" s="84"/>
      <c r="AB4518" s="84"/>
    </row>
    <row r="4519">
      <c r="A4519" s="89"/>
      <c r="B4519" s="89"/>
      <c r="C4519" s="89"/>
      <c r="D4519" s="89"/>
      <c r="E4519" s="89"/>
      <c r="F4519" s="89"/>
      <c r="G4519" s="89"/>
      <c r="H4519" s="2"/>
      <c r="I4519" s="90"/>
      <c r="J4519" s="90"/>
      <c r="K4519" s="2"/>
      <c r="L4519" s="48"/>
      <c r="M4519" s="48"/>
      <c r="N4519" s="48"/>
      <c r="O4519" s="48" t="str">
        <f t="shared" si="2"/>
        <v/>
      </c>
      <c r="P4519" s="48" t="str">
        <f t="shared" si="3"/>
        <v/>
      </c>
      <c r="Q4519" s="84"/>
      <c r="R4519" s="84"/>
      <c r="S4519" s="84"/>
      <c r="T4519" s="84"/>
      <c r="U4519" s="84"/>
      <c r="V4519" s="84"/>
      <c r="W4519" s="84"/>
      <c r="X4519" s="84"/>
      <c r="Y4519" s="84"/>
      <c r="Z4519" s="84"/>
      <c r="AA4519" s="84"/>
      <c r="AB4519" s="84"/>
    </row>
    <row r="4520">
      <c r="A4520" s="89"/>
      <c r="B4520" s="89"/>
      <c r="C4520" s="89"/>
      <c r="D4520" s="89"/>
      <c r="E4520" s="89"/>
      <c r="F4520" s="89"/>
      <c r="G4520" s="89"/>
      <c r="H4520" s="2"/>
      <c r="I4520" s="90"/>
      <c r="J4520" s="90"/>
      <c r="K4520" s="2"/>
      <c r="L4520" s="49"/>
      <c r="M4520" s="49"/>
      <c r="N4520" s="49"/>
      <c r="O4520" s="49" t="str">
        <f t="shared" si="2"/>
        <v/>
      </c>
      <c r="P4520" s="49" t="str">
        <f t="shared" si="3"/>
        <v/>
      </c>
      <c r="Q4520" s="84"/>
      <c r="R4520" s="84"/>
      <c r="S4520" s="84"/>
      <c r="T4520" s="84"/>
      <c r="U4520" s="84"/>
      <c r="V4520" s="84"/>
      <c r="W4520" s="84"/>
      <c r="X4520" s="84"/>
      <c r="Y4520" s="84"/>
      <c r="Z4520" s="84"/>
      <c r="AA4520" s="84"/>
      <c r="AB4520" s="84"/>
    </row>
    <row r="4521">
      <c r="A4521" s="89"/>
      <c r="B4521" s="89"/>
      <c r="C4521" s="89"/>
      <c r="D4521" s="89"/>
      <c r="E4521" s="89"/>
      <c r="F4521" s="89"/>
      <c r="G4521" s="89"/>
      <c r="H4521" s="2"/>
      <c r="I4521" s="90"/>
      <c r="J4521" s="90"/>
      <c r="K4521" s="2"/>
      <c r="L4521" s="48"/>
      <c r="M4521" s="48"/>
      <c r="N4521" s="48"/>
      <c r="O4521" s="48" t="str">
        <f t="shared" si="2"/>
        <v/>
      </c>
      <c r="P4521" s="48" t="str">
        <f t="shared" si="3"/>
        <v/>
      </c>
      <c r="Q4521" s="84"/>
      <c r="R4521" s="84"/>
      <c r="S4521" s="84"/>
      <c r="T4521" s="84"/>
      <c r="U4521" s="84"/>
      <c r="V4521" s="84"/>
      <c r="W4521" s="84"/>
      <c r="X4521" s="84"/>
      <c r="Y4521" s="84"/>
      <c r="Z4521" s="84"/>
      <c r="AA4521" s="84"/>
      <c r="AB4521" s="84"/>
    </row>
    <row r="4522">
      <c r="A4522" s="89"/>
      <c r="B4522" s="89"/>
      <c r="C4522" s="89"/>
      <c r="D4522" s="89"/>
      <c r="E4522" s="89"/>
      <c r="F4522" s="89"/>
      <c r="G4522" s="89"/>
      <c r="H4522" s="2"/>
      <c r="I4522" s="90"/>
      <c r="J4522" s="90"/>
      <c r="K4522" s="2"/>
      <c r="L4522" s="49"/>
      <c r="M4522" s="49"/>
      <c r="N4522" s="49"/>
      <c r="O4522" s="49" t="str">
        <f t="shared" si="2"/>
        <v/>
      </c>
      <c r="P4522" s="49" t="str">
        <f t="shared" si="3"/>
        <v/>
      </c>
      <c r="Q4522" s="84"/>
      <c r="R4522" s="84"/>
      <c r="S4522" s="84"/>
      <c r="T4522" s="84"/>
      <c r="U4522" s="84"/>
      <c r="V4522" s="84"/>
      <c r="W4522" s="84"/>
      <c r="X4522" s="84"/>
      <c r="Y4522" s="84"/>
      <c r="Z4522" s="84"/>
      <c r="AA4522" s="84"/>
      <c r="AB4522" s="84"/>
    </row>
    <row r="4523">
      <c r="A4523" s="89"/>
      <c r="B4523" s="89"/>
      <c r="C4523" s="89"/>
      <c r="D4523" s="89"/>
      <c r="E4523" s="89"/>
      <c r="F4523" s="89"/>
      <c r="G4523" s="89"/>
      <c r="H4523" s="2"/>
      <c r="I4523" s="90"/>
      <c r="J4523" s="90"/>
      <c r="K4523" s="2"/>
      <c r="L4523" s="48"/>
      <c r="M4523" s="48"/>
      <c r="N4523" s="48"/>
      <c r="O4523" s="48" t="str">
        <f t="shared" si="2"/>
        <v/>
      </c>
      <c r="P4523" s="48" t="str">
        <f t="shared" si="3"/>
        <v/>
      </c>
      <c r="Q4523" s="84"/>
      <c r="R4523" s="84"/>
      <c r="S4523" s="84"/>
      <c r="T4523" s="84"/>
      <c r="U4523" s="84"/>
      <c r="V4523" s="84"/>
      <c r="W4523" s="84"/>
      <c r="X4523" s="84"/>
      <c r="Y4523" s="84"/>
      <c r="Z4523" s="84"/>
      <c r="AA4523" s="84"/>
      <c r="AB4523" s="84"/>
    </row>
    <row r="4524">
      <c r="A4524" s="89"/>
      <c r="B4524" s="89"/>
      <c r="C4524" s="89"/>
      <c r="D4524" s="89"/>
      <c r="E4524" s="89"/>
      <c r="F4524" s="89"/>
      <c r="G4524" s="89"/>
      <c r="H4524" s="2"/>
      <c r="I4524" s="90"/>
      <c r="J4524" s="90"/>
      <c r="K4524" s="2"/>
      <c r="L4524" s="49"/>
      <c r="M4524" s="49"/>
      <c r="N4524" s="49"/>
      <c r="O4524" s="49" t="str">
        <f t="shared" si="2"/>
        <v/>
      </c>
      <c r="P4524" s="49" t="str">
        <f t="shared" si="3"/>
        <v/>
      </c>
      <c r="Q4524" s="84"/>
      <c r="R4524" s="84"/>
      <c r="S4524" s="84"/>
      <c r="T4524" s="84"/>
      <c r="U4524" s="84"/>
      <c r="V4524" s="84"/>
      <c r="W4524" s="84"/>
      <c r="X4524" s="84"/>
      <c r="Y4524" s="84"/>
      <c r="Z4524" s="84"/>
      <c r="AA4524" s="84"/>
      <c r="AB4524" s="84"/>
    </row>
    <row r="4525">
      <c r="A4525" s="89"/>
      <c r="B4525" s="89"/>
      <c r="C4525" s="89"/>
      <c r="D4525" s="89"/>
      <c r="E4525" s="89"/>
      <c r="F4525" s="89"/>
      <c r="G4525" s="89"/>
      <c r="H4525" s="2"/>
      <c r="I4525" s="90"/>
      <c r="J4525" s="90"/>
      <c r="K4525" s="2"/>
      <c r="L4525" s="48"/>
      <c r="M4525" s="48"/>
      <c r="N4525" s="48"/>
      <c r="O4525" s="48" t="str">
        <f t="shared" si="2"/>
        <v/>
      </c>
      <c r="P4525" s="48" t="str">
        <f t="shared" si="3"/>
        <v/>
      </c>
      <c r="Q4525" s="84"/>
      <c r="R4525" s="84"/>
      <c r="S4525" s="84"/>
      <c r="T4525" s="84"/>
      <c r="U4525" s="84"/>
      <c r="V4525" s="84"/>
      <c r="W4525" s="84"/>
      <c r="X4525" s="84"/>
      <c r="Y4525" s="84"/>
      <c r="Z4525" s="84"/>
      <c r="AA4525" s="84"/>
      <c r="AB4525" s="84"/>
    </row>
    <row r="4526">
      <c r="A4526" s="89"/>
      <c r="B4526" s="89"/>
      <c r="C4526" s="89"/>
      <c r="D4526" s="89"/>
      <c r="E4526" s="89"/>
      <c r="F4526" s="89"/>
      <c r="G4526" s="89"/>
      <c r="H4526" s="2"/>
      <c r="I4526" s="90"/>
      <c r="J4526" s="90"/>
      <c r="K4526" s="2"/>
      <c r="L4526" s="49"/>
      <c r="M4526" s="49"/>
      <c r="N4526" s="49"/>
      <c r="O4526" s="49" t="str">
        <f t="shared" si="2"/>
        <v/>
      </c>
      <c r="P4526" s="49" t="str">
        <f t="shared" si="3"/>
        <v/>
      </c>
      <c r="Q4526" s="84"/>
      <c r="R4526" s="84"/>
      <c r="S4526" s="84"/>
      <c r="T4526" s="84"/>
      <c r="U4526" s="84"/>
      <c r="V4526" s="84"/>
      <c r="W4526" s="84"/>
      <c r="X4526" s="84"/>
      <c r="Y4526" s="84"/>
      <c r="Z4526" s="84"/>
      <c r="AA4526" s="84"/>
      <c r="AB4526" s="84"/>
    </row>
    <row r="4527">
      <c r="A4527" s="89"/>
      <c r="B4527" s="89"/>
      <c r="C4527" s="89"/>
      <c r="D4527" s="89"/>
      <c r="E4527" s="89"/>
      <c r="F4527" s="89"/>
      <c r="G4527" s="89"/>
      <c r="H4527" s="2"/>
      <c r="I4527" s="90"/>
      <c r="J4527" s="90"/>
      <c r="K4527" s="2"/>
      <c r="L4527" s="48"/>
      <c r="M4527" s="48"/>
      <c r="N4527" s="48"/>
      <c r="O4527" s="48" t="str">
        <f t="shared" si="2"/>
        <v/>
      </c>
      <c r="P4527" s="48" t="str">
        <f t="shared" si="3"/>
        <v/>
      </c>
      <c r="Q4527" s="84"/>
      <c r="R4527" s="84"/>
      <c r="S4527" s="84"/>
      <c r="T4527" s="84"/>
      <c r="U4527" s="84"/>
      <c r="V4527" s="84"/>
      <c r="W4527" s="84"/>
      <c r="X4527" s="84"/>
      <c r="Y4527" s="84"/>
      <c r="Z4527" s="84"/>
      <c r="AA4527" s="84"/>
      <c r="AB4527" s="84"/>
    </row>
    <row r="4528">
      <c r="A4528" s="89"/>
      <c r="B4528" s="89"/>
      <c r="C4528" s="89"/>
      <c r="D4528" s="89"/>
      <c r="E4528" s="89"/>
      <c r="F4528" s="89"/>
      <c r="G4528" s="89"/>
      <c r="H4528" s="2"/>
      <c r="I4528" s="90"/>
      <c r="J4528" s="90"/>
      <c r="K4528" s="2"/>
      <c r="L4528" s="49"/>
      <c r="M4528" s="49"/>
      <c r="N4528" s="49"/>
      <c r="O4528" s="49" t="str">
        <f t="shared" si="2"/>
        <v/>
      </c>
      <c r="P4528" s="49" t="str">
        <f t="shared" si="3"/>
        <v/>
      </c>
      <c r="Q4528" s="84"/>
      <c r="R4528" s="84"/>
      <c r="S4528" s="84"/>
      <c r="T4528" s="84"/>
      <c r="U4528" s="84"/>
      <c r="V4528" s="84"/>
      <c r="W4528" s="84"/>
      <c r="X4528" s="84"/>
      <c r="Y4528" s="84"/>
      <c r="Z4528" s="84"/>
      <c r="AA4528" s="84"/>
      <c r="AB4528" s="84"/>
    </row>
    <row r="4529">
      <c r="A4529" s="89"/>
      <c r="B4529" s="89"/>
      <c r="C4529" s="89"/>
      <c r="D4529" s="89"/>
      <c r="E4529" s="89"/>
      <c r="F4529" s="89"/>
      <c r="G4529" s="89"/>
      <c r="H4529" s="2"/>
      <c r="I4529" s="90"/>
      <c r="J4529" s="90"/>
      <c r="K4529" s="2"/>
      <c r="L4529" s="48"/>
      <c r="M4529" s="48"/>
      <c r="N4529" s="48"/>
      <c r="O4529" s="48" t="str">
        <f t="shared" si="2"/>
        <v/>
      </c>
      <c r="P4529" s="48" t="str">
        <f t="shared" si="3"/>
        <v/>
      </c>
      <c r="Q4529" s="84"/>
      <c r="R4529" s="84"/>
      <c r="S4529" s="84"/>
      <c r="T4529" s="84"/>
      <c r="U4529" s="84"/>
      <c r="V4529" s="84"/>
      <c r="W4529" s="84"/>
      <c r="X4529" s="84"/>
      <c r="Y4529" s="84"/>
      <c r="Z4529" s="84"/>
      <c r="AA4529" s="84"/>
      <c r="AB4529" s="84"/>
    </row>
    <row r="4530">
      <c r="A4530" s="89"/>
      <c r="B4530" s="89"/>
      <c r="C4530" s="89"/>
      <c r="D4530" s="89"/>
      <c r="E4530" s="89"/>
      <c r="F4530" s="89"/>
      <c r="G4530" s="89"/>
      <c r="H4530" s="2"/>
      <c r="I4530" s="90"/>
      <c r="J4530" s="90"/>
      <c r="K4530" s="2"/>
      <c r="L4530" s="49"/>
      <c r="M4530" s="49"/>
      <c r="N4530" s="49"/>
      <c r="O4530" s="49" t="str">
        <f t="shared" si="2"/>
        <v/>
      </c>
      <c r="P4530" s="49" t="str">
        <f t="shared" si="3"/>
        <v/>
      </c>
      <c r="Q4530" s="84"/>
      <c r="R4530" s="84"/>
      <c r="S4530" s="84"/>
      <c r="T4530" s="84"/>
      <c r="U4530" s="84"/>
      <c r="V4530" s="84"/>
      <c r="W4530" s="84"/>
      <c r="X4530" s="84"/>
      <c r="Y4530" s="84"/>
      <c r="Z4530" s="84"/>
      <c r="AA4530" s="84"/>
      <c r="AB4530" s="84"/>
    </row>
    <row r="4531">
      <c r="A4531" s="89"/>
      <c r="B4531" s="89"/>
      <c r="C4531" s="89"/>
      <c r="D4531" s="89"/>
      <c r="E4531" s="89"/>
      <c r="F4531" s="89"/>
      <c r="G4531" s="89"/>
      <c r="H4531" s="2"/>
      <c r="I4531" s="90"/>
      <c r="J4531" s="90"/>
      <c r="K4531" s="2"/>
      <c r="L4531" s="48"/>
      <c r="M4531" s="48"/>
      <c r="N4531" s="48"/>
      <c r="O4531" s="48" t="str">
        <f t="shared" si="2"/>
        <v/>
      </c>
      <c r="P4531" s="48" t="str">
        <f t="shared" si="3"/>
        <v/>
      </c>
      <c r="Q4531" s="84"/>
      <c r="R4531" s="84"/>
      <c r="S4531" s="84"/>
      <c r="T4531" s="84"/>
      <c r="U4531" s="84"/>
      <c r="V4531" s="84"/>
      <c r="W4531" s="84"/>
      <c r="X4531" s="84"/>
      <c r="Y4531" s="84"/>
      <c r="Z4531" s="84"/>
      <c r="AA4531" s="84"/>
      <c r="AB4531" s="84"/>
    </row>
    <row r="4532">
      <c r="A4532" s="89"/>
      <c r="B4532" s="89"/>
      <c r="C4532" s="89"/>
      <c r="D4532" s="89"/>
      <c r="E4532" s="89"/>
      <c r="F4532" s="89"/>
      <c r="G4532" s="89"/>
      <c r="H4532" s="2"/>
      <c r="I4532" s="90"/>
      <c r="J4532" s="90"/>
      <c r="K4532" s="2"/>
      <c r="L4532" s="49"/>
      <c r="M4532" s="49"/>
      <c r="N4532" s="49"/>
      <c r="O4532" s="49" t="str">
        <f t="shared" si="2"/>
        <v/>
      </c>
      <c r="P4532" s="49" t="str">
        <f t="shared" si="3"/>
        <v/>
      </c>
      <c r="Q4532" s="84"/>
      <c r="R4532" s="84"/>
      <c r="S4532" s="84"/>
      <c r="T4532" s="84"/>
      <c r="U4532" s="84"/>
      <c r="V4532" s="84"/>
      <c r="W4532" s="84"/>
      <c r="X4532" s="84"/>
      <c r="Y4532" s="84"/>
      <c r="Z4532" s="84"/>
      <c r="AA4532" s="84"/>
      <c r="AB4532" s="84"/>
    </row>
    <row r="4533">
      <c r="A4533" s="89"/>
      <c r="B4533" s="89"/>
      <c r="C4533" s="89"/>
      <c r="D4533" s="89"/>
      <c r="E4533" s="89"/>
      <c r="F4533" s="89"/>
      <c r="G4533" s="89"/>
      <c r="H4533" s="2"/>
      <c r="I4533" s="90"/>
      <c r="J4533" s="90"/>
      <c r="K4533" s="2"/>
      <c r="L4533" s="48"/>
      <c r="M4533" s="48"/>
      <c r="N4533" s="48"/>
      <c r="O4533" s="48" t="str">
        <f t="shared" si="2"/>
        <v/>
      </c>
      <c r="P4533" s="48" t="str">
        <f t="shared" si="3"/>
        <v/>
      </c>
      <c r="Q4533" s="84"/>
      <c r="R4533" s="84"/>
      <c r="S4533" s="84"/>
      <c r="T4533" s="84"/>
      <c r="U4533" s="84"/>
      <c r="V4533" s="84"/>
      <c r="W4533" s="84"/>
      <c r="X4533" s="84"/>
      <c r="Y4533" s="84"/>
      <c r="Z4533" s="84"/>
      <c r="AA4533" s="84"/>
      <c r="AB4533" s="84"/>
    </row>
    <row r="4534">
      <c r="A4534" s="89"/>
      <c r="B4534" s="89"/>
      <c r="C4534" s="89"/>
      <c r="D4534" s="89"/>
      <c r="E4534" s="89"/>
      <c r="F4534" s="89"/>
      <c r="G4534" s="89"/>
      <c r="H4534" s="2"/>
      <c r="I4534" s="90"/>
      <c r="J4534" s="90"/>
      <c r="K4534" s="2"/>
      <c r="L4534" s="49"/>
      <c r="M4534" s="49"/>
      <c r="N4534" s="49"/>
      <c r="O4534" s="49" t="str">
        <f t="shared" si="2"/>
        <v/>
      </c>
      <c r="P4534" s="49" t="str">
        <f t="shared" si="3"/>
        <v/>
      </c>
      <c r="Q4534" s="84"/>
      <c r="R4534" s="84"/>
      <c r="S4534" s="84"/>
      <c r="T4534" s="84"/>
      <c r="U4534" s="84"/>
      <c r="V4534" s="84"/>
      <c r="W4534" s="84"/>
      <c r="X4534" s="84"/>
      <c r="Y4534" s="84"/>
      <c r="Z4534" s="84"/>
      <c r="AA4534" s="84"/>
      <c r="AB4534" s="84"/>
    </row>
    <row r="4535">
      <c r="A4535" s="89"/>
      <c r="B4535" s="89"/>
      <c r="C4535" s="89"/>
      <c r="D4535" s="89"/>
      <c r="E4535" s="89"/>
      <c r="F4535" s="89"/>
      <c r="G4535" s="89"/>
      <c r="H4535" s="2"/>
      <c r="I4535" s="90"/>
      <c r="J4535" s="90"/>
      <c r="K4535" s="2"/>
      <c r="L4535" s="48"/>
      <c r="M4535" s="48"/>
      <c r="N4535" s="48"/>
      <c r="O4535" s="48" t="str">
        <f t="shared" si="2"/>
        <v/>
      </c>
      <c r="P4535" s="48" t="str">
        <f t="shared" si="3"/>
        <v/>
      </c>
      <c r="Q4535" s="84"/>
      <c r="R4535" s="84"/>
      <c r="S4535" s="84"/>
      <c r="T4535" s="84"/>
      <c r="U4535" s="84"/>
      <c r="V4535" s="84"/>
      <c r="W4535" s="84"/>
      <c r="X4535" s="84"/>
      <c r="Y4535" s="84"/>
      <c r="Z4535" s="84"/>
      <c r="AA4535" s="84"/>
      <c r="AB4535" s="84"/>
    </row>
    <row r="4536">
      <c r="A4536" s="89"/>
      <c r="B4536" s="89"/>
      <c r="C4536" s="89"/>
      <c r="D4536" s="89"/>
      <c r="E4536" s="89"/>
      <c r="F4536" s="89"/>
      <c r="G4536" s="89"/>
      <c r="H4536" s="2"/>
      <c r="I4536" s="90"/>
      <c r="J4536" s="90"/>
      <c r="K4536" s="2"/>
      <c r="L4536" s="49"/>
      <c r="M4536" s="49"/>
      <c r="N4536" s="49"/>
      <c r="O4536" s="49" t="str">
        <f t="shared" si="2"/>
        <v/>
      </c>
      <c r="P4536" s="49" t="str">
        <f t="shared" si="3"/>
        <v/>
      </c>
      <c r="Q4536" s="84"/>
      <c r="R4536" s="84"/>
      <c r="S4536" s="84"/>
      <c r="T4536" s="84"/>
      <c r="U4536" s="84"/>
      <c r="V4536" s="84"/>
      <c r="W4536" s="84"/>
      <c r="X4536" s="84"/>
      <c r="Y4536" s="84"/>
      <c r="Z4536" s="84"/>
      <c r="AA4536" s="84"/>
      <c r="AB4536" s="84"/>
    </row>
    <row r="4537">
      <c r="A4537" s="89"/>
      <c r="B4537" s="89"/>
      <c r="C4537" s="89"/>
      <c r="D4537" s="89"/>
      <c r="E4537" s="89"/>
      <c r="F4537" s="89"/>
      <c r="G4537" s="89"/>
      <c r="H4537" s="2"/>
      <c r="I4537" s="90"/>
      <c r="J4537" s="90"/>
      <c r="K4537" s="2"/>
      <c r="L4537" s="48"/>
      <c r="M4537" s="48"/>
      <c r="N4537" s="48"/>
      <c r="O4537" s="48" t="str">
        <f t="shared" si="2"/>
        <v/>
      </c>
      <c r="P4537" s="48" t="str">
        <f t="shared" si="3"/>
        <v/>
      </c>
      <c r="Q4537" s="84"/>
      <c r="R4537" s="84"/>
      <c r="S4537" s="84"/>
      <c r="T4537" s="84"/>
      <c r="U4537" s="84"/>
      <c r="V4537" s="84"/>
      <c r="W4537" s="84"/>
      <c r="X4537" s="84"/>
      <c r="Y4537" s="84"/>
      <c r="Z4537" s="84"/>
      <c r="AA4537" s="84"/>
      <c r="AB4537" s="84"/>
    </row>
    <row r="4538">
      <c r="A4538" s="89"/>
      <c r="B4538" s="89"/>
      <c r="C4538" s="89"/>
      <c r="D4538" s="89"/>
      <c r="E4538" s="89"/>
      <c r="F4538" s="89"/>
      <c r="G4538" s="89"/>
      <c r="H4538" s="2"/>
      <c r="I4538" s="90"/>
      <c r="J4538" s="90"/>
      <c r="K4538" s="2"/>
      <c r="L4538" s="49"/>
      <c r="M4538" s="49"/>
      <c r="N4538" s="49"/>
      <c r="O4538" s="49" t="str">
        <f t="shared" si="2"/>
        <v/>
      </c>
      <c r="P4538" s="49" t="str">
        <f t="shared" si="3"/>
        <v/>
      </c>
      <c r="Q4538" s="84"/>
      <c r="R4538" s="84"/>
      <c r="S4538" s="84"/>
      <c r="T4538" s="84"/>
      <c r="U4538" s="84"/>
      <c r="V4538" s="84"/>
      <c r="W4538" s="84"/>
      <c r="X4538" s="84"/>
      <c r="Y4538" s="84"/>
      <c r="Z4538" s="84"/>
      <c r="AA4538" s="84"/>
      <c r="AB4538" s="84"/>
    </row>
    <row r="4539">
      <c r="A4539" s="89"/>
      <c r="B4539" s="89"/>
      <c r="C4539" s="89"/>
      <c r="D4539" s="89"/>
      <c r="E4539" s="89"/>
      <c r="F4539" s="89"/>
      <c r="G4539" s="89"/>
      <c r="H4539" s="2"/>
      <c r="I4539" s="90"/>
      <c r="J4539" s="90"/>
      <c r="K4539" s="2"/>
      <c r="L4539" s="48"/>
      <c r="M4539" s="48"/>
      <c r="N4539" s="48"/>
      <c r="O4539" s="48" t="str">
        <f t="shared" si="2"/>
        <v/>
      </c>
      <c r="P4539" s="48" t="str">
        <f t="shared" si="3"/>
        <v/>
      </c>
      <c r="Q4539" s="84"/>
      <c r="R4539" s="84"/>
      <c r="S4539" s="84"/>
      <c r="T4539" s="84"/>
      <c r="U4539" s="84"/>
      <c r="V4539" s="84"/>
      <c r="W4539" s="84"/>
      <c r="X4539" s="84"/>
      <c r="Y4539" s="84"/>
      <c r="Z4539" s="84"/>
      <c r="AA4539" s="84"/>
      <c r="AB4539" s="84"/>
    </row>
    <row r="4540">
      <c r="A4540" s="89"/>
      <c r="B4540" s="89"/>
      <c r="C4540" s="89"/>
      <c r="D4540" s="89"/>
      <c r="E4540" s="89"/>
      <c r="F4540" s="89"/>
      <c r="G4540" s="89"/>
      <c r="H4540" s="2"/>
      <c r="I4540" s="90"/>
      <c r="J4540" s="90"/>
      <c r="K4540" s="2"/>
      <c r="L4540" s="49"/>
      <c r="M4540" s="49"/>
      <c r="N4540" s="49"/>
      <c r="O4540" s="49" t="str">
        <f t="shared" si="2"/>
        <v/>
      </c>
      <c r="P4540" s="49" t="str">
        <f t="shared" si="3"/>
        <v/>
      </c>
      <c r="Q4540" s="84"/>
      <c r="R4540" s="84"/>
      <c r="S4540" s="84"/>
      <c r="T4540" s="84"/>
      <c r="U4540" s="84"/>
      <c r="V4540" s="84"/>
      <c r="W4540" s="84"/>
      <c r="X4540" s="84"/>
      <c r="Y4540" s="84"/>
      <c r="Z4540" s="84"/>
      <c r="AA4540" s="84"/>
      <c r="AB4540" s="84"/>
    </row>
    <row r="4541">
      <c r="A4541" s="89"/>
      <c r="B4541" s="89"/>
      <c r="C4541" s="89"/>
      <c r="D4541" s="89"/>
      <c r="E4541" s="89"/>
      <c r="F4541" s="89"/>
      <c r="G4541" s="89"/>
      <c r="H4541" s="2"/>
      <c r="I4541" s="90"/>
      <c r="J4541" s="90"/>
      <c r="K4541" s="2"/>
      <c r="L4541" s="48"/>
      <c r="M4541" s="48"/>
      <c r="N4541" s="48"/>
      <c r="O4541" s="48" t="str">
        <f t="shared" si="2"/>
        <v/>
      </c>
      <c r="P4541" s="48" t="str">
        <f t="shared" si="3"/>
        <v/>
      </c>
      <c r="Q4541" s="84"/>
      <c r="R4541" s="84"/>
      <c r="S4541" s="84"/>
      <c r="T4541" s="84"/>
      <c r="U4541" s="84"/>
      <c r="V4541" s="84"/>
      <c r="W4541" s="84"/>
      <c r="X4541" s="84"/>
      <c r="Y4541" s="84"/>
      <c r="Z4541" s="84"/>
      <c r="AA4541" s="84"/>
      <c r="AB4541" s="84"/>
    </row>
    <row r="4542">
      <c r="A4542" s="89"/>
      <c r="B4542" s="89"/>
      <c r="C4542" s="89"/>
      <c r="D4542" s="89"/>
      <c r="E4542" s="89"/>
      <c r="F4542" s="89"/>
      <c r="G4542" s="89"/>
      <c r="H4542" s="2"/>
      <c r="I4542" s="90"/>
      <c r="J4542" s="90"/>
      <c r="K4542" s="2"/>
      <c r="L4542" s="49"/>
      <c r="M4542" s="49"/>
      <c r="N4542" s="49"/>
      <c r="O4542" s="49" t="str">
        <f t="shared" si="2"/>
        <v/>
      </c>
      <c r="P4542" s="49" t="str">
        <f t="shared" si="3"/>
        <v/>
      </c>
      <c r="Q4542" s="84"/>
      <c r="R4542" s="84"/>
      <c r="S4542" s="84"/>
      <c r="T4542" s="84"/>
      <c r="U4542" s="84"/>
      <c r="V4542" s="84"/>
      <c r="W4542" s="84"/>
      <c r="X4542" s="84"/>
      <c r="Y4542" s="84"/>
      <c r="Z4542" s="84"/>
      <c r="AA4542" s="84"/>
      <c r="AB4542" s="84"/>
    </row>
    <row r="4543">
      <c r="A4543" s="89"/>
      <c r="B4543" s="89"/>
      <c r="C4543" s="89"/>
      <c r="D4543" s="89"/>
      <c r="E4543" s="89"/>
      <c r="F4543" s="89"/>
      <c r="G4543" s="89"/>
      <c r="H4543" s="2"/>
      <c r="I4543" s="90"/>
      <c r="J4543" s="90"/>
      <c r="K4543" s="2"/>
      <c r="L4543" s="48"/>
      <c r="M4543" s="48"/>
      <c r="N4543" s="48"/>
      <c r="O4543" s="48" t="str">
        <f t="shared" si="2"/>
        <v/>
      </c>
      <c r="P4543" s="48" t="str">
        <f t="shared" si="3"/>
        <v/>
      </c>
      <c r="Q4543" s="84"/>
      <c r="R4543" s="84"/>
      <c r="S4543" s="84"/>
      <c r="T4543" s="84"/>
      <c r="U4543" s="84"/>
      <c r="V4543" s="84"/>
      <c r="W4543" s="84"/>
      <c r="X4543" s="84"/>
      <c r="Y4543" s="84"/>
      <c r="Z4543" s="84"/>
      <c r="AA4543" s="84"/>
      <c r="AB4543" s="84"/>
    </row>
    <row r="4544">
      <c r="A4544" s="89"/>
      <c r="B4544" s="89"/>
      <c r="C4544" s="89"/>
      <c r="D4544" s="89"/>
      <c r="E4544" s="89"/>
      <c r="F4544" s="89"/>
      <c r="G4544" s="89"/>
      <c r="H4544" s="2"/>
      <c r="I4544" s="90"/>
      <c r="J4544" s="90"/>
      <c r="K4544" s="2"/>
      <c r="L4544" s="49"/>
      <c r="M4544" s="49"/>
      <c r="N4544" s="49"/>
      <c r="O4544" s="49" t="str">
        <f t="shared" si="2"/>
        <v/>
      </c>
      <c r="P4544" s="49" t="str">
        <f t="shared" si="3"/>
        <v/>
      </c>
      <c r="Q4544" s="84"/>
      <c r="R4544" s="84"/>
      <c r="S4544" s="84"/>
      <c r="T4544" s="84"/>
      <c r="U4544" s="84"/>
      <c r="V4544" s="84"/>
      <c r="W4544" s="84"/>
      <c r="X4544" s="84"/>
      <c r="Y4544" s="84"/>
      <c r="Z4544" s="84"/>
      <c r="AA4544" s="84"/>
      <c r="AB4544" s="84"/>
    </row>
    <row r="4545">
      <c r="A4545" s="89"/>
      <c r="B4545" s="89"/>
      <c r="C4545" s="89"/>
      <c r="D4545" s="89"/>
      <c r="E4545" s="89"/>
      <c r="F4545" s="89"/>
      <c r="G4545" s="89"/>
      <c r="H4545" s="2"/>
      <c r="I4545" s="90"/>
      <c r="J4545" s="90"/>
      <c r="K4545" s="2"/>
      <c r="L4545" s="48"/>
      <c r="M4545" s="48"/>
      <c r="N4545" s="48"/>
      <c r="O4545" s="48" t="str">
        <f t="shared" si="2"/>
        <v/>
      </c>
      <c r="P4545" s="48" t="str">
        <f t="shared" si="3"/>
        <v/>
      </c>
      <c r="Q4545" s="84"/>
      <c r="R4545" s="84"/>
      <c r="S4545" s="84"/>
      <c r="T4545" s="84"/>
      <c r="U4545" s="84"/>
      <c r="V4545" s="84"/>
      <c r="W4545" s="84"/>
      <c r="X4545" s="84"/>
      <c r="Y4545" s="84"/>
      <c r="Z4545" s="84"/>
      <c r="AA4545" s="84"/>
      <c r="AB4545" s="84"/>
    </row>
    <row r="4546">
      <c r="A4546" s="89"/>
      <c r="B4546" s="89"/>
      <c r="C4546" s="89"/>
      <c r="D4546" s="89"/>
      <c r="E4546" s="89"/>
      <c r="F4546" s="89"/>
      <c r="G4546" s="89"/>
      <c r="H4546" s="2"/>
      <c r="I4546" s="90"/>
      <c r="J4546" s="90"/>
      <c r="K4546" s="2"/>
      <c r="L4546" s="49"/>
      <c r="M4546" s="49"/>
      <c r="N4546" s="49"/>
      <c r="O4546" s="49" t="str">
        <f t="shared" si="2"/>
        <v/>
      </c>
      <c r="P4546" s="49" t="str">
        <f t="shared" si="3"/>
        <v/>
      </c>
      <c r="Q4546" s="84"/>
      <c r="R4546" s="84"/>
      <c r="S4546" s="84"/>
      <c r="T4546" s="84"/>
      <c r="U4546" s="84"/>
      <c r="V4546" s="84"/>
      <c r="W4546" s="84"/>
      <c r="X4546" s="84"/>
      <c r="Y4546" s="84"/>
      <c r="Z4546" s="84"/>
      <c r="AA4546" s="84"/>
      <c r="AB4546" s="84"/>
    </row>
    <row r="4547">
      <c r="A4547" s="89"/>
      <c r="B4547" s="89"/>
      <c r="C4547" s="89"/>
      <c r="D4547" s="89"/>
      <c r="E4547" s="89"/>
      <c r="F4547" s="89"/>
      <c r="G4547" s="89"/>
      <c r="H4547" s="2"/>
      <c r="I4547" s="90"/>
      <c r="J4547" s="90"/>
      <c r="K4547" s="2"/>
      <c r="L4547" s="48"/>
      <c r="M4547" s="48"/>
      <c r="N4547" s="48"/>
      <c r="O4547" s="48" t="str">
        <f t="shared" si="2"/>
        <v/>
      </c>
      <c r="P4547" s="48" t="str">
        <f t="shared" si="3"/>
        <v/>
      </c>
      <c r="Q4547" s="84"/>
      <c r="R4547" s="84"/>
      <c r="S4547" s="84"/>
      <c r="T4547" s="84"/>
      <c r="U4547" s="84"/>
      <c r="V4547" s="84"/>
      <c r="W4547" s="84"/>
      <c r="X4547" s="84"/>
      <c r="Y4547" s="84"/>
      <c r="Z4547" s="84"/>
      <c r="AA4547" s="84"/>
      <c r="AB4547" s="84"/>
    </row>
    <row r="4548">
      <c r="A4548" s="89"/>
      <c r="B4548" s="89"/>
      <c r="C4548" s="89"/>
      <c r="D4548" s="89"/>
      <c r="E4548" s="89"/>
      <c r="F4548" s="89"/>
      <c r="G4548" s="89"/>
      <c r="H4548" s="2"/>
      <c r="I4548" s="90"/>
      <c r="J4548" s="90"/>
      <c r="K4548" s="2"/>
      <c r="L4548" s="49"/>
      <c r="M4548" s="49"/>
      <c r="N4548" s="49"/>
      <c r="O4548" s="49" t="str">
        <f t="shared" si="2"/>
        <v/>
      </c>
      <c r="P4548" s="49" t="str">
        <f t="shared" si="3"/>
        <v/>
      </c>
      <c r="Q4548" s="84"/>
      <c r="R4548" s="84"/>
      <c r="S4548" s="84"/>
      <c r="T4548" s="84"/>
      <c r="U4548" s="84"/>
      <c r="V4548" s="84"/>
      <c r="W4548" s="84"/>
      <c r="X4548" s="84"/>
      <c r="Y4548" s="84"/>
      <c r="Z4548" s="84"/>
      <c r="AA4548" s="84"/>
      <c r="AB4548" s="84"/>
    </row>
    <row r="4549">
      <c r="A4549" s="89"/>
      <c r="B4549" s="89"/>
      <c r="C4549" s="89"/>
      <c r="D4549" s="89"/>
      <c r="E4549" s="89"/>
      <c r="F4549" s="89"/>
      <c r="G4549" s="89"/>
      <c r="H4549" s="2"/>
      <c r="I4549" s="90"/>
      <c r="J4549" s="90"/>
      <c r="K4549" s="2"/>
      <c r="L4549" s="48"/>
      <c r="M4549" s="48"/>
      <c r="N4549" s="48"/>
      <c r="O4549" s="48" t="str">
        <f t="shared" si="2"/>
        <v/>
      </c>
      <c r="P4549" s="48" t="str">
        <f t="shared" si="3"/>
        <v/>
      </c>
      <c r="Q4549" s="84"/>
      <c r="R4549" s="84"/>
      <c r="S4549" s="84"/>
      <c r="T4549" s="84"/>
      <c r="U4549" s="84"/>
      <c r="V4549" s="84"/>
      <c r="W4549" s="84"/>
      <c r="X4549" s="84"/>
      <c r="Y4549" s="84"/>
      <c r="Z4549" s="84"/>
      <c r="AA4549" s="84"/>
      <c r="AB4549" s="84"/>
    </row>
    <row r="4550">
      <c r="A4550" s="89"/>
      <c r="B4550" s="89"/>
      <c r="C4550" s="89"/>
      <c r="D4550" s="89"/>
      <c r="E4550" s="89"/>
      <c r="F4550" s="89"/>
      <c r="G4550" s="89"/>
      <c r="H4550" s="2"/>
      <c r="I4550" s="90"/>
      <c r="J4550" s="90"/>
      <c r="K4550" s="2"/>
      <c r="L4550" s="49"/>
      <c r="M4550" s="49"/>
      <c r="N4550" s="49"/>
      <c r="O4550" s="49" t="str">
        <f t="shared" si="2"/>
        <v/>
      </c>
      <c r="P4550" s="49" t="str">
        <f t="shared" si="3"/>
        <v/>
      </c>
      <c r="Q4550" s="84"/>
      <c r="R4550" s="84"/>
      <c r="S4550" s="84"/>
      <c r="T4550" s="84"/>
      <c r="U4550" s="84"/>
      <c r="V4550" s="84"/>
      <c r="W4550" s="84"/>
      <c r="X4550" s="84"/>
      <c r="Y4550" s="84"/>
      <c r="Z4550" s="84"/>
      <c r="AA4550" s="84"/>
      <c r="AB4550" s="84"/>
    </row>
    <row r="4551">
      <c r="A4551" s="89"/>
      <c r="B4551" s="89"/>
      <c r="C4551" s="89"/>
      <c r="D4551" s="89"/>
      <c r="E4551" s="89"/>
      <c r="F4551" s="89"/>
      <c r="G4551" s="89"/>
      <c r="H4551" s="2"/>
      <c r="I4551" s="90"/>
      <c r="J4551" s="90"/>
      <c r="K4551" s="2"/>
      <c r="L4551" s="48"/>
      <c r="M4551" s="48"/>
      <c r="N4551" s="48"/>
      <c r="O4551" s="48" t="str">
        <f t="shared" si="2"/>
        <v/>
      </c>
      <c r="P4551" s="48" t="str">
        <f t="shared" si="3"/>
        <v/>
      </c>
      <c r="Q4551" s="84"/>
      <c r="R4551" s="84"/>
      <c r="S4551" s="84"/>
      <c r="T4551" s="84"/>
      <c r="U4551" s="84"/>
      <c r="V4551" s="84"/>
      <c r="W4551" s="84"/>
      <c r="X4551" s="84"/>
      <c r="Y4551" s="84"/>
      <c r="Z4551" s="84"/>
      <c r="AA4551" s="84"/>
      <c r="AB4551" s="84"/>
    </row>
    <row r="4552">
      <c r="A4552" s="89"/>
      <c r="B4552" s="89"/>
      <c r="C4552" s="89"/>
      <c r="D4552" s="89"/>
      <c r="E4552" s="89"/>
      <c r="F4552" s="89"/>
      <c r="G4552" s="89"/>
      <c r="H4552" s="2"/>
      <c r="I4552" s="90"/>
      <c r="J4552" s="90"/>
      <c r="K4552" s="2"/>
      <c r="L4552" s="49"/>
      <c r="M4552" s="49"/>
      <c r="N4552" s="49"/>
      <c r="O4552" s="49" t="str">
        <f t="shared" si="2"/>
        <v/>
      </c>
      <c r="P4552" s="49" t="str">
        <f t="shared" si="3"/>
        <v/>
      </c>
      <c r="Q4552" s="84"/>
      <c r="R4552" s="84"/>
      <c r="S4552" s="84"/>
      <c r="T4552" s="84"/>
      <c r="U4552" s="84"/>
      <c r="V4552" s="84"/>
      <c r="W4552" s="84"/>
      <c r="X4552" s="84"/>
      <c r="Y4552" s="84"/>
      <c r="Z4552" s="84"/>
      <c r="AA4552" s="84"/>
      <c r="AB4552" s="84"/>
    </row>
    <row r="4553">
      <c r="A4553" s="89"/>
      <c r="B4553" s="89"/>
      <c r="C4553" s="89"/>
      <c r="D4553" s="89"/>
      <c r="E4553" s="89"/>
      <c r="F4553" s="89"/>
      <c r="G4553" s="89"/>
      <c r="H4553" s="2"/>
      <c r="I4553" s="90"/>
      <c r="J4553" s="90"/>
      <c r="K4553" s="2"/>
      <c r="L4553" s="48"/>
      <c r="M4553" s="48"/>
      <c r="N4553" s="48"/>
      <c r="O4553" s="48" t="str">
        <f t="shared" si="2"/>
        <v/>
      </c>
      <c r="P4553" s="48" t="str">
        <f t="shared" si="3"/>
        <v/>
      </c>
      <c r="Q4553" s="84"/>
      <c r="R4553" s="84"/>
      <c r="S4553" s="84"/>
      <c r="T4553" s="84"/>
      <c r="U4553" s="84"/>
      <c r="V4553" s="84"/>
      <c r="W4553" s="84"/>
      <c r="X4553" s="84"/>
      <c r="Y4553" s="84"/>
      <c r="Z4553" s="84"/>
      <c r="AA4553" s="84"/>
      <c r="AB4553" s="84"/>
    </row>
    <row r="4554">
      <c r="A4554" s="89"/>
      <c r="B4554" s="89"/>
      <c r="C4554" s="89"/>
      <c r="D4554" s="89"/>
      <c r="E4554" s="89"/>
      <c r="F4554" s="89"/>
      <c r="G4554" s="89"/>
      <c r="H4554" s="2"/>
      <c r="I4554" s="90"/>
      <c r="J4554" s="90"/>
      <c r="K4554" s="2"/>
      <c r="L4554" s="49"/>
      <c r="M4554" s="49"/>
      <c r="N4554" s="49"/>
      <c r="O4554" s="49" t="str">
        <f t="shared" si="2"/>
        <v/>
      </c>
      <c r="P4554" s="49" t="str">
        <f t="shared" si="3"/>
        <v/>
      </c>
      <c r="Q4554" s="84"/>
      <c r="R4554" s="84"/>
      <c r="S4554" s="84"/>
      <c r="T4554" s="84"/>
      <c r="U4554" s="84"/>
      <c r="V4554" s="84"/>
      <c r="W4554" s="84"/>
      <c r="X4554" s="84"/>
      <c r="Y4554" s="84"/>
      <c r="Z4554" s="84"/>
      <c r="AA4554" s="84"/>
      <c r="AB4554" s="84"/>
    </row>
    <row r="4555">
      <c r="A4555" s="89"/>
      <c r="B4555" s="89"/>
      <c r="C4555" s="89"/>
      <c r="D4555" s="89"/>
      <c r="E4555" s="89"/>
      <c r="F4555" s="89"/>
      <c r="G4555" s="89"/>
      <c r="H4555" s="2"/>
      <c r="I4555" s="90"/>
      <c r="J4555" s="90"/>
      <c r="K4555" s="2"/>
      <c r="L4555" s="48"/>
      <c r="M4555" s="48"/>
      <c r="N4555" s="48"/>
      <c r="O4555" s="48" t="str">
        <f t="shared" si="2"/>
        <v/>
      </c>
      <c r="P4555" s="48" t="str">
        <f t="shared" si="3"/>
        <v/>
      </c>
      <c r="Q4555" s="84"/>
      <c r="R4555" s="84"/>
      <c r="S4555" s="84"/>
      <c r="T4555" s="84"/>
      <c r="U4555" s="84"/>
      <c r="V4555" s="84"/>
      <c r="W4555" s="84"/>
      <c r="X4555" s="84"/>
      <c r="Y4555" s="84"/>
      <c r="Z4555" s="84"/>
      <c r="AA4555" s="84"/>
      <c r="AB4555" s="84"/>
    </row>
    <row r="4556">
      <c r="A4556" s="89"/>
      <c r="B4556" s="89"/>
      <c r="C4556" s="89"/>
      <c r="D4556" s="89"/>
      <c r="E4556" s="89"/>
      <c r="F4556" s="89"/>
      <c r="G4556" s="89"/>
      <c r="H4556" s="2"/>
      <c r="I4556" s="90"/>
      <c r="J4556" s="90"/>
      <c r="K4556" s="2"/>
      <c r="L4556" s="49"/>
      <c r="M4556" s="49"/>
      <c r="N4556" s="49"/>
      <c r="O4556" s="49" t="str">
        <f t="shared" si="2"/>
        <v/>
      </c>
      <c r="P4556" s="49" t="str">
        <f t="shared" si="3"/>
        <v/>
      </c>
      <c r="Q4556" s="84"/>
      <c r="R4556" s="84"/>
      <c r="S4556" s="84"/>
      <c r="T4556" s="84"/>
      <c r="U4556" s="84"/>
      <c r="V4556" s="84"/>
      <c r="W4556" s="84"/>
      <c r="X4556" s="84"/>
      <c r="Y4556" s="84"/>
      <c r="Z4556" s="84"/>
      <c r="AA4556" s="84"/>
      <c r="AB4556" s="84"/>
    </row>
    <row r="4557">
      <c r="A4557" s="89"/>
      <c r="B4557" s="89"/>
      <c r="C4557" s="89"/>
      <c r="D4557" s="89"/>
      <c r="E4557" s="89"/>
      <c r="F4557" s="89"/>
      <c r="G4557" s="89"/>
      <c r="H4557" s="2"/>
      <c r="I4557" s="90"/>
      <c r="J4557" s="90"/>
      <c r="K4557" s="2"/>
      <c r="L4557" s="48"/>
      <c r="M4557" s="48"/>
      <c r="N4557" s="48"/>
      <c r="O4557" s="48" t="str">
        <f t="shared" si="2"/>
        <v/>
      </c>
      <c r="P4557" s="48" t="str">
        <f t="shared" si="3"/>
        <v/>
      </c>
      <c r="Q4557" s="84"/>
      <c r="R4557" s="84"/>
      <c r="S4557" s="84"/>
      <c r="T4557" s="84"/>
      <c r="U4557" s="84"/>
      <c r="V4557" s="84"/>
      <c r="W4557" s="84"/>
      <c r="X4557" s="84"/>
      <c r="Y4557" s="84"/>
      <c r="Z4557" s="84"/>
      <c r="AA4557" s="84"/>
      <c r="AB4557" s="84"/>
    </row>
    <row r="4558">
      <c r="A4558" s="89"/>
      <c r="B4558" s="89"/>
      <c r="C4558" s="89"/>
      <c r="D4558" s="89"/>
      <c r="E4558" s="89"/>
      <c r="F4558" s="89"/>
      <c r="G4558" s="89"/>
      <c r="H4558" s="2"/>
      <c r="I4558" s="90"/>
      <c r="J4558" s="90"/>
      <c r="K4558" s="2"/>
      <c r="L4558" s="49"/>
      <c r="M4558" s="49"/>
      <c r="N4558" s="49"/>
      <c r="O4558" s="49" t="str">
        <f t="shared" si="2"/>
        <v/>
      </c>
      <c r="P4558" s="49" t="str">
        <f t="shared" si="3"/>
        <v/>
      </c>
      <c r="Q4558" s="84"/>
      <c r="R4558" s="84"/>
      <c r="S4558" s="84"/>
      <c r="T4558" s="84"/>
      <c r="U4558" s="84"/>
      <c r="V4558" s="84"/>
      <c r="W4558" s="84"/>
      <c r="X4558" s="84"/>
      <c r="Y4558" s="84"/>
      <c r="Z4558" s="84"/>
      <c r="AA4558" s="84"/>
      <c r="AB4558" s="84"/>
    </row>
    <row r="4559">
      <c r="A4559" s="89"/>
      <c r="B4559" s="89"/>
      <c r="C4559" s="89"/>
      <c r="D4559" s="89"/>
      <c r="E4559" s="89"/>
      <c r="F4559" s="89"/>
      <c r="G4559" s="89"/>
      <c r="H4559" s="2"/>
      <c r="I4559" s="90"/>
      <c r="J4559" s="90"/>
      <c r="K4559" s="2"/>
      <c r="L4559" s="48"/>
      <c r="M4559" s="48"/>
      <c r="N4559" s="48"/>
      <c r="O4559" s="48" t="str">
        <f t="shared" si="2"/>
        <v/>
      </c>
      <c r="P4559" s="48" t="str">
        <f t="shared" si="3"/>
        <v/>
      </c>
      <c r="Q4559" s="84"/>
      <c r="R4559" s="84"/>
      <c r="S4559" s="84"/>
      <c r="T4559" s="84"/>
      <c r="U4559" s="84"/>
      <c r="V4559" s="84"/>
      <c r="W4559" s="84"/>
      <c r="X4559" s="84"/>
      <c r="Y4559" s="84"/>
      <c r="Z4559" s="84"/>
      <c r="AA4559" s="84"/>
      <c r="AB4559" s="84"/>
    </row>
    <row r="4560">
      <c r="A4560" s="89"/>
      <c r="B4560" s="89"/>
      <c r="C4560" s="89"/>
      <c r="D4560" s="89"/>
      <c r="E4560" s="89"/>
      <c r="F4560" s="89"/>
      <c r="G4560" s="89"/>
      <c r="H4560" s="2"/>
      <c r="I4560" s="90"/>
      <c r="J4560" s="90"/>
      <c r="K4560" s="2"/>
      <c r="L4560" s="49"/>
      <c r="M4560" s="49"/>
      <c r="N4560" s="49"/>
      <c r="O4560" s="49" t="str">
        <f t="shared" si="2"/>
        <v/>
      </c>
      <c r="P4560" s="49" t="str">
        <f t="shared" si="3"/>
        <v/>
      </c>
      <c r="Q4560" s="84"/>
      <c r="R4560" s="84"/>
      <c r="S4560" s="84"/>
      <c r="T4560" s="84"/>
      <c r="U4560" s="84"/>
      <c r="V4560" s="84"/>
      <c r="W4560" s="84"/>
      <c r="X4560" s="84"/>
      <c r="Y4560" s="84"/>
      <c r="Z4560" s="84"/>
      <c r="AA4560" s="84"/>
      <c r="AB4560" s="84"/>
    </row>
    <row r="4561">
      <c r="A4561" s="89"/>
      <c r="B4561" s="89"/>
      <c r="C4561" s="89"/>
      <c r="D4561" s="89"/>
      <c r="E4561" s="89"/>
      <c r="F4561" s="89"/>
      <c r="G4561" s="89"/>
      <c r="H4561" s="2"/>
      <c r="I4561" s="90"/>
      <c r="J4561" s="90"/>
      <c r="K4561" s="2"/>
      <c r="L4561" s="48"/>
      <c r="M4561" s="48"/>
      <c r="N4561" s="48"/>
      <c r="O4561" s="48" t="str">
        <f t="shared" si="2"/>
        <v/>
      </c>
      <c r="P4561" s="48" t="str">
        <f t="shared" si="3"/>
        <v/>
      </c>
      <c r="Q4561" s="84"/>
      <c r="R4561" s="84"/>
      <c r="S4561" s="84"/>
      <c r="T4561" s="84"/>
      <c r="U4561" s="84"/>
      <c r="V4561" s="84"/>
      <c r="W4561" s="84"/>
      <c r="X4561" s="84"/>
      <c r="Y4561" s="84"/>
      <c r="Z4561" s="84"/>
      <c r="AA4561" s="84"/>
      <c r="AB4561" s="84"/>
    </row>
    <row r="4562">
      <c r="A4562" s="89"/>
      <c r="B4562" s="89"/>
      <c r="C4562" s="89"/>
      <c r="D4562" s="89"/>
      <c r="E4562" s="89"/>
      <c r="F4562" s="89"/>
      <c r="G4562" s="89"/>
      <c r="H4562" s="2"/>
      <c r="I4562" s="90"/>
      <c r="J4562" s="90"/>
      <c r="K4562" s="2"/>
      <c r="L4562" s="49"/>
      <c r="M4562" s="49"/>
      <c r="N4562" s="49"/>
      <c r="O4562" s="49" t="str">
        <f t="shared" si="2"/>
        <v/>
      </c>
      <c r="P4562" s="49" t="str">
        <f t="shared" si="3"/>
        <v/>
      </c>
      <c r="Q4562" s="84"/>
      <c r="R4562" s="84"/>
      <c r="S4562" s="84"/>
      <c r="T4562" s="84"/>
      <c r="U4562" s="84"/>
      <c r="V4562" s="84"/>
      <c r="W4562" s="84"/>
      <c r="X4562" s="84"/>
      <c r="Y4562" s="84"/>
      <c r="Z4562" s="84"/>
      <c r="AA4562" s="84"/>
      <c r="AB4562" s="84"/>
    </row>
    <row r="4563">
      <c r="A4563" s="89"/>
      <c r="B4563" s="89"/>
      <c r="C4563" s="89"/>
      <c r="D4563" s="89"/>
      <c r="E4563" s="89"/>
      <c r="F4563" s="89"/>
      <c r="G4563" s="89"/>
      <c r="H4563" s="2"/>
      <c r="I4563" s="90"/>
      <c r="J4563" s="90"/>
      <c r="K4563" s="2"/>
      <c r="L4563" s="48"/>
      <c r="M4563" s="48"/>
      <c r="N4563" s="48"/>
      <c r="O4563" s="48" t="str">
        <f t="shared" si="2"/>
        <v/>
      </c>
      <c r="P4563" s="48" t="str">
        <f t="shared" si="3"/>
        <v/>
      </c>
      <c r="Q4563" s="84"/>
      <c r="R4563" s="84"/>
      <c r="S4563" s="84"/>
      <c r="T4563" s="84"/>
      <c r="U4563" s="84"/>
      <c r="V4563" s="84"/>
      <c r="W4563" s="84"/>
      <c r="X4563" s="84"/>
      <c r="Y4563" s="84"/>
      <c r="Z4563" s="84"/>
      <c r="AA4563" s="84"/>
      <c r="AB4563" s="84"/>
    </row>
    <row r="4564">
      <c r="A4564" s="89"/>
      <c r="B4564" s="89"/>
      <c r="C4564" s="89"/>
      <c r="D4564" s="89"/>
      <c r="E4564" s="89"/>
      <c r="F4564" s="89"/>
      <c r="G4564" s="89"/>
      <c r="H4564" s="2"/>
      <c r="I4564" s="90"/>
      <c r="J4564" s="90"/>
      <c r="K4564" s="2"/>
      <c r="L4564" s="49"/>
      <c r="M4564" s="49"/>
      <c r="N4564" s="49"/>
      <c r="O4564" s="49" t="str">
        <f t="shared" si="2"/>
        <v/>
      </c>
      <c r="P4564" s="49" t="str">
        <f t="shared" si="3"/>
        <v/>
      </c>
      <c r="Q4564" s="84"/>
      <c r="R4564" s="84"/>
      <c r="S4564" s="84"/>
      <c r="T4564" s="84"/>
      <c r="U4564" s="84"/>
      <c r="V4564" s="84"/>
      <c r="W4564" s="84"/>
      <c r="X4564" s="84"/>
      <c r="Y4564" s="84"/>
      <c r="Z4564" s="84"/>
      <c r="AA4564" s="84"/>
      <c r="AB4564" s="84"/>
    </row>
    <row r="4565">
      <c r="A4565" s="89"/>
      <c r="B4565" s="89"/>
      <c r="C4565" s="89"/>
      <c r="D4565" s="89"/>
      <c r="E4565" s="89"/>
      <c r="F4565" s="89"/>
      <c r="G4565" s="89"/>
      <c r="H4565" s="2"/>
      <c r="I4565" s="90"/>
      <c r="J4565" s="90"/>
      <c r="K4565" s="2"/>
      <c r="L4565" s="48"/>
      <c r="M4565" s="48"/>
      <c r="N4565" s="48"/>
      <c r="O4565" s="48" t="str">
        <f t="shared" si="2"/>
        <v/>
      </c>
      <c r="P4565" s="48" t="str">
        <f t="shared" si="3"/>
        <v/>
      </c>
      <c r="Q4565" s="84"/>
      <c r="R4565" s="84"/>
      <c r="S4565" s="84"/>
      <c r="T4565" s="84"/>
      <c r="U4565" s="84"/>
      <c r="V4565" s="84"/>
      <c r="W4565" s="84"/>
      <c r="X4565" s="84"/>
      <c r="Y4565" s="84"/>
      <c r="Z4565" s="84"/>
      <c r="AA4565" s="84"/>
      <c r="AB4565" s="84"/>
    </row>
    <row r="4566">
      <c r="A4566" s="89"/>
      <c r="B4566" s="89"/>
      <c r="C4566" s="89"/>
      <c r="D4566" s="89"/>
      <c r="E4566" s="89"/>
      <c r="F4566" s="89"/>
      <c r="G4566" s="89"/>
      <c r="H4566" s="2"/>
      <c r="I4566" s="90"/>
      <c r="J4566" s="90"/>
      <c r="K4566" s="2"/>
      <c r="L4566" s="49"/>
      <c r="M4566" s="49"/>
      <c r="N4566" s="49"/>
      <c r="O4566" s="49" t="str">
        <f t="shared" si="2"/>
        <v/>
      </c>
      <c r="P4566" s="49" t="str">
        <f t="shared" si="3"/>
        <v/>
      </c>
      <c r="Q4566" s="84"/>
      <c r="R4566" s="84"/>
      <c r="S4566" s="84"/>
      <c r="T4566" s="84"/>
      <c r="U4566" s="84"/>
      <c r="V4566" s="84"/>
      <c r="W4566" s="84"/>
      <c r="X4566" s="84"/>
      <c r="Y4566" s="84"/>
      <c r="Z4566" s="84"/>
      <c r="AA4566" s="84"/>
      <c r="AB4566" s="84"/>
    </row>
    <row r="4567">
      <c r="A4567" s="89"/>
      <c r="B4567" s="89"/>
      <c r="C4567" s="89"/>
      <c r="D4567" s="89"/>
      <c r="E4567" s="89"/>
      <c r="F4567" s="89"/>
      <c r="G4567" s="89"/>
      <c r="H4567" s="2"/>
      <c r="I4567" s="90"/>
      <c r="J4567" s="90"/>
      <c r="K4567" s="2"/>
      <c r="L4567" s="48"/>
      <c r="M4567" s="48"/>
      <c r="N4567" s="48"/>
      <c r="O4567" s="48" t="str">
        <f t="shared" si="2"/>
        <v/>
      </c>
      <c r="P4567" s="48" t="str">
        <f t="shared" si="3"/>
        <v/>
      </c>
      <c r="Q4567" s="84"/>
      <c r="R4567" s="84"/>
      <c r="S4567" s="84"/>
      <c r="T4567" s="84"/>
      <c r="U4567" s="84"/>
      <c r="V4567" s="84"/>
      <c r="W4567" s="84"/>
      <c r="X4567" s="84"/>
      <c r="Y4567" s="84"/>
      <c r="Z4567" s="84"/>
      <c r="AA4567" s="84"/>
      <c r="AB4567" s="84"/>
    </row>
    <row r="4568">
      <c r="A4568" s="89"/>
      <c r="B4568" s="89"/>
      <c r="C4568" s="89"/>
      <c r="D4568" s="89"/>
      <c r="E4568" s="89"/>
      <c r="F4568" s="89"/>
      <c r="G4568" s="89"/>
      <c r="H4568" s="2"/>
      <c r="I4568" s="90"/>
      <c r="J4568" s="90"/>
      <c r="K4568" s="2"/>
      <c r="L4568" s="49"/>
      <c r="M4568" s="49"/>
      <c r="N4568" s="49"/>
      <c r="O4568" s="49" t="str">
        <f t="shared" si="2"/>
        <v/>
      </c>
      <c r="P4568" s="49" t="str">
        <f t="shared" si="3"/>
        <v/>
      </c>
      <c r="Q4568" s="84"/>
      <c r="R4568" s="84"/>
      <c r="S4568" s="84"/>
      <c r="T4568" s="84"/>
      <c r="U4568" s="84"/>
      <c r="V4568" s="84"/>
      <c r="W4568" s="84"/>
      <c r="X4568" s="84"/>
      <c r="Y4568" s="84"/>
      <c r="Z4568" s="84"/>
      <c r="AA4568" s="84"/>
      <c r="AB4568" s="84"/>
    </row>
    <row r="4569">
      <c r="A4569" s="89"/>
      <c r="B4569" s="89"/>
      <c r="C4569" s="89"/>
      <c r="D4569" s="89"/>
      <c r="E4569" s="89"/>
      <c r="F4569" s="89"/>
      <c r="G4569" s="89"/>
      <c r="H4569" s="2"/>
      <c r="I4569" s="90"/>
      <c r="J4569" s="90"/>
      <c r="K4569" s="2"/>
      <c r="L4569" s="48"/>
      <c r="M4569" s="48"/>
      <c r="N4569" s="48"/>
      <c r="O4569" s="48" t="str">
        <f t="shared" si="2"/>
        <v/>
      </c>
      <c r="P4569" s="48" t="str">
        <f t="shared" si="3"/>
        <v/>
      </c>
      <c r="Q4569" s="84"/>
      <c r="R4569" s="84"/>
      <c r="S4569" s="84"/>
      <c r="T4569" s="84"/>
      <c r="U4569" s="84"/>
      <c r="V4569" s="84"/>
      <c r="W4569" s="84"/>
      <c r="X4569" s="84"/>
      <c r="Y4569" s="84"/>
      <c r="Z4569" s="84"/>
      <c r="AA4569" s="84"/>
      <c r="AB4569" s="84"/>
    </row>
    <row r="4570">
      <c r="A4570" s="89"/>
      <c r="B4570" s="89"/>
      <c r="C4570" s="89"/>
      <c r="D4570" s="89"/>
      <c r="E4570" s="89"/>
      <c r="F4570" s="89"/>
      <c r="G4570" s="89"/>
      <c r="H4570" s="2"/>
      <c r="I4570" s="90"/>
      <c r="J4570" s="90"/>
      <c r="K4570" s="2"/>
      <c r="L4570" s="49"/>
      <c r="M4570" s="49"/>
      <c r="N4570" s="49"/>
      <c r="O4570" s="49" t="str">
        <f t="shared" si="2"/>
        <v/>
      </c>
      <c r="P4570" s="49" t="str">
        <f t="shared" si="3"/>
        <v/>
      </c>
      <c r="Q4570" s="84"/>
      <c r="R4570" s="84"/>
      <c r="S4570" s="84"/>
      <c r="T4570" s="84"/>
      <c r="U4570" s="84"/>
      <c r="V4570" s="84"/>
      <c r="W4570" s="84"/>
      <c r="X4570" s="84"/>
      <c r="Y4570" s="84"/>
      <c r="Z4570" s="84"/>
      <c r="AA4570" s="84"/>
      <c r="AB4570" s="84"/>
    </row>
    <row r="4571">
      <c r="A4571" s="89"/>
      <c r="B4571" s="89"/>
      <c r="C4571" s="89"/>
      <c r="D4571" s="89"/>
      <c r="E4571" s="89"/>
      <c r="F4571" s="89"/>
      <c r="G4571" s="89"/>
      <c r="H4571" s="2"/>
      <c r="I4571" s="90"/>
      <c r="J4571" s="90"/>
      <c r="K4571" s="2"/>
      <c r="L4571" s="48"/>
      <c r="M4571" s="48"/>
      <c r="N4571" s="48"/>
      <c r="O4571" s="48" t="str">
        <f t="shared" si="2"/>
        <v/>
      </c>
      <c r="P4571" s="48" t="str">
        <f t="shared" si="3"/>
        <v/>
      </c>
      <c r="Q4571" s="84"/>
      <c r="R4571" s="84"/>
      <c r="S4571" s="84"/>
      <c r="T4571" s="84"/>
      <c r="U4571" s="84"/>
      <c r="V4571" s="84"/>
      <c r="W4571" s="84"/>
      <c r="X4571" s="84"/>
      <c r="Y4571" s="84"/>
      <c r="Z4571" s="84"/>
      <c r="AA4571" s="84"/>
      <c r="AB4571" s="84"/>
    </row>
    <row r="4572">
      <c r="A4572" s="89"/>
      <c r="B4572" s="89"/>
      <c r="C4572" s="89"/>
      <c r="D4572" s="89"/>
      <c r="E4572" s="89"/>
      <c r="F4572" s="89"/>
      <c r="G4572" s="89"/>
      <c r="H4572" s="2"/>
      <c r="I4572" s="90"/>
      <c r="J4572" s="90"/>
      <c r="K4572" s="2"/>
      <c r="L4572" s="49"/>
      <c r="M4572" s="49"/>
      <c r="N4572" s="49"/>
      <c r="O4572" s="49" t="str">
        <f t="shared" si="2"/>
        <v/>
      </c>
      <c r="P4572" s="49" t="str">
        <f t="shared" si="3"/>
        <v/>
      </c>
      <c r="Q4572" s="84"/>
      <c r="R4572" s="84"/>
      <c r="S4572" s="84"/>
      <c r="T4572" s="84"/>
      <c r="U4572" s="84"/>
      <c r="V4572" s="84"/>
      <c r="W4572" s="84"/>
      <c r="X4572" s="84"/>
      <c r="Y4572" s="84"/>
      <c r="Z4572" s="84"/>
      <c r="AA4572" s="84"/>
      <c r="AB4572" s="84"/>
    </row>
    <row r="4573">
      <c r="A4573" s="89"/>
      <c r="B4573" s="89"/>
      <c r="C4573" s="89"/>
      <c r="D4573" s="89"/>
      <c r="E4573" s="89"/>
      <c r="F4573" s="89"/>
      <c r="G4573" s="89"/>
      <c r="H4573" s="2"/>
      <c r="I4573" s="90"/>
      <c r="J4573" s="90"/>
      <c r="K4573" s="2"/>
      <c r="L4573" s="48"/>
      <c r="M4573" s="48"/>
      <c r="N4573" s="48"/>
      <c r="O4573" s="48" t="str">
        <f t="shared" si="2"/>
        <v/>
      </c>
      <c r="P4573" s="48" t="str">
        <f t="shared" si="3"/>
        <v/>
      </c>
      <c r="Q4573" s="84"/>
      <c r="R4573" s="84"/>
      <c r="S4573" s="84"/>
      <c r="T4573" s="84"/>
      <c r="U4573" s="84"/>
      <c r="V4573" s="84"/>
      <c r="W4573" s="84"/>
      <c r="X4573" s="84"/>
      <c r="Y4573" s="84"/>
      <c r="Z4573" s="84"/>
      <c r="AA4573" s="84"/>
      <c r="AB4573" s="84"/>
    </row>
    <row r="4574">
      <c r="A4574" s="89"/>
      <c r="B4574" s="89"/>
      <c r="C4574" s="89"/>
      <c r="D4574" s="89"/>
      <c r="E4574" s="89"/>
      <c r="F4574" s="89"/>
      <c r="G4574" s="89"/>
      <c r="H4574" s="2"/>
      <c r="I4574" s="90"/>
      <c r="J4574" s="90"/>
      <c r="K4574" s="2"/>
      <c r="L4574" s="49"/>
      <c r="M4574" s="49"/>
      <c r="N4574" s="49"/>
      <c r="O4574" s="49" t="str">
        <f t="shared" si="2"/>
        <v/>
      </c>
      <c r="P4574" s="49" t="str">
        <f t="shared" si="3"/>
        <v/>
      </c>
      <c r="Q4574" s="84"/>
      <c r="R4574" s="84"/>
      <c r="S4574" s="84"/>
      <c r="T4574" s="84"/>
      <c r="U4574" s="84"/>
      <c r="V4574" s="84"/>
      <c r="W4574" s="84"/>
      <c r="X4574" s="84"/>
      <c r="Y4574" s="84"/>
      <c r="Z4574" s="84"/>
      <c r="AA4574" s="84"/>
      <c r="AB4574" s="84"/>
    </row>
    <row r="4575">
      <c r="A4575" s="89"/>
      <c r="B4575" s="89"/>
      <c r="C4575" s="89"/>
      <c r="D4575" s="89"/>
      <c r="E4575" s="89"/>
      <c r="F4575" s="89"/>
      <c r="G4575" s="89"/>
      <c r="H4575" s="2"/>
      <c r="I4575" s="90"/>
      <c r="J4575" s="90"/>
      <c r="K4575" s="2"/>
      <c r="L4575" s="48"/>
      <c r="M4575" s="48"/>
      <c r="N4575" s="48"/>
      <c r="O4575" s="48" t="str">
        <f t="shared" si="2"/>
        <v/>
      </c>
      <c r="P4575" s="48" t="str">
        <f t="shared" si="3"/>
        <v/>
      </c>
      <c r="Q4575" s="84"/>
      <c r="R4575" s="84"/>
      <c r="S4575" s="84"/>
      <c r="T4575" s="84"/>
      <c r="U4575" s="84"/>
      <c r="V4575" s="84"/>
      <c r="W4575" s="84"/>
      <c r="X4575" s="84"/>
      <c r="Y4575" s="84"/>
      <c r="Z4575" s="84"/>
      <c r="AA4575" s="84"/>
      <c r="AB4575" s="84"/>
    </row>
    <row r="4576">
      <c r="A4576" s="89"/>
      <c r="B4576" s="89"/>
      <c r="C4576" s="89"/>
      <c r="D4576" s="89"/>
      <c r="E4576" s="89"/>
      <c r="F4576" s="89"/>
      <c r="G4576" s="89"/>
      <c r="H4576" s="2"/>
      <c r="I4576" s="90"/>
      <c r="J4576" s="90"/>
      <c r="K4576" s="2"/>
      <c r="L4576" s="49"/>
      <c r="M4576" s="49"/>
      <c r="N4576" s="49"/>
      <c r="O4576" s="49" t="str">
        <f t="shared" si="2"/>
        <v/>
      </c>
      <c r="P4576" s="49" t="str">
        <f t="shared" si="3"/>
        <v/>
      </c>
      <c r="Q4576" s="84"/>
      <c r="R4576" s="84"/>
      <c r="S4576" s="84"/>
      <c r="T4576" s="84"/>
      <c r="U4576" s="84"/>
      <c r="V4576" s="84"/>
      <c r="W4576" s="84"/>
      <c r="X4576" s="84"/>
      <c r="Y4576" s="84"/>
      <c r="Z4576" s="84"/>
      <c r="AA4576" s="84"/>
      <c r="AB4576" s="84"/>
    </row>
    <row r="4577">
      <c r="A4577" s="89"/>
      <c r="B4577" s="89"/>
      <c r="C4577" s="89"/>
      <c r="D4577" s="89"/>
      <c r="E4577" s="89"/>
      <c r="F4577" s="89"/>
      <c r="G4577" s="89"/>
      <c r="H4577" s="2"/>
      <c r="I4577" s="90"/>
      <c r="J4577" s="90"/>
      <c r="K4577" s="2"/>
      <c r="L4577" s="48"/>
      <c r="M4577" s="48"/>
      <c r="N4577" s="48"/>
      <c r="O4577" s="48" t="str">
        <f t="shared" si="2"/>
        <v/>
      </c>
      <c r="P4577" s="48" t="str">
        <f t="shared" si="3"/>
        <v/>
      </c>
      <c r="Q4577" s="84"/>
      <c r="R4577" s="84"/>
      <c r="S4577" s="84"/>
      <c r="T4577" s="84"/>
      <c r="U4577" s="84"/>
      <c r="V4577" s="84"/>
      <c r="W4577" s="84"/>
      <c r="X4577" s="84"/>
      <c r="Y4577" s="84"/>
      <c r="Z4577" s="84"/>
      <c r="AA4577" s="84"/>
      <c r="AB4577" s="84"/>
    </row>
    <row r="4578">
      <c r="A4578" s="89"/>
      <c r="B4578" s="89"/>
      <c r="C4578" s="89"/>
      <c r="D4578" s="89"/>
      <c r="E4578" s="89"/>
      <c r="F4578" s="89"/>
      <c r="G4578" s="89"/>
      <c r="H4578" s="2"/>
      <c r="I4578" s="90"/>
      <c r="J4578" s="90"/>
      <c r="K4578" s="2"/>
      <c r="L4578" s="49"/>
      <c r="M4578" s="49"/>
      <c r="N4578" s="49"/>
      <c r="O4578" s="49" t="str">
        <f t="shared" si="2"/>
        <v/>
      </c>
      <c r="P4578" s="49" t="str">
        <f t="shared" si="3"/>
        <v/>
      </c>
      <c r="Q4578" s="84"/>
      <c r="R4578" s="84"/>
      <c r="S4578" s="84"/>
      <c r="T4578" s="84"/>
      <c r="U4578" s="84"/>
      <c r="V4578" s="84"/>
      <c r="W4578" s="84"/>
      <c r="X4578" s="84"/>
      <c r="Y4578" s="84"/>
      <c r="Z4578" s="84"/>
      <c r="AA4578" s="84"/>
      <c r="AB4578" s="84"/>
    </row>
    <row r="4579">
      <c r="A4579" s="89"/>
      <c r="B4579" s="89"/>
      <c r="C4579" s="89"/>
      <c r="D4579" s="89"/>
      <c r="E4579" s="89"/>
      <c r="F4579" s="89"/>
      <c r="G4579" s="89"/>
      <c r="H4579" s="2"/>
      <c r="I4579" s="90"/>
      <c r="J4579" s="90"/>
      <c r="K4579" s="2"/>
      <c r="L4579" s="48"/>
      <c r="M4579" s="48"/>
      <c r="N4579" s="48"/>
      <c r="O4579" s="48" t="str">
        <f t="shared" si="2"/>
        <v/>
      </c>
      <c r="P4579" s="48" t="str">
        <f t="shared" si="3"/>
        <v/>
      </c>
      <c r="Q4579" s="84"/>
      <c r="R4579" s="84"/>
      <c r="S4579" s="84"/>
      <c r="T4579" s="84"/>
      <c r="U4579" s="84"/>
      <c r="V4579" s="84"/>
      <c r="W4579" s="84"/>
      <c r="X4579" s="84"/>
      <c r="Y4579" s="84"/>
      <c r="Z4579" s="84"/>
      <c r="AA4579" s="84"/>
      <c r="AB4579" s="84"/>
    </row>
    <row r="4580">
      <c r="A4580" s="89"/>
      <c r="B4580" s="89"/>
      <c r="C4580" s="89"/>
      <c r="D4580" s="89"/>
      <c r="E4580" s="89"/>
      <c r="F4580" s="89"/>
      <c r="G4580" s="89"/>
      <c r="H4580" s="2"/>
      <c r="I4580" s="90"/>
      <c r="J4580" s="90"/>
      <c r="K4580" s="2"/>
      <c r="L4580" s="49"/>
      <c r="M4580" s="49"/>
      <c r="N4580" s="49"/>
      <c r="O4580" s="49" t="str">
        <f t="shared" si="2"/>
        <v/>
      </c>
      <c r="P4580" s="49" t="str">
        <f t="shared" si="3"/>
        <v/>
      </c>
      <c r="Q4580" s="84"/>
      <c r="R4580" s="84"/>
      <c r="S4580" s="84"/>
      <c r="T4580" s="84"/>
      <c r="U4580" s="84"/>
      <c r="V4580" s="84"/>
      <c r="W4580" s="84"/>
      <c r="X4580" s="84"/>
      <c r="Y4580" s="84"/>
      <c r="Z4580" s="84"/>
      <c r="AA4580" s="84"/>
      <c r="AB4580" s="84"/>
    </row>
    <row r="4581">
      <c r="A4581" s="89"/>
      <c r="B4581" s="89"/>
      <c r="C4581" s="89"/>
      <c r="D4581" s="89"/>
      <c r="E4581" s="89"/>
      <c r="F4581" s="89"/>
      <c r="G4581" s="89"/>
      <c r="H4581" s="2"/>
      <c r="I4581" s="90"/>
      <c r="J4581" s="90"/>
      <c r="K4581" s="2"/>
      <c r="L4581" s="48"/>
      <c r="M4581" s="48"/>
      <c r="N4581" s="48"/>
      <c r="O4581" s="48" t="str">
        <f t="shared" si="2"/>
        <v/>
      </c>
      <c r="P4581" s="48" t="str">
        <f t="shared" si="3"/>
        <v/>
      </c>
      <c r="Q4581" s="84"/>
      <c r="R4581" s="84"/>
      <c r="S4581" s="84"/>
      <c r="T4581" s="84"/>
      <c r="U4581" s="84"/>
      <c r="V4581" s="84"/>
      <c r="W4581" s="84"/>
      <c r="X4581" s="84"/>
      <c r="Y4581" s="84"/>
      <c r="Z4581" s="84"/>
      <c r="AA4581" s="84"/>
      <c r="AB4581" s="84"/>
    </row>
    <row r="4582">
      <c r="A4582" s="89"/>
      <c r="B4582" s="89"/>
      <c r="C4582" s="89"/>
      <c r="D4582" s="89"/>
      <c r="E4582" s="89"/>
      <c r="F4582" s="89"/>
      <c r="G4582" s="89"/>
      <c r="H4582" s="2"/>
      <c r="I4582" s="90"/>
      <c r="J4582" s="90"/>
      <c r="K4582" s="2"/>
      <c r="L4582" s="49"/>
      <c r="M4582" s="49"/>
      <c r="N4582" s="49"/>
      <c r="O4582" s="49" t="str">
        <f t="shared" si="2"/>
        <v/>
      </c>
      <c r="P4582" s="49" t="str">
        <f t="shared" si="3"/>
        <v/>
      </c>
      <c r="Q4582" s="84"/>
      <c r="R4582" s="84"/>
      <c r="S4582" s="84"/>
      <c r="T4582" s="84"/>
      <c r="U4582" s="84"/>
      <c r="V4582" s="84"/>
      <c r="W4582" s="84"/>
      <c r="X4582" s="84"/>
      <c r="Y4582" s="84"/>
      <c r="Z4582" s="84"/>
      <c r="AA4582" s="84"/>
      <c r="AB4582" s="84"/>
    </row>
    <row r="4583">
      <c r="A4583" s="89"/>
      <c r="B4583" s="89"/>
      <c r="C4583" s="89"/>
      <c r="D4583" s="89"/>
      <c r="E4583" s="89"/>
      <c r="F4583" s="89"/>
      <c r="G4583" s="89"/>
      <c r="H4583" s="2"/>
      <c r="I4583" s="90"/>
      <c r="J4583" s="90"/>
      <c r="K4583" s="2"/>
      <c r="L4583" s="48"/>
      <c r="M4583" s="48"/>
      <c r="N4583" s="48"/>
      <c r="O4583" s="48" t="str">
        <f t="shared" si="2"/>
        <v/>
      </c>
      <c r="P4583" s="48" t="str">
        <f t="shared" si="3"/>
        <v/>
      </c>
      <c r="Q4583" s="84"/>
      <c r="R4583" s="84"/>
      <c r="S4583" s="84"/>
      <c r="T4583" s="84"/>
      <c r="U4583" s="84"/>
      <c r="V4583" s="84"/>
      <c r="W4583" s="84"/>
      <c r="X4583" s="84"/>
      <c r="Y4583" s="84"/>
      <c r="Z4583" s="84"/>
      <c r="AA4583" s="84"/>
      <c r="AB4583" s="84"/>
    </row>
    <row r="4584">
      <c r="A4584" s="89"/>
      <c r="B4584" s="89"/>
      <c r="C4584" s="89"/>
      <c r="D4584" s="89"/>
      <c r="E4584" s="89"/>
      <c r="F4584" s="89"/>
      <c r="G4584" s="89"/>
      <c r="H4584" s="2"/>
      <c r="I4584" s="90"/>
      <c r="J4584" s="90"/>
      <c r="K4584" s="2"/>
      <c r="L4584" s="49"/>
      <c r="M4584" s="49"/>
      <c r="N4584" s="49"/>
      <c r="O4584" s="49" t="str">
        <f t="shared" si="2"/>
        <v/>
      </c>
      <c r="P4584" s="49" t="str">
        <f t="shared" si="3"/>
        <v/>
      </c>
      <c r="Q4584" s="84"/>
      <c r="R4584" s="84"/>
      <c r="S4584" s="84"/>
      <c r="T4584" s="84"/>
      <c r="U4584" s="84"/>
      <c r="V4584" s="84"/>
      <c r="W4584" s="84"/>
      <c r="X4584" s="84"/>
      <c r="Y4584" s="84"/>
      <c r="Z4584" s="84"/>
      <c r="AA4584" s="84"/>
      <c r="AB4584" s="84"/>
    </row>
    <row r="4585">
      <c r="A4585" s="89"/>
      <c r="B4585" s="89"/>
      <c r="C4585" s="89"/>
      <c r="D4585" s="89"/>
      <c r="E4585" s="89"/>
      <c r="F4585" s="89"/>
      <c r="G4585" s="89"/>
      <c r="H4585" s="2"/>
      <c r="I4585" s="90"/>
      <c r="J4585" s="90"/>
      <c r="K4585" s="2"/>
      <c r="L4585" s="48"/>
      <c r="M4585" s="48"/>
      <c r="N4585" s="48"/>
      <c r="O4585" s="48" t="str">
        <f t="shared" si="2"/>
        <v/>
      </c>
      <c r="P4585" s="48" t="str">
        <f t="shared" si="3"/>
        <v/>
      </c>
      <c r="Q4585" s="84"/>
      <c r="R4585" s="84"/>
      <c r="S4585" s="84"/>
      <c r="T4585" s="84"/>
      <c r="U4585" s="84"/>
      <c r="V4585" s="84"/>
      <c r="W4585" s="84"/>
      <c r="X4585" s="84"/>
      <c r="Y4585" s="84"/>
      <c r="Z4585" s="84"/>
      <c r="AA4585" s="84"/>
      <c r="AB4585" s="84"/>
    </row>
    <row r="4586">
      <c r="A4586" s="89"/>
      <c r="B4586" s="89"/>
      <c r="C4586" s="89"/>
      <c r="D4586" s="89"/>
      <c r="E4586" s="89"/>
      <c r="F4586" s="89"/>
      <c r="G4586" s="89"/>
      <c r="H4586" s="2"/>
      <c r="I4586" s="90"/>
      <c r="J4586" s="90"/>
      <c r="K4586" s="2"/>
      <c r="L4586" s="49"/>
      <c r="M4586" s="49"/>
      <c r="N4586" s="49"/>
      <c r="O4586" s="49" t="str">
        <f t="shared" si="2"/>
        <v/>
      </c>
      <c r="P4586" s="49" t="str">
        <f t="shared" si="3"/>
        <v/>
      </c>
      <c r="Q4586" s="84"/>
      <c r="R4586" s="84"/>
      <c r="S4586" s="84"/>
      <c r="T4586" s="84"/>
      <c r="U4586" s="84"/>
      <c r="V4586" s="84"/>
      <c r="W4586" s="84"/>
      <c r="X4586" s="84"/>
      <c r="Y4586" s="84"/>
      <c r="Z4586" s="84"/>
      <c r="AA4586" s="84"/>
      <c r="AB4586" s="84"/>
    </row>
    <row r="4587">
      <c r="A4587" s="89"/>
      <c r="B4587" s="89"/>
      <c r="C4587" s="89"/>
      <c r="D4587" s="89"/>
      <c r="E4587" s="89"/>
      <c r="F4587" s="89"/>
      <c r="G4587" s="89"/>
      <c r="H4587" s="2"/>
      <c r="I4587" s="90"/>
      <c r="J4587" s="90"/>
      <c r="K4587" s="2"/>
      <c r="L4587" s="48"/>
      <c r="M4587" s="48"/>
      <c r="N4587" s="48"/>
      <c r="O4587" s="48" t="str">
        <f t="shared" si="2"/>
        <v/>
      </c>
      <c r="P4587" s="48" t="str">
        <f t="shared" si="3"/>
        <v/>
      </c>
      <c r="Q4587" s="84"/>
      <c r="R4587" s="84"/>
      <c r="S4587" s="84"/>
      <c r="T4587" s="84"/>
      <c r="U4587" s="84"/>
      <c r="V4587" s="84"/>
      <c r="W4587" s="84"/>
      <c r="X4587" s="84"/>
      <c r="Y4587" s="84"/>
      <c r="Z4587" s="84"/>
      <c r="AA4587" s="84"/>
      <c r="AB4587" s="84"/>
    </row>
    <row r="4588">
      <c r="A4588" s="89"/>
      <c r="B4588" s="89"/>
      <c r="C4588" s="89"/>
      <c r="D4588" s="89"/>
      <c r="E4588" s="89"/>
      <c r="F4588" s="89"/>
      <c r="G4588" s="89"/>
      <c r="H4588" s="2"/>
      <c r="I4588" s="90"/>
      <c r="J4588" s="90"/>
      <c r="K4588" s="2"/>
      <c r="L4588" s="49"/>
      <c r="M4588" s="49"/>
      <c r="N4588" s="49"/>
      <c r="O4588" s="49" t="str">
        <f t="shared" si="2"/>
        <v/>
      </c>
      <c r="P4588" s="49" t="str">
        <f t="shared" si="3"/>
        <v/>
      </c>
      <c r="Q4588" s="84"/>
      <c r="R4588" s="84"/>
      <c r="S4588" s="84"/>
      <c r="T4588" s="84"/>
      <c r="U4588" s="84"/>
      <c r="V4588" s="84"/>
      <c r="W4588" s="84"/>
      <c r="X4588" s="84"/>
      <c r="Y4588" s="84"/>
      <c r="Z4588" s="84"/>
      <c r="AA4588" s="84"/>
      <c r="AB4588" s="84"/>
    </row>
    <row r="4589">
      <c r="A4589" s="89"/>
      <c r="B4589" s="89"/>
      <c r="C4589" s="89"/>
      <c r="D4589" s="89"/>
      <c r="E4589" s="89"/>
      <c r="F4589" s="89"/>
      <c r="G4589" s="89"/>
      <c r="H4589" s="2"/>
      <c r="I4589" s="90"/>
      <c r="J4589" s="90"/>
      <c r="K4589" s="2"/>
      <c r="L4589" s="48"/>
      <c r="M4589" s="48"/>
      <c r="N4589" s="48"/>
      <c r="O4589" s="48" t="str">
        <f t="shared" si="2"/>
        <v/>
      </c>
      <c r="P4589" s="48" t="str">
        <f t="shared" si="3"/>
        <v/>
      </c>
      <c r="Q4589" s="84"/>
      <c r="R4589" s="84"/>
      <c r="S4589" s="84"/>
      <c r="T4589" s="84"/>
      <c r="U4589" s="84"/>
      <c r="V4589" s="84"/>
      <c r="W4589" s="84"/>
      <c r="X4589" s="84"/>
      <c r="Y4589" s="84"/>
      <c r="Z4589" s="84"/>
      <c r="AA4589" s="84"/>
      <c r="AB4589" s="84"/>
    </row>
    <row r="4590">
      <c r="A4590" s="89"/>
      <c r="B4590" s="89"/>
      <c r="C4590" s="89"/>
      <c r="D4590" s="89"/>
      <c r="E4590" s="89"/>
      <c r="F4590" s="89"/>
      <c r="G4590" s="89"/>
      <c r="H4590" s="2"/>
      <c r="I4590" s="90"/>
      <c r="J4590" s="90"/>
      <c r="K4590" s="2"/>
      <c r="L4590" s="49"/>
      <c r="M4590" s="49"/>
      <c r="N4590" s="49"/>
      <c r="O4590" s="49" t="str">
        <f t="shared" si="2"/>
        <v/>
      </c>
      <c r="P4590" s="49" t="str">
        <f t="shared" si="3"/>
        <v/>
      </c>
      <c r="Q4590" s="84"/>
      <c r="R4590" s="84"/>
      <c r="S4590" s="84"/>
      <c r="T4590" s="84"/>
      <c r="U4590" s="84"/>
      <c r="V4590" s="84"/>
      <c r="W4590" s="84"/>
      <c r="X4590" s="84"/>
      <c r="Y4590" s="84"/>
      <c r="Z4590" s="84"/>
      <c r="AA4590" s="84"/>
      <c r="AB4590" s="84"/>
    </row>
    <row r="4591">
      <c r="A4591" s="89"/>
      <c r="B4591" s="89"/>
      <c r="C4591" s="89"/>
      <c r="D4591" s="89"/>
      <c r="E4591" s="89"/>
      <c r="F4591" s="89"/>
      <c r="G4591" s="89"/>
      <c r="H4591" s="2"/>
      <c r="I4591" s="90"/>
      <c r="J4591" s="90"/>
      <c r="K4591" s="2"/>
      <c r="L4591" s="48"/>
      <c r="M4591" s="48"/>
      <c r="N4591" s="48"/>
      <c r="O4591" s="48" t="str">
        <f t="shared" si="2"/>
        <v/>
      </c>
      <c r="P4591" s="48" t="str">
        <f t="shared" si="3"/>
        <v/>
      </c>
      <c r="Q4591" s="84"/>
      <c r="R4591" s="84"/>
      <c r="S4591" s="84"/>
      <c r="T4591" s="84"/>
      <c r="U4591" s="84"/>
      <c r="V4591" s="84"/>
      <c r="W4591" s="84"/>
      <c r="X4591" s="84"/>
      <c r="Y4591" s="84"/>
      <c r="Z4591" s="84"/>
      <c r="AA4591" s="84"/>
      <c r="AB4591" s="84"/>
    </row>
    <row r="4592">
      <c r="A4592" s="89"/>
      <c r="B4592" s="89"/>
      <c r="C4592" s="89"/>
      <c r="D4592" s="89"/>
      <c r="E4592" s="89"/>
      <c r="F4592" s="89"/>
      <c r="G4592" s="89"/>
      <c r="H4592" s="2"/>
      <c r="I4592" s="90"/>
      <c r="J4592" s="90"/>
      <c r="K4592" s="2"/>
      <c r="L4592" s="49"/>
      <c r="M4592" s="49"/>
      <c r="N4592" s="49"/>
      <c r="O4592" s="49" t="str">
        <f t="shared" si="2"/>
        <v/>
      </c>
      <c r="P4592" s="49" t="str">
        <f t="shared" si="3"/>
        <v/>
      </c>
      <c r="Q4592" s="84"/>
      <c r="R4592" s="84"/>
      <c r="S4592" s="84"/>
      <c r="T4592" s="84"/>
      <c r="U4592" s="84"/>
      <c r="V4592" s="84"/>
      <c r="W4592" s="84"/>
      <c r="X4592" s="84"/>
      <c r="Y4592" s="84"/>
      <c r="Z4592" s="84"/>
      <c r="AA4592" s="84"/>
      <c r="AB4592" s="84"/>
    </row>
    <row r="4593">
      <c r="A4593" s="89"/>
      <c r="B4593" s="89"/>
      <c r="C4593" s="89"/>
      <c r="D4593" s="89"/>
      <c r="E4593" s="89"/>
      <c r="F4593" s="89"/>
      <c r="G4593" s="89"/>
      <c r="H4593" s="2"/>
      <c r="I4593" s="90"/>
      <c r="J4593" s="90"/>
      <c r="K4593" s="2"/>
      <c r="L4593" s="48"/>
      <c r="M4593" s="48"/>
      <c r="N4593" s="48"/>
      <c r="O4593" s="48" t="str">
        <f t="shared" si="2"/>
        <v/>
      </c>
      <c r="P4593" s="48" t="str">
        <f t="shared" si="3"/>
        <v/>
      </c>
      <c r="Q4593" s="84"/>
      <c r="R4593" s="84"/>
      <c r="S4593" s="84"/>
      <c r="T4593" s="84"/>
      <c r="U4593" s="84"/>
      <c r="V4593" s="84"/>
      <c r="W4593" s="84"/>
      <c r="X4593" s="84"/>
      <c r="Y4593" s="84"/>
      <c r="Z4593" s="84"/>
      <c r="AA4593" s="84"/>
      <c r="AB4593" s="84"/>
    </row>
    <row r="4594">
      <c r="A4594" s="89"/>
      <c r="B4594" s="89"/>
      <c r="C4594" s="89"/>
      <c r="D4594" s="89"/>
      <c r="E4594" s="89"/>
      <c r="F4594" s="89"/>
      <c r="G4594" s="89"/>
      <c r="H4594" s="2"/>
      <c r="I4594" s="90"/>
      <c r="J4594" s="90"/>
      <c r="K4594" s="2"/>
      <c r="L4594" s="49"/>
      <c r="M4594" s="49"/>
      <c r="N4594" s="49"/>
      <c r="O4594" s="49" t="str">
        <f t="shared" si="2"/>
        <v/>
      </c>
      <c r="P4594" s="49" t="str">
        <f t="shared" si="3"/>
        <v/>
      </c>
      <c r="Q4594" s="84"/>
      <c r="R4594" s="84"/>
      <c r="S4594" s="84"/>
      <c r="T4594" s="84"/>
      <c r="U4594" s="84"/>
      <c r="V4594" s="84"/>
      <c r="W4594" s="84"/>
      <c r="X4594" s="84"/>
      <c r="Y4594" s="84"/>
      <c r="Z4594" s="84"/>
      <c r="AA4594" s="84"/>
      <c r="AB4594" s="84"/>
    </row>
    <row r="4595">
      <c r="A4595" s="89"/>
      <c r="B4595" s="89"/>
      <c r="C4595" s="89"/>
      <c r="D4595" s="89"/>
      <c r="E4595" s="89"/>
      <c r="F4595" s="89"/>
      <c r="G4595" s="89"/>
      <c r="H4595" s="2"/>
      <c r="I4595" s="90"/>
      <c r="J4595" s="90"/>
      <c r="K4595" s="2"/>
      <c r="L4595" s="48"/>
      <c r="M4595" s="48"/>
      <c r="N4595" s="48"/>
      <c r="O4595" s="48" t="str">
        <f t="shared" si="2"/>
        <v/>
      </c>
      <c r="P4595" s="48" t="str">
        <f t="shared" si="3"/>
        <v/>
      </c>
      <c r="Q4595" s="84"/>
      <c r="R4595" s="84"/>
      <c r="S4595" s="84"/>
      <c r="T4595" s="84"/>
      <c r="U4595" s="84"/>
      <c r="V4595" s="84"/>
      <c r="W4595" s="84"/>
      <c r="X4595" s="84"/>
      <c r="Y4595" s="84"/>
      <c r="Z4595" s="84"/>
      <c r="AA4595" s="84"/>
      <c r="AB4595" s="84"/>
    </row>
    <row r="4596">
      <c r="A4596" s="89"/>
      <c r="B4596" s="89"/>
      <c r="C4596" s="89"/>
      <c r="D4596" s="89"/>
      <c r="E4596" s="89"/>
      <c r="F4596" s="89"/>
      <c r="G4596" s="89"/>
      <c r="H4596" s="2"/>
      <c r="I4596" s="90"/>
      <c r="J4596" s="90"/>
      <c r="K4596" s="2"/>
      <c r="L4596" s="49"/>
      <c r="M4596" s="49"/>
      <c r="N4596" s="49"/>
      <c r="O4596" s="49" t="str">
        <f t="shared" si="2"/>
        <v/>
      </c>
      <c r="P4596" s="49" t="str">
        <f t="shared" si="3"/>
        <v/>
      </c>
      <c r="Q4596" s="84"/>
      <c r="R4596" s="84"/>
      <c r="S4596" s="84"/>
      <c r="T4596" s="84"/>
      <c r="U4596" s="84"/>
      <c r="V4596" s="84"/>
      <c r="W4596" s="84"/>
      <c r="X4596" s="84"/>
      <c r="Y4596" s="84"/>
      <c r="Z4596" s="84"/>
      <c r="AA4596" s="84"/>
      <c r="AB4596" s="84"/>
    </row>
    <row r="4597">
      <c r="A4597" s="89"/>
      <c r="B4597" s="89"/>
      <c r="C4597" s="89"/>
      <c r="D4597" s="89"/>
      <c r="E4597" s="89"/>
      <c r="F4597" s="89"/>
      <c r="G4597" s="89"/>
      <c r="H4597" s="2"/>
      <c r="I4597" s="90"/>
      <c r="J4597" s="90"/>
      <c r="K4597" s="2"/>
      <c r="L4597" s="48"/>
      <c r="M4597" s="48"/>
      <c r="N4597" s="48"/>
      <c r="O4597" s="48" t="str">
        <f t="shared" si="2"/>
        <v/>
      </c>
      <c r="P4597" s="48" t="str">
        <f t="shared" si="3"/>
        <v/>
      </c>
      <c r="Q4597" s="84"/>
      <c r="R4597" s="84"/>
      <c r="S4597" s="84"/>
      <c r="T4597" s="84"/>
      <c r="U4597" s="84"/>
      <c r="V4597" s="84"/>
      <c r="W4597" s="84"/>
      <c r="X4597" s="84"/>
      <c r="Y4597" s="84"/>
      <c r="Z4597" s="84"/>
      <c r="AA4597" s="84"/>
      <c r="AB4597" s="84"/>
    </row>
    <row r="4598">
      <c r="A4598" s="89"/>
      <c r="B4598" s="89"/>
      <c r="C4598" s="89"/>
      <c r="D4598" s="89"/>
      <c r="E4598" s="89"/>
      <c r="F4598" s="89"/>
      <c r="G4598" s="89"/>
      <c r="H4598" s="2"/>
      <c r="I4598" s="90"/>
      <c r="J4598" s="90"/>
      <c r="K4598" s="2"/>
      <c r="L4598" s="49"/>
      <c r="M4598" s="49"/>
      <c r="N4598" s="49"/>
      <c r="O4598" s="49" t="str">
        <f t="shared" si="2"/>
        <v/>
      </c>
      <c r="P4598" s="49" t="str">
        <f t="shared" si="3"/>
        <v/>
      </c>
      <c r="Q4598" s="84"/>
      <c r="R4598" s="84"/>
      <c r="S4598" s="84"/>
      <c r="T4598" s="84"/>
      <c r="U4598" s="84"/>
      <c r="V4598" s="84"/>
      <c r="W4598" s="84"/>
      <c r="X4598" s="84"/>
      <c r="Y4598" s="84"/>
      <c r="Z4598" s="84"/>
      <c r="AA4598" s="84"/>
      <c r="AB4598" s="84"/>
    </row>
    <row r="4599">
      <c r="A4599" s="89"/>
      <c r="B4599" s="89"/>
      <c r="C4599" s="89"/>
      <c r="D4599" s="89"/>
      <c r="E4599" s="89"/>
      <c r="F4599" s="89"/>
      <c r="G4599" s="89"/>
      <c r="H4599" s="2"/>
      <c r="I4599" s="90"/>
      <c r="J4599" s="90"/>
      <c r="K4599" s="2"/>
      <c r="L4599" s="48"/>
      <c r="M4599" s="48"/>
      <c r="N4599" s="48"/>
      <c r="O4599" s="48" t="str">
        <f t="shared" si="2"/>
        <v/>
      </c>
      <c r="P4599" s="48" t="str">
        <f t="shared" si="3"/>
        <v/>
      </c>
      <c r="Q4599" s="84"/>
      <c r="R4599" s="84"/>
      <c r="S4599" s="84"/>
      <c r="T4599" s="84"/>
      <c r="U4599" s="84"/>
      <c r="V4599" s="84"/>
      <c r="W4599" s="84"/>
      <c r="X4599" s="84"/>
      <c r="Y4599" s="84"/>
      <c r="Z4599" s="84"/>
      <c r="AA4599" s="84"/>
      <c r="AB4599" s="84"/>
    </row>
    <row r="4600">
      <c r="A4600" s="89"/>
      <c r="B4600" s="89"/>
      <c r="C4600" s="89"/>
      <c r="D4600" s="89"/>
      <c r="E4600" s="89"/>
      <c r="F4600" s="89"/>
      <c r="G4600" s="89"/>
      <c r="H4600" s="2"/>
      <c r="I4600" s="90"/>
      <c r="J4600" s="90"/>
      <c r="K4600" s="2"/>
      <c r="L4600" s="49"/>
      <c r="M4600" s="49"/>
      <c r="N4600" s="49"/>
      <c r="O4600" s="49" t="str">
        <f t="shared" si="2"/>
        <v/>
      </c>
      <c r="P4600" s="49" t="str">
        <f t="shared" si="3"/>
        <v/>
      </c>
      <c r="Q4600" s="84"/>
      <c r="R4600" s="84"/>
      <c r="S4600" s="84"/>
      <c r="T4600" s="84"/>
      <c r="U4600" s="84"/>
      <c r="V4600" s="84"/>
      <c r="W4600" s="84"/>
      <c r="X4600" s="84"/>
      <c r="Y4600" s="84"/>
      <c r="Z4600" s="84"/>
      <c r="AA4600" s="84"/>
      <c r="AB4600" s="84"/>
    </row>
    <row r="4601">
      <c r="A4601" s="89"/>
      <c r="B4601" s="89"/>
      <c r="C4601" s="89"/>
      <c r="D4601" s="89"/>
      <c r="E4601" s="89"/>
      <c r="F4601" s="89"/>
      <c r="G4601" s="89"/>
      <c r="H4601" s="2"/>
      <c r="I4601" s="90"/>
      <c r="J4601" s="90"/>
      <c r="K4601" s="2"/>
      <c r="L4601" s="48"/>
      <c r="M4601" s="48"/>
      <c r="N4601" s="48"/>
      <c r="O4601" s="48" t="str">
        <f t="shared" si="2"/>
        <v/>
      </c>
      <c r="P4601" s="48" t="str">
        <f t="shared" si="3"/>
        <v/>
      </c>
      <c r="Q4601" s="84"/>
      <c r="R4601" s="84"/>
      <c r="S4601" s="84"/>
      <c r="T4601" s="84"/>
      <c r="U4601" s="84"/>
      <c r="V4601" s="84"/>
      <c r="W4601" s="84"/>
      <c r="X4601" s="84"/>
      <c r="Y4601" s="84"/>
      <c r="Z4601" s="84"/>
      <c r="AA4601" s="84"/>
      <c r="AB4601" s="84"/>
    </row>
    <row r="4602">
      <c r="A4602" s="89"/>
      <c r="B4602" s="89"/>
      <c r="C4602" s="89"/>
      <c r="D4602" s="89"/>
      <c r="E4602" s="89"/>
      <c r="F4602" s="89"/>
      <c r="G4602" s="89"/>
      <c r="H4602" s="2"/>
      <c r="I4602" s="90"/>
      <c r="J4602" s="90"/>
      <c r="K4602" s="2"/>
      <c r="L4602" s="49"/>
      <c r="M4602" s="49"/>
      <c r="N4602" s="49"/>
      <c r="O4602" s="49" t="str">
        <f t="shared" si="2"/>
        <v/>
      </c>
      <c r="P4602" s="49" t="str">
        <f t="shared" si="3"/>
        <v/>
      </c>
      <c r="Q4602" s="84"/>
      <c r="R4602" s="84"/>
      <c r="S4602" s="84"/>
      <c r="T4602" s="84"/>
      <c r="U4602" s="84"/>
      <c r="V4602" s="84"/>
      <c r="W4602" s="84"/>
      <c r="X4602" s="84"/>
      <c r="Y4602" s="84"/>
      <c r="Z4602" s="84"/>
      <c r="AA4602" s="84"/>
      <c r="AB4602" s="84"/>
    </row>
    <row r="4603">
      <c r="A4603" s="89"/>
      <c r="B4603" s="89"/>
      <c r="C4603" s="89"/>
      <c r="D4603" s="89"/>
      <c r="E4603" s="89"/>
      <c r="F4603" s="89"/>
      <c r="G4603" s="89"/>
      <c r="H4603" s="2"/>
      <c r="I4603" s="90"/>
      <c r="J4603" s="90"/>
      <c r="K4603" s="2"/>
      <c r="L4603" s="48"/>
      <c r="M4603" s="48"/>
      <c r="N4603" s="48"/>
      <c r="O4603" s="48" t="str">
        <f t="shared" si="2"/>
        <v/>
      </c>
      <c r="P4603" s="48" t="str">
        <f t="shared" si="3"/>
        <v/>
      </c>
      <c r="Q4603" s="84"/>
      <c r="R4603" s="84"/>
      <c r="S4603" s="84"/>
      <c r="T4603" s="84"/>
      <c r="U4603" s="84"/>
      <c r="V4603" s="84"/>
      <c r="W4603" s="84"/>
      <c r="X4603" s="84"/>
      <c r="Y4603" s="84"/>
      <c r="Z4603" s="84"/>
      <c r="AA4603" s="84"/>
      <c r="AB4603" s="84"/>
    </row>
    <row r="4604">
      <c r="A4604" s="89"/>
      <c r="B4604" s="89"/>
      <c r="C4604" s="89"/>
      <c r="D4604" s="89"/>
      <c r="E4604" s="89"/>
      <c r="F4604" s="89"/>
      <c r="G4604" s="89"/>
      <c r="H4604" s="2"/>
      <c r="I4604" s="90"/>
      <c r="J4604" s="90"/>
      <c r="K4604" s="2"/>
      <c r="L4604" s="49"/>
      <c r="M4604" s="49"/>
      <c r="N4604" s="49"/>
      <c r="O4604" s="49" t="str">
        <f t="shared" si="2"/>
        <v/>
      </c>
      <c r="P4604" s="49" t="str">
        <f t="shared" si="3"/>
        <v/>
      </c>
      <c r="Q4604" s="84"/>
      <c r="R4604" s="84"/>
      <c r="S4604" s="84"/>
      <c r="T4604" s="84"/>
      <c r="U4604" s="84"/>
      <c r="V4604" s="84"/>
      <c r="W4604" s="84"/>
      <c r="X4604" s="84"/>
      <c r="Y4604" s="84"/>
      <c r="Z4604" s="84"/>
      <c r="AA4604" s="84"/>
      <c r="AB4604" s="84"/>
    </row>
    <row r="4605">
      <c r="A4605" s="89"/>
      <c r="B4605" s="89"/>
      <c r="C4605" s="89"/>
      <c r="D4605" s="89"/>
      <c r="E4605" s="89"/>
      <c r="F4605" s="89"/>
      <c r="G4605" s="89"/>
      <c r="H4605" s="2"/>
      <c r="I4605" s="90"/>
      <c r="J4605" s="90"/>
      <c r="K4605" s="2"/>
      <c r="L4605" s="48"/>
      <c r="M4605" s="48"/>
      <c r="N4605" s="48"/>
      <c r="O4605" s="48" t="str">
        <f t="shared" si="2"/>
        <v/>
      </c>
      <c r="P4605" s="48" t="str">
        <f t="shared" si="3"/>
        <v/>
      </c>
      <c r="Q4605" s="84"/>
      <c r="R4605" s="84"/>
      <c r="S4605" s="84"/>
      <c r="T4605" s="84"/>
      <c r="U4605" s="84"/>
      <c r="V4605" s="84"/>
      <c r="W4605" s="84"/>
      <c r="X4605" s="84"/>
      <c r="Y4605" s="84"/>
      <c r="Z4605" s="84"/>
      <c r="AA4605" s="84"/>
      <c r="AB4605" s="84"/>
    </row>
    <row r="4606">
      <c r="A4606" s="89"/>
      <c r="B4606" s="89"/>
      <c r="C4606" s="89"/>
      <c r="D4606" s="89"/>
      <c r="E4606" s="89"/>
      <c r="F4606" s="89"/>
      <c r="G4606" s="89"/>
      <c r="H4606" s="2"/>
      <c r="I4606" s="90"/>
      <c r="J4606" s="90"/>
      <c r="K4606" s="2"/>
      <c r="L4606" s="49"/>
      <c r="M4606" s="49"/>
      <c r="N4606" s="49"/>
      <c r="O4606" s="49" t="str">
        <f t="shared" si="2"/>
        <v/>
      </c>
      <c r="P4606" s="49" t="str">
        <f t="shared" si="3"/>
        <v/>
      </c>
      <c r="Q4606" s="84"/>
      <c r="R4606" s="84"/>
      <c r="S4606" s="84"/>
      <c r="T4606" s="84"/>
      <c r="U4606" s="84"/>
      <c r="V4606" s="84"/>
      <c r="W4606" s="84"/>
      <c r="X4606" s="84"/>
      <c r="Y4606" s="84"/>
      <c r="Z4606" s="84"/>
      <c r="AA4606" s="84"/>
      <c r="AB4606" s="84"/>
    </row>
    <row r="4607">
      <c r="A4607" s="89"/>
      <c r="B4607" s="89"/>
      <c r="C4607" s="89"/>
      <c r="D4607" s="89"/>
      <c r="E4607" s="89"/>
      <c r="F4607" s="89"/>
      <c r="G4607" s="89"/>
      <c r="H4607" s="2"/>
      <c r="I4607" s="90"/>
      <c r="J4607" s="90"/>
      <c r="K4607" s="2"/>
      <c r="L4607" s="48"/>
      <c r="M4607" s="48"/>
      <c r="N4607" s="48"/>
      <c r="O4607" s="48" t="str">
        <f t="shared" si="2"/>
        <v/>
      </c>
      <c r="P4607" s="48" t="str">
        <f t="shared" si="3"/>
        <v/>
      </c>
      <c r="Q4607" s="84"/>
      <c r="R4607" s="84"/>
      <c r="S4607" s="84"/>
      <c r="T4607" s="84"/>
      <c r="U4607" s="84"/>
      <c r="V4607" s="84"/>
      <c r="W4607" s="84"/>
      <c r="X4607" s="84"/>
      <c r="Y4607" s="84"/>
      <c r="Z4607" s="84"/>
      <c r="AA4607" s="84"/>
      <c r="AB4607" s="84"/>
    </row>
    <row r="4608">
      <c r="A4608" s="89"/>
      <c r="B4608" s="89"/>
      <c r="C4608" s="89"/>
      <c r="D4608" s="89"/>
      <c r="E4608" s="89"/>
      <c r="F4608" s="89"/>
      <c r="G4608" s="89"/>
      <c r="H4608" s="2"/>
      <c r="I4608" s="90"/>
      <c r="J4608" s="90"/>
      <c r="K4608" s="2"/>
      <c r="L4608" s="49"/>
      <c r="M4608" s="49"/>
      <c r="N4608" s="49"/>
      <c r="O4608" s="49" t="str">
        <f t="shared" si="2"/>
        <v/>
      </c>
      <c r="P4608" s="49" t="str">
        <f t="shared" si="3"/>
        <v/>
      </c>
      <c r="Q4608" s="84"/>
      <c r="R4608" s="84"/>
      <c r="S4608" s="84"/>
      <c r="T4608" s="84"/>
      <c r="U4608" s="84"/>
      <c r="V4608" s="84"/>
      <c r="W4608" s="84"/>
      <c r="X4608" s="84"/>
      <c r="Y4608" s="84"/>
      <c r="Z4608" s="84"/>
      <c r="AA4608" s="84"/>
      <c r="AB4608" s="84"/>
    </row>
    <row r="4609">
      <c r="A4609" s="89"/>
      <c r="B4609" s="89"/>
      <c r="C4609" s="89"/>
      <c r="D4609" s="89"/>
      <c r="E4609" s="89"/>
      <c r="F4609" s="89"/>
      <c r="G4609" s="89"/>
      <c r="H4609" s="2"/>
      <c r="I4609" s="90"/>
      <c r="J4609" s="90"/>
      <c r="K4609" s="2"/>
      <c r="L4609" s="48"/>
      <c r="M4609" s="48"/>
      <c r="N4609" s="48"/>
      <c r="O4609" s="48" t="str">
        <f t="shared" si="2"/>
        <v/>
      </c>
      <c r="P4609" s="48" t="str">
        <f t="shared" si="3"/>
        <v/>
      </c>
      <c r="Q4609" s="84"/>
      <c r="R4609" s="84"/>
      <c r="S4609" s="84"/>
      <c r="T4609" s="84"/>
      <c r="U4609" s="84"/>
      <c r="V4609" s="84"/>
      <c r="W4609" s="84"/>
      <c r="X4609" s="84"/>
      <c r="Y4609" s="84"/>
      <c r="Z4609" s="84"/>
      <c r="AA4609" s="84"/>
      <c r="AB4609" s="84"/>
    </row>
    <row r="4610">
      <c r="A4610" s="89"/>
      <c r="B4610" s="89"/>
      <c r="C4610" s="89"/>
      <c r="D4610" s="89"/>
      <c r="E4610" s="89"/>
      <c r="F4610" s="89"/>
      <c r="G4610" s="89"/>
      <c r="H4610" s="2"/>
      <c r="I4610" s="90"/>
      <c r="J4610" s="90"/>
      <c r="K4610" s="2"/>
      <c r="L4610" s="49"/>
      <c r="M4610" s="49"/>
      <c r="N4610" s="49"/>
      <c r="O4610" s="49" t="str">
        <f t="shared" si="2"/>
        <v/>
      </c>
      <c r="P4610" s="49" t="str">
        <f t="shared" si="3"/>
        <v/>
      </c>
      <c r="Q4610" s="84"/>
      <c r="R4610" s="84"/>
      <c r="S4610" s="84"/>
      <c r="T4610" s="84"/>
      <c r="U4610" s="84"/>
      <c r="V4610" s="84"/>
      <c r="W4610" s="84"/>
      <c r="X4610" s="84"/>
      <c r="Y4610" s="84"/>
      <c r="Z4610" s="84"/>
      <c r="AA4610" s="84"/>
      <c r="AB4610" s="84"/>
    </row>
    <row r="4611">
      <c r="A4611" s="89"/>
      <c r="B4611" s="89"/>
      <c r="C4611" s="89"/>
      <c r="D4611" s="89"/>
      <c r="E4611" s="89"/>
      <c r="F4611" s="89"/>
      <c r="G4611" s="89"/>
      <c r="H4611" s="2"/>
      <c r="I4611" s="90"/>
      <c r="J4611" s="90"/>
      <c r="K4611" s="2"/>
      <c r="L4611" s="48"/>
      <c r="M4611" s="48"/>
      <c r="N4611" s="48"/>
      <c r="O4611" s="48" t="str">
        <f t="shared" si="2"/>
        <v/>
      </c>
      <c r="P4611" s="48" t="str">
        <f t="shared" si="3"/>
        <v/>
      </c>
      <c r="Q4611" s="84"/>
      <c r="R4611" s="84"/>
      <c r="S4611" s="84"/>
      <c r="T4611" s="84"/>
      <c r="U4611" s="84"/>
      <c r="V4611" s="84"/>
      <c r="W4611" s="84"/>
      <c r="X4611" s="84"/>
      <c r="Y4611" s="84"/>
      <c r="Z4611" s="84"/>
      <c r="AA4611" s="84"/>
      <c r="AB4611" s="84"/>
    </row>
    <row r="4612">
      <c r="A4612" s="89"/>
      <c r="B4612" s="89"/>
      <c r="C4612" s="89"/>
      <c r="D4612" s="89"/>
      <c r="E4612" s="89"/>
      <c r="F4612" s="89"/>
      <c r="G4612" s="89"/>
      <c r="H4612" s="2"/>
      <c r="I4612" s="90"/>
      <c r="J4612" s="90"/>
      <c r="K4612" s="2"/>
      <c r="L4612" s="49"/>
      <c r="M4612" s="49"/>
      <c r="N4612" s="49"/>
      <c r="O4612" s="49" t="str">
        <f t="shared" si="2"/>
        <v/>
      </c>
      <c r="P4612" s="49" t="str">
        <f t="shared" si="3"/>
        <v/>
      </c>
      <c r="Q4612" s="84"/>
      <c r="R4612" s="84"/>
      <c r="S4612" s="84"/>
      <c r="T4612" s="84"/>
      <c r="U4612" s="84"/>
      <c r="V4612" s="84"/>
      <c r="W4612" s="84"/>
      <c r="X4612" s="84"/>
      <c r="Y4612" s="84"/>
      <c r="Z4612" s="84"/>
      <c r="AA4612" s="84"/>
      <c r="AB4612" s="84"/>
    </row>
    <row r="4613">
      <c r="A4613" s="89"/>
      <c r="B4613" s="89"/>
      <c r="C4613" s="89"/>
      <c r="D4613" s="89"/>
      <c r="E4613" s="89"/>
      <c r="F4613" s="89"/>
      <c r="G4613" s="89"/>
      <c r="H4613" s="2"/>
      <c r="I4613" s="90"/>
      <c r="J4613" s="90"/>
      <c r="K4613" s="2"/>
      <c r="L4613" s="48"/>
      <c r="M4613" s="48"/>
      <c r="N4613" s="48"/>
      <c r="O4613" s="48" t="str">
        <f t="shared" si="2"/>
        <v/>
      </c>
      <c r="P4613" s="48" t="str">
        <f t="shared" si="3"/>
        <v/>
      </c>
      <c r="Q4613" s="84"/>
      <c r="R4613" s="84"/>
      <c r="S4613" s="84"/>
      <c r="T4613" s="84"/>
      <c r="U4613" s="84"/>
      <c r="V4613" s="84"/>
      <c r="W4613" s="84"/>
      <c r="X4613" s="84"/>
      <c r="Y4613" s="84"/>
      <c r="Z4613" s="84"/>
      <c r="AA4613" s="84"/>
      <c r="AB4613" s="84"/>
    </row>
    <row r="4614">
      <c r="A4614" s="89"/>
      <c r="B4614" s="89"/>
      <c r="C4614" s="89"/>
      <c r="D4614" s="89"/>
      <c r="E4614" s="89"/>
      <c r="F4614" s="89"/>
      <c r="G4614" s="89"/>
      <c r="H4614" s="2"/>
      <c r="I4614" s="90"/>
      <c r="J4614" s="90"/>
      <c r="K4614" s="2"/>
      <c r="L4614" s="49"/>
      <c r="M4614" s="49"/>
      <c r="N4614" s="49"/>
      <c r="O4614" s="49" t="str">
        <f t="shared" si="2"/>
        <v/>
      </c>
      <c r="P4614" s="49" t="str">
        <f t="shared" si="3"/>
        <v/>
      </c>
      <c r="Q4614" s="84"/>
      <c r="R4614" s="84"/>
      <c r="S4614" s="84"/>
      <c r="T4614" s="84"/>
      <c r="U4614" s="84"/>
      <c r="V4614" s="84"/>
      <c r="W4614" s="84"/>
      <c r="X4614" s="84"/>
      <c r="Y4614" s="84"/>
      <c r="Z4614" s="84"/>
      <c r="AA4614" s="84"/>
      <c r="AB4614" s="84"/>
    </row>
    <row r="4615">
      <c r="A4615" s="89"/>
      <c r="B4615" s="89"/>
      <c r="C4615" s="89"/>
      <c r="D4615" s="89"/>
      <c r="E4615" s="89"/>
      <c r="F4615" s="89"/>
      <c r="G4615" s="89"/>
      <c r="H4615" s="2"/>
      <c r="I4615" s="90"/>
      <c r="J4615" s="90"/>
      <c r="K4615" s="2"/>
      <c r="L4615" s="48"/>
      <c r="M4615" s="48"/>
      <c r="N4615" s="48"/>
      <c r="O4615" s="48" t="str">
        <f t="shared" si="2"/>
        <v/>
      </c>
      <c r="P4615" s="48" t="str">
        <f t="shared" si="3"/>
        <v/>
      </c>
      <c r="Q4615" s="84"/>
      <c r="R4615" s="84"/>
      <c r="S4615" s="84"/>
      <c r="T4615" s="84"/>
      <c r="U4615" s="84"/>
      <c r="V4615" s="84"/>
      <c r="W4615" s="84"/>
      <c r="X4615" s="84"/>
      <c r="Y4615" s="84"/>
      <c r="Z4615" s="84"/>
      <c r="AA4615" s="84"/>
      <c r="AB4615" s="84"/>
    </row>
    <row r="4616">
      <c r="A4616" s="89"/>
      <c r="B4616" s="89"/>
      <c r="C4616" s="89"/>
      <c r="D4616" s="89"/>
      <c r="E4616" s="89"/>
      <c r="F4616" s="89"/>
      <c r="G4616" s="89"/>
      <c r="H4616" s="2"/>
      <c r="I4616" s="90"/>
      <c r="J4616" s="90"/>
      <c r="K4616" s="2"/>
      <c r="L4616" s="49"/>
      <c r="M4616" s="49"/>
      <c r="N4616" s="49"/>
      <c r="O4616" s="49" t="str">
        <f t="shared" si="2"/>
        <v/>
      </c>
      <c r="P4616" s="49" t="str">
        <f t="shared" si="3"/>
        <v/>
      </c>
      <c r="Q4616" s="84"/>
      <c r="R4616" s="84"/>
      <c r="S4616" s="84"/>
      <c r="T4616" s="84"/>
      <c r="U4616" s="84"/>
      <c r="V4616" s="84"/>
      <c r="W4616" s="84"/>
      <c r="X4616" s="84"/>
      <c r="Y4616" s="84"/>
      <c r="Z4616" s="84"/>
      <c r="AA4616" s="84"/>
      <c r="AB4616" s="84"/>
    </row>
    <row r="4617">
      <c r="A4617" s="89"/>
      <c r="B4617" s="89"/>
      <c r="C4617" s="89"/>
      <c r="D4617" s="89"/>
      <c r="E4617" s="89"/>
      <c r="F4617" s="89"/>
      <c r="G4617" s="89"/>
      <c r="H4617" s="2"/>
      <c r="I4617" s="90"/>
      <c r="J4617" s="90"/>
      <c r="K4617" s="2"/>
      <c r="L4617" s="48"/>
      <c r="M4617" s="48"/>
      <c r="N4617" s="48"/>
      <c r="O4617" s="48" t="str">
        <f t="shared" si="2"/>
        <v/>
      </c>
      <c r="P4617" s="48" t="str">
        <f t="shared" si="3"/>
        <v/>
      </c>
      <c r="Q4617" s="84"/>
      <c r="R4617" s="84"/>
      <c r="S4617" s="84"/>
      <c r="T4617" s="84"/>
      <c r="U4617" s="84"/>
      <c r="V4617" s="84"/>
      <c r="W4617" s="84"/>
      <c r="X4617" s="84"/>
      <c r="Y4617" s="84"/>
      <c r="Z4617" s="84"/>
      <c r="AA4617" s="84"/>
      <c r="AB4617" s="84"/>
    </row>
    <row r="4618">
      <c r="A4618" s="89"/>
      <c r="B4618" s="89"/>
      <c r="C4618" s="89"/>
      <c r="D4618" s="89"/>
      <c r="E4618" s="89"/>
      <c r="F4618" s="89"/>
      <c r="G4618" s="89"/>
      <c r="H4618" s="2"/>
      <c r="I4618" s="90"/>
      <c r="J4618" s="90"/>
      <c r="K4618" s="2"/>
      <c r="L4618" s="49"/>
      <c r="M4618" s="49"/>
      <c r="N4618" s="49"/>
      <c r="O4618" s="49" t="str">
        <f t="shared" si="2"/>
        <v/>
      </c>
      <c r="P4618" s="49" t="str">
        <f t="shared" si="3"/>
        <v/>
      </c>
      <c r="Q4618" s="84"/>
      <c r="R4618" s="84"/>
      <c r="S4618" s="84"/>
      <c r="T4618" s="84"/>
      <c r="U4618" s="84"/>
      <c r="V4618" s="84"/>
      <c r="W4618" s="84"/>
      <c r="X4618" s="84"/>
      <c r="Y4618" s="84"/>
      <c r="Z4618" s="84"/>
      <c r="AA4618" s="84"/>
      <c r="AB4618" s="84"/>
    </row>
    <row r="4619">
      <c r="A4619" s="89"/>
      <c r="B4619" s="89"/>
      <c r="C4619" s="89"/>
      <c r="D4619" s="89"/>
      <c r="E4619" s="89"/>
      <c r="F4619" s="89"/>
      <c r="G4619" s="89"/>
      <c r="H4619" s="2"/>
      <c r="I4619" s="90"/>
      <c r="J4619" s="90"/>
      <c r="K4619" s="2"/>
      <c r="L4619" s="48"/>
      <c r="M4619" s="48"/>
      <c r="N4619" s="48"/>
      <c r="O4619" s="48" t="str">
        <f t="shared" si="2"/>
        <v/>
      </c>
      <c r="P4619" s="48" t="str">
        <f t="shared" si="3"/>
        <v/>
      </c>
      <c r="Q4619" s="84"/>
      <c r="R4619" s="84"/>
      <c r="S4619" s="84"/>
      <c r="T4619" s="84"/>
      <c r="U4619" s="84"/>
      <c r="V4619" s="84"/>
      <c r="W4619" s="84"/>
      <c r="X4619" s="84"/>
      <c r="Y4619" s="84"/>
      <c r="Z4619" s="84"/>
      <c r="AA4619" s="84"/>
      <c r="AB4619" s="84"/>
    </row>
    <row r="4620">
      <c r="A4620" s="89"/>
      <c r="B4620" s="89"/>
      <c r="C4620" s="89"/>
      <c r="D4620" s="89"/>
      <c r="E4620" s="89"/>
      <c r="F4620" s="89"/>
      <c r="G4620" s="89"/>
      <c r="H4620" s="2"/>
      <c r="I4620" s="90"/>
      <c r="J4620" s="90"/>
      <c r="K4620" s="2"/>
      <c r="L4620" s="49"/>
      <c r="M4620" s="49"/>
      <c r="N4620" s="49"/>
      <c r="O4620" s="49" t="str">
        <f t="shared" si="2"/>
        <v/>
      </c>
      <c r="P4620" s="49" t="str">
        <f t="shared" si="3"/>
        <v/>
      </c>
      <c r="Q4620" s="84"/>
      <c r="R4620" s="84"/>
      <c r="S4620" s="84"/>
      <c r="T4620" s="84"/>
      <c r="U4620" s="84"/>
      <c r="V4620" s="84"/>
      <c r="W4620" s="84"/>
      <c r="X4620" s="84"/>
      <c r="Y4620" s="84"/>
      <c r="Z4620" s="84"/>
      <c r="AA4620" s="84"/>
      <c r="AB4620" s="84"/>
    </row>
    <row r="4621">
      <c r="A4621" s="89"/>
      <c r="B4621" s="89"/>
      <c r="C4621" s="89"/>
      <c r="D4621" s="89"/>
      <c r="E4621" s="89"/>
      <c r="F4621" s="89"/>
      <c r="G4621" s="89"/>
      <c r="H4621" s="2"/>
      <c r="I4621" s="90"/>
      <c r="J4621" s="90"/>
      <c r="K4621" s="2"/>
      <c r="L4621" s="48"/>
      <c r="M4621" s="48"/>
      <c r="N4621" s="48"/>
      <c r="O4621" s="48" t="str">
        <f t="shared" si="2"/>
        <v/>
      </c>
      <c r="P4621" s="48" t="str">
        <f t="shared" si="3"/>
        <v/>
      </c>
      <c r="Q4621" s="84"/>
      <c r="R4621" s="84"/>
      <c r="S4621" s="84"/>
      <c r="T4621" s="84"/>
      <c r="U4621" s="84"/>
      <c r="V4621" s="84"/>
      <c r="W4621" s="84"/>
      <c r="X4621" s="84"/>
      <c r="Y4621" s="84"/>
      <c r="Z4621" s="84"/>
      <c r="AA4621" s="84"/>
      <c r="AB4621" s="84"/>
    </row>
    <row r="4622">
      <c r="A4622" s="89"/>
      <c r="B4622" s="89"/>
      <c r="C4622" s="89"/>
      <c r="D4622" s="89"/>
      <c r="E4622" s="89"/>
      <c r="F4622" s="89"/>
      <c r="G4622" s="89"/>
      <c r="H4622" s="2"/>
      <c r="I4622" s="90"/>
      <c r="J4622" s="90"/>
      <c r="K4622" s="2"/>
      <c r="L4622" s="49"/>
      <c r="M4622" s="49"/>
      <c r="N4622" s="49"/>
      <c r="O4622" s="49" t="str">
        <f t="shared" si="2"/>
        <v/>
      </c>
      <c r="P4622" s="49" t="str">
        <f t="shared" si="3"/>
        <v/>
      </c>
      <c r="Q4622" s="84"/>
      <c r="R4622" s="84"/>
      <c r="S4622" s="84"/>
      <c r="T4622" s="84"/>
      <c r="U4622" s="84"/>
      <c r="V4622" s="84"/>
      <c r="W4622" s="84"/>
      <c r="X4622" s="84"/>
      <c r="Y4622" s="84"/>
      <c r="Z4622" s="84"/>
      <c r="AA4622" s="84"/>
      <c r="AB4622" s="84"/>
    </row>
    <row r="4623">
      <c r="A4623" s="89"/>
      <c r="B4623" s="89"/>
      <c r="C4623" s="89"/>
      <c r="D4623" s="89"/>
      <c r="E4623" s="89"/>
      <c r="F4623" s="89"/>
      <c r="G4623" s="89"/>
      <c r="H4623" s="2"/>
      <c r="I4623" s="90"/>
      <c r="J4623" s="90"/>
      <c r="K4623" s="2"/>
      <c r="L4623" s="48"/>
      <c r="M4623" s="48"/>
      <c r="N4623" s="48"/>
      <c r="O4623" s="48" t="str">
        <f t="shared" si="2"/>
        <v/>
      </c>
      <c r="P4623" s="48" t="str">
        <f t="shared" si="3"/>
        <v/>
      </c>
      <c r="Q4623" s="84"/>
      <c r="R4623" s="84"/>
      <c r="S4623" s="84"/>
      <c r="T4623" s="84"/>
      <c r="U4623" s="84"/>
      <c r="V4623" s="84"/>
      <c r="W4623" s="84"/>
      <c r="X4623" s="84"/>
      <c r="Y4623" s="84"/>
      <c r="Z4623" s="84"/>
      <c r="AA4623" s="84"/>
      <c r="AB4623" s="84"/>
    </row>
    <row r="4624">
      <c r="A4624" s="89"/>
      <c r="B4624" s="89"/>
      <c r="C4624" s="89"/>
      <c r="D4624" s="89"/>
      <c r="E4624" s="89"/>
      <c r="F4624" s="89"/>
      <c r="G4624" s="89"/>
      <c r="H4624" s="2"/>
      <c r="I4624" s="90"/>
      <c r="J4624" s="90"/>
      <c r="K4624" s="2"/>
      <c r="L4624" s="49"/>
      <c r="M4624" s="49"/>
      <c r="N4624" s="49"/>
      <c r="O4624" s="49" t="str">
        <f t="shared" si="2"/>
        <v/>
      </c>
      <c r="P4624" s="49" t="str">
        <f t="shared" si="3"/>
        <v/>
      </c>
      <c r="Q4624" s="84"/>
      <c r="R4624" s="84"/>
      <c r="S4624" s="84"/>
      <c r="T4624" s="84"/>
      <c r="U4624" s="84"/>
      <c r="V4624" s="84"/>
      <c r="W4624" s="84"/>
      <c r="X4624" s="84"/>
      <c r="Y4624" s="84"/>
      <c r="Z4624" s="84"/>
      <c r="AA4624" s="84"/>
      <c r="AB4624" s="84"/>
    </row>
    <row r="4625">
      <c r="A4625" s="89"/>
      <c r="B4625" s="89"/>
      <c r="C4625" s="89"/>
      <c r="D4625" s="89"/>
      <c r="E4625" s="89"/>
      <c r="F4625" s="89"/>
      <c r="G4625" s="89"/>
      <c r="H4625" s="2"/>
      <c r="I4625" s="90"/>
      <c r="J4625" s="90"/>
      <c r="K4625" s="2"/>
      <c r="L4625" s="48"/>
      <c r="M4625" s="48"/>
      <c r="N4625" s="48"/>
      <c r="O4625" s="48" t="str">
        <f t="shared" si="2"/>
        <v/>
      </c>
      <c r="P4625" s="48" t="str">
        <f t="shared" si="3"/>
        <v/>
      </c>
      <c r="Q4625" s="84"/>
      <c r="R4625" s="84"/>
      <c r="S4625" s="84"/>
      <c r="T4625" s="84"/>
      <c r="U4625" s="84"/>
      <c r="V4625" s="84"/>
      <c r="W4625" s="84"/>
      <c r="X4625" s="84"/>
      <c r="Y4625" s="84"/>
      <c r="Z4625" s="84"/>
      <c r="AA4625" s="84"/>
      <c r="AB4625" s="84"/>
    </row>
    <row r="4626">
      <c r="A4626" s="89"/>
      <c r="B4626" s="89"/>
      <c r="C4626" s="89"/>
      <c r="D4626" s="89"/>
      <c r="E4626" s="89"/>
      <c r="F4626" s="89"/>
      <c r="G4626" s="89"/>
      <c r="H4626" s="2"/>
      <c r="I4626" s="90"/>
      <c r="J4626" s="90"/>
      <c r="K4626" s="2"/>
      <c r="L4626" s="49"/>
      <c r="M4626" s="49"/>
      <c r="N4626" s="49"/>
      <c r="O4626" s="49" t="str">
        <f t="shared" si="2"/>
        <v/>
      </c>
      <c r="P4626" s="49" t="str">
        <f t="shared" si="3"/>
        <v/>
      </c>
      <c r="Q4626" s="84"/>
      <c r="R4626" s="84"/>
      <c r="S4626" s="84"/>
      <c r="T4626" s="84"/>
      <c r="U4626" s="84"/>
      <c r="V4626" s="84"/>
      <c r="W4626" s="84"/>
      <c r="X4626" s="84"/>
      <c r="Y4626" s="84"/>
      <c r="Z4626" s="84"/>
      <c r="AA4626" s="84"/>
      <c r="AB4626" s="84"/>
    </row>
    <row r="4627">
      <c r="A4627" s="89"/>
      <c r="B4627" s="89"/>
      <c r="C4627" s="89"/>
      <c r="D4627" s="89"/>
      <c r="E4627" s="89"/>
      <c r="F4627" s="89"/>
      <c r="G4627" s="89"/>
      <c r="H4627" s="2"/>
      <c r="I4627" s="90"/>
      <c r="J4627" s="90"/>
      <c r="K4627" s="2"/>
      <c r="L4627" s="48"/>
      <c r="M4627" s="48"/>
      <c r="N4627" s="48"/>
      <c r="O4627" s="48" t="str">
        <f t="shared" si="2"/>
        <v/>
      </c>
      <c r="P4627" s="48" t="str">
        <f t="shared" si="3"/>
        <v/>
      </c>
      <c r="Q4627" s="84"/>
      <c r="R4627" s="84"/>
      <c r="S4627" s="84"/>
      <c r="T4627" s="84"/>
      <c r="U4627" s="84"/>
      <c r="V4627" s="84"/>
      <c r="W4627" s="84"/>
      <c r="X4627" s="84"/>
      <c r="Y4627" s="84"/>
      <c r="Z4627" s="84"/>
      <c r="AA4627" s="84"/>
      <c r="AB4627" s="84"/>
    </row>
    <row r="4628">
      <c r="A4628" s="89"/>
      <c r="B4628" s="89"/>
      <c r="C4628" s="89"/>
      <c r="D4628" s="89"/>
      <c r="E4628" s="89"/>
      <c r="F4628" s="89"/>
      <c r="G4628" s="89"/>
      <c r="H4628" s="2"/>
      <c r="I4628" s="90"/>
      <c r="J4628" s="90"/>
      <c r="K4628" s="2"/>
      <c r="L4628" s="49"/>
      <c r="M4628" s="49"/>
      <c r="N4628" s="49"/>
      <c r="O4628" s="49" t="str">
        <f t="shared" si="2"/>
        <v/>
      </c>
      <c r="P4628" s="49" t="str">
        <f t="shared" si="3"/>
        <v/>
      </c>
      <c r="Q4628" s="84"/>
      <c r="R4628" s="84"/>
      <c r="S4628" s="84"/>
      <c r="T4628" s="84"/>
      <c r="U4628" s="84"/>
      <c r="V4628" s="84"/>
      <c r="W4628" s="84"/>
      <c r="X4628" s="84"/>
      <c r="Y4628" s="84"/>
      <c r="Z4628" s="84"/>
      <c r="AA4628" s="84"/>
      <c r="AB4628" s="84"/>
    </row>
    <row r="4629">
      <c r="A4629" s="89"/>
      <c r="B4629" s="89"/>
      <c r="C4629" s="89"/>
      <c r="D4629" s="89"/>
      <c r="E4629" s="89"/>
      <c r="F4629" s="89"/>
      <c r="G4629" s="89"/>
      <c r="H4629" s="2"/>
      <c r="I4629" s="90"/>
      <c r="J4629" s="90"/>
      <c r="K4629" s="2"/>
      <c r="L4629" s="48"/>
      <c r="M4629" s="48"/>
      <c r="N4629" s="48"/>
      <c r="O4629" s="48" t="str">
        <f t="shared" si="2"/>
        <v/>
      </c>
      <c r="P4629" s="48" t="str">
        <f t="shared" si="3"/>
        <v/>
      </c>
      <c r="Q4629" s="84"/>
      <c r="R4629" s="84"/>
      <c r="S4629" s="84"/>
      <c r="T4629" s="84"/>
      <c r="U4629" s="84"/>
      <c r="V4629" s="84"/>
      <c r="W4629" s="84"/>
      <c r="X4629" s="84"/>
      <c r="Y4629" s="84"/>
      <c r="Z4629" s="84"/>
      <c r="AA4629" s="84"/>
      <c r="AB4629" s="84"/>
    </row>
    <row r="4630">
      <c r="A4630" s="89"/>
      <c r="B4630" s="89"/>
      <c r="C4630" s="89"/>
      <c r="D4630" s="89"/>
      <c r="E4630" s="89"/>
      <c r="F4630" s="89"/>
      <c r="G4630" s="89"/>
      <c r="H4630" s="2"/>
      <c r="I4630" s="90"/>
      <c r="J4630" s="90"/>
      <c r="K4630" s="2"/>
      <c r="L4630" s="49"/>
      <c r="M4630" s="49"/>
      <c r="N4630" s="49"/>
      <c r="O4630" s="49" t="str">
        <f t="shared" si="2"/>
        <v/>
      </c>
      <c r="P4630" s="49" t="str">
        <f t="shared" si="3"/>
        <v/>
      </c>
      <c r="Q4630" s="84"/>
      <c r="R4630" s="84"/>
      <c r="S4630" s="84"/>
      <c r="T4630" s="84"/>
      <c r="U4630" s="84"/>
      <c r="V4630" s="84"/>
      <c r="W4630" s="84"/>
      <c r="X4630" s="84"/>
      <c r="Y4630" s="84"/>
      <c r="Z4630" s="84"/>
      <c r="AA4630" s="84"/>
      <c r="AB4630" s="84"/>
    </row>
    <row r="4631">
      <c r="A4631" s="89"/>
      <c r="B4631" s="89"/>
      <c r="C4631" s="89"/>
      <c r="D4631" s="89"/>
      <c r="E4631" s="89"/>
      <c r="F4631" s="89"/>
      <c r="G4631" s="89"/>
      <c r="H4631" s="2"/>
      <c r="I4631" s="90"/>
      <c r="J4631" s="90"/>
      <c r="K4631" s="2"/>
      <c r="L4631" s="48"/>
      <c r="M4631" s="48"/>
      <c r="N4631" s="48"/>
      <c r="O4631" s="48" t="str">
        <f t="shared" si="2"/>
        <v/>
      </c>
      <c r="P4631" s="48" t="str">
        <f t="shared" si="3"/>
        <v/>
      </c>
      <c r="Q4631" s="84"/>
      <c r="R4631" s="84"/>
      <c r="S4631" s="84"/>
      <c r="T4631" s="84"/>
      <c r="U4631" s="84"/>
      <c r="V4631" s="84"/>
      <c r="W4631" s="84"/>
      <c r="X4631" s="84"/>
      <c r="Y4631" s="84"/>
      <c r="Z4631" s="84"/>
      <c r="AA4631" s="84"/>
      <c r="AB4631" s="84"/>
    </row>
    <row r="4632">
      <c r="A4632" s="89"/>
      <c r="B4632" s="89"/>
      <c r="C4632" s="89"/>
      <c r="D4632" s="89"/>
      <c r="E4632" s="89"/>
      <c r="F4632" s="89"/>
      <c r="G4632" s="89"/>
      <c r="H4632" s="2"/>
      <c r="I4632" s="90"/>
      <c r="J4632" s="90"/>
      <c r="K4632" s="2"/>
      <c r="L4632" s="49"/>
      <c r="M4632" s="49"/>
      <c r="N4632" s="49"/>
      <c r="O4632" s="49" t="str">
        <f t="shared" si="2"/>
        <v/>
      </c>
      <c r="P4632" s="49" t="str">
        <f t="shared" si="3"/>
        <v/>
      </c>
      <c r="Q4632" s="84"/>
      <c r="R4632" s="84"/>
      <c r="S4632" s="84"/>
      <c r="T4632" s="84"/>
      <c r="U4632" s="84"/>
      <c r="V4632" s="84"/>
      <c r="W4632" s="84"/>
      <c r="X4632" s="84"/>
      <c r="Y4632" s="84"/>
      <c r="Z4632" s="84"/>
      <c r="AA4632" s="84"/>
      <c r="AB4632" s="84"/>
    </row>
    <row r="4633">
      <c r="A4633" s="89"/>
      <c r="B4633" s="89"/>
      <c r="C4633" s="89"/>
      <c r="D4633" s="89"/>
      <c r="E4633" s="89"/>
      <c r="F4633" s="89"/>
      <c r="G4633" s="89"/>
      <c r="H4633" s="2"/>
      <c r="I4633" s="90"/>
      <c r="J4633" s="90"/>
      <c r="K4633" s="2"/>
      <c r="L4633" s="48"/>
      <c r="M4633" s="48"/>
      <c r="N4633" s="48"/>
      <c r="O4633" s="48" t="str">
        <f t="shared" si="2"/>
        <v/>
      </c>
      <c r="P4633" s="48" t="str">
        <f t="shared" si="3"/>
        <v/>
      </c>
      <c r="Q4633" s="84"/>
      <c r="R4633" s="84"/>
      <c r="S4633" s="84"/>
      <c r="T4633" s="84"/>
      <c r="U4633" s="84"/>
      <c r="V4633" s="84"/>
      <c r="W4633" s="84"/>
      <c r="X4633" s="84"/>
      <c r="Y4633" s="84"/>
      <c r="Z4633" s="84"/>
      <c r="AA4633" s="84"/>
      <c r="AB4633" s="84"/>
    </row>
    <row r="4634">
      <c r="A4634" s="89"/>
      <c r="B4634" s="89"/>
      <c r="C4634" s="89"/>
      <c r="D4634" s="89"/>
      <c r="E4634" s="89"/>
      <c r="F4634" s="89"/>
      <c r="G4634" s="89"/>
      <c r="H4634" s="2"/>
      <c r="I4634" s="90"/>
      <c r="J4634" s="90"/>
      <c r="K4634" s="2"/>
      <c r="L4634" s="49"/>
      <c r="M4634" s="49"/>
      <c r="N4634" s="49"/>
      <c r="O4634" s="49" t="str">
        <f t="shared" si="2"/>
        <v/>
      </c>
      <c r="P4634" s="49" t="str">
        <f t="shared" si="3"/>
        <v/>
      </c>
      <c r="Q4634" s="84"/>
      <c r="R4634" s="84"/>
      <c r="S4634" s="84"/>
      <c r="T4634" s="84"/>
      <c r="U4634" s="84"/>
      <c r="V4634" s="84"/>
      <c r="W4634" s="84"/>
      <c r="X4634" s="84"/>
      <c r="Y4634" s="84"/>
      <c r="Z4634" s="84"/>
      <c r="AA4634" s="84"/>
      <c r="AB4634" s="84"/>
    </row>
    <row r="4635">
      <c r="A4635" s="89"/>
      <c r="B4635" s="89"/>
      <c r="C4635" s="89"/>
      <c r="D4635" s="89"/>
      <c r="E4635" s="89"/>
      <c r="F4635" s="89"/>
      <c r="G4635" s="89"/>
      <c r="H4635" s="2"/>
      <c r="I4635" s="90"/>
      <c r="J4635" s="90"/>
      <c r="K4635" s="2"/>
      <c r="L4635" s="48"/>
      <c r="M4635" s="48"/>
      <c r="N4635" s="48"/>
      <c r="O4635" s="48" t="str">
        <f t="shared" si="2"/>
        <v/>
      </c>
      <c r="P4635" s="48" t="str">
        <f t="shared" si="3"/>
        <v/>
      </c>
      <c r="Q4635" s="84"/>
      <c r="R4635" s="84"/>
      <c r="S4635" s="84"/>
      <c r="T4635" s="84"/>
      <c r="U4635" s="84"/>
      <c r="V4635" s="84"/>
      <c r="W4635" s="84"/>
      <c r="X4635" s="84"/>
      <c r="Y4635" s="84"/>
      <c r="Z4635" s="84"/>
      <c r="AA4635" s="84"/>
      <c r="AB4635" s="84"/>
    </row>
    <row r="4636">
      <c r="A4636" s="89"/>
      <c r="B4636" s="89"/>
      <c r="C4636" s="89"/>
      <c r="D4636" s="89"/>
      <c r="E4636" s="89"/>
      <c r="F4636" s="89"/>
      <c r="G4636" s="89"/>
      <c r="H4636" s="2"/>
      <c r="I4636" s="90"/>
      <c r="J4636" s="90"/>
      <c r="K4636" s="2"/>
      <c r="L4636" s="49"/>
      <c r="M4636" s="49"/>
      <c r="N4636" s="49"/>
      <c r="O4636" s="49" t="str">
        <f t="shared" si="2"/>
        <v/>
      </c>
      <c r="P4636" s="49" t="str">
        <f t="shared" si="3"/>
        <v/>
      </c>
      <c r="Q4636" s="84"/>
      <c r="R4636" s="84"/>
      <c r="S4636" s="84"/>
      <c r="T4636" s="84"/>
      <c r="U4636" s="84"/>
      <c r="V4636" s="84"/>
      <c r="W4636" s="84"/>
      <c r="X4636" s="84"/>
      <c r="Y4636" s="84"/>
      <c r="Z4636" s="84"/>
      <c r="AA4636" s="84"/>
      <c r="AB4636" s="84"/>
    </row>
    <row r="4637">
      <c r="A4637" s="89"/>
      <c r="B4637" s="89"/>
      <c r="C4637" s="89"/>
      <c r="D4637" s="89"/>
      <c r="E4637" s="89"/>
      <c r="F4637" s="89"/>
      <c r="G4637" s="89"/>
      <c r="H4637" s="2"/>
      <c r="I4637" s="90"/>
      <c r="J4637" s="90"/>
      <c r="K4637" s="2"/>
      <c r="L4637" s="48"/>
      <c r="M4637" s="48"/>
      <c r="N4637" s="48"/>
      <c r="O4637" s="48" t="str">
        <f t="shared" si="2"/>
        <v/>
      </c>
      <c r="P4637" s="48" t="str">
        <f t="shared" si="3"/>
        <v/>
      </c>
      <c r="Q4637" s="84"/>
      <c r="R4637" s="84"/>
      <c r="S4637" s="84"/>
      <c r="T4637" s="84"/>
      <c r="U4637" s="84"/>
      <c r="V4637" s="84"/>
      <c r="W4637" s="84"/>
      <c r="X4637" s="84"/>
      <c r="Y4637" s="84"/>
      <c r="Z4637" s="84"/>
      <c r="AA4637" s="84"/>
      <c r="AB4637" s="84"/>
    </row>
    <row r="4638">
      <c r="A4638" s="89"/>
      <c r="B4638" s="89"/>
      <c r="C4638" s="89"/>
      <c r="D4638" s="89"/>
      <c r="E4638" s="89"/>
      <c r="F4638" s="89"/>
      <c r="G4638" s="89"/>
      <c r="H4638" s="2"/>
      <c r="I4638" s="90"/>
      <c r="J4638" s="90"/>
      <c r="K4638" s="2"/>
      <c r="L4638" s="49"/>
      <c r="M4638" s="49"/>
      <c r="N4638" s="49"/>
      <c r="O4638" s="49" t="str">
        <f t="shared" si="2"/>
        <v/>
      </c>
      <c r="P4638" s="49" t="str">
        <f t="shared" si="3"/>
        <v/>
      </c>
      <c r="Q4638" s="84"/>
      <c r="R4638" s="84"/>
      <c r="S4638" s="84"/>
      <c r="T4638" s="84"/>
      <c r="U4638" s="84"/>
      <c r="V4638" s="84"/>
      <c r="W4638" s="84"/>
      <c r="X4638" s="84"/>
      <c r="Y4638" s="84"/>
      <c r="Z4638" s="84"/>
      <c r="AA4638" s="84"/>
      <c r="AB4638" s="84"/>
    </row>
    <row r="4639">
      <c r="A4639" s="89"/>
      <c r="B4639" s="89"/>
      <c r="C4639" s="89"/>
      <c r="D4639" s="89"/>
      <c r="E4639" s="89"/>
      <c r="F4639" s="89"/>
      <c r="G4639" s="89"/>
      <c r="H4639" s="2"/>
      <c r="I4639" s="90"/>
      <c r="J4639" s="90"/>
      <c r="K4639" s="2"/>
      <c r="L4639" s="48"/>
      <c r="M4639" s="48"/>
      <c r="N4639" s="48"/>
      <c r="O4639" s="48" t="str">
        <f t="shared" si="2"/>
        <v/>
      </c>
      <c r="P4639" s="48" t="str">
        <f t="shared" si="3"/>
        <v/>
      </c>
      <c r="Q4639" s="84"/>
      <c r="R4639" s="84"/>
      <c r="S4639" s="84"/>
      <c r="T4639" s="84"/>
      <c r="U4639" s="84"/>
      <c r="V4639" s="84"/>
      <c r="W4639" s="84"/>
      <c r="X4639" s="84"/>
      <c r="Y4639" s="84"/>
      <c r="Z4639" s="84"/>
      <c r="AA4639" s="84"/>
      <c r="AB4639" s="84"/>
    </row>
    <row r="4640">
      <c r="A4640" s="89"/>
      <c r="B4640" s="89"/>
      <c r="C4640" s="89"/>
      <c r="D4640" s="89"/>
      <c r="E4640" s="89"/>
      <c r="F4640" s="89"/>
      <c r="G4640" s="89"/>
      <c r="H4640" s="2"/>
      <c r="I4640" s="90"/>
      <c r="J4640" s="90"/>
      <c r="K4640" s="2"/>
      <c r="L4640" s="49"/>
      <c r="M4640" s="49"/>
      <c r="N4640" s="49"/>
      <c r="O4640" s="49" t="str">
        <f t="shared" si="2"/>
        <v/>
      </c>
      <c r="P4640" s="49" t="str">
        <f t="shared" si="3"/>
        <v/>
      </c>
      <c r="Q4640" s="84"/>
      <c r="R4640" s="84"/>
      <c r="S4640" s="84"/>
      <c r="T4640" s="84"/>
      <c r="U4640" s="84"/>
      <c r="V4640" s="84"/>
      <c r="W4640" s="84"/>
      <c r="X4640" s="84"/>
      <c r="Y4640" s="84"/>
      <c r="Z4640" s="84"/>
      <c r="AA4640" s="84"/>
      <c r="AB4640" s="84"/>
    </row>
    <row r="4641">
      <c r="A4641" s="89"/>
      <c r="B4641" s="89"/>
      <c r="C4641" s="89"/>
      <c r="D4641" s="89"/>
      <c r="E4641" s="89"/>
      <c r="F4641" s="89"/>
      <c r="G4641" s="89"/>
      <c r="H4641" s="2"/>
      <c r="I4641" s="90"/>
      <c r="J4641" s="90"/>
      <c r="K4641" s="2"/>
      <c r="L4641" s="48"/>
      <c r="M4641" s="48"/>
      <c r="N4641" s="48"/>
      <c r="O4641" s="48" t="str">
        <f t="shared" si="2"/>
        <v/>
      </c>
      <c r="P4641" s="48" t="str">
        <f t="shared" si="3"/>
        <v/>
      </c>
      <c r="Q4641" s="84"/>
      <c r="R4641" s="84"/>
      <c r="S4641" s="84"/>
      <c r="T4641" s="84"/>
      <c r="U4641" s="84"/>
      <c r="V4641" s="84"/>
      <c r="W4641" s="84"/>
      <c r="X4641" s="84"/>
      <c r="Y4641" s="84"/>
      <c r="Z4641" s="84"/>
      <c r="AA4641" s="84"/>
      <c r="AB4641" s="84"/>
    </row>
    <row r="4642">
      <c r="A4642" s="89"/>
      <c r="B4642" s="89"/>
      <c r="C4642" s="89"/>
      <c r="D4642" s="89"/>
      <c r="E4642" s="89"/>
      <c r="F4642" s="89"/>
      <c r="G4642" s="89"/>
      <c r="H4642" s="2"/>
      <c r="I4642" s="90"/>
      <c r="J4642" s="90"/>
      <c r="K4642" s="2"/>
      <c r="L4642" s="49"/>
      <c r="M4642" s="49"/>
      <c r="N4642" s="49"/>
      <c r="O4642" s="49" t="str">
        <f t="shared" si="2"/>
        <v/>
      </c>
      <c r="P4642" s="49" t="str">
        <f t="shared" si="3"/>
        <v/>
      </c>
      <c r="Q4642" s="84"/>
      <c r="R4642" s="84"/>
      <c r="S4642" s="84"/>
      <c r="T4642" s="84"/>
      <c r="U4642" s="84"/>
      <c r="V4642" s="84"/>
      <c r="W4642" s="84"/>
      <c r="X4642" s="84"/>
      <c r="Y4642" s="84"/>
      <c r="Z4642" s="84"/>
      <c r="AA4642" s="84"/>
      <c r="AB4642" s="84"/>
    </row>
    <row r="4643">
      <c r="A4643" s="89"/>
      <c r="B4643" s="89"/>
      <c r="C4643" s="89"/>
      <c r="D4643" s="89"/>
      <c r="E4643" s="89"/>
      <c r="F4643" s="89"/>
      <c r="G4643" s="89"/>
      <c r="H4643" s="2"/>
      <c r="I4643" s="90"/>
      <c r="J4643" s="90"/>
      <c r="K4643" s="2"/>
      <c r="L4643" s="48"/>
      <c r="M4643" s="48"/>
      <c r="N4643" s="48"/>
      <c r="O4643" s="48" t="str">
        <f t="shared" si="2"/>
        <v/>
      </c>
      <c r="P4643" s="48" t="str">
        <f t="shared" si="3"/>
        <v/>
      </c>
      <c r="Q4643" s="84"/>
      <c r="R4643" s="84"/>
      <c r="S4643" s="84"/>
      <c r="T4643" s="84"/>
      <c r="U4643" s="84"/>
      <c r="V4643" s="84"/>
      <c r="W4643" s="84"/>
      <c r="X4643" s="84"/>
      <c r="Y4643" s="84"/>
      <c r="Z4643" s="84"/>
      <c r="AA4643" s="84"/>
      <c r="AB4643" s="84"/>
    </row>
    <row r="4644">
      <c r="A4644" s="89"/>
      <c r="B4644" s="89"/>
      <c r="C4644" s="89"/>
      <c r="D4644" s="89"/>
      <c r="E4644" s="89"/>
      <c r="F4644" s="89"/>
      <c r="G4644" s="89"/>
      <c r="H4644" s="2"/>
      <c r="I4644" s="90"/>
      <c r="J4644" s="90"/>
      <c r="K4644" s="2"/>
      <c r="L4644" s="49"/>
      <c r="M4644" s="49"/>
      <c r="N4644" s="49"/>
      <c r="O4644" s="49" t="str">
        <f t="shared" si="2"/>
        <v/>
      </c>
      <c r="P4644" s="49" t="str">
        <f t="shared" si="3"/>
        <v/>
      </c>
      <c r="Q4644" s="84"/>
      <c r="R4644" s="84"/>
      <c r="S4644" s="84"/>
      <c r="T4644" s="84"/>
      <c r="U4644" s="84"/>
      <c r="V4644" s="84"/>
      <c r="W4644" s="84"/>
      <c r="X4644" s="84"/>
      <c r="Y4644" s="84"/>
      <c r="Z4644" s="84"/>
      <c r="AA4644" s="84"/>
      <c r="AB4644" s="84"/>
    </row>
    <row r="4645">
      <c r="A4645" s="89"/>
      <c r="B4645" s="89"/>
      <c r="C4645" s="89"/>
      <c r="D4645" s="89"/>
      <c r="E4645" s="89"/>
      <c r="F4645" s="89"/>
      <c r="G4645" s="89"/>
      <c r="H4645" s="2"/>
      <c r="I4645" s="90"/>
      <c r="J4645" s="90"/>
      <c r="K4645" s="2"/>
      <c r="L4645" s="48"/>
      <c r="M4645" s="48"/>
      <c r="N4645" s="48"/>
      <c r="O4645" s="48" t="str">
        <f t="shared" si="2"/>
        <v/>
      </c>
      <c r="P4645" s="48" t="str">
        <f t="shared" si="3"/>
        <v/>
      </c>
      <c r="Q4645" s="84"/>
      <c r="R4645" s="84"/>
      <c r="S4645" s="84"/>
      <c r="T4645" s="84"/>
      <c r="U4645" s="84"/>
      <c r="V4645" s="84"/>
      <c r="W4645" s="84"/>
      <c r="X4645" s="84"/>
      <c r="Y4645" s="84"/>
      <c r="Z4645" s="84"/>
      <c r="AA4645" s="84"/>
      <c r="AB4645" s="84"/>
    </row>
    <row r="4646">
      <c r="A4646" s="89"/>
      <c r="B4646" s="89"/>
      <c r="C4646" s="89"/>
      <c r="D4646" s="89"/>
      <c r="E4646" s="89"/>
      <c r="F4646" s="89"/>
      <c r="G4646" s="89"/>
      <c r="H4646" s="2"/>
      <c r="I4646" s="90"/>
      <c r="J4646" s="90"/>
      <c r="K4646" s="2"/>
      <c r="L4646" s="49"/>
      <c r="M4646" s="49"/>
      <c r="N4646" s="49"/>
      <c r="O4646" s="49" t="str">
        <f t="shared" si="2"/>
        <v/>
      </c>
      <c r="P4646" s="49" t="str">
        <f t="shared" si="3"/>
        <v/>
      </c>
      <c r="Q4646" s="84"/>
      <c r="R4646" s="84"/>
      <c r="S4646" s="84"/>
      <c r="T4646" s="84"/>
      <c r="U4646" s="84"/>
      <c r="V4646" s="84"/>
      <c r="W4646" s="84"/>
      <c r="X4646" s="84"/>
      <c r="Y4646" s="84"/>
      <c r="Z4646" s="84"/>
      <c r="AA4646" s="84"/>
      <c r="AB4646" s="84"/>
    </row>
    <row r="4647">
      <c r="A4647" s="89"/>
      <c r="B4647" s="89"/>
      <c r="C4647" s="89"/>
      <c r="D4647" s="89"/>
      <c r="E4647" s="89"/>
      <c r="F4647" s="89"/>
      <c r="G4647" s="89"/>
      <c r="H4647" s="2"/>
      <c r="I4647" s="90"/>
      <c r="J4647" s="90"/>
      <c r="K4647" s="2"/>
      <c r="L4647" s="48"/>
      <c r="M4647" s="48"/>
      <c r="N4647" s="48"/>
      <c r="O4647" s="48" t="str">
        <f t="shared" si="2"/>
        <v/>
      </c>
      <c r="P4647" s="48" t="str">
        <f t="shared" si="3"/>
        <v/>
      </c>
      <c r="Q4647" s="84"/>
      <c r="R4647" s="84"/>
      <c r="S4647" s="84"/>
      <c r="T4647" s="84"/>
      <c r="U4647" s="84"/>
      <c r="V4647" s="84"/>
      <c r="W4647" s="84"/>
      <c r="X4647" s="84"/>
      <c r="Y4647" s="84"/>
      <c r="Z4647" s="84"/>
      <c r="AA4647" s="84"/>
      <c r="AB4647" s="84"/>
    </row>
    <row r="4648">
      <c r="A4648" s="89"/>
      <c r="B4648" s="89"/>
      <c r="C4648" s="89"/>
      <c r="D4648" s="89"/>
      <c r="E4648" s="89"/>
      <c r="F4648" s="89"/>
      <c r="G4648" s="89"/>
      <c r="H4648" s="2"/>
      <c r="I4648" s="90"/>
      <c r="J4648" s="90"/>
      <c r="K4648" s="2"/>
      <c r="L4648" s="49"/>
      <c r="M4648" s="49"/>
      <c r="N4648" s="49"/>
      <c r="O4648" s="49" t="str">
        <f t="shared" si="2"/>
        <v/>
      </c>
      <c r="P4648" s="49" t="str">
        <f t="shared" si="3"/>
        <v/>
      </c>
      <c r="Q4648" s="84"/>
      <c r="R4648" s="84"/>
      <c r="S4648" s="84"/>
      <c r="T4648" s="84"/>
      <c r="U4648" s="84"/>
      <c r="V4648" s="84"/>
      <c r="W4648" s="84"/>
      <c r="X4648" s="84"/>
      <c r="Y4648" s="84"/>
      <c r="Z4648" s="84"/>
      <c r="AA4648" s="84"/>
      <c r="AB4648" s="84"/>
    </row>
    <row r="4649">
      <c r="A4649" s="89"/>
      <c r="B4649" s="89"/>
      <c r="C4649" s="89"/>
      <c r="D4649" s="89"/>
      <c r="E4649" s="89"/>
      <c r="F4649" s="89"/>
      <c r="G4649" s="89"/>
      <c r="H4649" s="2"/>
      <c r="I4649" s="90"/>
      <c r="J4649" s="90"/>
      <c r="K4649" s="2"/>
      <c r="L4649" s="48"/>
      <c r="M4649" s="48"/>
      <c r="N4649" s="48"/>
      <c r="O4649" s="48" t="str">
        <f t="shared" si="2"/>
        <v/>
      </c>
      <c r="P4649" s="48" t="str">
        <f t="shared" si="3"/>
        <v/>
      </c>
      <c r="Q4649" s="84"/>
      <c r="R4649" s="84"/>
      <c r="S4649" s="84"/>
      <c r="T4649" s="84"/>
      <c r="U4649" s="84"/>
      <c r="V4649" s="84"/>
      <c r="W4649" s="84"/>
      <c r="X4649" s="84"/>
      <c r="Y4649" s="84"/>
      <c r="Z4649" s="84"/>
      <c r="AA4649" s="84"/>
      <c r="AB4649" s="84"/>
    </row>
    <row r="4650">
      <c r="A4650" s="89"/>
      <c r="B4650" s="89"/>
      <c r="C4650" s="89"/>
      <c r="D4650" s="89"/>
      <c r="E4650" s="89"/>
      <c r="F4650" s="89"/>
      <c r="G4650" s="89"/>
      <c r="H4650" s="2"/>
      <c r="I4650" s="90"/>
      <c r="J4650" s="90"/>
      <c r="K4650" s="2"/>
      <c r="L4650" s="49"/>
      <c r="M4650" s="49"/>
      <c r="N4650" s="49"/>
      <c r="O4650" s="49" t="str">
        <f t="shared" si="2"/>
        <v/>
      </c>
      <c r="P4650" s="49" t="str">
        <f t="shared" si="3"/>
        <v/>
      </c>
      <c r="Q4650" s="84"/>
      <c r="R4650" s="84"/>
      <c r="S4650" s="84"/>
      <c r="T4650" s="84"/>
      <c r="U4650" s="84"/>
      <c r="V4650" s="84"/>
      <c r="W4650" s="84"/>
      <c r="X4650" s="84"/>
      <c r="Y4650" s="84"/>
      <c r="Z4650" s="84"/>
      <c r="AA4650" s="84"/>
      <c r="AB4650" s="84"/>
    </row>
    <row r="4651">
      <c r="A4651" s="89"/>
      <c r="B4651" s="89"/>
      <c r="C4651" s="89"/>
      <c r="D4651" s="89"/>
      <c r="E4651" s="89"/>
      <c r="F4651" s="89"/>
      <c r="G4651" s="89"/>
      <c r="H4651" s="2"/>
      <c r="I4651" s="90"/>
      <c r="J4651" s="90"/>
      <c r="K4651" s="2"/>
      <c r="L4651" s="48"/>
      <c r="M4651" s="48"/>
      <c r="N4651" s="48"/>
      <c r="O4651" s="48" t="str">
        <f t="shared" si="2"/>
        <v/>
      </c>
      <c r="P4651" s="48" t="str">
        <f t="shared" si="3"/>
        <v/>
      </c>
      <c r="Q4651" s="84"/>
      <c r="R4651" s="84"/>
      <c r="S4651" s="84"/>
      <c r="T4651" s="84"/>
      <c r="U4651" s="84"/>
      <c r="V4651" s="84"/>
      <c r="W4651" s="84"/>
      <c r="X4651" s="84"/>
      <c r="Y4651" s="84"/>
      <c r="Z4651" s="84"/>
      <c r="AA4651" s="84"/>
      <c r="AB4651" s="84"/>
    </row>
    <row r="4652">
      <c r="A4652" s="89"/>
      <c r="B4652" s="89"/>
      <c r="C4652" s="89"/>
      <c r="D4652" s="89"/>
      <c r="E4652" s="89"/>
      <c r="F4652" s="89"/>
      <c r="G4652" s="89"/>
      <c r="H4652" s="2"/>
      <c r="I4652" s="90"/>
      <c r="J4652" s="90"/>
      <c r="K4652" s="2"/>
      <c r="L4652" s="49"/>
      <c r="M4652" s="49"/>
      <c r="N4652" s="49"/>
      <c r="O4652" s="49" t="str">
        <f t="shared" si="2"/>
        <v/>
      </c>
      <c r="P4652" s="49" t="str">
        <f t="shared" si="3"/>
        <v/>
      </c>
      <c r="Q4652" s="84"/>
      <c r="R4652" s="84"/>
      <c r="S4652" s="84"/>
      <c r="T4652" s="84"/>
      <c r="U4652" s="84"/>
      <c r="V4652" s="84"/>
      <c r="W4652" s="84"/>
      <c r="X4652" s="84"/>
      <c r="Y4652" s="84"/>
      <c r="Z4652" s="84"/>
      <c r="AA4652" s="84"/>
      <c r="AB4652" s="84"/>
    </row>
    <row r="4653">
      <c r="A4653" s="89"/>
      <c r="B4653" s="89"/>
      <c r="C4653" s="89"/>
      <c r="D4653" s="89"/>
      <c r="E4653" s="89"/>
      <c r="F4653" s="89"/>
      <c r="G4653" s="89"/>
      <c r="H4653" s="2"/>
      <c r="I4653" s="90"/>
      <c r="J4653" s="90"/>
      <c r="K4653" s="2"/>
      <c r="L4653" s="48"/>
      <c r="M4653" s="48"/>
      <c r="N4653" s="48"/>
      <c r="O4653" s="48" t="str">
        <f t="shared" si="2"/>
        <v/>
      </c>
      <c r="P4653" s="48" t="str">
        <f t="shared" si="3"/>
        <v/>
      </c>
      <c r="Q4653" s="84"/>
      <c r="R4653" s="84"/>
      <c r="S4653" s="84"/>
      <c r="T4653" s="84"/>
      <c r="U4653" s="84"/>
      <c r="V4653" s="84"/>
      <c r="W4653" s="84"/>
      <c r="X4653" s="84"/>
      <c r="Y4653" s="84"/>
      <c r="Z4653" s="84"/>
      <c r="AA4653" s="84"/>
      <c r="AB4653" s="84"/>
    </row>
    <row r="4654">
      <c r="A4654" s="89"/>
      <c r="B4654" s="89"/>
      <c r="C4654" s="89"/>
      <c r="D4654" s="89"/>
      <c r="E4654" s="89"/>
      <c r="F4654" s="89"/>
      <c r="G4654" s="89"/>
      <c r="H4654" s="2"/>
      <c r="I4654" s="90"/>
      <c r="J4654" s="90"/>
      <c r="K4654" s="2"/>
      <c r="L4654" s="49"/>
      <c r="M4654" s="49"/>
      <c r="N4654" s="49"/>
      <c r="O4654" s="49" t="str">
        <f t="shared" si="2"/>
        <v/>
      </c>
      <c r="P4654" s="49" t="str">
        <f t="shared" si="3"/>
        <v/>
      </c>
      <c r="Q4654" s="84"/>
      <c r="R4654" s="84"/>
      <c r="S4654" s="84"/>
      <c r="T4654" s="84"/>
      <c r="U4654" s="84"/>
      <c r="V4654" s="84"/>
      <c r="W4654" s="84"/>
      <c r="X4654" s="84"/>
      <c r="Y4654" s="84"/>
      <c r="Z4654" s="84"/>
      <c r="AA4654" s="84"/>
      <c r="AB4654" s="84"/>
    </row>
    <row r="4655">
      <c r="A4655" s="89"/>
      <c r="B4655" s="89"/>
      <c r="C4655" s="89"/>
      <c r="D4655" s="89"/>
      <c r="E4655" s="89"/>
      <c r="F4655" s="89"/>
      <c r="G4655" s="89"/>
      <c r="H4655" s="2"/>
      <c r="I4655" s="90"/>
      <c r="J4655" s="90"/>
      <c r="K4655" s="2"/>
      <c r="L4655" s="48"/>
      <c r="M4655" s="48"/>
      <c r="N4655" s="48"/>
      <c r="O4655" s="48" t="str">
        <f t="shared" si="2"/>
        <v/>
      </c>
      <c r="P4655" s="48" t="str">
        <f t="shared" si="3"/>
        <v/>
      </c>
      <c r="Q4655" s="84"/>
      <c r="R4655" s="84"/>
      <c r="S4655" s="84"/>
      <c r="T4655" s="84"/>
      <c r="U4655" s="84"/>
      <c r="V4655" s="84"/>
      <c r="W4655" s="84"/>
      <c r="X4655" s="84"/>
      <c r="Y4655" s="84"/>
      <c r="Z4655" s="84"/>
      <c r="AA4655" s="84"/>
      <c r="AB4655" s="84"/>
    </row>
    <row r="4656">
      <c r="A4656" s="89"/>
      <c r="B4656" s="89"/>
      <c r="C4656" s="89"/>
      <c r="D4656" s="89"/>
      <c r="E4656" s="89"/>
      <c r="F4656" s="89"/>
      <c r="G4656" s="89"/>
      <c r="H4656" s="2"/>
      <c r="I4656" s="90"/>
      <c r="J4656" s="90"/>
      <c r="K4656" s="2"/>
      <c r="L4656" s="49"/>
      <c r="M4656" s="49"/>
      <c r="N4656" s="49"/>
      <c r="O4656" s="49" t="str">
        <f t="shared" si="2"/>
        <v/>
      </c>
      <c r="P4656" s="49" t="str">
        <f t="shared" si="3"/>
        <v/>
      </c>
      <c r="Q4656" s="84"/>
      <c r="R4656" s="84"/>
      <c r="S4656" s="84"/>
      <c r="T4656" s="84"/>
      <c r="U4656" s="84"/>
      <c r="V4656" s="84"/>
      <c r="W4656" s="84"/>
      <c r="X4656" s="84"/>
      <c r="Y4656" s="84"/>
      <c r="Z4656" s="84"/>
      <c r="AA4656" s="84"/>
      <c r="AB4656" s="84"/>
    </row>
    <row r="4657">
      <c r="A4657" s="89"/>
      <c r="B4657" s="89"/>
      <c r="C4657" s="89"/>
      <c r="D4657" s="89"/>
      <c r="E4657" s="89"/>
      <c r="F4657" s="89"/>
      <c r="G4657" s="89"/>
      <c r="H4657" s="2"/>
      <c r="I4657" s="90"/>
      <c r="J4657" s="90"/>
      <c r="K4657" s="2"/>
      <c r="L4657" s="48"/>
      <c r="M4657" s="48"/>
      <c r="N4657" s="48"/>
      <c r="O4657" s="48" t="str">
        <f t="shared" si="2"/>
        <v/>
      </c>
      <c r="P4657" s="48" t="str">
        <f t="shared" si="3"/>
        <v/>
      </c>
      <c r="Q4657" s="84"/>
      <c r="R4657" s="84"/>
      <c r="S4657" s="84"/>
      <c r="T4657" s="84"/>
      <c r="U4657" s="84"/>
      <c r="V4657" s="84"/>
      <c r="W4657" s="84"/>
      <c r="X4657" s="84"/>
      <c r="Y4657" s="84"/>
      <c r="Z4657" s="84"/>
      <c r="AA4657" s="84"/>
      <c r="AB4657" s="84"/>
    </row>
    <row r="4658">
      <c r="A4658" s="89"/>
      <c r="B4658" s="89"/>
      <c r="C4658" s="89"/>
      <c r="D4658" s="89"/>
      <c r="E4658" s="89"/>
      <c r="F4658" s="89"/>
      <c r="G4658" s="89"/>
      <c r="H4658" s="2"/>
      <c r="I4658" s="90"/>
      <c r="J4658" s="90"/>
      <c r="K4658" s="2"/>
      <c r="L4658" s="49"/>
      <c r="M4658" s="49"/>
      <c r="N4658" s="49"/>
      <c r="O4658" s="49" t="str">
        <f t="shared" si="2"/>
        <v/>
      </c>
      <c r="P4658" s="49" t="str">
        <f t="shared" si="3"/>
        <v/>
      </c>
      <c r="Q4658" s="84"/>
      <c r="R4658" s="84"/>
      <c r="S4658" s="84"/>
      <c r="T4658" s="84"/>
      <c r="U4658" s="84"/>
      <c r="V4658" s="84"/>
      <c r="W4658" s="84"/>
      <c r="X4658" s="84"/>
      <c r="Y4658" s="84"/>
      <c r="Z4658" s="84"/>
      <c r="AA4658" s="84"/>
      <c r="AB4658" s="84"/>
    </row>
    <row r="4659">
      <c r="A4659" s="89"/>
      <c r="B4659" s="89"/>
      <c r="C4659" s="89"/>
      <c r="D4659" s="89"/>
      <c r="E4659" s="89"/>
      <c r="F4659" s="89"/>
      <c r="G4659" s="89"/>
      <c r="H4659" s="2"/>
      <c r="I4659" s="90"/>
      <c r="J4659" s="90"/>
      <c r="K4659" s="2"/>
      <c r="L4659" s="48"/>
      <c r="M4659" s="48"/>
      <c r="N4659" s="48"/>
      <c r="O4659" s="48" t="str">
        <f t="shared" si="2"/>
        <v/>
      </c>
      <c r="P4659" s="48" t="str">
        <f t="shared" si="3"/>
        <v/>
      </c>
      <c r="Q4659" s="84"/>
      <c r="R4659" s="84"/>
      <c r="S4659" s="84"/>
      <c r="T4659" s="84"/>
      <c r="U4659" s="84"/>
      <c r="V4659" s="84"/>
      <c r="W4659" s="84"/>
      <c r="X4659" s="84"/>
      <c r="Y4659" s="84"/>
      <c r="Z4659" s="84"/>
      <c r="AA4659" s="84"/>
      <c r="AB4659" s="84"/>
    </row>
    <row r="4660">
      <c r="A4660" s="89"/>
      <c r="B4660" s="89"/>
      <c r="C4660" s="89"/>
      <c r="D4660" s="89"/>
      <c r="E4660" s="89"/>
      <c r="F4660" s="89"/>
      <c r="G4660" s="89"/>
      <c r="H4660" s="2"/>
      <c r="I4660" s="90"/>
      <c r="J4660" s="90"/>
      <c r="K4660" s="2"/>
      <c r="L4660" s="49"/>
      <c r="M4660" s="49"/>
      <c r="N4660" s="49"/>
      <c r="O4660" s="49" t="str">
        <f t="shared" si="2"/>
        <v/>
      </c>
      <c r="P4660" s="49" t="str">
        <f t="shared" si="3"/>
        <v/>
      </c>
      <c r="Q4660" s="84"/>
      <c r="R4660" s="84"/>
      <c r="S4660" s="84"/>
      <c r="T4660" s="84"/>
      <c r="U4660" s="84"/>
      <c r="V4660" s="84"/>
      <c r="W4660" s="84"/>
      <c r="X4660" s="84"/>
      <c r="Y4660" s="84"/>
      <c r="Z4660" s="84"/>
      <c r="AA4660" s="84"/>
      <c r="AB4660" s="84"/>
    </row>
    <row r="4661">
      <c r="A4661" s="89"/>
      <c r="B4661" s="89"/>
      <c r="C4661" s="89"/>
      <c r="D4661" s="89"/>
      <c r="E4661" s="89"/>
      <c r="F4661" s="89"/>
      <c r="G4661" s="89"/>
      <c r="H4661" s="2"/>
      <c r="I4661" s="90"/>
      <c r="J4661" s="90"/>
      <c r="K4661" s="2"/>
      <c r="L4661" s="48"/>
      <c r="M4661" s="48"/>
      <c r="N4661" s="48"/>
      <c r="O4661" s="48" t="str">
        <f t="shared" si="2"/>
        <v/>
      </c>
      <c r="P4661" s="48" t="str">
        <f t="shared" si="3"/>
        <v/>
      </c>
      <c r="Q4661" s="84"/>
      <c r="R4661" s="84"/>
      <c r="S4661" s="84"/>
      <c r="T4661" s="84"/>
      <c r="U4661" s="84"/>
      <c r="V4661" s="84"/>
      <c r="W4661" s="84"/>
      <c r="X4661" s="84"/>
      <c r="Y4661" s="84"/>
      <c r="Z4661" s="84"/>
      <c r="AA4661" s="84"/>
      <c r="AB4661" s="84"/>
    </row>
    <row r="4662">
      <c r="A4662" s="89"/>
      <c r="B4662" s="89"/>
      <c r="C4662" s="89"/>
      <c r="D4662" s="89"/>
      <c r="E4662" s="89"/>
      <c r="F4662" s="89"/>
      <c r="G4662" s="89"/>
      <c r="H4662" s="2"/>
      <c r="I4662" s="90"/>
      <c r="J4662" s="90"/>
      <c r="K4662" s="2"/>
      <c r="L4662" s="49"/>
      <c r="M4662" s="49"/>
      <c r="N4662" s="49"/>
      <c r="O4662" s="49" t="str">
        <f t="shared" si="2"/>
        <v/>
      </c>
      <c r="P4662" s="49" t="str">
        <f t="shared" si="3"/>
        <v/>
      </c>
      <c r="Q4662" s="84"/>
      <c r="R4662" s="84"/>
      <c r="S4662" s="84"/>
      <c r="T4662" s="84"/>
      <c r="U4662" s="84"/>
      <c r="V4662" s="84"/>
      <c r="W4662" s="84"/>
      <c r="X4662" s="84"/>
      <c r="Y4662" s="84"/>
      <c r="Z4662" s="84"/>
      <c r="AA4662" s="84"/>
      <c r="AB4662" s="84"/>
    </row>
    <row r="4663">
      <c r="A4663" s="89"/>
      <c r="B4663" s="89"/>
      <c r="C4663" s="89"/>
      <c r="D4663" s="89"/>
      <c r="E4663" s="89"/>
      <c r="F4663" s="89"/>
      <c r="G4663" s="89"/>
      <c r="H4663" s="2"/>
      <c r="I4663" s="90"/>
      <c r="J4663" s="90"/>
      <c r="K4663" s="2"/>
      <c r="L4663" s="48"/>
      <c r="M4663" s="48"/>
      <c r="N4663" s="48"/>
      <c r="O4663" s="48" t="str">
        <f t="shared" si="2"/>
        <v/>
      </c>
      <c r="P4663" s="48" t="str">
        <f t="shared" si="3"/>
        <v/>
      </c>
      <c r="Q4663" s="84"/>
      <c r="R4663" s="84"/>
      <c r="S4663" s="84"/>
      <c r="T4663" s="84"/>
      <c r="U4663" s="84"/>
      <c r="V4663" s="84"/>
      <c r="W4663" s="84"/>
      <c r="X4663" s="84"/>
      <c r="Y4663" s="84"/>
      <c r="Z4663" s="84"/>
      <c r="AA4663" s="84"/>
      <c r="AB4663" s="84"/>
    </row>
    <row r="4664">
      <c r="A4664" s="89"/>
      <c r="B4664" s="89"/>
      <c r="C4664" s="89"/>
      <c r="D4664" s="89"/>
      <c r="E4664" s="89"/>
      <c r="F4664" s="89"/>
      <c r="G4664" s="89"/>
      <c r="H4664" s="2"/>
      <c r="I4664" s="90"/>
      <c r="J4664" s="90"/>
      <c r="K4664" s="2"/>
      <c r="L4664" s="49"/>
      <c r="M4664" s="49"/>
      <c r="N4664" s="49"/>
      <c r="O4664" s="49" t="str">
        <f t="shared" si="2"/>
        <v/>
      </c>
      <c r="P4664" s="49" t="str">
        <f t="shared" si="3"/>
        <v/>
      </c>
      <c r="Q4664" s="84"/>
      <c r="R4664" s="84"/>
      <c r="S4664" s="84"/>
      <c r="T4664" s="84"/>
      <c r="U4664" s="84"/>
      <c r="V4664" s="84"/>
      <c r="W4664" s="84"/>
      <c r="X4664" s="84"/>
      <c r="Y4664" s="84"/>
      <c r="Z4664" s="84"/>
      <c r="AA4664" s="84"/>
      <c r="AB4664" s="84"/>
    </row>
    <row r="4665">
      <c r="A4665" s="89"/>
      <c r="B4665" s="89"/>
      <c r="C4665" s="89"/>
      <c r="D4665" s="89"/>
      <c r="E4665" s="89"/>
      <c r="F4665" s="89"/>
      <c r="G4665" s="89"/>
      <c r="H4665" s="2"/>
      <c r="I4665" s="90"/>
      <c r="J4665" s="90"/>
      <c r="K4665" s="2"/>
      <c r="L4665" s="48"/>
      <c r="M4665" s="48"/>
      <c r="N4665" s="48"/>
      <c r="O4665" s="48" t="str">
        <f t="shared" si="2"/>
        <v/>
      </c>
      <c r="P4665" s="48" t="str">
        <f t="shared" si="3"/>
        <v/>
      </c>
      <c r="Q4665" s="84"/>
      <c r="R4665" s="84"/>
      <c r="S4665" s="84"/>
      <c r="T4665" s="84"/>
      <c r="U4665" s="84"/>
      <c r="V4665" s="84"/>
      <c r="W4665" s="84"/>
      <c r="X4665" s="84"/>
      <c r="Y4665" s="84"/>
      <c r="Z4665" s="84"/>
      <c r="AA4665" s="84"/>
      <c r="AB4665" s="84"/>
    </row>
    <row r="4666">
      <c r="A4666" s="89"/>
      <c r="B4666" s="89"/>
      <c r="C4666" s="89"/>
      <c r="D4666" s="89"/>
      <c r="E4666" s="89"/>
      <c r="F4666" s="89"/>
      <c r="G4666" s="89"/>
      <c r="H4666" s="2"/>
      <c r="I4666" s="90"/>
      <c r="J4666" s="90"/>
      <c r="K4666" s="2"/>
      <c r="L4666" s="49"/>
      <c r="M4666" s="49"/>
      <c r="N4666" s="49"/>
      <c r="O4666" s="49" t="str">
        <f t="shared" si="2"/>
        <v/>
      </c>
      <c r="P4666" s="49" t="str">
        <f t="shared" si="3"/>
        <v/>
      </c>
      <c r="Q4666" s="84"/>
      <c r="R4666" s="84"/>
      <c r="S4666" s="84"/>
      <c r="T4666" s="84"/>
      <c r="U4666" s="84"/>
      <c r="V4666" s="84"/>
      <c r="W4666" s="84"/>
      <c r="X4666" s="84"/>
      <c r="Y4666" s="84"/>
      <c r="Z4666" s="84"/>
      <c r="AA4666" s="84"/>
      <c r="AB4666" s="84"/>
    </row>
    <row r="4667">
      <c r="A4667" s="89"/>
      <c r="B4667" s="89"/>
      <c r="C4667" s="89"/>
      <c r="D4667" s="89"/>
      <c r="E4667" s="89"/>
      <c r="F4667" s="89"/>
      <c r="G4667" s="89"/>
      <c r="H4667" s="2"/>
      <c r="I4667" s="90"/>
      <c r="J4667" s="90"/>
      <c r="K4667" s="2"/>
      <c r="L4667" s="48"/>
      <c r="M4667" s="48"/>
      <c r="N4667" s="48"/>
      <c r="O4667" s="48" t="str">
        <f t="shared" si="2"/>
        <v/>
      </c>
      <c r="P4667" s="48" t="str">
        <f t="shared" si="3"/>
        <v/>
      </c>
      <c r="Q4667" s="84"/>
      <c r="R4667" s="84"/>
      <c r="S4667" s="84"/>
      <c r="T4667" s="84"/>
      <c r="U4667" s="84"/>
      <c r="V4667" s="84"/>
      <c r="W4667" s="84"/>
      <c r="X4667" s="84"/>
      <c r="Y4667" s="84"/>
      <c r="Z4667" s="84"/>
      <c r="AA4667" s="84"/>
      <c r="AB4667" s="84"/>
    </row>
    <row r="4668">
      <c r="A4668" s="89"/>
      <c r="B4668" s="89"/>
      <c r="C4668" s="89"/>
      <c r="D4668" s="89"/>
      <c r="E4668" s="89"/>
      <c r="F4668" s="89"/>
      <c r="G4668" s="89"/>
      <c r="H4668" s="2"/>
      <c r="I4668" s="90"/>
      <c r="J4668" s="90"/>
      <c r="K4668" s="2"/>
      <c r="L4668" s="49"/>
      <c r="M4668" s="49"/>
      <c r="N4668" s="49"/>
      <c r="O4668" s="49" t="str">
        <f t="shared" si="2"/>
        <v/>
      </c>
      <c r="P4668" s="49" t="str">
        <f t="shared" si="3"/>
        <v/>
      </c>
      <c r="Q4668" s="84"/>
      <c r="R4668" s="84"/>
      <c r="S4668" s="84"/>
      <c r="T4668" s="84"/>
      <c r="U4668" s="84"/>
      <c r="V4668" s="84"/>
      <c r="W4668" s="84"/>
      <c r="X4668" s="84"/>
      <c r="Y4668" s="84"/>
      <c r="Z4668" s="84"/>
      <c r="AA4668" s="84"/>
      <c r="AB4668" s="84"/>
    </row>
    <row r="4669">
      <c r="A4669" s="89"/>
      <c r="B4669" s="89"/>
      <c r="C4669" s="89"/>
      <c r="D4669" s="89"/>
      <c r="E4669" s="89"/>
      <c r="F4669" s="89"/>
      <c r="G4669" s="89"/>
      <c r="H4669" s="2"/>
      <c r="I4669" s="90"/>
      <c r="J4669" s="90"/>
      <c r="K4669" s="2"/>
      <c r="L4669" s="48"/>
      <c r="M4669" s="48"/>
      <c r="N4669" s="48"/>
      <c r="O4669" s="48" t="str">
        <f t="shared" si="2"/>
        <v/>
      </c>
      <c r="P4669" s="48" t="str">
        <f t="shared" si="3"/>
        <v/>
      </c>
      <c r="Q4669" s="84"/>
      <c r="R4669" s="84"/>
      <c r="S4669" s="84"/>
      <c r="T4669" s="84"/>
      <c r="U4669" s="84"/>
      <c r="V4669" s="84"/>
      <c r="W4669" s="84"/>
      <c r="X4669" s="84"/>
      <c r="Y4669" s="84"/>
      <c r="Z4669" s="84"/>
      <c r="AA4669" s="84"/>
      <c r="AB4669" s="84"/>
    </row>
    <row r="4670">
      <c r="A4670" s="89"/>
      <c r="B4670" s="89"/>
      <c r="C4670" s="89"/>
      <c r="D4670" s="89"/>
      <c r="E4670" s="89"/>
      <c r="F4670" s="89"/>
      <c r="G4670" s="89"/>
      <c r="H4670" s="2"/>
      <c r="I4670" s="90"/>
      <c r="J4670" s="90"/>
      <c r="K4670" s="2"/>
      <c r="L4670" s="49"/>
      <c r="M4670" s="49"/>
      <c r="N4670" s="49"/>
      <c r="O4670" s="49" t="str">
        <f t="shared" si="2"/>
        <v/>
      </c>
      <c r="P4670" s="49" t="str">
        <f t="shared" si="3"/>
        <v/>
      </c>
      <c r="Q4670" s="84"/>
      <c r="R4670" s="84"/>
      <c r="S4670" s="84"/>
      <c r="T4670" s="84"/>
      <c r="U4670" s="84"/>
      <c r="V4670" s="84"/>
      <c r="W4670" s="84"/>
      <c r="X4670" s="84"/>
      <c r="Y4670" s="84"/>
      <c r="Z4670" s="84"/>
      <c r="AA4670" s="84"/>
      <c r="AB4670" s="84"/>
    </row>
    <row r="4671">
      <c r="A4671" s="89"/>
      <c r="B4671" s="89"/>
      <c r="C4671" s="89"/>
      <c r="D4671" s="89"/>
      <c r="E4671" s="89"/>
      <c r="F4671" s="89"/>
      <c r="G4671" s="89"/>
      <c r="H4671" s="2"/>
      <c r="I4671" s="90"/>
      <c r="J4671" s="90"/>
      <c r="K4671" s="2"/>
      <c r="L4671" s="48"/>
      <c r="M4671" s="48"/>
      <c r="N4671" s="48"/>
      <c r="O4671" s="48" t="str">
        <f t="shared" si="2"/>
        <v/>
      </c>
      <c r="P4671" s="48" t="str">
        <f t="shared" si="3"/>
        <v/>
      </c>
      <c r="Q4671" s="84"/>
      <c r="R4671" s="84"/>
      <c r="S4671" s="84"/>
      <c r="T4671" s="84"/>
      <c r="U4671" s="84"/>
      <c r="V4671" s="84"/>
      <c r="W4671" s="84"/>
      <c r="X4671" s="84"/>
      <c r="Y4671" s="84"/>
      <c r="Z4671" s="84"/>
      <c r="AA4671" s="84"/>
      <c r="AB4671" s="84"/>
    </row>
    <row r="4672">
      <c r="A4672" s="89"/>
      <c r="B4672" s="89"/>
      <c r="C4672" s="89"/>
      <c r="D4672" s="89"/>
      <c r="E4672" s="89"/>
      <c r="F4672" s="89"/>
      <c r="G4672" s="89"/>
      <c r="H4672" s="2"/>
      <c r="I4672" s="90"/>
      <c r="J4672" s="90"/>
      <c r="K4672" s="2"/>
      <c r="L4672" s="49"/>
      <c r="M4672" s="49"/>
      <c r="N4672" s="49"/>
      <c r="O4672" s="49" t="str">
        <f t="shared" si="2"/>
        <v/>
      </c>
      <c r="P4672" s="49" t="str">
        <f t="shared" si="3"/>
        <v/>
      </c>
      <c r="Q4672" s="84"/>
      <c r="R4672" s="84"/>
      <c r="S4672" s="84"/>
      <c r="T4672" s="84"/>
      <c r="U4672" s="84"/>
      <c r="V4672" s="84"/>
      <c r="W4672" s="84"/>
      <c r="X4672" s="84"/>
      <c r="Y4672" s="84"/>
      <c r="Z4672" s="84"/>
      <c r="AA4672" s="84"/>
      <c r="AB4672" s="84"/>
    </row>
    <row r="4673">
      <c r="A4673" s="89"/>
      <c r="B4673" s="89"/>
      <c r="C4673" s="89"/>
      <c r="D4673" s="89"/>
      <c r="E4673" s="89"/>
      <c r="F4673" s="89"/>
      <c r="G4673" s="89"/>
      <c r="H4673" s="2"/>
      <c r="I4673" s="90"/>
      <c r="J4673" s="90"/>
      <c r="K4673" s="2"/>
      <c r="L4673" s="48"/>
      <c r="M4673" s="48"/>
      <c r="N4673" s="48"/>
      <c r="O4673" s="48" t="str">
        <f t="shared" si="2"/>
        <v/>
      </c>
      <c r="P4673" s="48" t="str">
        <f t="shared" si="3"/>
        <v/>
      </c>
      <c r="Q4673" s="84"/>
      <c r="R4673" s="84"/>
      <c r="S4673" s="84"/>
      <c r="T4673" s="84"/>
      <c r="U4673" s="84"/>
      <c r="V4673" s="84"/>
      <c r="W4673" s="84"/>
      <c r="X4673" s="84"/>
      <c r="Y4673" s="84"/>
      <c r="Z4673" s="84"/>
      <c r="AA4673" s="84"/>
      <c r="AB4673" s="84"/>
    </row>
    <row r="4674">
      <c r="A4674" s="89"/>
      <c r="B4674" s="89"/>
      <c r="C4674" s="89"/>
      <c r="D4674" s="89"/>
      <c r="E4674" s="89"/>
      <c r="F4674" s="89"/>
      <c r="G4674" s="89"/>
      <c r="H4674" s="2"/>
      <c r="I4674" s="90"/>
      <c r="J4674" s="90"/>
      <c r="K4674" s="2"/>
      <c r="L4674" s="49"/>
      <c r="M4674" s="49"/>
      <c r="N4674" s="49"/>
      <c r="O4674" s="49" t="str">
        <f t="shared" si="2"/>
        <v/>
      </c>
      <c r="P4674" s="49" t="str">
        <f t="shared" si="3"/>
        <v/>
      </c>
      <c r="Q4674" s="84"/>
      <c r="R4674" s="84"/>
      <c r="S4674" s="84"/>
      <c r="T4674" s="84"/>
      <c r="U4674" s="84"/>
      <c r="V4674" s="84"/>
      <c r="W4674" s="84"/>
      <c r="X4674" s="84"/>
      <c r="Y4674" s="84"/>
      <c r="Z4674" s="84"/>
      <c r="AA4674" s="84"/>
      <c r="AB4674" s="84"/>
    </row>
    <row r="4675">
      <c r="A4675" s="89"/>
      <c r="B4675" s="89"/>
      <c r="C4675" s="89"/>
      <c r="D4675" s="89"/>
      <c r="E4675" s="89"/>
      <c r="F4675" s="89"/>
      <c r="G4675" s="89"/>
      <c r="H4675" s="2"/>
      <c r="I4675" s="90"/>
      <c r="J4675" s="90"/>
      <c r="K4675" s="2"/>
      <c r="L4675" s="48"/>
      <c r="M4675" s="48"/>
      <c r="N4675" s="48"/>
      <c r="O4675" s="48" t="str">
        <f t="shared" si="2"/>
        <v/>
      </c>
      <c r="P4675" s="48" t="str">
        <f t="shared" si="3"/>
        <v/>
      </c>
      <c r="Q4675" s="84"/>
      <c r="R4675" s="84"/>
      <c r="S4675" s="84"/>
      <c r="T4675" s="84"/>
      <c r="U4675" s="84"/>
      <c r="V4675" s="84"/>
      <c r="W4675" s="84"/>
      <c r="X4675" s="84"/>
      <c r="Y4675" s="84"/>
      <c r="Z4675" s="84"/>
      <c r="AA4675" s="84"/>
      <c r="AB4675" s="84"/>
    </row>
    <row r="4676">
      <c r="A4676" s="89"/>
      <c r="B4676" s="89"/>
      <c r="C4676" s="89"/>
      <c r="D4676" s="89"/>
      <c r="E4676" s="89"/>
      <c r="F4676" s="89"/>
      <c r="G4676" s="89"/>
      <c r="H4676" s="2"/>
      <c r="I4676" s="90"/>
      <c r="J4676" s="90"/>
      <c r="K4676" s="2"/>
      <c r="L4676" s="49"/>
      <c r="M4676" s="49"/>
      <c r="N4676" s="49"/>
      <c r="O4676" s="49" t="str">
        <f t="shared" si="2"/>
        <v/>
      </c>
      <c r="P4676" s="49" t="str">
        <f t="shared" si="3"/>
        <v/>
      </c>
      <c r="Q4676" s="84"/>
      <c r="R4676" s="84"/>
      <c r="S4676" s="84"/>
      <c r="T4676" s="84"/>
      <c r="U4676" s="84"/>
      <c r="V4676" s="84"/>
      <c r="W4676" s="84"/>
      <c r="X4676" s="84"/>
      <c r="Y4676" s="84"/>
      <c r="Z4676" s="84"/>
      <c r="AA4676" s="84"/>
      <c r="AB4676" s="84"/>
    </row>
    <row r="4677">
      <c r="A4677" s="89"/>
      <c r="B4677" s="89"/>
      <c r="C4677" s="89"/>
      <c r="D4677" s="89"/>
      <c r="E4677" s="89"/>
      <c r="F4677" s="89"/>
      <c r="G4677" s="89"/>
      <c r="H4677" s="2"/>
      <c r="I4677" s="90"/>
      <c r="J4677" s="90"/>
      <c r="K4677" s="2"/>
      <c r="L4677" s="48"/>
      <c r="M4677" s="48"/>
      <c r="N4677" s="48"/>
      <c r="O4677" s="48" t="str">
        <f t="shared" si="2"/>
        <v/>
      </c>
      <c r="P4677" s="48" t="str">
        <f t="shared" si="3"/>
        <v/>
      </c>
      <c r="Q4677" s="84"/>
      <c r="R4677" s="84"/>
      <c r="S4677" s="84"/>
      <c r="T4677" s="84"/>
      <c r="U4677" s="84"/>
      <c r="V4677" s="84"/>
      <c r="W4677" s="84"/>
      <c r="X4677" s="84"/>
      <c r="Y4677" s="84"/>
      <c r="Z4677" s="84"/>
      <c r="AA4677" s="84"/>
      <c r="AB4677" s="84"/>
    </row>
    <row r="4678">
      <c r="A4678" s="89"/>
      <c r="B4678" s="89"/>
      <c r="C4678" s="89"/>
      <c r="D4678" s="89"/>
      <c r="E4678" s="89"/>
      <c r="F4678" s="89"/>
      <c r="G4678" s="89"/>
      <c r="H4678" s="2"/>
      <c r="I4678" s="90"/>
      <c r="J4678" s="90"/>
      <c r="K4678" s="2"/>
      <c r="L4678" s="49"/>
      <c r="M4678" s="49"/>
      <c r="N4678" s="49"/>
      <c r="O4678" s="49" t="str">
        <f t="shared" si="2"/>
        <v/>
      </c>
      <c r="P4678" s="49" t="str">
        <f t="shared" si="3"/>
        <v/>
      </c>
      <c r="Q4678" s="84"/>
      <c r="R4678" s="84"/>
      <c r="S4678" s="84"/>
      <c r="T4678" s="84"/>
      <c r="U4678" s="84"/>
      <c r="V4678" s="84"/>
      <c r="W4678" s="84"/>
      <c r="X4678" s="84"/>
      <c r="Y4678" s="84"/>
      <c r="Z4678" s="84"/>
      <c r="AA4678" s="84"/>
      <c r="AB4678" s="84"/>
    </row>
    <row r="4679">
      <c r="A4679" s="89"/>
      <c r="B4679" s="89"/>
      <c r="C4679" s="89"/>
      <c r="D4679" s="89"/>
      <c r="E4679" s="89"/>
      <c r="F4679" s="89"/>
      <c r="G4679" s="89"/>
      <c r="H4679" s="2"/>
      <c r="I4679" s="90"/>
      <c r="J4679" s="90"/>
      <c r="K4679" s="2"/>
      <c r="L4679" s="48"/>
      <c r="M4679" s="48"/>
      <c r="N4679" s="48"/>
      <c r="O4679" s="48" t="str">
        <f t="shared" si="2"/>
        <v/>
      </c>
      <c r="P4679" s="48" t="str">
        <f t="shared" si="3"/>
        <v/>
      </c>
      <c r="Q4679" s="84"/>
      <c r="R4679" s="84"/>
      <c r="S4679" s="84"/>
      <c r="T4679" s="84"/>
      <c r="U4679" s="84"/>
      <c r="V4679" s="84"/>
      <c r="W4679" s="84"/>
      <c r="X4679" s="84"/>
      <c r="Y4679" s="84"/>
      <c r="Z4679" s="84"/>
      <c r="AA4679" s="84"/>
      <c r="AB4679" s="84"/>
    </row>
    <row r="4680">
      <c r="A4680" s="89"/>
      <c r="B4680" s="89"/>
      <c r="C4680" s="89"/>
      <c r="D4680" s="89"/>
      <c r="E4680" s="89"/>
      <c r="F4680" s="89"/>
      <c r="G4680" s="89"/>
      <c r="H4680" s="2"/>
      <c r="I4680" s="90"/>
      <c r="J4680" s="90"/>
      <c r="K4680" s="2"/>
      <c r="L4680" s="49"/>
      <c r="M4680" s="49"/>
      <c r="N4680" s="49"/>
      <c r="O4680" s="49" t="str">
        <f t="shared" si="2"/>
        <v/>
      </c>
      <c r="P4680" s="49" t="str">
        <f t="shared" si="3"/>
        <v/>
      </c>
      <c r="Q4680" s="84"/>
      <c r="R4680" s="84"/>
      <c r="S4680" s="84"/>
      <c r="T4680" s="84"/>
      <c r="U4680" s="84"/>
      <c r="V4680" s="84"/>
      <c r="W4680" s="84"/>
      <c r="X4680" s="84"/>
      <c r="Y4680" s="84"/>
      <c r="Z4680" s="84"/>
      <c r="AA4680" s="84"/>
      <c r="AB4680" s="84"/>
    </row>
    <row r="4681">
      <c r="A4681" s="89"/>
      <c r="B4681" s="89"/>
      <c r="C4681" s="89"/>
      <c r="D4681" s="89"/>
      <c r="E4681" s="89"/>
      <c r="F4681" s="89"/>
      <c r="G4681" s="89"/>
      <c r="H4681" s="2"/>
      <c r="I4681" s="90"/>
      <c r="J4681" s="90"/>
      <c r="K4681" s="2"/>
      <c r="L4681" s="48"/>
      <c r="M4681" s="48"/>
      <c r="N4681" s="48"/>
      <c r="O4681" s="48" t="str">
        <f t="shared" si="2"/>
        <v/>
      </c>
      <c r="P4681" s="48" t="str">
        <f t="shared" si="3"/>
        <v/>
      </c>
      <c r="Q4681" s="84"/>
      <c r="R4681" s="84"/>
      <c r="S4681" s="84"/>
      <c r="T4681" s="84"/>
      <c r="U4681" s="84"/>
      <c r="V4681" s="84"/>
      <c r="W4681" s="84"/>
      <c r="X4681" s="84"/>
      <c r="Y4681" s="84"/>
      <c r="Z4681" s="84"/>
      <c r="AA4681" s="84"/>
      <c r="AB4681" s="84"/>
    </row>
    <row r="4682">
      <c r="A4682" s="89"/>
      <c r="B4682" s="89"/>
      <c r="C4682" s="89"/>
      <c r="D4682" s="89"/>
      <c r="E4682" s="89"/>
      <c r="F4682" s="89"/>
      <c r="G4682" s="89"/>
      <c r="H4682" s="2"/>
      <c r="I4682" s="90"/>
      <c r="J4682" s="90"/>
      <c r="K4682" s="2"/>
      <c r="L4682" s="49"/>
      <c r="M4682" s="49"/>
      <c r="N4682" s="49"/>
      <c r="O4682" s="49" t="str">
        <f t="shared" si="2"/>
        <v/>
      </c>
      <c r="P4682" s="49" t="str">
        <f t="shared" si="3"/>
        <v/>
      </c>
      <c r="Q4682" s="84"/>
      <c r="R4682" s="84"/>
      <c r="S4682" s="84"/>
      <c r="T4682" s="84"/>
      <c r="U4682" s="84"/>
      <c r="V4682" s="84"/>
      <c r="W4682" s="84"/>
      <c r="X4682" s="84"/>
      <c r="Y4682" s="84"/>
      <c r="Z4682" s="84"/>
      <c r="AA4682" s="84"/>
      <c r="AB4682" s="84"/>
    </row>
    <row r="4683">
      <c r="A4683" s="89"/>
      <c r="B4683" s="89"/>
      <c r="C4683" s="89"/>
      <c r="D4683" s="89"/>
      <c r="E4683" s="89"/>
      <c r="F4683" s="89"/>
      <c r="G4683" s="89"/>
      <c r="H4683" s="2"/>
      <c r="I4683" s="90"/>
      <c r="J4683" s="90"/>
      <c r="K4683" s="2"/>
      <c r="L4683" s="48"/>
      <c r="M4683" s="48"/>
      <c r="N4683" s="48"/>
      <c r="O4683" s="48" t="str">
        <f t="shared" si="2"/>
        <v/>
      </c>
      <c r="P4683" s="48" t="str">
        <f t="shared" si="3"/>
        <v/>
      </c>
      <c r="Q4683" s="84"/>
      <c r="R4683" s="84"/>
      <c r="S4683" s="84"/>
      <c r="T4683" s="84"/>
      <c r="U4683" s="84"/>
      <c r="V4683" s="84"/>
      <c r="W4683" s="84"/>
      <c r="X4683" s="84"/>
      <c r="Y4683" s="84"/>
      <c r="Z4683" s="84"/>
      <c r="AA4683" s="84"/>
      <c r="AB4683" s="84"/>
    </row>
    <row r="4684">
      <c r="A4684" s="89"/>
      <c r="B4684" s="89"/>
      <c r="C4684" s="89"/>
      <c r="D4684" s="89"/>
      <c r="E4684" s="89"/>
      <c r="F4684" s="89"/>
      <c r="G4684" s="89"/>
      <c r="H4684" s="2"/>
      <c r="I4684" s="90"/>
      <c r="J4684" s="90"/>
      <c r="K4684" s="2"/>
      <c r="L4684" s="49"/>
      <c r="M4684" s="49"/>
      <c r="N4684" s="49"/>
      <c r="O4684" s="49" t="str">
        <f t="shared" si="2"/>
        <v/>
      </c>
      <c r="P4684" s="49" t="str">
        <f t="shared" si="3"/>
        <v/>
      </c>
      <c r="Q4684" s="84"/>
      <c r="R4684" s="84"/>
      <c r="S4684" s="84"/>
      <c r="T4684" s="84"/>
      <c r="U4684" s="84"/>
      <c r="V4684" s="84"/>
      <c r="W4684" s="84"/>
      <c r="X4684" s="84"/>
      <c r="Y4684" s="84"/>
      <c r="Z4684" s="84"/>
      <c r="AA4684" s="84"/>
      <c r="AB4684" s="84"/>
    </row>
    <row r="4685">
      <c r="A4685" s="89"/>
      <c r="B4685" s="89"/>
      <c r="C4685" s="89"/>
      <c r="D4685" s="89"/>
      <c r="E4685" s="89"/>
      <c r="F4685" s="89"/>
      <c r="G4685" s="89"/>
      <c r="H4685" s="2"/>
      <c r="I4685" s="90"/>
      <c r="J4685" s="90"/>
      <c r="K4685" s="2"/>
      <c r="L4685" s="48"/>
      <c r="M4685" s="48"/>
      <c r="N4685" s="48"/>
      <c r="O4685" s="48" t="str">
        <f t="shared" si="2"/>
        <v/>
      </c>
      <c r="P4685" s="48" t="str">
        <f t="shared" si="3"/>
        <v/>
      </c>
      <c r="Q4685" s="84"/>
      <c r="R4685" s="84"/>
      <c r="S4685" s="84"/>
      <c r="T4685" s="84"/>
      <c r="U4685" s="84"/>
      <c r="V4685" s="84"/>
      <c r="W4685" s="84"/>
      <c r="X4685" s="84"/>
      <c r="Y4685" s="84"/>
      <c r="Z4685" s="84"/>
      <c r="AA4685" s="84"/>
      <c r="AB4685" s="84"/>
    </row>
    <row r="4686">
      <c r="A4686" s="89"/>
      <c r="B4686" s="89"/>
      <c r="C4686" s="89"/>
      <c r="D4686" s="89"/>
      <c r="E4686" s="89"/>
      <c r="F4686" s="89"/>
      <c r="G4686" s="89"/>
      <c r="H4686" s="2"/>
      <c r="I4686" s="90"/>
      <c r="J4686" s="90"/>
      <c r="K4686" s="2"/>
      <c r="L4686" s="49"/>
      <c r="M4686" s="49"/>
      <c r="N4686" s="49"/>
      <c r="O4686" s="49" t="str">
        <f t="shared" si="2"/>
        <v/>
      </c>
      <c r="P4686" s="49" t="str">
        <f t="shared" si="3"/>
        <v/>
      </c>
      <c r="Q4686" s="84"/>
      <c r="R4686" s="84"/>
      <c r="S4686" s="84"/>
      <c r="T4686" s="84"/>
      <c r="U4686" s="84"/>
      <c r="V4686" s="84"/>
      <c r="W4686" s="84"/>
      <c r="X4686" s="84"/>
      <c r="Y4686" s="84"/>
      <c r="Z4686" s="84"/>
      <c r="AA4686" s="84"/>
      <c r="AB4686" s="84"/>
    </row>
    <row r="4687">
      <c r="A4687" s="89"/>
      <c r="B4687" s="89"/>
      <c r="C4687" s="89"/>
      <c r="D4687" s="89"/>
      <c r="E4687" s="89"/>
      <c r="F4687" s="89"/>
      <c r="G4687" s="89"/>
      <c r="H4687" s="2"/>
      <c r="I4687" s="90"/>
      <c r="J4687" s="90"/>
      <c r="K4687" s="2"/>
      <c r="L4687" s="48"/>
      <c r="M4687" s="48"/>
      <c r="N4687" s="48"/>
      <c r="O4687" s="48" t="str">
        <f t="shared" si="2"/>
        <v/>
      </c>
      <c r="P4687" s="48" t="str">
        <f t="shared" si="3"/>
        <v/>
      </c>
      <c r="Q4687" s="84"/>
      <c r="R4687" s="84"/>
      <c r="S4687" s="84"/>
      <c r="T4687" s="84"/>
      <c r="U4687" s="84"/>
      <c r="V4687" s="84"/>
      <c r="W4687" s="84"/>
      <c r="X4687" s="84"/>
      <c r="Y4687" s="84"/>
      <c r="Z4687" s="84"/>
      <c r="AA4687" s="84"/>
      <c r="AB4687" s="84"/>
    </row>
    <row r="4688">
      <c r="A4688" s="89"/>
      <c r="B4688" s="89"/>
      <c r="C4688" s="89"/>
      <c r="D4688" s="89"/>
      <c r="E4688" s="89"/>
      <c r="F4688" s="89"/>
      <c r="G4688" s="89"/>
      <c r="H4688" s="2"/>
      <c r="I4688" s="90"/>
      <c r="J4688" s="90"/>
      <c r="K4688" s="2"/>
      <c r="L4688" s="49"/>
      <c r="M4688" s="49"/>
      <c r="N4688" s="49"/>
      <c r="O4688" s="49" t="str">
        <f t="shared" si="2"/>
        <v/>
      </c>
      <c r="P4688" s="49" t="str">
        <f t="shared" si="3"/>
        <v/>
      </c>
      <c r="Q4688" s="84"/>
      <c r="R4688" s="84"/>
      <c r="S4688" s="84"/>
      <c r="T4688" s="84"/>
      <c r="U4688" s="84"/>
      <c r="V4688" s="84"/>
      <c r="W4688" s="84"/>
      <c r="X4688" s="84"/>
      <c r="Y4688" s="84"/>
      <c r="Z4688" s="84"/>
      <c r="AA4688" s="84"/>
      <c r="AB4688" s="84"/>
    </row>
    <row r="4689">
      <c r="A4689" s="89"/>
      <c r="B4689" s="89"/>
      <c r="C4689" s="89"/>
      <c r="D4689" s="89"/>
      <c r="E4689" s="89"/>
      <c r="F4689" s="89"/>
      <c r="G4689" s="89"/>
      <c r="H4689" s="2"/>
      <c r="I4689" s="90"/>
      <c r="J4689" s="90"/>
      <c r="K4689" s="2"/>
      <c r="L4689" s="48"/>
      <c r="M4689" s="48"/>
      <c r="N4689" s="48"/>
      <c r="O4689" s="48" t="str">
        <f t="shared" si="2"/>
        <v/>
      </c>
      <c r="P4689" s="48" t="str">
        <f t="shared" si="3"/>
        <v/>
      </c>
      <c r="Q4689" s="84"/>
      <c r="R4689" s="84"/>
      <c r="S4689" s="84"/>
      <c r="T4689" s="84"/>
      <c r="U4689" s="84"/>
      <c r="V4689" s="84"/>
      <c r="W4689" s="84"/>
      <c r="X4689" s="84"/>
      <c r="Y4689" s="84"/>
      <c r="Z4689" s="84"/>
      <c r="AA4689" s="84"/>
      <c r="AB4689" s="84"/>
    </row>
    <row r="4690">
      <c r="A4690" s="89"/>
      <c r="B4690" s="89"/>
      <c r="C4690" s="89"/>
      <c r="D4690" s="89"/>
      <c r="E4690" s="89"/>
      <c r="F4690" s="89"/>
      <c r="G4690" s="89"/>
      <c r="H4690" s="2"/>
      <c r="I4690" s="90"/>
      <c r="J4690" s="90"/>
      <c r="K4690" s="2"/>
      <c r="L4690" s="49"/>
      <c r="M4690" s="49"/>
      <c r="N4690" s="49"/>
      <c r="O4690" s="49" t="str">
        <f t="shared" si="2"/>
        <v/>
      </c>
      <c r="P4690" s="49" t="str">
        <f t="shared" si="3"/>
        <v/>
      </c>
      <c r="Q4690" s="84"/>
      <c r="R4690" s="84"/>
      <c r="S4690" s="84"/>
      <c r="T4690" s="84"/>
      <c r="U4690" s="84"/>
      <c r="V4690" s="84"/>
      <c r="W4690" s="84"/>
      <c r="X4690" s="84"/>
      <c r="Y4690" s="84"/>
      <c r="Z4690" s="84"/>
      <c r="AA4690" s="84"/>
      <c r="AB4690" s="84"/>
    </row>
    <row r="4691">
      <c r="A4691" s="89"/>
      <c r="B4691" s="89"/>
      <c r="C4691" s="89"/>
      <c r="D4691" s="89"/>
      <c r="E4691" s="89"/>
      <c r="F4691" s="89"/>
      <c r="G4691" s="89"/>
      <c r="H4691" s="2"/>
      <c r="I4691" s="90"/>
      <c r="J4691" s="90"/>
      <c r="K4691" s="2"/>
      <c r="L4691" s="48"/>
      <c r="M4691" s="48"/>
      <c r="N4691" s="48"/>
      <c r="O4691" s="48" t="str">
        <f t="shared" si="2"/>
        <v/>
      </c>
      <c r="P4691" s="48" t="str">
        <f t="shared" si="3"/>
        <v/>
      </c>
      <c r="Q4691" s="84"/>
      <c r="R4691" s="84"/>
      <c r="S4691" s="84"/>
      <c r="T4691" s="84"/>
      <c r="U4691" s="84"/>
      <c r="V4691" s="84"/>
      <c r="W4691" s="84"/>
      <c r="X4691" s="84"/>
      <c r="Y4691" s="84"/>
      <c r="Z4691" s="84"/>
      <c r="AA4691" s="84"/>
      <c r="AB4691" s="84"/>
    </row>
    <row r="4692">
      <c r="A4692" s="89"/>
      <c r="B4692" s="89"/>
      <c r="C4692" s="89"/>
      <c r="D4692" s="89"/>
      <c r="E4692" s="89"/>
      <c r="F4692" s="89"/>
      <c r="G4692" s="89"/>
      <c r="H4692" s="2"/>
      <c r="I4692" s="90"/>
      <c r="J4692" s="90"/>
      <c r="K4692" s="2"/>
      <c r="L4692" s="49"/>
      <c r="M4692" s="49"/>
      <c r="N4692" s="49"/>
      <c r="O4692" s="49" t="str">
        <f t="shared" si="2"/>
        <v/>
      </c>
      <c r="P4692" s="49" t="str">
        <f t="shared" si="3"/>
        <v/>
      </c>
      <c r="Q4692" s="84"/>
      <c r="R4692" s="84"/>
      <c r="S4692" s="84"/>
      <c r="T4692" s="84"/>
      <c r="U4692" s="84"/>
      <c r="V4692" s="84"/>
      <c r="W4692" s="84"/>
      <c r="X4692" s="84"/>
      <c r="Y4692" s="84"/>
      <c r="Z4692" s="84"/>
      <c r="AA4692" s="84"/>
      <c r="AB4692" s="84"/>
    </row>
    <row r="4693">
      <c r="A4693" s="89"/>
      <c r="B4693" s="89"/>
      <c r="C4693" s="89"/>
      <c r="D4693" s="89"/>
      <c r="E4693" s="89"/>
      <c r="F4693" s="89"/>
      <c r="G4693" s="89"/>
      <c r="H4693" s="2"/>
      <c r="I4693" s="90"/>
      <c r="J4693" s="90"/>
      <c r="K4693" s="2"/>
      <c r="L4693" s="48"/>
      <c r="M4693" s="48"/>
      <c r="N4693" s="48"/>
      <c r="O4693" s="48" t="str">
        <f t="shared" si="2"/>
        <v/>
      </c>
      <c r="P4693" s="48" t="str">
        <f t="shared" si="3"/>
        <v/>
      </c>
      <c r="Q4693" s="84"/>
      <c r="R4693" s="84"/>
      <c r="S4693" s="84"/>
      <c r="T4693" s="84"/>
      <c r="U4693" s="84"/>
      <c r="V4693" s="84"/>
      <c r="W4693" s="84"/>
      <c r="X4693" s="84"/>
      <c r="Y4693" s="84"/>
      <c r="Z4693" s="84"/>
      <c r="AA4693" s="84"/>
      <c r="AB4693" s="84"/>
    </row>
    <row r="4694">
      <c r="A4694" s="89"/>
      <c r="B4694" s="89"/>
      <c r="C4694" s="89"/>
      <c r="D4694" s="89"/>
      <c r="E4694" s="89"/>
      <c r="F4694" s="89"/>
      <c r="G4694" s="89"/>
      <c r="H4694" s="2"/>
      <c r="I4694" s="90"/>
      <c r="J4694" s="90"/>
      <c r="K4694" s="2"/>
      <c r="L4694" s="49"/>
      <c r="M4694" s="49"/>
      <c r="N4694" s="49"/>
      <c r="O4694" s="49" t="str">
        <f t="shared" si="2"/>
        <v/>
      </c>
      <c r="P4694" s="49" t="str">
        <f t="shared" si="3"/>
        <v/>
      </c>
      <c r="Q4694" s="84"/>
      <c r="R4694" s="84"/>
      <c r="S4694" s="84"/>
      <c r="T4694" s="84"/>
      <c r="U4694" s="84"/>
      <c r="V4694" s="84"/>
      <c r="W4694" s="84"/>
      <c r="X4694" s="84"/>
      <c r="Y4694" s="84"/>
      <c r="Z4694" s="84"/>
      <c r="AA4694" s="84"/>
      <c r="AB4694" s="84"/>
    </row>
    <row r="4695">
      <c r="A4695" s="89"/>
      <c r="B4695" s="89"/>
      <c r="C4695" s="89"/>
      <c r="D4695" s="89"/>
      <c r="E4695" s="89"/>
      <c r="F4695" s="89"/>
      <c r="G4695" s="89"/>
      <c r="H4695" s="2"/>
      <c r="I4695" s="90"/>
      <c r="J4695" s="90"/>
      <c r="K4695" s="2"/>
      <c r="L4695" s="48"/>
      <c r="M4695" s="48"/>
      <c r="N4695" s="48"/>
      <c r="O4695" s="48" t="str">
        <f t="shared" si="2"/>
        <v/>
      </c>
      <c r="P4695" s="48" t="str">
        <f t="shared" si="3"/>
        <v/>
      </c>
      <c r="Q4695" s="84"/>
      <c r="R4695" s="84"/>
      <c r="S4695" s="84"/>
      <c r="T4695" s="84"/>
      <c r="U4695" s="84"/>
      <c r="V4695" s="84"/>
      <c r="W4695" s="84"/>
      <c r="X4695" s="84"/>
      <c r="Y4695" s="84"/>
      <c r="Z4695" s="84"/>
      <c r="AA4695" s="84"/>
      <c r="AB4695" s="84"/>
    </row>
    <row r="4696">
      <c r="A4696" s="89"/>
      <c r="B4696" s="89"/>
      <c r="C4696" s="89"/>
      <c r="D4696" s="89"/>
      <c r="E4696" s="89"/>
      <c r="F4696" s="89"/>
      <c r="G4696" s="89"/>
      <c r="H4696" s="2"/>
      <c r="I4696" s="90"/>
      <c r="J4696" s="90"/>
      <c r="K4696" s="2"/>
      <c r="L4696" s="49"/>
      <c r="M4696" s="49"/>
      <c r="N4696" s="49"/>
      <c r="O4696" s="49" t="str">
        <f t="shared" si="2"/>
        <v/>
      </c>
      <c r="P4696" s="49" t="str">
        <f t="shared" si="3"/>
        <v/>
      </c>
      <c r="Q4696" s="84"/>
      <c r="R4696" s="84"/>
      <c r="S4696" s="84"/>
      <c r="T4696" s="84"/>
      <c r="U4696" s="84"/>
      <c r="V4696" s="84"/>
      <c r="W4696" s="84"/>
      <c r="X4696" s="84"/>
      <c r="Y4696" s="84"/>
      <c r="Z4696" s="84"/>
      <c r="AA4696" s="84"/>
      <c r="AB4696" s="84"/>
    </row>
    <row r="4697">
      <c r="A4697" s="89"/>
      <c r="B4697" s="89"/>
      <c r="C4697" s="89"/>
      <c r="D4697" s="89"/>
      <c r="E4697" s="89"/>
      <c r="F4697" s="89"/>
      <c r="G4697" s="89"/>
      <c r="H4697" s="2"/>
      <c r="I4697" s="90"/>
      <c r="J4697" s="90"/>
      <c r="K4697" s="2"/>
      <c r="L4697" s="48"/>
      <c r="M4697" s="48"/>
      <c r="N4697" s="48"/>
      <c r="O4697" s="48" t="str">
        <f t="shared" si="2"/>
        <v/>
      </c>
      <c r="P4697" s="48" t="str">
        <f t="shared" si="3"/>
        <v/>
      </c>
      <c r="Q4697" s="84"/>
      <c r="R4697" s="84"/>
      <c r="S4697" s="84"/>
      <c r="T4697" s="84"/>
      <c r="U4697" s="84"/>
      <c r="V4697" s="84"/>
      <c r="W4697" s="84"/>
      <c r="X4697" s="84"/>
      <c r="Y4697" s="84"/>
      <c r="Z4697" s="84"/>
      <c r="AA4697" s="84"/>
      <c r="AB4697" s="84"/>
    </row>
    <row r="4698">
      <c r="A4698" s="89"/>
      <c r="B4698" s="89"/>
      <c r="C4698" s="89"/>
      <c r="D4698" s="89"/>
      <c r="E4698" s="89"/>
      <c r="F4698" s="89"/>
      <c r="G4698" s="89"/>
      <c r="H4698" s="2"/>
      <c r="I4698" s="90"/>
      <c r="J4698" s="90"/>
      <c r="K4698" s="2"/>
      <c r="L4698" s="49"/>
      <c r="M4698" s="49"/>
      <c r="N4698" s="49"/>
      <c r="O4698" s="49" t="str">
        <f t="shared" si="2"/>
        <v/>
      </c>
      <c r="P4698" s="49" t="str">
        <f t="shared" si="3"/>
        <v/>
      </c>
      <c r="Q4698" s="84"/>
      <c r="R4698" s="84"/>
      <c r="S4698" s="84"/>
      <c r="T4698" s="84"/>
      <c r="U4698" s="84"/>
      <c r="V4698" s="84"/>
      <c r="W4698" s="84"/>
      <c r="X4698" s="84"/>
      <c r="Y4698" s="84"/>
      <c r="Z4698" s="84"/>
      <c r="AA4698" s="84"/>
      <c r="AB4698" s="84"/>
    </row>
    <row r="4699">
      <c r="A4699" s="89"/>
      <c r="B4699" s="89"/>
      <c r="C4699" s="89"/>
      <c r="D4699" s="89"/>
      <c r="E4699" s="89"/>
      <c r="F4699" s="89"/>
      <c r="G4699" s="89"/>
      <c r="H4699" s="2"/>
      <c r="I4699" s="90"/>
      <c r="J4699" s="90"/>
      <c r="K4699" s="2"/>
      <c r="L4699" s="48"/>
      <c r="M4699" s="48"/>
      <c r="N4699" s="48"/>
      <c r="O4699" s="48" t="str">
        <f t="shared" si="2"/>
        <v/>
      </c>
      <c r="P4699" s="48" t="str">
        <f t="shared" si="3"/>
        <v/>
      </c>
      <c r="Q4699" s="84"/>
      <c r="R4699" s="84"/>
      <c r="S4699" s="84"/>
      <c r="T4699" s="84"/>
      <c r="U4699" s="84"/>
      <c r="V4699" s="84"/>
      <c r="W4699" s="84"/>
      <c r="X4699" s="84"/>
      <c r="Y4699" s="84"/>
      <c r="Z4699" s="84"/>
      <c r="AA4699" s="84"/>
      <c r="AB4699" s="84"/>
    </row>
    <row r="4700">
      <c r="A4700" s="89"/>
      <c r="B4700" s="89"/>
      <c r="C4700" s="89"/>
      <c r="D4700" s="89"/>
      <c r="E4700" s="89"/>
      <c r="F4700" s="89"/>
      <c r="G4700" s="89"/>
      <c r="H4700" s="2"/>
      <c r="I4700" s="90"/>
      <c r="J4700" s="90"/>
      <c r="K4700" s="2"/>
      <c r="L4700" s="49"/>
      <c r="M4700" s="49"/>
      <c r="N4700" s="49"/>
      <c r="O4700" s="49" t="str">
        <f t="shared" si="2"/>
        <v/>
      </c>
      <c r="P4700" s="49" t="str">
        <f t="shared" si="3"/>
        <v/>
      </c>
      <c r="Q4700" s="84"/>
      <c r="R4700" s="84"/>
      <c r="S4700" s="84"/>
      <c r="T4700" s="84"/>
      <c r="U4700" s="84"/>
      <c r="V4700" s="84"/>
      <c r="W4700" s="84"/>
      <c r="X4700" s="84"/>
      <c r="Y4700" s="84"/>
      <c r="Z4700" s="84"/>
      <c r="AA4700" s="84"/>
      <c r="AB4700" s="84"/>
    </row>
    <row r="4701">
      <c r="A4701" s="89"/>
      <c r="B4701" s="89"/>
      <c r="C4701" s="89"/>
      <c r="D4701" s="89"/>
      <c r="E4701" s="89"/>
      <c r="F4701" s="89"/>
      <c r="G4701" s="89"/>
      <c r="H4701" s="2"/>
      <c r="I4701" s="90"/>
      <c r="J4701" s="90"/>
      <c r="K4701" s="2"/>
      <c r="L4701" s="48"/>
      <c r="M4701" s="48"/>
      <c r="N4701" s="48"/>
      <c r="O4701" s="48" t="str">
        <f t="shared" si="2"/>
        <v/>
      </c>
      <c r="P4701" s="48" t="str">
        <f t="shared" si="3"/>
        <v/>
      </c>
      <c r="Q4701" s="84"/>
      <c r="R4701" s="84"/>
      <c r="S4701" s="84"/>
      <c r="T4701" s="84"/>
      <c r="U4701" s="84"/>
      <c r="V4701" s="84"/>
      <c r="W4701" s="84"/>
      <c r="X4701" s="84"/>
      <c r="Y4701" s="84"/>
      <c r="Z4701" s="84"/>
      <c r="AA4701" s="84"/>
      <c r="AB4701" s="84"/>
    </row>
    <row r="4702">
      <c r="A4702" s="89"/>
      <c r="B4702" s="89"/>
      <c r="C4702" s="89"/>
      <c r="D4702" s="89"/>
      <c r="E4702" s="89"/>
      <c r="F4702" s="89"/>
      <c r="G4702" s="89"/>
      <c r="H4702" s="2"/>
      <c r="I4702" s="90"/>
      <c r="J4702" s="90"/>
      <c r="K4702" s="2"/>
      <c r="L4702" s="49"/>
      <c r="M4702" s="49"/>
      <c r="N4702" s="49"/>
      <c r="O4702" s="49" t="str">
        <f t="shared" si="2"/>
        <v/>
      </c>
      <c r="P4702" s="49" t="str">
        <f t="shared" si="3"/>
        <v/>
      </c>
      <c r="Q4702" s="84"/>
      <c r="R4702" s="84"/>
      <c r="S4702" s="84"/>
      <c r="T4702" s="84"/>
      <c r="U4702" s="84"/>
      <c r="V4702" s="84"/>
      <c r="W4702" s="84"/>
      <c r="X4702" s="84"/>
      <c r="Y4702" s="84"/>
      <c r="Z4702" s="84"/>
      <c r="AA4702" s="84"/>
      <c r="AB4702" s="84"/>
    </row>
    <row r="4703">
      <c r="A4703" s="89"/>
      <c r="B4703" s="89"/>
      <c r="C4703" s="89"/>
      <c r="D4703" s="89"/>
      <c r="E4703" s="89"/>
      <c r="F4703" s="89"/>
      <c r="G4703" s="89"/>
      <c r="H4703" s="2"/>
      <c r="I4703" s="90"/>
      <c r="J4703" s="90"/>
      <c r="K4703" s="2"/>
      <c r="L4703" s="48"/>
      <c r="M4703" s="48"/>
      <c r="N4703" s="48"/>
      <c r="O4703" s="48" t="str">
        <f t="shared" si="2"/>
        <v/>
      </c>
      <c r="P4703" s="48" t="str">
        <f t="shared" si="3"/>
        <v/>
      </c>
      <c r="Q4703" s="84"/>
      <c r="R4703" s="84"/>
      <c r="S4703" s="84"/>
      <c r="T4703" s="84"/>
      <c r="U4703" s="84"/>
      <c r="V4703" s="84"/>
      <c r="W4703" s="84"/>
      <c r="X4703" s="84"/>
      <c r="Y4703" s="84"/>
      <c r="Z4703" s="84"/>
      <c r="AA4703" s="84"/>
      <c r="AB4703" s="84"/>
    </row>
    <row r="4704">
      <c r="A4704" s="89"/>
      <c r="B4704" s="89"/>
      <c r="C4704" s="89"/>
      <c r="D4704" s="89"/>
      <c r="E4704" s="89"/>
      <c r="F4704" s="89"/>
      <c r="G4704" s="89"/>
      <c r="H4704" s="2"/>
      <c r="I4704" s="90"/>
      <c r="J4704" s="90"/>
      <c r="K4704" s="2"/>
      <c r="L4704" s="49"/>
      <c r="M4704" s="49"/>
      <c r="N4704" s="49"/>
      <c r="O4704" s="49" t="str">
        <f t="shared" si="2"/>
        <v/>
      </c>
      <c r="P4704" s="49" t="str">
        <f t="shared" si="3"/>
        <v/>
      </c>
      <c r="Q4704" s="84"/>
      <c r="R4704" s="84"/>
      <c r="S4704" s="84"/>
      <c r="T4704" s="84"/>
      <c r="U4704" s="84"/>
      <c r="V4704" s="84"/>
      <c r="W4704" s="84"/>
      <c r="X4704" s="84"/>
      <c r="Y4704" s="84"/>
      <c r="Z4704" s="84"/>
      <c r="AA4704" s="84"/>
      <c r="AB4704" s="84"/>
    </row>
    <row r="4705">
      <c r="A4705" s="89"/>
      <c r="B4705" s="89"/>
      <c r="C4705" s="89"/>
      <c r="D4705" s="89"/>
      <c r="E4705" s="89"/>
      <c r="F4705" s="89"/>
      <c r="G4705" s="89"/>
      <c r="H4705" s="2"/>
      <c r="I4705" s="90"/>
      <c r="J4705" s="90"/>
      <c r="K4705" s="2"/>
      <c r="L4705" s="48"/>
      <c r="M4705" s="48"/>
      <c r="N4705" s="48"/>
      <c r="O4705" s="48" t="str">
        <f t="shared" si="2"/>
        <v/>
      </c>
      <c r="P4705" s="48" t="str">
        <f t="shared" si="3"/>
        <v/>
      </c>
      <c r="Q4705" s="84"/>
      <c r="R4705" s="84"/>
      <c r="S4705" s="84"/>
      <c r="T4705" s="84"/>
      <c r="U4705" s="84"/>
      <c r="V4705" s="84"/>
      <c r="W4705" s="84"/>
      <c r="X4705" s="84"/>
      <c r="Y4705" s="84"/>
      <c r="Z4705" s="84"/>
      <c r="AA4705" s="84"/>
      <c r="AB4705" s="84"/>
    </row>
    <row r="4706">
      <c r="A4706" s="89"/>
      <c r="B4706" s="89"/>
      <c r="C4706" s="89"/>
      <c r="D4706" s="89"/>
      <c r="E4706" s="89"/>
      <c r="F4706" s="89"/>
      <c r="G4706" s="89"/>
      <c r="H4706" s="2"/>
      <c r="I4706" s="90"/>
      <c r="J4706" s="90"/>
      <c r="K4706" s="2"/>
      <c r="L4706" s="49"/>
      <c r="M4706" s="49"/>
      <c r="N4706" s="49"/>
      <c r="O4706" s="49" t="str">
        <f t="shared" si="2"/>
        <v/>
      </c>
      <c r="P4706" s="49" t="str">
        <f t="shared" si="3"/>
        <v/>
      </c>
      <c r="Q4706" s="84"/>
      <c r="R4706" s="84"/>
      <c r="S4706" s="84"/>
      <c r="T4706" s="84"/>
      <c r="U4706" s="84"/>
      <c r="V4706" s="84"/>
      <c r="W4706" s="84"/>
      <c r="X4706" s="84"/>
      <c r="Y4706" s="84"/>
      <c r="Z4706" s="84"/>
      <c r="AA4706" s="84"/>
      <c r="AB4706" s="84"/>
    </row>
    <row r="4707">
      <c r="A4707" s="89"/>
      <c r="B4707" s="89"/>
      <c r="C4707" s="89"/>
      <c r="D4707" s="89"/>
      <c r="E4707" s="89"/>
      <c r="F4707" s="89"/>
      <c r="G4707" s="89"/>
      <c r="H4707" s="2"/>
      <c r="I4707" s="90"/>
      <c r="J4707" s="90"/>
      <c r="K4707" s="2"/>
      <c r="L4707" s="48"/>
      <c r="M4707" s="48"/>
      <c r="N4707" s="48"/>
      <c r="O4707" s="48" t="str">
        <f t="shared" si="2"/>
        <v/>
      </c>
      <c r="P4707" s="48" t="str">
        <f t="shared" si="3"/>
        <v/>
      </c>
      <c r="Q4707" s="84"/>
      <c r="R4707" s="84"/>
      <c r="S4707" s="84"/>
      <c r="T4707" s="84"/>
      <c r="U4707" s="84"/>
      <c r="V4707" s="84"/>
      <c r="W4707" s="84"/>
      <c r="X4707" s="84"/>
      <c r="Y4707" s="84"/>
      <c r="Z4707" s="84"/>
      <c r="AA4707" s="84"/>
      <c r="AB4707" s="84"/>
    </row>
    <row r="4708">
      <c r="A4708" s="89"/>
      <c r="B4708" s="89"/>
      <c r="C4708" s="89"/>
      <c r="D4708" s="89"/>
      <c r="E4708" s="89"/>
      <c r="F4708" s="89"/>
      <c r="G4708" s="89"/>
      <c r="H4708" s="2"/>
      <c r="I4708" s="90"/>
      <c r="J4708" s="90"/>
      <c r="K4708" s="2"/>
      <c r="L4708" s="49"/>
      <c r="M4708" s="49"/>
      <c r="N4708" s="49"/>
      <c r="O4708" s="49" t="str">
        <f t="shared" si="2"/>
        <v/>
      </c>
      <c r="P4708" s="49" t="str">
        <f t="shared" si="3"/>
        <v/>
      </c>
      <c r="Q4708" s="84"/>
      <c r="R4708" s="84"/>
      <c r="S4708" s="84"/>
      <c r="T4708" s="84"/>
      <c r="U4708" s="84"/>
      <c r="V4708" s="84"/>
      <c r="W4708" s="84"/>
      <c r="X4708" s="84"/>
      <c r="Y4708" s="84"/>
      <c r="Z4708" s="84"/>
      <c r="AA4708" s="84"/>
      <c r="AB4708" s="84"/>
    </row>
    <row r="4709">
      <c r="A4709" s="89"/>
      <c r="B4709" s="89"/>
      <c r="C4709" s="89"/>
      <c r="D4709" s="89"/>
      <c r="E4709" s="89"/>
      <c r="F4709" s="89"/>
      <c r="G4709" s="89"/>
      <c r="H4709" s="2"/>
      <c r="I4709" s="90"/>
      <c r="J4709" s="90"/>
      <c r="K4709" s="2"/>
      <c r="L4709" s="48"/>
      <c r="M4709" s="48"/>
      <c r="N4709" s="48"/>
      <c r="O4709" s="48" t="str">
        <f t="shared" si="2"/>
        <v/>
      </c>
      <c r="P4709" s="48" t="str">
        <f t="shared" si="3"/>
        <v/>
      </c>
      <c r="Q4709" s="84"/>
      <c r="R4709" s="84"/>
      <c r="S4709" s="84"/>
      <c r="T4709" s="84"/>
      <c r="U4709" s="84"/>
      <c r="V4709" s="84"/>
      <c r="W4709" s="84"/>
      <c r="X4709" s="84"/>
      <c r="Y4709" s="84"/>
      <c r="Z4709" s="84"/>
      <c r="AA4709" s="84"/>
      <c r="AB4709" s="84"/>
    </row>
    <row r="4710">
      <c r="A4710" s="89"/>
      <c r="B4710" s="89"/>
      <c r="C4710" s="89"/>
      <c r="D4710" s="89"/>
      <c r="E4710" s="89"/>
      <c r="F4710" s="89"/>
      <c r="G4710" s="89"/>
      <c r="H4710" s="2"/>
      <c r="I4710" s="90"/>
      <c r="J4710" s="90"/>
      <c r="K4710" s="2"/>
      <c r="L4710" s="49"/>
      <c r="M4710" s="49"/>
      <c r="N4710" s="49"/>
      <c r="O4710" s="49" t="str">
        <f t="shared" si="2"/>
        <v/>
      </c>
      <c r="P4710" s="49" t="str">
        <f t="shared" si="3"/>
        <v/>
      </c>
      <c r="Q4710" s="84"/>
      <c r="R4710" s="84"/>
      <c r="S4710" s="84"/>
      <c r="T4710" s="84"/>
      <c r="U4710" s="84"/>
      <c r="V4710" s="84"/>
      <c r="W4710" s="84"/>
      <c r="X4710" s="84"/>
      <c r="Y4710" s="84"/>
      <c r="Z4710" s="84"/>
      <c r="AA4710" s="84"/>
      <c r="AB4710" s="84"/>
    </row>
    <row r="4711">
      <c r="A4711" s="89"/>
      <c r="B4711" s="89"/>
      <c r="C4711" s="89"/>
      <c r="D4711" s="89"/>
      <c r="E4711" s="89"/>
      <c r="F4711" s="89"/>
      <c r="G4711" s="89"/>
      <c r="H4711" s="2"/>
      <c r="I4711" s="90"/>
      <c r="J4711" s="90"/>
      <c r="K4711" s="2"/>
      <c r="L4711" s="48"/>
      <c r="M4711" s="48"/>
      <c r="N4711" s="48"/>
      <c r="O4711" s="48" t="str">
        <f t="shared" si="2"/>
        <v/>
      </c>
      <c r="P4711" s="48" t="str">
        <f t="shared" si="3"/>
        <v/>
      </c>
      <c r="Q4711" s="84"/>
      <c r="R4711" s="84"/>
      <c r="S4711" s="84"/>
      <c r="T4711" s="84"/>
      <c r="U4711" s="84"/>
      <c r="V4711" s="84"/>
      <c r="W4711" s="84"/>
      <c r="X4711" s="84"/>
      <c r="Y4711" s="84"/>
      <c r="Z4711" s="84"/>
      <c r="AA4711" s="84"/>
      <c r="AB4711" s="84"/>
    </row>
    <row r="4712">
      <c r="A4712" s="89"/>
      <c r="B4712" s="89"/>
      <c r="C4712" s="89"/>
      <c r="D4712" s="89"/>
      <c r="E4712" s="89"/>
      <c r="F4712" s="89"/>
      <c r="G4712" s="89"/>
      <c r="H4712" s="2"/>
      <c r="I4712" s="90"/>
      <c r="J4712" s="90"/>
      <c r="K4712" s="2"/>
      <c r="L4712" s="49"/>
      <c r="M4712" s="49"/>
      <c r="N4712" s="49"/>
      <c r="O4712" s="49" t="str">
        <f t="shared" si="2"/>
        <v/>
      </c>
      <c r="P4712" s="49" t="str">
        <f t="shared" si="3"/>
        <v/>
      </c>
      <c r="Q4712" s="84"/>
      <c r="R4712" s="84"/>
      <c r="S4712" s="84"/>
      <c r="T4712" s="84"/>
      <c r="U4712" s="84"/>
      <c r="V4712" s="84"/>
      <c r="W4712" s="84"/>
      <c r="X4712" s="84"/>
      <c r="Y4712" s="84"/>
      <c r="Z4712" s="84"/>
      <c r="AA4712" s="84"/>
      <c r="AB4712" s="84"/>
    </row>
    <row r="4713">
      <c r="A4713" s="89"/>
      <c r="B4713" s="89"/>
      <c r="C4713" s="89"/>
      <c r="D4713" s="89"/>
      <c r="E4713" s="89"/>
      <c r="F4713" s="89"/>
      <c r="G4713" s="89"/>
      <c r="H4713" s="2"/>
      <c r="I4713" s="90"/>
      <c r="J4713" s="90"/>
      <c r="K4713" s="2"/>
      <c r="L4713" s="48"/>
      <c r="M4713" s="48"/>
      <c r="N4713" s="48"/>
      <c r="O4713" s="48" t="str">
        <f t="shared" si="2"/>
        <v/>
      </c>
      <c r="P4713" s="48" t="str">
        <f t="shared" si="3"/>
        <v/>
      </c>
      <c r="Q4713" s="84"/>
      <c r="R4713" s="84"/>
      <c r="S4713" s="84"/>
      <c r="T4713" s="84"/>
      <c r="U4713" s="84"/>
      <c r="V4713" s="84"/>
      <c r="W4713" s="84"/>
      <c r="X4713" s="84"/>
      <c r="Y4713" s="84"/>
      <c r="Z4713" s="84"/>
      <c r="AA4713" s="84"/>
      <c r="AB4713" s="84"/>
    </row>
    <row r="4714">
      <c r="A4714" s="89"/>
      <c r="B4714" s="89"/>
      <c r="C4714" s="89"/>
      <c r="D4714" s="89"/>
      <c r="E4714" s="89"/>
      <c r="F4714" s="89"/>
      <c r="G4714" s="89"/>
      <c r="H4714" s="2"/>
      <c r="I4714" s="90"/>
      <c r="J4714" s="90"/>
      <c r="K4714" s="2"/>
      <c r="L4714" s="49"/>
      <c r="M4714" s="49"/>
      <c r="N4714" s="49"/>
      <c r="O4714" s="49" t="str">
        <f t="shared" si="2"/>
        <v/>
      </c>
      <c r="P4714" s="49" t="str">
        <f t="shared" si="3"/>
        <v/>
      </c>
      <c r="Q4714" s="84"/>
      <c r="R4714" s="84"/>
      <c r="S4714" s="84"/>
      <c r="T4714" s="84"/>
      <c r="U4714" s="84"/>
      <c r="V4714" s="84"/>
      <c r="W4714" s="84"/>
      <c r="X4714" s="84"/>
      <c r="Y4714" s="84"/>
      <c r="Z4714" s="84"/>
      <c r="AA4714" s="84"/>
      <c r="AB4714" s="84"/>
    </row>
    <row r="4715">
      <c r="A4715" s="89"/>
      <c r="B4715" s="89"/>
      <c r="C4715" s="89"/>
      <c r="D4715" s="89"/>
      <c r="E4715" s="89"/>
      <c r="F4715" s="89"/>
      <c r="G4715" s="89"/>
      <c r="H4715" s="2"/>
      <c r="I4715" s="90"/>
      <c r="J4715" s="90"/>
      <c r="K4715" s="2"/>
      <c r="L4715" s="48"/>
      <c r="M4715" s="48"/>
      <c r="N4715" s="48"/>
      <c r="O4715" s="48" t="str">
        <f t="shared" si="2"/>
        <v/>
      </c>
      <c r="P4715" s="48" t="str">
        <f t="shared" si="3"/>
        <v/>
      </c>
      <c r="Q4715" s="84"/>
      <c r="R4715" s="84"/>
      <c r="S4715" s="84"/>
      <c r="T4715" s="84"/>
      <c r="U4715" s="84"/>
      <c r="V4715" s="84"/>
      <c r="W4715" s="84"/>
      <c r="X4715" s="84"/>
      <c r="Y4715" s="84"/>
      <c r="Z4715" s="84"/>
      <c r="AA4715" s="84"/>
      <c r="AB4715" s="84"/>
    </row>
    <row r="4716">
      <c r="A4716" s="89"/>
      <c r="B4716" s="89"/>
      <c r="C4716" s="89"/>
      <c r="D4716" s="89"/>
      <c r="E4716" s="89"/>
      <c r="F4716" s="89"/>
      <c r="G4716" s="89"/>
      <c r="H4716" s="2"/>
      <c r="I4716" s="90"/>
      <c r="J4716" s="90"/>
      <c r="K4716" s="2"/>
      <c r="L4716" s="49"/>
      <c r="M4716" s="49"/>
      <c r="N4716" s="49"/>
      <c r="O4716" s="49" t="str">
        <f t="shared" si="2"/>
        <v/>
      </c>
      <c r="P4716" s="49" t="str">
        <f t="shared" si="3"/>
        <v/>
      </c>
      <c r="Q4716" s="84"/>
      <c r="R4716" s="84"/>
      <c r="S4716" s="84"/>
      <c r="T4716" s="84"/>
      <c r="U4716" s="84"/>
      <c r="V4716" s="84"/>
      <c r="W4716" s="84"/>
      <c r="X4716" s="84"/>
      <c r="Y4716" s="84"/>
      <c r="Z4716" s="84"/>
      <c r="AA4716" s="84"/>
      <c r="AB4716" s="84"/>
    </row>
    <row r="4717">
      <c r="A4717" s="89"/>
      <c r="B4717" s="89"/>
      <c r="C4717" s="89"/>
      <c r="D4717" s="89"/>
      <c r="E4717" s="89"/>
      <c r="F4717" s="89"/>
      <c r="G4717" s="89"/>
      <c r="H4717" s="2"/>
      <c r="I4717" s="90"/>
      <c r="J4717" s="90"/>
      <c r="K4717" s="2"/>
      <c r="L4717" s="48"/>
      <c r="M4717" s="48"/>
      <c r="N4717" s="48"/>
      <c r="O4717" s="48" t="str">
        <f t="shared" si="2"/>
        <v/>
      </c>
      <c r="P4717" s="48" t="str">
        <f t="shared" si="3"/>
        <v/>
      </c>
      <c r="Q4717" s="84"/>
      <c r="R4717" s="84"/>
      <c r="S4717" s="84"/>
      <c r="T4717" s="84"/>
      <c r="U4717" s="84"/>
      <c r="V4717" s="84"/>
      <c r="W4717" s="84"/>
      <c r="X4717" s="84"/>
      <c r="Y4717" s="84"/>
      <c r="Z4717" s="84"/>
      <c r="AA4717" s="84"/>
      <c r="AB4717" s="84"/>
    </row>
    <row r="4718">
      <c r="A4718" s="89"/>
      <c r="B4718" s="89"/>
      <c r="C4718" s="89"/>
      <c r="D4718" s="89"/>
      <c r="E4718" s="89"/>
      <c r="F4718" s="89"/>
      <c r="G4718" s="89"/>
      <c r="H4718" s="2"/>
      <c r="I4718" s="90"/>
      <c r="J4718" s="90"/>
      <c r="K4718" s="2"/>
      <c r="L4718" s="49"/>
      <c r="M4718" s="49"/>
      <c r="N4718" s="49"/>
      <c r="O4718" s="49" t="str">
        <f t="shared" si="2"/>
        <v/>
      </c>
      <c r="P4718" s="49" t="str">
        <f t="shared" si="3"/>
        <v/>
      </c>
      <c r="Q4718" s="84"/>
      <c r="R4718" s="84"/>
      <c r="S4718" s="84"/>
      <c r="T4718" s="84"/>
      <c r="U4718" s="84"/>
      <c r="V4718" s="84"/>
      <c r="W4718" s="84"/>
      <c r="X4718" s="84"/>
      <c r="Y4718" s="84"/>
      <c r="Z4718" s="84"/>
      <c r="AA4718" s="84"/>
      <c r="AB4718" s="84"/>
    </row>
    <row r="4719">
      <c r="A4719" s="89"/>
      <c r="B4719" s="89"/>
      <c r="C4719" s="89"/>
      <c r="D4719" s="89"/>
      <c r="E4719" s="89"/>
      <c r="F4719" s="89"/>
      <c r="G4719" s="89"/>
      <c r="H4719" s="2"/>
      <c r="I4719" s="90"/>
      <c r="J4719" s="90"/>
      <c r="K4719" s="2"/>
      <c r="L4719" s="48"/>
      <c r="M4719" s="48"/>
      <c r="N4719" s="48"/>
      <c r="O4719" s="48" t="str">
        <f t="shared" si="2"/>
        <v/>
      </c>
      <c r="P4719" s="48" t="str">
        <f t="shared" si="3"/>
        <v/>
      </c>
      <c r="Q4719" s="84"/>
      <c r="R4719" s="84"/>
      <c r="S4719" s="84"/>
      <c r="T4719" s="84"/>
      <c r="U4719" s="84"/>
      <c r="V4719" s="84"/>
      <c r="W4719" s="84"/>
      <c r="X4719" s="84"/>
      <c r="Y4719" s="84"/>
      <c r="Z4719" s="84"/>
      <c r="AA4719" s="84"/>
      <c r="AB4719" s="84"/>
    </row>
    <row r="4720">
      <c r="A4720" s="89"/>
      <c r="B4720" s="89"/>
      <c r="C4720" s="89"/>
      <c r="D4720" s="89"/>
      <c r="E4720" s="89"/>
      <c r="F4720" s="89"/>
      <c r="G4720" s="89"/>
      <c r="H4720" s="2"/>
      <c r="I4720" s="90"/>
      <c r="J4720" s="90"/>
      <c r="K4720" s="2"/>
      <c r="L4720" s="49"/>
      <c r="M4720" s="49"/>
      <c r="N4720" s="49"/>
      <c r="O4720" s="49" t="str">
        <f t="shared" si="2"/>
        <v/>
      </c>
      <c r="P4720" s="49" t="str">
        <f t="shared" si="3"/>
        <v/>
      </c>
      <c r="Q4720" s="84"/>
      <c r="R4720" s="84"/>
      <c r="S4720" s="84"/>
      <c r="T4720" s="84"/>
      <c r="U4720" s="84"/>
      <c r="V4720" s="84"/>
      <c r="W4720" s="84"/>
      <c r="X4720" s="84"/>
      <c r="Y4720" s="84"/>
      <c r="Z4720" s="84"/>
      <c r="AA4720" s="84"/>
      <c r="AB4720" s="84"/>
    </row>
    <row r="4721">
      <c r="A4721" s="89"/>
      <c r="B4721" s="89"/>
      <c r="C4721" s="89"/>
      <c r="D4721" s="89"/>
      <c r="E4721" s="89"/>
      <c r="F4721" s="89"/>
      <c r="G4721" s="89"/>
      <c r="H4721" s="2"/>
      <c r="I4721" s="90"/>
      <c r="J4721" s="90"/>
      <c r="K4721" s="2"/>
      <c r="L4721" s="48"/>
      <c r="M4721" s="48"/>
      <c r="N4721" s="48"/>
      <c r="O4721" s="48" t="str">
        <f t="shared" si="2"/>
        <v/>
      </c>
      <c r="P4721" s="48" t="str">
        <f t="shared" si="3"/>
        <v/>
      </c>
      <c r="Q4721" s="84"/>
      <c r="R4721" s="84"/>
      <c r="S4721" s="84"/>
      <c r="T4721" s="84"/>
      <c r="U4721" s="84"/>
      <c r="V4721" s="84"/>
      <c r="W4721" s="84"/>
      <c r="X4721" s="84"/>
      <c r="Y4721" s="84"/>
      <c r="Z4721" s="84"/>
      <c r="AA4721" s="84"/>
      <c r="AB4721" s="84"/>
    </row>
    <row r="4722">
      <c r="A4722" s="89"/>
      <c r="B4722" s="89"/>
      <c r="C4722" s="89"/>
      <c r="D4722" s="89"/>
      <c r="E4722" s="89"/>
      <c r="F4722" s="89"/>
      <c r="G4722" s="89"/>
      <c r="H4722" s="2"/>
      <c r="I4722" s="90"/>
      <c r="J4722" s="90"/>
      <c r="K4722" s="2"/>
      <c r="L4722" s="49"/>
      <c r="M4722" s="49"/>
      <c r="N4722" s="49"/>
      <c r="O4722" s="49" t="str">
        <f t="shared" si="2"/>
        <v/>
      </c>
      <c r="P4722" s="49" t="str">
        <f t="shared" si="3"/>
        <v/>
      </c>
      <c r="Q4722" s="84"/>
      <c r="R4722" s="84"/>
      <c r="S4722" s="84"/>
      <c r="T4722" s="84"/>
      <c r="U4722" s="84"/>
      <c r="V4722" s="84"/>
      <c r="W4722" s="84"/>
      <c r="X4722" s="84"/>
      <c r="Y4722" s="84"/>
      <c r="Z4722" s="84"/>
      <c r="AA4722" s="84"/>
      <c r="AB4722" s="84"/>
    </row>
    <row r="4723">
      <c r="A4723" s="89"/>
      <c r="B4723" s="89"/>
      <c r="C4723" s="89"/>
      <c r="D4723" s="89"/>
      <c r="E4723" s="89"/>
      <c r="F4723" s="89"/>
      <c r="G4723" s="89"/>
      <c r="H4723" s="2"/>
      <c r="I4723" s="90"/>
      <c r="J4723" s="90"/>
      <c r="K4723" s="2"/>
      <c r="L4723" s="48"/>
      <c r="M4723" s="48"/>
      <c r="N4723" s="48"/>
      <c r="O4723" s="48" t="str">
        <f t="shared" si="2"/>
        <v/>
      </c>
      <c r="P4723" s="48" t="str">
        <f t="shared" si="3"/>
        <v/>
      </c>
      <c r="Q4723" s="84"/>
      <c r="R4723" s="84"/>
      <c r="S4723" s="84"/>
      <c r="T4723" s="84"/>
      <c r="U4723" s="84"/>
      <c r="V4723" s="84"/>
      <c r="W4723" s="84"/>
      <c r="X4723" s="84"/>
      <c r="Y4723" s="84"/>
      <c r="Z4723" s="84"/>
      <c r="AA4723" s="84"/>
      <c r="AB4723" s="84"/>
    </row>
    <row r="4724">
      <c r="A4724" s="89"/>
      <c r="B4724" s="89"/>
      <c r="C4724" s="89"/>
      <c r="D4724" s="89"/>
      <c r="E4724" s="89"/>
      <c r="F4724" s="89"/>
      <c r="G4724" s="89"/>
      <c r="H4724" s="2"/>
      <c r="I4724" s="90"/>
      <c r="J4724" s="90"/>
      <c r="K4724" s="2"/>
      <c r="L4724" s="49"/>
      <c r="M4724" s="49"/>
      <c r="N4724" s="49"/>
      <c r="O4724" s="49" t="str">
        <f t="shared" si="2"/>
        <v/>
      </c>
      <c r="P4724" s="49" t="str">
        <f t="shared" si="3"/>
        <v/>
      </c>
      <c r="Q4724" s="84"/>
      <c r="R4724" s="84"/>
      <c r="S4724" s="84"/>
      <c r="T4724" s="84"/>
      <c r="U4724" s="84"/>
      <c r="V4724" s="84"/>
      <c r="W4724" s="84"/>
      <c r="X4724" s="84"/>
      <c r="Y4724" s="84"/>
      <c r="Z4724" s="84"/>
      <c r="AA4724" s="84"/>
      <c r="AB4724" s="84"/>
    </row>
    <row r="4725">
      <c r="A4725" s="89"/>
      <c r="B4725" s="89"/>
      <c r="C4725" s="89"/>
      <c r="D4725" s="89"/>
      <c r="E4725" s="89"/>
      <c r="F4725" s="89"/>
      <c r="G4725" s="89"/>
      <c r="H4725" s="2"/>
      <c r="I4725" s="90"/>
      <c r="J4725" s="90"/>
      <c r="K4725" s="2"/>
      <c r="L4725" s="48"/>
      <c r="M4725" s="48"/>
      <c r="N4725" s="48"/>
      <c r="O4725" s="48" t="str">
        <f t="shared" si="2"/>
        <v/>
      </c>
      <c r="P4725" s="48" t="str">
        <f t="shared" si="3"/>
        <v/>
      </c>
      <c r="Q4725" s="84"/>
      <c r="R4725" s="84"/>
      <c r="S4725" s="84"/>
      <c r="T4725" s="84"/>
      <c r="U4725" s="84"/>
      <c r="V4725" s="84"/>
      <c r="W4725" s="84"/>
      <c r="X4725" s="84"/>
      <c r="Y4725" s="84"/>
      <c r="Z4725" s="84"/>
      <c r="AA4725" s="84"/>
      <c r="AB4725" s="84"/>
    </row>
    <row r="4726">
      <c r="A4726" s="89"/>
      <c r="B4726" s="89"/>
      <c r="C4726" s="89"/>
      <c r="D4726" s="89"/>
      <c r="E4726" s="89"/>
      <c r="F4726" s="89"/>
      <c r="G4726" s="89"/>
      <c r="H4726" s="2"/>
      <c r="I4726" s="90"/>
      <c r="J4726" s="90"/>
      <c r="K4726" s="2"/>
      <c r="L4726" s="49"/>
      <c r="M4726" s="49"/>
      <c r="N4726" s="49"/>
      <c r="O4726" s="49" t="str">
        <f t="shared" si="2"/>
        <v/>
      </c>
      <c r="P4726" s="49" t="str">
        <f t="shared" si="3"/>
        <v/>
      </c>
      <c r="Q4726" s="84"/>
      <c r="R4726" s="84"/>
      <c r="S4726" s="84"/>
      <c r="T4726" s="84"/>
      <c r="U4726" s="84"/>
      <c r="V4726" s="84"/>
      <c r="W4726" s="84"/>
      <c r="X4726" s="84"/>
      <c r="Y4726" s="84"/>
      <c r="Z4726" s="84"/>
      <c r="AA4726" s="84"/>
      <c r="AB4726" s="84"/>
    </row>
    <row r="4727">
      <c r="A4727" s="89"/>
      <c r="B4727" s="89"/>
      <c r="C4727" s="89"/>
      <c r="D4727" s="89"/>
      <c r="E4727" s="89"/>
      <c r="F4727" s="89"/>
      <c r="G4727" s="89"/>
      <c r="H4727" s="2"/>
      <c r="I4727" s="90"/>
      <c r="J4727" s="90"/>
      <c r="K4727" s="2"/>
      <c r="L4727" s="48"/>
      <c r="M4727" s="48"/>
      <c r="N4727" s="48"/>
      <c r="O4727" s="48" t="str">
        <f t="shared" si="2"/>
        <v/>
      </c>
      <c r="P4727" s="48" t="str">
        <f t="shared" si="3"/>
        <v/>
      </c>
      <c r="Q4727" s="84"/>
      <c r="R4727" s="84"/>
      <c r="S4727" s="84"/>
      <c r="T4727" s="84"/>
      <c r="U4727" s="84"/>
      <c r="V4727" s="84"/>
      <c r="W4727" s="84"/>
      <c r="X4727" s="84"/>
      <c r="Y4727" s="84"/>
      <c r="Z4727" s="84"/>
      <c r="AA4727" s="84"/>
      <c r="AB4727" s="84"/>
    </row>
    <row r="4728">
      <c r="A4728" s="89"/>
      <c r="B4728" s="89"/>
      <c r="C4728" s="89"/>
      <c r="D4728" s="89"/>
      <c r="E4728" s="89"/>
      <c r="F4728" s="89"/>
      <c r="G4728" s="89"/>
      <c r="H4728" s="2"/>
      <c r="I4728" s="90"/>
      <c r="J4728" s="90"/>
      <c r="K4728" s="2"/>
      <c r="L4728" s="49"/>
      <c r="M4728" s="49"/>
      <c r="N4728" s="49"/>
      <c r="O4728" s="49" t="str">
        <f t="shared" si="2"/>
        <v/>
      </c>
      <c r="P4728" s="49" t="str">
        <f t="shared" si="3"/>
        <v/>
      </c>
      <c r="Q4728" s="84"/>
      <c r="R4728" s="84"/>
      <c r="S4728" s="84"/>
      <c r="T4728" s="84"/>
      <c r="U4728" s="84"/>
      <c r="V4728" s="84"/>
      <c r="W4728" s="84"/>
      <c r="X4728" s="84"/>
      <c r="Y4728" s="84"/>
      <c r="Z4728" s="84"/>
      <c r="AA4728" s="84"/>
      <c r="AB4728" s="84"/>
    </row>
    <row r="4729">
      <c r="A4729" s="89"/>
      <c r="B4729" s="89"/>
      <c r="C4729" s="89"/>
      <c r="D4729" s="89"/>
      <c r="E4729" s="89"/>
      <c r="F4729" s="89"/>
      <c r="G4729" s="89"/>
      <c r="H4729" s="2"/>
      <c r="I4729" s="90"/>
      <c r="J4729" s="90"/>
      <c r="K4729" s="2"/>
      <c r="L4729" s="48"/>
      <c r="M4729" s="48"/>
      <c r="N4729" s="48"/>
      <c r="O4729" s="48" t="str">
        <f t="shared" si="2"/>
        <v/>
      </c>
      <c r="P4729" s="48" t="str">
        <f t="shared" si="3"/>
        <v/>
      </c>
      <c r="Q4729" s="84"/>
      <c r="R4729" s="84"/>
      <c r="S4729" s="84"/>
      <c r="T4729" s="84"/>
      <c r="U4729" s="84"/>
      <c r="V4729" s="84"/>
      <c r="W4729" s="84"/>
      <c r="X4729" s="84"/>
      <c r="Y4729" s="84"/>
      <c r="Z4729" s="84"/>
      <c r="AA4729" s="84"/>
      <c r="AB4729" s="84"/>
    </row>
    <row r="4730">
      <c r="A4730" s="89"/>
      <c r="B4730" s="89"/>
      <c r="C4730" s="89"/>
      <c r="D4730" s="89"/>
      <c r="E4730" s="89"/>
      <c r="F4730" s="89"/>
      <c r="G4730" s="89"/>
      <c r="H4730" s="2"/>
      <c r="I4730" s="90"/>
      <c r="J4730" s="90"/>
      <c r="K4730" s="2"/>
      <c r="L4730" s="49"/>
      <c r="M4730" s="49"/>
      <c r="N4730" s="49"/>
      <c r="O4730" s="49" t="str">
        <f t="shared" si="2"/>
        <v/>
      </c>
      <c r="P4730" s="49" t="str">
        <f t="shared" si="3"/>
        <v/>
      </c>
      <c r="Q4730" s="84"/>
      <c r="R4730" s="84"/>
      <c r="S4730" s="84"/>
      <c r="T4730" s="84"/>
      <c r="U4730" s="84"/>
      <c r="V4730" s="84"/>
      <c r="W4730" s="84"/>
      <c r="X4730" s="84"/>
      <c r="Y4730" s="84"/>
      <c r="Z4730" s="84"/>
      <c r="AA4730" s="84"/>
      <c r="AB4730" s="84"/>
    </row>
    <row r="4731">
      <c r="A4731" s="89"/>
      <c r="B4731" s="89"/>
      <c r="C4731" s="89"/>
      <c r="D4731" s="89"/>
      <c r="E4731" s="89"/>
      <c r="F4731" s="89"/>
      <c r="G4731" s="89"/>
      <c r="H4731" s="2"/>
      <c r="I4731" s="90"/>
      <c r="J4731" s="90"/>
      <c r="K4731" s="2"/>
      <c r="L4731" s="48"/>
      <c r="M4731" s="48"/>
      <c r="N4731" s="48"/>
      <c r="O4731" s="48" t="str">
        <f t="shared" si="2"/>
        <v/>
      </c>
      <c r="P4731" s="48" t="str">
        <f t="shared" si="3"/>
        <v/>
      </c>
      <c r="Q4731" s="84"/>
      <c r="R4731" s="84"/>
      <c r="S4731" s="84"/>
      <c r="T4731" s="84"/>
      <c r="U4731" s="84"/>
      <c r="V4731" s="84"/>
      <c r="W4731" s="84"/>
      <c r="X4731" s="84"/>
      <c r="Y4731" s="84"/>
      <c r="Z4731" s="84"/>
      <c r="AA4731" s="84"/>
      <c r="AB4731" s="84"/>
    </row>
    <row r="4732">
      <c r="A4732" s="89"/>
      <c r="B4732" s="89"/>
      <c r="C4732" s="89"/>
      <c r="D4732" s="89"/>
      <c r="E4732" s="89"/>
      <c r="F4732" s="89"/>
      <c r="G4732" s="89"/>
      <c r="H4732" s="2"/>
      <c r="I4732" s="90"/>
      <c r="J4732" s="90"/>
      <c r="K4732" s="2"/>
      <c r="L4732" s="49"/>
      <c r="M4732" s="49"/>
      <c r="N4732" s="49"/>
      <c r="O4732" s="49" t="str">
        <f t="shared" si="2"/>
        <v/>
      </c>
      <c r="P4732" s="49" t="str">
        <f t="shared" si="3"/>
        <v/>
      </c>
      <c r="Q4732" s="84"/>
      <c r="R4732" s="84"/>
      <c r="S4732" s="84"/>
      <c r="T4732" s="84"/>
      <c r="U4732" s="84"/>
      <c r="V4732" s="84"/>
      <c r="W4732" s="84"/>
      <c r="X4732" s="84"/>
      <c r="Y4732" s="84"/>
      <c r="Z4732" s="84"/>
      <c r="AA4732" s="84"/>
      <c r="AB4732" s="84"/>
    </row>
    <row r="4733">
      <c r="A4733" s="89"/>
      <c r="B4733" s="89"/>
      <c r="C4733" s="89"/>
      <c r="D4733" s="89"/>
      <c r="E4733" s="89"/>
      <c r="F4733" s="89"/>
      <c r="G4733" s="89"/>
      <c r="H4733" s="2"/>
      <c r="I4733" s="90"/>
      <c r="J4733" s="90"/>
      <c r="K4733" s="2"/>
      <c r="L4733" s="48"/>
      <c r="M4733" s="48"/>
      <c r="N4733" s="48"/>
      <c r="O4733" s="48" t="str">
        <f t="shared" si="2"/>
        <v/>
      </c>
      <c r="P4733" s="48" t="str">
        <f t="shared" si="3"/>
        <v/>
      </c>
      <c r="Q4733" s="84"/>
      <c r="R4733" s="84"/>
      <c r="S4733" s="84"/>
      <c r="T4733" s="84"/>
      <c r="U4733" s="84"/>
      <c r="V4733" s="84"/>
      <c r="W4733" s="84"/>
      <c r="X4733" s="84"/>
      <c r="Y4733" s="84"/>
      <c r="Z4733" s="84"/>
      <c r="AA4733" s="84"/>
      <c r="AB4733" s="84"/>
    </row>
    <row r="4734">
      <c r="A4734" s="89"/>
      <c r="B4734" s="89"/>
      <c r="C4734" s="89"/>
      <c r="D4734" s="89"/>
      <c r="E4734" s="89"/>
      <c r="F4734" s="89"/>
      <c r="G4734" s="89"/>
      <c r="H4734" s="2"/>
      <c r="I4734" s="90"/>
      <c r="J4734" s="90"/>
      <c r="K4734" s="2"/>
      <c r="L4734" s="49"/>
      <c r="M4734" s="49"/>
      <c r="N4734" s="49"/>
      <c r="O4734" s="49" t="str">
        <f t="shared" si="2"/>
        <v/>
      </c>
      <c r="P4734" s="49" t="str">
        <f t="shared" si="3"/>
        <v/>
      </c>
      <c r="Q4734" s="84"/>
      <c r="R4734" s="84"/>
      <c r="S4734" s="84"/>
      <c r="T4734" s="84"/>
      <c r="U4734" s="84"/>
      <c r="V4734" s="84"/>
      <c r="W4734" s="84"/>
      <c r="X4734" s="84"/>
      <c r="Y4734" s="84"/>
      <c r="Z4734" s="84"/>
      <c r="AA4734" s="84"/>
      <c r="AB4734" s="84"/>
    </row>
    <row r="4735">
      <c r="A4735" s="89"/>
      <c r="B4735" s="89"/>
      <c r="C4735" s="89"/>
      <c r="D4735" s="89"/>
      <c r="E4735" s="89"/>
      <c r="F4735" s="89"/>
      <c r="G4735" s="89"/>
      <c r="H4735" s="2"/>
      <c r="I4735" s="90"/>
      <c r="J4735" s="90"/>
      <c r="K4735" s="2"/>
      <c r="L4735" s="48"/>
      <c r="M4735" s="48"/>
      <c r="N4735" s="48"/>
      <c r="O4735" s="48" t="str">
        <f t="shared" si="2"/>
        <v/>
      </c>
      <c r="P4735" s="48" t="str">
        <f t="shared" si="3"/>
        <v/>
      </c>
      <c r="Q4735" s="84"/>
      <c r="R4735" s="84"/>
      <c r="S4735" s="84"/>
      <c r="T4735" s="84"/>
      <c r="U4735" s="84"/>
      <c r="V4735" s="84"/>
      <c r="W4735" s="84"/>
      <c r="X4735" s="84"/>
      <c r="Y4735" s="84"/>
      <c r="Z4735" s="84"/>
      <c r="AA4735" s="84"/>
      <c r="AB4735" s="84"/>
    </row>
    <row r="4736">
      <c r="A4736" s="89"/>
      <c r="B4736" s="89"/>
      <c r="C4736" s="89"/>
      <c r="D4736" s="89"/>
      <c r="E4736" s="89"/>
      <c r="F4736" s="89"/>
      <c r="G4736" s="89"/>
      <c r="H4736" s="2"/>
      <c r="I4736" s="90"/>
      <c r="J4736" s="90"/>
      <c r="K4736" s="2"/>
      <c r="L4736" s="49"/>
      <c r="M4736" s="49"/>
      <c r="N4736" s="49"/>
      <c r="O4736" s="49" t="str">
        <f t="shared" si="2"/>
        <v/>
      </c>
      <c r="P4736" s="49" t="str">
        <f t="shared" si="3"/>
        <v/>
      </c>
      <c r="Q4736" s="84"/>
      <c r="R4736" s="84"/>
      <c r="S4736" s="84"/>
      <c r="T4736" s="84"/>
      <c r="U4736" s="84"/>
      <c r="V4736" s="84"/>
      <c r="W4736" s="84"/>
      <c r="X4736" s="84"/>
      <c r="Y4736" s="84"/>
      <c r="Z4736" s="84"/>
      <c r="AA4736" s="84"/>
      <c r="AB4736" s="84"/>
    </row>
    <row r="4737">
      <c r="A4737" s="89"/>
      <c r="B4737" s="89"/>
      <c r="C4737" s="89"/>
      <c r="D4737" s="89"/>
      <c r="E4737" s="89"/>
      <c r="F4737" s="89"/>
      <c r="G4737" s="89"/>
      <c r="H4737" s="2"/>
      <c r="I4737" s="90"/>
      <c r="J4737" s="90"/>
      <c r="K4737" s="2"/>
      <c r="L4737" s="48"/>
      <c r="M4737" s="48"/>
      <c r="N4737" s="48"/>
      <c r="O4737" s="48" t="str">
        <f t="shared" si="2"/>
        <v/>
      </c>
      <c r="P4737" s="48" t="str">
        <f t="shared" si="3"/>
        <v/>
      </c>
      <c r="Q4737" s="84"/>
      <c r="R4737" s="84"/>
      <c r="S4737" s="84"/>
      <c r="T4737" s="84"/>
      <c r="U4737" s="84"/>
      <c r="V4737" s="84"/>
      <c r="W4737" s="84"/>
      <c r="X4737" s="84"/>
      <c r="Y4737" s="84"/>
      <c r="Z4737" s="84"/>
      <c r="AA4737" s="84"/>
      <c r="AB4737" s="84"/>
    </row>
    <row r="4738">
      <c r="A4738" s="89"/>
      <c r="B4738" s="89"/>
      <c r="C4738" s="89"/>
      <c r="D4738" s="89"/>
      <c r="E4738" s="89"/>
      <c r="F4738" s="89"/>
      <c r="G4738" s="89"/>
      <c r="H4738" s="2"/>
      <c r="I4738" s="90"/>
      <c r="J4738" s="90"/>
      <c r="K4738" s="2"/>
      <c r="L4738" s="49"/>
      <c r="M4738" s="49"/>
      <c r="N4738" s="49"/>
      <c r="O4738" s="49" t="str">
        <f t="shared" si="2"/>
        <v/>
      </c>
      <c r="P4738" s="49" t="str">
        <f t="shared" si="3"/>
        <v/>
      </c>
      <c r="Q4738" s="84"/>
      <c r="R4738" s="84"/>
      <c r="S4738" s="84"/>
      <c r="T4738" s="84"/>
      <c r="U4738" s="84"/>
      <c r="V4738" s="84"/>
      <c r="W4738" s="84"/>
      <c r="X4738" s="84"/>
      <c r="Y4738" s="84"/>
      <c r="Z4738" s="84"/>
      <c r="AA4738" s="84"/>
      <c r="AB4738" s="84"/>
    </row>
    <row r="4739">
      <c r="A4739" s="89"/>
      <c r="B4739" s="89"/>
      <c r="C4739" s="89"/>
      <c r="D4739" s="89"/>
      <c r="E4739" s="89"/>
      <c r="F4739" s="89"/>
      <c r="G4739" s="89"/>
      <c r="H4739" s="2"/>
      <c r="I4739" s="90"/>
      <c r="J4739" s="90"/>
      <c r="K4739" s="2"/>
      <c r="L4739" s="48"/>
      <c r="M4739" s="48"/>
      <c r="N4739" s="48"/>
      <c r="O4739" s="48" t="str">
        <f t="shared" si="2"/>
        <v/>
      </c>
      <c r="P4739" s="48" t="str">
        <f t="shared" si="3"/>
        <v/>
      </c>
      <c r="Q4739" s="84"/>
      <c r="R4739" s="84"/>
      <c r="S4739" s="84"/>
      <c r="T4739" s="84"/>
      <c r="U4739" s="84"/>
      <c r="V4739" s="84"/>
      <c r="W4739" s="84"/>
      <c r="X4739" s="84"/>
      <c r="Y4739" s="84"/>
      <c r="Z4739" s="84"/>
      <c r="AA4739" s="84"/>
      <c r="AB4739" s="84"/>
    </row>
    <row r="4740">
      <c r="A4740" s="89"/>
      <c r="B4740" s="89"/>
      <c r="C4740" s="89"/>
      <c r="D4740" s="89"/>
      <c r="E4740" s="89"/>
      <c r="F4740" s="89"/>
      <c r="G4740" s="89"/>
      <c r="H4740" s="2"/>
      <c r="I4740" s="90"/>
      <c r="J4740" s="90"/>
      <c r="K4740" s="2"/>
      <c r="L4740" s="49"/>
      <c r="M4740" s="49"/>
      <c r="N4740" s="49"/>
      <c r="O4740" s="49" t="str">
        <f t="shared" si="2"/>
        <v/>
      </c>
      <c r="P4740" s="49" t="str">
        <f t="shared" si="3"/>
        <v/>
      </c>
      <c r="Q4740" s="84"/>
      <c r="R4740" s="84"/>
      <c r="S4740" s="84"/>
      <c r="T4740" s="84"/>
      <c r="U4740" s="84"/>
      <c r="V4740" s="84"/>
      <c r="W4740" s="84"/>
      <c r="X4740" s="84"/>
      <c r="Y4740" s="84"/>
      <c r="Z4740" s="84"/>
      <c r="AA4740" s="84"/>
      <c r="AB4740" s="84"/>
    </row>
    <row r="4741">
      <c r="A4741" s="89"/>
      <c r="B4741" s="89"/>
      <c r="C4741" s="89"/>
      <c r="D4741" s="89"/>
      <c r="E4741" s="89"/>
      <c r="F4741" s="89"/>
      <c r="G4741" s="89"/>
      <c r="H4741" s="2"/>
      <c r="I4741" s="90"/>
      <c r="J4741" s="90"/>
      <c r="K4741" s="2"/>
      <c r="L4741" s="48"/>
      <c r="M4741" s="48"/>
      <c r="N4741" s="48"/>
      <c r="O4741" s="48" t="str">
        <f t="shared" si="2"/>
        <v/>
      </c>
      <c r="P4741" s="48" t="str">
        <f t="shared" si="3"/>
        <v/>
      </c>
      <c r="Q4741" s="84"/>
      <c r="R4741" s="84"/>
      <c r="S4741" s="84"/>
      <c r="T4741" s="84"/>
      <c r="U4741" s="84"/>
      <c r="V4741" s="84"/>
      <c r="W4741" s="84"/>
      <c r="X4741" s="84"/>
      <c r="Y4741" s="84"/>
      <c r="Z4741" s="84"/>
      <c r="AA4741" s="84"/>
      <c r="AB4741" s="84"/>
    </row>
    <row r="4742">
      <c r="A4742" s="89"/>
      <c r="B4742" s="89"/>
      <c r="C4742" s="89"/>
      <c r="D4742" s="89"/>
      <c r="E4742" s="89"/>
      <c r="F4742" s="89"/>
      <c r="G4742" s="89"/>
      <c r="H4742" s="2"/>
      <c r="I4742" s="90"/>
      <c r="J4742" s="90"/>
      <c r="K4742" s="2"/>
      <c r="L4742" s="49"/>
      <c r="M4742" s="49"/>
      <c r="N4742" s="49"/>
      <c r="O4742" s="49" t="str">
        <f t="shared" si="2"/>
        <v/>
      </c>
      <c r="P4742" s="49" t="str">
        <f t="shared" si="3"/>
        <v/>
      </c>
      <c r="Q4742" s="84"/>
      <c r="R4742" s="84"/>
      <c r="S4742" s="84"/>
      <c r="T4742" s="84"/>
      <c r="U4742" s="84"/>
      <c r="V4742" s="84"/>
      <c r="W4742" s="84"/>
      <c r="X4742" s="84"/>
      <c r="Y4742" s="84"/>
      <c r="Z4742" s="84"/>
      <c r="AA4742" s="84"/>
      <c r="AB4742" s="84"/>
    </row>
    <row r="4743">
      <c r="A4743" s="89"/>
      <c r="B4743" s="89"/>
      <c r="C4743" s="89"/>
      <c r="D4743" s="89"/>
      <c r="E4743" s="89"/>
      <c r="F4743" s="89"/>
      <c r="G4743" s="89"/>
      <c r="H4743" s="2"/>
      <c r="I4743" s="90"/>
      <c r="J4743" s="90"/>
      <c r="K4743" s="2"/>
      <c r="L4743" s="48"/>
      <c r="M4743" s="48"/>
      <c r="N4743" s="48"/>
      <c r="O4743" s="48" t="str">
        <f t="shared" si="2"/>
        <v/>
      </c>
      <c r="P4743" s="48" t="str">
        <f t="shared" si="3"/>
        <v/>
      </c>
      <c r="Q4743" s="84"/>
      <c r="R4743" s="84"/>
      <c r="S4743" s="84"/>
      <c r="T4743" s="84"/>
      <c r="U4743" s="84"/>
      <c r="V4743" s="84"/>
      <c r="W4743" s="84"/>
      <c r="X4743" s="84"/>
      <c r="Y4743" s="84"/>
      <c r="Z4743" s="84"/>
      <c r="AA4743" s="84"/>
      <c r="AB4743" s="84"/>
    </row>
    <row r="4744">
      <c r="A4744" s="89"/>
      <c r="B4744" s="89"/>
      <c r="C4744" s="89"/>
      <c r="D4744" s="89"/>
      <c r="E4744" s="89"/>
      <c r="F4744" s="89"/>
      <c r="G4744" s="89"/>
      <c r="H4744" s="2"/>
      <c r="I4744" s="90"/>
      <c r="J4744" s="90"/>
      <c r="K4744" s="2"/>
      <c r="L4744" s="49"/>
      <c r="M4744" s="49"/>
      <c r="N4744" s="49"/>
      <c r="O4744" s="49" t="str">
        <f t="shared" si="2"/>
        <v/>
      </c>
      <c r="P4744" s="49" t="str">
        <f t="shared" si="3"/>
        <v/>
      </c>
      <c r="Q4744" s="84"/>
      <c r="R4744" s="84"/>
      <c r="S4744" s="84"/>
      <c r="T4744" s="84"/>
      <c r="U4744" s="84"/>
      <c r="V4744" s="84"/>
      <c r="W4744" s="84"/>
      <c r="X4744" s="84"/>
      <c r="Y4744" s="84"/>
      <c r="Z4744" s="84"/>
      <c r="AA4744" s="84"/>
      <c r="AB4744" s="84"/>
    </row>
    <row r="4745">
      <c r="A4745" s="89"/>
      <c r="B4745" s="89"/>
      <c r="C4745" s="89"/>
      <c r="D4745" s="89"/>
      <c r="E4745" s="89"/>
      <c r="F4745" s="89"/>
      <c r="G4745" s="89"/>
      <c r="H4745" s="2"/>
      <c r="I4745" s="90"/>
      <c r="J4745" s="90"/>
      <c r="K4745" s="2"/>
      <c r="L4745" s="48"/>
      <c r="M4745" s="48"/>
      <c r="N4745" s="48"/>
      <c r="O4745" s="48" t="str">
        <f t="shared" si="2"/>
        <v/>
      </c>
      <c r="P4745" s="48" t="str">
        <f t="shared" si="3"/>
        <v/>
      </c>
      <c r="Q4745" s="84"/>
      <c r="R4745" s="84"/>
      <c r="S4745" s="84"/>
      <c r="T4745" s="84"/>
      <c r="U4745" s="84"/>
      <c r="V4745" s="84"/>
      <c r="W4745" s="84"/>
      <c r="X4745" s="84"/>
      <c r="Y4745" s="84"/>
      <c r="Z4745" s="84"/>
      <c r="AA4745" s="84"/>
      <c r="AB4745" s="84"/>
    </row>
    <row r="4746">
      <c r="A4746" s="89"/>
      <c r="B4746" s="89"/>
      <c r="C4746" s="89"/>
      <c r="D4746" s="89"/>
      <c r="E4746" s="89"/>
      <c r="F4746" s="89"/>
      <c r="G4746" s="89"/>
      <c r="H4746" s="2"/>
      <c r="I4746" s="90"/>
      <c r="J4746" s="90"/>
      <c r="K4746" s="2"/>
      <c r="L4746" s="49"/>
      <c r="M4746" s="49"/>
      <c r="N4746" s="49"/>
      <c r="O4746" s="49" t="str">
        <f t="shared" si="2"/>
        <v/>
      </c>
      <c r="P4746" s="49" t="str">
        <f t="shared" si="3"/>
        <v/>
      </c>
      <c r="Q4746" s="84"/>
      <c r="R4746" s="84"/>
      <c r="S4746" s="84"/>
      <c r="T4746" s="84"/>
      <c r="U4746" s="84"/>
      <c r="V4746" s="84"/>
      <c r="W4746" s="84"/>
      <c r="X4746" s="84"/>
      <c r="Y4746" s="84"/>
      <c r="Z4746" s="84"/>
      <c r="AA4746" s="84"/>
      <c r="AB4746" s="84"/>
    </row>
    <row r="4747">
      <c r="A4747" s="89"/>
      <c r="B4747" s="89"/>
      <c r="C4747" s="89"/>
      <c r="D4747" s="89"/>
      <c r="E4747" s="89"/>
      <c r="F4747" s="89"/>
      <c r="G4747" s="89"/>
      <c r="H4747" s="2"/>
      <c r="I4747" s="90"/>
      <c r="J4747" s="90"/>
      <c r="K4747" s="2"/>
      <c r="L4747" s="48"/>
      <c r="M4747" s="48"/>
      <c r="N4747" s="48"/>
      <c r="O4747" s="48" t="str">
        <f t="shared" si="2"/>
        <v/>
      </c>
      <c r="P4747" s="48" t="str">
        <f t="shared" si="3"/>
        <v/>
      </c>
      <c r="Q4747" s="84"/>
      <c r="R4747" s="84"/>
      <c r="S4747" s="84"/>
      <c r="T4747" s="84"/>
      <c r="U4747" s="84"/>
      <c r="V4747" s="84"/>
      <c r="W4747" s="84"/>
      <c r="X4747" s="84"/>
      <c r="Y4747" s="84"/>
      <c r="Z4747" s="84"/>
      <c r="AA4747" s="84"/>
      <c r="AB4747" s="84"/>
    </row>
    <row r="4748">
      <c r="A4748" s="89"/>
      <c r="B4748" s="89"/>
      <c r="C4748" s="89"/>
      <c r="D4748" s="89"/>
      <c r="E4748" s="89"/>
      <c r="F4748" s="89"/>
      <c r="G4748" s="89"/>
      <c r="H4748" s="2"/>
      <c r="I4748" s="90"/>
      <c r="J4748" s="90"/>
      <c r="K4748" s="2"/>
      <c r="L4748" s="49"/>
      <c r="M4748" s="49"/>
      <c r="N4748" s="49"/>
      <c r="O4748" s="49" t="str">
        <f t="shared" si="2"/>
        <v/>
      </c>
      <c r="P4748" s="49" t="str">
        <f t="shared" si="3"/>
        <v/>
      </c>
      <c r="Q4748" s="84"/>
      <c r="R4748" s="84"/>
      <c r="S4748" s="84"/>
      <c r="T4748" s="84"/>
      <c r="U4748" s="84"/>
      <c r="V4748" s="84"/>
      <c r="W4748" s="84"/>
      <c r="X4748" s="84"/>
      <c r="Y4748" s="84"/>
      <c r="Z4748" s="84"/>
      <c r="AA4748" s="84"/>
      <c r="AB4748" s="84"/>
    </row>
    <row r="4749">
      <c r="A4749" s="89"/>
      <c r="B4749" s="89"/>
      <c r="C4749" s="89"/>
      <c r="D4749" s="89"/>
      <c r="E4749" s="89"/>
      <c r="F4749" s="89"/>
      <c r="G4749" s="89"/>
      <c r="H4749" s="2"/>
      <c r="I4749" s="90"/>
      <c r="J4749" s="90"/>
      <c r="K4749" s="2"/>
      <c r="L4749" s="48"/>
      <c r="M4749" s="48"/>
      <c r="N4749" s="48"/>
      <c r="O4749" s="48" t="str">
        <f t="shared" si="2"/>
        <v/>
      </c>
      <c r="P4749" s="48" t="str">
        <f t="shared" si="3"/>
        <v/>
      </c>
      <c r="Q4749" s="84"/>
      <c r="R4749" s="84"/>
      <c r="S4749" s="84"/>
      <c r="T4749" s="84"/>
      <c r="U4749" s="84"/>
      <c r="V4749" s="84"/>
      <c r="W4749" s="84"/>
      <c r="X4749" s="84"/>
      <c r="Y4749" s="84"/>
      <c r="Z4749" s="84"/>
      <c r="AA4749" s="84"/>
      <c r="AB4749" s="84"/>
    </row>
    <row r="4750">
      <c r="A4750" s="89"/>
      <c r="B4750" s="89"/>
      <c r="C4750" s="89"/>
      <c r="D4750" s="89"/>
      <c r="E4750" s="89"/>
      <c r="F4750" s="89"/>
      <c r="G4750" s="89"/>
      <c r="H4750" s="2"/>
      <c r="I4750" s="90"/>
      <c r="J4750" s="90"/>
      <c r="K4750" s="2"/>
      <c r="L4750" s="49"/>
      <c r="M4750" s="49"/>
      <c r="N4750" s="49"/>
      <c r="O4750" s="49" t="str">
        <f t="shared" si="2"/>
        <v/>
      </c>
      <c r="P4750" s="49" t="str">
        <f t="shared" si="3"/>
        <v/>
      </c>
      <c r="Q4750" s="84"/>
      <c r="R4750" s="84"/>
      <c r="S4750" s="84"/>
      <c r="T4750" s="84"/>
      <c r="U4750" s="84"/>
      <c r="V4750" s="84"/>
      <c r="W4750" s="84"/>
      <c r="X4750" s="84"/>
      <c r="Y4750" s="84"/>
      <c r="Z4750" s="84"/>
      <c r="AA4750" s="84"/>
      <c r="AB4750" s="84"/>
    </row>
    <row r="4751">
      <c r="A4751" s="89"/>
      <c r="B4751" s="89"/>
      <c r="C4751" s="89"/>
      <c r="D4751" s="89"/>
      <c r="E4751" s="89"/>
      <c r="F4751" s="89"/>
      <c r="G4751" s="89"/>
      <c r="H4751" s="2"/>
      <c r="I4751" s="90"/>
      <c r="J4751" s="90"/>
      <c r="K4751" s="2"/>
      <c r="L4751" s="48"/>
      <c r="M4751" s="48"/>
      <c r="N4751" s="48"/>
      <c r="O4751" s="48" t="str">
        <f t="shared" si="2"/>
        <v/>
      </c>
      <c r="P4751" s="48" t="str">
        <f t="shared" si="3"/>
        <v/>
      </c>
      <c r="Q4751" s="84"/>
      <c r="R4751" s="84"/>
      <c r="S4751" s="84"/>
      <c r="T4751" s="84"/>
      <c r="U4751" s="84"/>
      <c r="V4751" s="84"/>
      <c r="W4751" s="84"/>
      <c r="X4751" s="84"/>
      <c r="Y4751" s="84"/>
      <c r="Z4751" s="84"/>
      <c r="AA4751" s="84"/>
      <c r="AB4751" s="84"/>
    </row>
    <row r="4752">
      <c r="A4752" s="89"/>
      <c r="B4752" s="89"/>
      <c r="C4752" s="89"/>
      <c r="D4752" s="89"/>
      <c r="E4752" s="89"/>
      <c r="F4752" s="89"/>
      <c r="G4752" s="89"/>
      <c r="H4752" s="2"/>
      <c r="I4752" s="90"/>
      <c r="J4752" s="90"/>
      <c r="K4752" s="2"/>
      <c r="L4752" s="49"/>
      <c r="M4752" s="49"/>
      <c r="N4752" s="49"/>
      <c r="O4752" s="49" t="str">
        <f t="shared" si="2"/>
        <v/>
      </c>
      <c r="P4752" s="49" t="str">
        <f t="shared" si="3"/>
        <v/>
      </c>
      <c r="Q4752" s="84"/>
      <c r="R4752" s="84"/>
      <c r="S4752" s="84"/>
      <c r="T4752" s="84"/>
      <c r="U4752" s="84"/>
      <c r="V4752" s="84"/>
      <c r="W4752" s="84"/>
      <c r="X4752" s="84"/>
      <c r="Y4752" s="84"/>
      <c r="Z4752" s="84"/>
      <c r="AA4752" s="84"/>
      <c r="AB4752" s="84"/>
    </row>
    <row r="4753">
      <c r="A4753" s="89"/>
      <c r="B4753" s="89"/>
      <c r="C4753" s="89"/>
      <c r="D4753" s="89"/>
      <c r="E4753" s="89"/>
      <c r="F4753" s="89"/>
      <c r="G4753" s="89"/>
      <c r="H4753" s="2"/>
      <c r="I4753" s="90"/>
      <c r="J4753" s="90"/>
      <c r="K4753" s="2"/>
      <c r="L4753" s="48"/>
      <c r="M4753" s="48"/>
      <c r="N4753" s="48"/>
      <c r="O4753" s="48" t="str">
        <f t="shared" si="2"/>
        <v/>
      </c>
      <c r="P4753" s="48" t="str">
        <f t="shared" si="3"/>
        <v/>
      </c>
      <c r="Q4753" s="84"/>
      <c r="R4753" s="84"/>
      <c r="S4753" s="84"/>
      <c r="T4753" s="84"/>
      <c r="U4753" s="84"/>
      <c r="V4753" s="84"/>
      <c r="W4753" s="84"/>
      <c r="X4753" s="84"/>
      <c r="Y4753" s="84"/>
      <c r="Z4753" s="84"/>
      <c r="AA4753" s="84"/>
      <c r="AB4753" s="84"/>
    </row>
    <row r="4754">
      <c r="A4754" s="89"/>
      <c r="B4754" s="89"/>
      <c r="C4754" s="89"/>
      <c r="D4754" s="89"/>
      <c r="E4754" s="89"/>
      <c r="F4754" s="89"/>
      <c r="G4754" s="89"/>
      <c r="H4754" s="2"/>
      <c r="I4754" s="90"/>
      <c r="J4754" s="90"/>
      <c r="K4754" s="2"/>
      <c r="L4754" s="49"/>
      <c r="M4754" s="49"/>
      <c r="N4754" s="49"/>
      <c r="O4754" s="49" t="str">
        <f t="shared" si="2"/>
        <v/>
      </c>
      <c r="P4754" s="49" t="str">
        <f t="shared" si="3"/>
        <v/>
      </c>
      <c r="Q4754" s="84"/>
      <c r="R4754" s="84"/>
      <c r="S4754" s="84"/>
      <c r="T4754" s="84"/>
      <c r="U4754" s="84"/>
      <c r="V4754" s="84"/>
      <c r="W4754" s="84"/>
      <c r="X4754" s="84"/>
      <c r="Y4754" s="84"/>
      <c r="Z4754" s="84"/>
      <c r="AA4754" s="84"/>
      <c r="AB4754" s="84"/>
    </row>
    <row r="4755">
      <c r="A4755" s="89"/>
      <c r="B4755" s="89"/>
      <c r="C4755" s="89"/>
      <c r="D4755" s="89"/>
      <c r="E4755" s="89"/>
      <c r="F4755" s="89"/>
      <c r="G4755" s="89"/>
      <c r="H4755" s="2"/>
      <c r="I4755" s="90"/>
      <c r="J4755" s="90"/>
      <c r="K4755" s="2"/>
      <c r="L4755" s="48"/>
      <c r="M4755" s="48"/>
      <c r="N4755" s="48"/>
      <c r="O4755" s="48" t="str">
        <f t="shared" si="2"/>
        <v/>
      </c>
      <c r="P4755" s="48" t="str">
        <f t="shared" si="3"/>
        <v/>
      </c>
      <c r="Q4755" s="84"/>
      <c r="R4755" s="84"/>
      <c r="S4755" s="84"/>
      <c r="T4755" s="84"/>
      <c r="U4755" s="84"/>
      <c r="V4755" s="84"/>
      <c r="W4755" s="84"/>
      <c r="X4755" s="84"/>
      <c r="Y4755" s="84"/>
      <c r="Z4755" s="84"/>
      <c r="AA4755" s="84"/>
      <c r="AB4755" s="84"/>
    </row>
    <row r="4756">
      <c r="A4756" s="89"/>
      <c r="B4756" s="89"/>
      <c r="C4756" s="89"/>
      <c r="D4756" s="89"/>
      <c r="E4756" s="89"/>
      <c r="F4756" s="89"/>
      <c r="G4756" s="89"/>
      <c r="H4756" s="2"/>
      <c r="I4756" s="90"/>
      <c r="J4756" s="90"/>
      <c r="K4756" s="2"/>
      <c r="L4756" s="49"/>
      <c r="M4756" s="49"/>
      <c r="N4756" s="49"/>
      <c r="O4756" s="49" t="str">
        <f t="shared" si="2"/>
        <v/>
      </c>
      <c r="P4756" s="49" t="str">
        <f t="shared" si="3"/>
        <v/>
      </c>
      <c r="Q4756" s="84"/>
      <c r="R4756" s="84"/>
      <c r="S4756" s="84"/>
      <c r="T4756" s="84"/>
      <c r="U4756" s="84"/>
      <c r="V4756" s="84"/>
      <c r="W4756" s="84"/>
      <c r="X4756" s="84"/>
      <c r="Y4756" s="84"/>
      <c r="Z4756" s="84"/>
      <c r="AA4756" s="84"/>
      <c r="AB4756" s="84"/>
    </row>
    <row r="4757">
      <c r="A4757" s="89"/>
      <c r="B4757" s="89"/>
      <c r="C4757" s="89"/>
      <c r="D4757" s="89"/>
      <c r="E4757" s="89"/>
      <c r="F4757" s="89"/>
      <c r="G4757" s="89"/>
      <c r="H4757" s="2"/>
      <c r="I4757" s="90"/>
      <c r="J4757" s="90"/>
      <c r="K4757" s="2"/>
      <c r="L4757" s="48"/>
      <c r="M4757" s="48"/>
      <c r="N4757" s="48"/>
      <c r="O4757" s="48" t="str">
        <f t="shared" si="2"/>
        <v/>
      </c>
      <c r="P4757" s="48" t="str">
        <f t="shared" si="3"/>
        <v/>
      </c>
      <c r="Q4757" s="84"/>
      <c r="R4757" s="84"/>
      <c r="S4757" s="84"/>
      <c r="T4757" s="84"/>
      <c r="U4757" s="84"/>
      <c r="V4757" s="84"/>
      <c r="W4757" s="84"/>
      <c r="X4757" s="84"/>
      <c r="Y4757" s="84"/>
      <c r="Z4757" s="84"/>
      <c r="AA4757" s="84"/>
      <c r="AB4757" s="84"/>
    </row>
    <row r="4758">
      <c r="A4758" s="89"/>
      <c r="B4758" s="89"/>
      <c r="C4758" s="89"/>
      <c r="D4758" s="89"/>
      <c r="E4758" s="89"/>
      <c r="F4758" s="89"/>
      <c r="G4758" s="89"/>
      <c r="H4758" s="2"/>
      <c r="I4758" s="90"/>
      <c r="J4758" s="90"/>
      <c r="K4758" s="2"/>
      <c r="L4758" s="49"/>
      <c r="M4758" s="49"/>
      <c r="N4758" s="49"/>
      <c r="O4758" s="49" t="str">
        <f t="shared" si="2"/>
        <v/>
      </c>
      <c r="P4758" s="49" t="str">
        <f t="shared" si="3"/>
        <v/>
      </c>
      <c r="Q4758" s="84"/>
      <c r="R4758" s="84"/>
      <c r="S4758" s="84"/>
      <c r="T4758" s="84"/>
      <c r="U4758" s="84"/>
      <c r="V4758" s="84"/>
      <c r="W4758" s="84"/>
      <c r="X4758" s="84"/>
      <c r="Y4758" s="84"/>
      <c r="Z4758" s="84"/>
      <c r="AA4758" s="84"/>
      <c r="AB4758" s="84"/>
    </row>
    <row r="4759">
      <c r="A4759" s="89"/>
      <c r="B4759" s="89"/>
      <c r="C4759" s="89"/>
      <c r="D4759" s="89"/>
      <c r="E4759" s="89"/>
      <c r="F4759" s="89"/>
      <c r="G4759" s="89"/>
      <c r="H4759" s="2"/>
      <c r="I4759" s="90"/>
      <c r="J4759" s="90"/>
      <c r="K4759" s="2"/>
      <c r="L4759" s="48"/>
      <c r="M4759" s="48"/>
      <c r="N4759" s="48"/>
      <c r="O4759" s="48" t="str">
        <f t="shared" si="2"/>
        <v/>
      </c>
      <c r="P4759" s="48" t="str">
        <f t="shared" si="3"/>
        <v/>
      </c>
      <c r="Q4759" s="84"/>
      <c r="R4759" s="84"/>
      <c r="S4759" s="84"/>
      <c r="T4759" s="84"/>
      <c r="U4759" s="84"/>
      <c r="V4759" s="84"/>
      <c r="W4759" s="84"/>
      <c r="X4759" s="84"/>
      <c r="Y4759" s="84"/>
      <c r="Z4759" s="84"/>
      <c r="AA4759" s="84"/>
      <c r="AB4759" s="84"/>
    </row>
    <row r="4760">
      <c r="A4760" s="89"/>
      <c r="B4760" s="89"/>
      <c r="C4760" s="89"/>
      <c r="D4760" s="89"/>
      <c r="E4760" s="89"/>
      <c r="F4760" s="89"/>
      <c r="G4760" s="89"/>
      <c r="H4760" s="2"/>
      <c r="I4760" s="90"/>
      <c r="J4760" s="90"/>
      <c r="K4760" s="2"/>
      <c r="L4760" s="49"/>
      <c r="M4760" s="49"/>
      <c r="N4760" s="49"/>
      <c r="O4760" s="49" t="str">
        <f t="shared" si="2"/>
        <v/>
      </c>
      <c r="P4760" s="49" t="str">
        <f t="shared" si="3"/>
        <v/>
      </c>
      <c r="Q4760" s="84"/>
      <c r="R4760" s="84"/>
      <c r="S4760" s="84"/>
      <c r="T4760" s="84"/>
      <c r="U4760" s="84"/>
      <c r="V4760" s="84"/>
      <c r="W4760" s="84"/>
      <c r="X4760" s="84"/>
      <c r="Y4760" s="84"/>
      <c r="Z4760" s="84"/>
      <c r="AA4760" s="84"/>
      <c r="AB4760" s="84"/>
    </row>
    <row r="4761">
      <c r="A4761" s="89"/>
      <c r="B4761" s="89"/>
      <c r="C4761" s="89"/>
      <c r="D4761" s="89"/>
      <c r="E4761" s="89"/>
      <c r="F4761" s="89"/>
      <c r="G4761" s="89"/>
      <c r="H4761" s="2"/>
      <c r="I4761" s="90"/>
      <c r="J4761" s="90"/>
      <c r="K4761" s="2"/>
      <c r="L4761" s="48"/>
      <c r="M4761" s="48"/>
      <c r="N4761" s="48"/>
      <c r="O4761" s="48" t="str">
        <f t="shared" si="2"/>
        <v/>
      </c>
      <c r="P4761" s="48" t="str">
        <f t="shared" si="3"/>
        <v/>
      </c>
      <c r="Q4761" s="84"/>
      <c r="R4761" s="84"/>
      <c r="S4761" s="84"/>
      <c r="T4761" s="84"/>
      <c r="U4761" s="84"/>
      <c r="V4761" s="84"/>
      <c r="W4761" s="84"/>
      <c r="X4761" s="84"/>
      <c r="Y4761" s="84"/>
      <c r="Z4761" s="84"/>
      <c r="AA4761" s="84"/>
      <c r="AB4761" s="84"/>
    </row>
    <row r="4762">
      <c r="A4762" s="89"/>
      <c r="B4762" s="89"/>
      <c r="C4762" s="89"/>
      <c r="D4762" s="89"/>
      <c r="E4762" s="89"/>
      <c r="F4762" s="89"/>
      <c r="G4762" s="89"/>
      <c r="H4762" s="2"/>
      <c r="I4762" s="90"/>
      <c r="J4762" s="90"/>
      <c r="K4762" s="2"/>
      <c r="L4762" s="49"/>
      <c r="M4762" s="49"/>
      <c r="N4762" s="49"/>
      <c r="O4762" s="49" t="str">
        <f t="shared" si="2"/>
        <v/>
      </c>
      <c r="P4762" s="49" t="str">
        <f t="shared" si="3"/>
        <v/>
      </c>
      <c r="Q4762" s="84"/>
      <c r="R4762" s="84"/>
      <c r="S4762" s="84"/>
      <c r="T4762" s="84"/>
      <c r="U4762" s="84"/>
      <c r="V4762" s="84"/>
      <c r="W4762" s="84"/>
      <c r="X4762" s="84"/>
      <c r="Y4762" s="84"/>
      <c r="Z4762" s="84"/>
      <c r="AA4762" s="84"/>
      <c r="AB4762" s="84"/>
    </row>
    <row r="4763">
      <c r="A4763" s="89"/>
      <c r="B4763" s="89"/>
      <c r="C4763" s="89"/>
      <c r="D4763" s="89"/>
      <c r="E4763" s="89"/>
      <c r="F4763" s="89"/>
      <c r="G4763" s="89"/>
      <c r="H4763" s="2"/>
      <c r="I4763" s="90"/>
      <c r="J4763" s="90"/>
      <c r="K4763" s="2"/>
      <c r="L4763" s="48"/>
      <c r="M4763" s="48"/>
      <c r="N4763" s="48"/>
      <c r="O4763" s="48" t="str">
        <f t="shared" si="2"/>
        <v/>
      </c>
      <c r="P4763" s="48" t="str">
        <f t="shared" si="3"/>
        <v/>
      </c>
      <c r="Q4763" s="84"/>
      <c r="R4763" s="84"/>
      <c r="S4763" s="84"/>
      <c r="T4763" s="84"/>
      <c r="U4763" s="84"/>
      <c r="V4763" s="84"/>
      <c r="W4763" s="84"/>
      <c r="X4763" s="84"/>
      <c r="Y4763" s="84"/>
      <c r="Z4763" s="84"/>
      <c r="AA4763" s="84"/>
      <c r="AB4763" s="84"/>
    </row>
    <row r="4764">
      <c r="A4764" s="89"/>
      <c r="B4764" s="89"/>
      <c r="C4764" s="89"/>
      <c r="D4764" s="89"/>
      <c r="E4764" s="89"/>
      <c r="F4764" s="89"/>
      <c r="G4764" s="89"/>
      <c r="H4764" s="2"/>
      <c r="I4764" s="90"/>
      <c r="J4764" s="90"/>
      <c r="K4764" s="2"/>
      <c r="L4764" s="49"/>
      <c r="M4764" s="49"/>
      <c r="N4764" s="49"/>
      <c r="O4764" s="49" t="str">
        <f t="shared" si="2"/>
        <v/>
      </c>
      <c r="P4764" s="49" t="str">
        <f t="shared" si="3"/>
        <v/>
      </c>
      <c r="Q4764" s="84"/>
      <c r="R4764" s="84"/>
      <c r="S4764" s="84"/>
      <c r="T4764" s="84"/>
      <c r="U4764" s="84"/>
      <c r="V4764" s="84"/>
      <c r="W4764" s="84"/>
      <c r="X4764" s="84"/>
      <c r="Y4764" s="84"/>
      <c r="Z4764" s="84"/>
      <c r="AA4764" s="84"/>
      <c r="AB4764" s="84"/>
    </row>
    <row r="4765">
      <c r="A4765" s="89"/>
      <c r="B4765" s="89"/>
      <c r="C4765" s="89"/>
      <c r="D4765" s="89"/>
      <c r="E4765" s="89"/>
      <c r="F4765" s="89"/>
      <c r="G4765" s="89"/>
      <c r="H4765" s="2"/>
      <c r="I4765" s="90"/>
      <c r="J4765" s="90"/>
      <c r="K4765" s="2"/>
      <c r="L4765" s="48"/>
      <c r="M4765" s="48"/>
      <c r="N4765" s="48"/>
      <c r="O4765" s="48" t="str">
        <f t="shared" si="2"/>
        <v/>
      </c>
      <c r="P4765" s="48" t="str">
        <f t="shared" si="3"/>
        <v/>
      </c>
      <c r="Q4765" s="84"/>
      <c r="R4765" s="84"/>
      <c r="S4765" s="84"/>
      <c r="T4765" s="84"/>
      <c r="U4765" s="84"/>
      <c r="V4765" s="84"/>
      <c r="W4765" s="84"/>
      <c r="X4765" s="84"/>
      <c r="Y4765" s="84"/>
      <c r="Z4765" s="84"/>
      <c r="AA4765" s="84"/>
      <c r="AB4765" s="84"/>
    </row>
    <row r="4766">
      <c r="A4766" s="89"/>
      <c r="B4766" s="89"/>
      <c r="C4766" s="89"/>
      <c r="D4766" s="89"/>
      <c r="E4766" s="89"/>
      <c r="F4766" s="89"/>
      <c r="G4766" s="89"/>
      <c r="H4766" s="2"/>
      <c r="I4766" s="90"/>
      <c r="J4766" s="90"/>
      <c r="K4766" s="2"/>
      <c r="L4766" s="49"/>
      <c r="M4766" s="49"/>
      <c r="N4766" s="49"/>
      <c r="O4766" s="49" t="str">
        <f t="shared" si="2"/>
        <v/>
      </c>
      <c r="P4766" s="49" t="str">
        <f t="shared" si="3"/>
        <v/>
      </c>
      <c r="Q4766" s="84"/>
      <c r="R4766" s="84"/>
      <c r="S4766" s="84"/>
      <c r="T4766" s="84"/>
      <c r="U4766" s="84"/>
      <c r="V4766" s="84"/>
      <c r="W4766" s="84"/>
      <c r="X4766" s="84"/>
      <c r="Y4766" s="84"/>
      <c r="Z4766" s="84"/>
      <c r="AA4766" s="84"/>
      <c r="AB4766" s="84"/>
    </row>
    <row r="4767">
      <c r="A4767" s="89"/>
      <c r="B4767" s="89"/>
      <c r="C4767" s="89"/>
      <c r="D4767" s="89"/>
      <c r="E4767" s="89"/>
      <c r="F4767" s="89"/>
      <c r="G4767" s="89"/>
      <c r="H4767" s="2"/>
      <c r="I4767" s="90"/>
      <c r="J4767" s="90"/>
      <c r="K4767" s="2"/>
      <c r="L4767" s="48"/>
      <c r="M4767" s="48"/>
      <c r="N4767" s="48"/>
      <c r="O4767" s="48" t="str">
        <f t="shared" si="2"/>
        <v/>
      </c>
      <c r="P4767" s="48" t="str">
        <f t="shared" si="3"/>
        <v/>
      </c>
      <c r="Q4767" s="84"/>
      <c r="R4767" s="84"/>
      <c r="S4767" s="84"/>
      <c r="T4767" s="84"/>
      <c r="U4767" s="84"/>
      <c r="V4767" s="84"/>
      <c r="W4767" s="84"/>
      <c r="X4767" s="84"/>
      <c r="Y4767" s="84"/>
      <c r="Z4767" s="84"/>
      <c r="AA4767" s="84"/>
      <c r="AB4767" s="84"/>
    </row>
    <row r="4768">
      <c r="A4768" s="89"/>
      <c r="B4768" s="89"/>
      <c r="C4768" s="89"/>
      <c r="D4768" s="89"/>
      <c r="E4768" s="89"/>
      <c r="F4768" s="89"/>
      <c r="G4768" s="89"/>
      <c r="H4768" s="2"/>
      <c r="I4768" s="90"/>
      <c r="J4768" s="90"/>
      <c r="K4768" s="2"/>
      <c r="L4768" s="49"/>
      <c r="M4768" s="49"/>
      <c r="N4768" s="49"/>
      <c r="O4768" s="49" t="str">
        <f t="shared" si="2"/>
        <v/>
      </c>
      <c r="P4768" s="49" t="str">
        <f t="shared" si="3"/>
        <v/>
      </c>
      <c r="Q4768" s="84"/>
      <c r="R4768" s="84"/>
      <c r="S4768" s="84"/>
      <c r="T4768" s="84"/>
      <c r="U4768" s="84"/>
      <c r="V4768" s="84"/>
      <c r="W4768" s="84"/>
      <c r="X4768" s="84"/>
      <c r="Y4768" s="84"/>
      <c r="Z4768" s="84"/>
      <c r="AA4768" s="84"/>
      <c r="AB4768" s="84"/>
    </row>
    <row r="4769">
      <c r="A4769" s="89"/>
      <c r="B4769" s="89"/>
      <c r="C4769" s="89"/>
      <c r="D4769" s="89"/>
      <c r="E4769" s="89"/>
      <c r="F4769" s="89"/>
      <c r="G4769" s="89"/>
      <c r="H4769" s="2"/>
      <c r="I4769" s="90"/>
      <c r="J4769" s="90"/>
      <c r="K4769" s="2"/>
      <c r="L4769" s="48"/>
      <c r="M4769" s="48"/>
      <c r="N4769" s="48"/>
      <c r="O4769" s="48" t="str">
        <f t="shared" si="2"/>
        <v/>
      </c>
      <c r="P4769" s="48" t="str">
        <f t="shared" si="3"/>
        <v/>
      </c>
      <c r="Q4769" s="84"/>
      <c r="R4769" s="84"/>
      <c r="S4769" s="84"/>
      <c r="T4769" s="84"/>
      <c r="U4769" s="84"/>
      <c r="V4769" s="84"/>
      <c r="W4769" s="84"/>
      <c r="X4769" s="84"/>
      <c r="Y4769" s="84"/>
      <c r="Z4769" s="84"/>
      <c r="AA4769" s="84"/>
      <c r="AB4769" s="84"/>
    </row>
    <row r="4770">
      <c r="A4770" s="89"/>
      <c r="B4770" s="89"/>
      <c r="C4770" s="89"/>
      <c r="D4770" s="89"/>
      <c r="E4770" s="89"/>
      <c r="F4770" s="89"/>
      <c r="G4770" s="89"/>
      <c r="H4770" s="2"/>
      <c r="I4770" s="90"/>
      <c r="J4770" s="90"/>
      <c r="K4770" s="2"/>
      <c r="L4770" s="49"/>
      <c r="M4770" s="49"/>
      <c r="N4770" s="49"/>
      <c r="O4770" s="49" t="str">
        <f t="shared" si="2"/>
        <v/>
      </c>
      <c r="P4770" s="49" t="str">
        <f t="shared" si="3"/>
        <v/>
      </c>
      <c r="Q4770" s="84"/>
      <c r="R4770" s="84"/>
      <c r="S4770" s="84"/>
      <c r="T4770" s="84"/>
      <c r="U4770" s="84"/>
      <c r="V4770" s="84"/>
      <c r="W4770" s="84"/>
      <c r="X4770" s="84"/>
      <c r="Y4770" s="84"/>
      <c r="Z4770" s="84"/>
      <c r="AA4770" s="84"/>
      <c r="AB4770" s="84"/>
    </row>
    <row r="4771">
      <c r="A4771" s="89"/>
      <c r="B4771" s="89"/>
      <c r="C4771" s="89"/>
      <c r="D4771" s="89"/>
      <c r="E4771" s="89"/>
      <c r="F4771" s="89"/>
      <c r="G4771" s="89"/>
      <c r="H4771" s="2"/>
      <c r="I4771" s="90"/>
      <c r="J4771" s="90"/>
      <c r="K4771" s="2"/>
      <c r="L4771" s="48"/>
      <c r="M4771" s="48"/>
      <c r="N4771" s="48"/>
      <c r="O4771" s="48" t="str">
        <f t="shared" si="2"/>
        <v/>
      </c>
      <c r="P4771" s="48" t="str">
        <f t="shared" si="3"/>
        <v/>
      </c>
      <c r="Q4771" s="84"/>
      <c r="R4771" s="84"/>
      <c r="S4771" s="84"/>
      <c r="T4771" s="84"/>
      <c r="U4771" s="84"/>
      <c r="V4771" s="84"/>
      <c r="W4771" s="84"/>
      <c r="X4771" s="84"/>
      <c r="Y4771" s="84"/>
      <c r="Z4771" s="84"/>
      <c r="AA4771" s="84"/>
      <c r="AB4771" s="84"/>
    </row>
    <row r="4772">
      <c r="A4772" s="89"/>
      <c r="B4772" s="89"/>
      <c r="C4772" s="89"/>
      <c r="D4772" s="89"/>
      <c r="E4772" s="89"/>
      <c r="F4772" s="89"/>
      <c r="G4772" s="89"/>
      <c r="H4772" s="2"/>
      <c r="I4772" s="90"/>
      <c r="J4772" s="90"/>
      <c r="K4772" s="2"/>
      <c r="L4772" s="49"/>
      <c r="M4772" s="49"/>
      <c r="N4772" s="49"/>
      <c r="O4772" s="49" t="str">
        <f t="shared" si="2"/>
        <v/>
      </c>
      <c r="P4772" s="49" t="str">
        <f t="shared" si="3"/>
        <v/>
      </c>
      <c r="Q4772" s="84"/>
      <c r="R4772" s="84"/>
      <c r="S4772" s="84"/>
      <c r="T4772" s="84"/>
      <c r="U4772" s="84"/>
      <c r="V4772" s="84"/>
      <c r="W4772" s="84"/>
      <c r="X4772" s="84"/>
      <c r="Y4772" s="84"/>
      <c r="Z4772" s="84"/>
      <c r="AA4772" s="84"/>
      <c r="AB4772" s="84"/>
    </row>
    <row r="4773">
      <c r="A4773" s="89"/>
      <c r="B4773" s="89"/>
      <c r="C4773" s="89"/>
      <c r="D4773" s="89"/>
      <c r="E4773" s="89"/>
      <c r="F4773" s="89"/>
      <c r="G4773" s="89"/>
      <c r="H4773" s="2"/>
      <c r="I4773" s="90"/>
      <c r="J4773" s="90"/>
      <c r="K4773" s="2"/>
      <c r="L4773" s="48"/>
      <c r="M4773" s="48"/>
      <c r="N4773" s="48"/>
      <c r="O4773" s="48" t="str">
        <f t="shared" si="2"/>
        <v/>
      </c>
      <c r="P4773" s="48" t="str">
        <f t="shared" si="3"/>
        <v/>
      </c>
      <c r="Q4773" s="84"/>
      <c r="R4773" s="84"/>
      <c r="S4773" s="84"/>
      <c r="T4773" s="84"/>
      <c r="U4773" s="84"/>
      <c r="V4773" s="84"/>
      <c r="W4773" s="84"/>
      <c r="X4773" s="84"/>
      <c r="Y4773" s="84"/>
      <c r="Z4773" s="84"/>
      <c r="AA4773" s="84"/>
      <c r="AB4773" s="84"/>
    </row>
    <row r="4774">
      <c r="A4774" s="89"/>
      <c r="B4774" s="89"/>
      <c r="C4774" s="89"/>
      <c r="D4774" s="89"/>
      <c r="E4774" s="89"/>
      <c r="F4774" s="89"/>
      <c r="G4774" s="89"/>
      <c r="H4774" s="2"/>
      <c r="I4774" s="90"/>
      <c r="J4774" s="90"/>
      <c r="K4774" s="2"/>
      <c r="L4774" s="49"/>
      <c r="M4774" s="49"/>
      <c r="N4774" s="49"/>
      <c r="O4774" s="49" t="str">
        <f t="shared" si="2"/>
        <v/>
      </c>
      <c r="P4774" s="49" t="str">
        <f t="shared" si="3"/>
        <v/>
      </c>
      <c r="Q4774" s="84"/>
      <c r="R4774" s="84"/>
      <c r="S4774" s="84"/>
      <c r="T4774" s="84"/>
      <c r="U4774" s="84"/>
      <c r="V4774" s="84"/>
      <c r="W4774" s="84"/>
      <c r="X4774" s="84"/>
      <c r="Y4774" s="84"/>
      <c r="Z4774" s="84"/>
      <c r="AA4774" s="84"/>
      <c r="AB4774" s="84"/>
    </row>
    <row r="4775">
      <c r="A4775" s="89"/>
      <c r="B4775" s="89"/>
      <c r="C4775" s="89"/>
      <c r="D4775" s="89"/>
      <c r="E4775" s="89"/>
      <c r="F4775" s="89"/>
      <c r="G4775" s="89"/>
      <c r="H4775" s="2"/>
      <c r="I4775" s="90"/>
      <c r="J4775" s="90"/>
      <c r="K4775" s="2"/>
      <c r="L4775" s="48"/>
      <c r="M4775" s="48"/>
      <c r="N4775" s="48"/>
      <c r="O4775" s="48" t="str">
        <f t="shared" si="2"/>
        <v/>
      </c>
      <c r="P4775" s="48" t="str">
        <f t="shared" si="3"/>
        <v/>
      </c>
      <c r="Q4775" s="84"/>
      <c r="R4775" s="84"/>
      <c r="S4775" s="84"/>
      <c r="T4775" s="84"/>
      <c r="U4775" s="84"/>
      <c r="V4775" s="84"/>
      <c r="W4775" s="84"/>
      <c r="X4775" s="84"/>
      <c r="Y4775" s="84"/>
      <c r="Z4775" s="84"/>
      <c r="AA4775" s="84"/>
      <c r="AB4775" s="84"/>
    </row>
    <row r="4776">
      <c r="A4776" s="89"/>
      <c r="B4776" s="89"/>
      <c r="C4776" s="89"/>
      <c r="D4776" s="89"/>
      <c r="E4776" s="89"/>
      <c r="F4776" s="89"/>
      <c r="G4776" s="89"/>
      <c r="H4776" s="2"/>
      <c r="I4776" s="90"/>
      <c r="J4776" s="90"/>
      <c r="K4776" s="2"/>
      <c r="L4776" s="49"/>
      <c r="M4776" s="49"/>
      <c r="N4776" s="49"/>
      <c r="O4776" s="49" t="str">
        <f t="shared" si="2"/>
        <v/>
      </c>
      <c r="P4776" s="49" t="str">
        <f t="shared" si="3"/>
        <v/>
      </c>
      <c r="Q4776" s="84"/>
      <c r="R4776" s="84"/>
      <c r="S4776" s="84"/>
      <c r="T4776" s="84"/>
      <c r="U4776" s="84"/>
      <c r="V4776" s="84"/>
      <c r="W4776" s="84"/>
      <c r="X4776" s="84"/>
      <c r="Y4776" s="84"/>
      <c r="Z4776" s="84"/>
      <c r="AA4776" s="84"/>
      <c r="AB4776" s="84"/>
    </row>
    <row r="4777">
      <c r="A4777" s="89"/>
      <c r="B4777" s="89"/>
      <c r="C4777" s="89"/>
      <c r="D4777" s="89"/>
      <c r="E4777" s="89"/>
      <c r="F4777" s="89"/>
      <c r="G4777" s="89"/>
      <c r="H4777" s="2"/>
      <c r="I4777" s="90"/>
      <c r="J4777" s="90"/>
      <c r="K4777" s="2"/>
      <c r="L4777" s="48"/>
      <c r="M4777" s="48"/>
      <c r="N4777" s="48"/>
      <c r="O4777" s="48" t="str">
        <f t="shared" si="2"/>
        <v/>
      </c>
      <c r="P4777" s="48" t="str">
        <f t="shared" si="3"/>
        <v/>
      </c>
      <c r="Q4777" s="84"/>
      <c r="R4777" s="84"/>
      <c r="S4777" s="84"/>
      <c r="T4777" s="84"/>
      <c r="U4777" s="84"/>
      <c r="V4777" s="84"/>
      <c r="W4777" s="84"/>
      <c r="X4777" s="84"/>
      <c r="Y4777" s="84"/>
      <c r="Z4777" s="84"/>
      <c r="AA4777" s="84"/>
      <c r="AB4777" s="84"/>
    </row>
    <row r="4778">
      <c r="A4778" s="89"/>
      <c r="B4778" s="89"/>
      <c r="C4778" s="89"/>
      <c r="D4778" s="89"/>
      <c r="E4778" s="89"/>
      <c r="F4778" s="89"/>
      <c r="G4778" s="89"/>
      <c r="H4778" s="2"/>
      <c r="I4778" s="90"/>
      <c r="J4778" s="90"/>
      <c r="K4778" s="2"/>
      <c r="L4778" s="49"/>
      <c r="M4778" s="49"/>
      <c r="N4778" s="49"/>
      <c r="O4778" s="49" t="str">
        <f t="shared" si="2"/>
        <v/>
      </c>
      <c r="P4778" s="49" t="str">
        <f t="shared" si="3"/>
        <v/>
      </c>
      <c r="Q4778" s="84"/>
      <c r="R4778" s="84"/>
      <c r="S4778" s="84"/>
      <c r="T4778" s="84"/>
      <c r="U4778" s="84"/>
      <c r="V4778" s="84"/>
      <c r="W4778" s="84"/>
      <c r="X4778" s="84"/>
      <c r="Y4778" s="84"/>
      <c r="Z4778" s="84"/>
      <c r="AA4778" s="84"/>
      <c r="AB4778" s="84"/>
    </row>
    <row r="4779">
      <c r="A4779" s="89"/>
      <c r="B4779" s="89"/>
      <c r="C4779" s="89"/>
      <c r="D4779" s="89"/>
      <c r="E4779" s="89"/>
      <c r="F4779" s="89"/>
      <c r="G4779" s="89"/>
      <c r="H4779" s="2"/>
      <c r="I4779" s="90"/>
      <c r="J4779" s="90"/>
      <c r="K4779" s="2"/>
      <c r="L4779" s="48"/>
      <c r="M4779" s="48"/>
      <c r="N4779" s="48"/>
      <c r="O4779" s="48" t="str">
        <f t="shared" si="2"/>
        <v/>
      </c>
      <c r="P4779" s="48" t="str">
        <f t="shared" si="3"/>
        <v/>
      </c>
      <c r="Q4779" s="84"/>
      <c r="R4779" s="84"/>
      <c r="S4779" s="84"/>
      <c r="T4779" s="84"/>
      <c r="U4779" s="84"/>
      <c r="V4779" s="84"/>
      <c r="W4779" s="84"/>
      <c r="X4779" s="84"/>
      <c r="Y4779" s="84"/>
      <c r="Z4779" s="84"/>
      <c r="AA4779" s="84"/>
      <c r="AB4779" s="84"/>
    </row>
    <row r="4780">
      <c r="A4780" s="89"/>
      <c r="B4780" s="89"/>
      <c r="C4780" s="89"/>
      <c r="D4780" s="89"/>
      <c r="E4780" s="89"/>
      <c r="F4780" s="89"/>
      <c r="G4780" s="89"/>
      <c r="H4780" s="2"/>
      <c r="I4780" s="90"/>
      <c r="J4780" s="90"/>
      <c r="K4780" s="2"/>
      <c r="L4780" s="49"/>
      <c r="M4780" s="49"/>
      <c r="N4780" s="49"/>
      <c r="O4780" s="49" t="str">
        <f t="shared" si="2"/>
        <v/>
      </c>
      <c r="P4780" s="49" t="str">
        <f t="shared" si="3"/>
        <v/>
      </c>
      <c r="Q4780" s="84"/>
      <c r="R4780" s="84"/>
      <c r="S4780" s="84"/>
      <c r="T4780" s="84"/>
      <c r="U4780" s="84"/>
      <c r="V4780" s="84"/>
      <c r="W4780" s="84"/>
      <c r="X4780" s="84"/>
      <c r="Y4780" s="84"/>
      <c r="Z4780" s="84"/>
      <c r="AA4780" s="84"/>
      <c r="AB4780" s="84"/>
    </row>
    <row r="4781">
      <c r="A4781" s="89"/>
      <c r="B4781" s="89"/>
      <c r="C4781" s="89"/>
      <c r="D4781" s="89"/>
      <c r="E4781" s="89"/>
      <c r="F4781" s="89"/>
      <c r="G4781" s="89"/>
      <c r="H4781" s="2"/>
      <c r="I4781" s="90"/>
      <c r="J4781" s="90"/>
      <c r="K4781" s="2"/>
      <c r="L4781" s="48"/>
      <c r="M4781" s="48"/>
      <c r="N4781" s="48"/>
      <c r="O4781" s="48" t="str">
        <f t="shared" si="2"/>
        <v/>
      </c>
      <c r="P4781" s="48" t="str">
        <f t="shared" si="3"/>
        <v/>
      </c>
      <c r="Q4781" s="84"/>
      <c r="R4781" s="84"/>
      <c r="S4781" s="84"/>
      <c r="T4781" s="84"/>
      <c r="U4781" s="84"/>
      <c r="V4781" s="84"/>
      <c r="W4781" s="84"/>
      <c r="X4781" s="84"/>
      <c r="Y4781" s="84"/>
      <c r="Z4781" s="84"/>
      <c r="AA4781" s="84"/>
      <c r="AB4781" s="84"/>
    </row>
    <row r="4782">
      <c r="A4782" s="89"/>
      <c r="B4782" s="89"/>
      <c r="C4782" s="89"/>
      <c r="D4782" s="89"/>
      <c r="E4782" s="89"/>
      <c r="F4782" s="89"/>
      <c r="G4782" s="89"/>
      <c r="H4782" s="2"/>
      <c r="I4782" s="90"/>
      <c r="J4782" s="90"/>
      <c r="K4782" s="2"/>
      <c r="L4782" s="49"/>
      <c r="M4782" s="49"/>
      <c r="N4782" s="49"/>
      <c r="O4782" s="49" t="str">
        <f t="shared" si="2"/>
        <v/>
      </c>
      <c r="P4782" s="49" t="str">
        <f t="shared" si="3"/>
        <v/>
      </c>
      <c r="Q4782" s="84"/>
      <c r="R4782" s="84"/>
      <c r="S4782" s="84"/>
      <c r="T4782" s="84"/>
      <c r="U4782" s="84"/>
      <c r="V4782" s="84"/>
      <c r="W4782" s="84"/>
      <c r="X4782" s="84"/>
      <c r="Y4782" s="84"/>
      <c r="Z4782" s="84"/>
      <c r="AA4782" s="84"/>
      <c r="AB4782" s="84"/>
    </row>
    <row r="4783">
      <c r="A4783" s="89"/>
      <c r="B4783" s="89"/>
      <c r="C4783" s="89"/>
      <c r="D4783" s="89"/>
      <c r="E4783" s="89"/>
      <c r="F4783" s="89"/>
      <c r="G4783" s="89"/>
      <c r="H4783" s="2"/>
      <c r="I4783" s="90"/>
      <c r="J4783" s="90"/>
      <c r="K4783" s="2"/>
      <c r="L4783" s="48"/>
      <c r="M4783" s="48"/>
      <c r="N4783" s="48"/>
      <c r="O4783" s="48" t="str">
        <f t="shared" si="2"/>
        <v/>
      </c>
      <c r="P4783" s="48" t="str">
        <f t="shared" si="3"/>
        <v/>
      </c>
      <c r="Q4783" s="84"/>
      <c r="R4783" s="84"/>
      <c r="S4783" s="84"/>
      <c r="T4783" s="84"/>
      <c r="U4783" s="84"/>
      <c r="V4783" s="84"/>
      <c r="W4783" s="84"/>
      <c r="X4783" s="84"/>
      <c r="Y4783" s="84"/>
      <c r="Z4783" s="84"/>
      <c r="AA4783" s="84"/>
      <c r="AB4783" s="84"/>
    </row>
    <row r="4784">
      <c r="A4784" s="89"/>
      <c r="B4784" s="89"/>
      <c r="C4784" s="89"/>
      <c r="D4784" s="89"/>
      <c r="E4784" s="89"/>
      <c r="F4784" s="89"/>
      <c r="G4784" s="89"/>
      <c r="H4784" s="2"/>
      <c r="I4784" s="90"/>
      <c r="J4784" s="90"/>
      <c r="K4784" s="2"/>
      <c r="L4784" s="49"/>
      <c r="M4784" s="49"/>
      <c r="N4784" s="49"/>
      <c r="O4784" s="49" t="str">
        <f t="shared" si="2"/>
        <v/>
      </c>
      <c r="P4784" s="49" t="str">
        <f t="shared" si="3"/>
        <v/>
      </c>
      <c r="Q4784" s="84"/>
      <c r="R4784" s="84"/>
      <c r="S4784" s="84"/>
      <c r="T4784" s="84"/>
      <c r="U4784" s="84"/>
      <c r="V4784" s="84"/>
      <c r="W4784" s="84"/>
      <c r="X4784" s="84"/>
      <c r="Y4784" s="84"/>
      <c r="Z4784" s="84"/>
      <c r="AA4784" s="84"/>
      <c r="AB4784" s="84"/>
    </row>
    <row r="4785">
      <c r="A4785" s="89"/>
      <c r="B4785" s="89"/>
      <c r="C4785" s="89"/>
      <c r="D4785" s="89"/>
      <c r="E4785" s="89"/>
      <c r="F4785" s="89"/>
      <c r="G4785" s="89"/>
      <c r="H4785" s="2"/>
      <c r="I4785" s="90"/>
      <c r="J4785" s="90"/>
      <c r="K4785" s="2"/>
      <c r="L4785" s="48"/>
      <c r="M4785" s="48"/>
      <c r="N4785" s="48"/>
      <c r="O4785" s="48" t="str">
        <f t="shared" si="2"/>
        <v/>
      </c>
      <c r="P4785" s="48" t="str">
        <f t="shared" si="3"/>
        <v/>
      </c>
      <c r="Q4785" s="84"/>
      <c r="R4785" s="84"/>
      <c r="S4785" s="84"/>
      <c r="T4785" s="84"/>
      <c r="U4785" s="84"/>
      <c r="V4785" s="84"/>
      <c r="W4785" s="84"/>
      <c r="X4785" s="84"/>
      <c r="Y4785" s="84"/>
      <c r="Z4785" s="84"/>
      <c r="AA4785" s="84"/>
      <c r="AB4785" s="84"/>
    </row>
    <row r="4786">
      <c r="A4786" s="89"/>
      <c r="B4786" s="89"/>
      <c r="C4786" s="89"/>
      <c r="D4786" s="89"/>
      <c r="E4786" s="89"/>
      <c r="F4786" s="89"/>
      <c r="G4786" s="89"/>
      <c r="H4786" s="2"/>
      <c r="I4786" s="90"/>
      <c r="J4786" s="90"/>
      <c r="K4786" s="2"/>
      <c r="L4786" s="49"/>
      <c r="M4786" s="49"/>
      <c r="N4786" s="49"/>
      <c r="O4786" s="49" t="str">
        <f t="shared" si="2"/>
        <v/>
      </c>
      <c r="P4786" s="49" t="str">
        <f t="shared" si="3"/>
        <v/>
      </c>
      <c r="Q4786" s="84"/>
      <c r="R4786" s="84"/>
      <c r="S4786" s="84"/>
      <c r="T4786" s="84"/>
      <c r="U4786" s="84"/>
      <c r="V4786" s="84"/>
      <c r="W4786" s="84"/>
      <c r="X4786" s="84"/>
      <c r="Y4786" s="84"/>
      <c r="Z4786" s="84"/>
      <c r="AA4786" s="84"/>
      <c r="AB4786" s="84"/>
    </row>
    <row r="4787">
      <c r="A4787" s="89"/>
      <c r="B4787" s="89"/>
      <c r="C4787" s="89"/>
      <c r="D4787" s="89"/>
      <c r="E4787" s="89"/>
      <c r="F4787" s="89"/>
      <c r="G4787" s="89"/>
      <c r="H4787" s="2"/>
      <c r="I4787" s="90"/>
      <c r="J4787" s="90"/>
      <c r="K4787" s="2"/>
      <c r="L4787" s="48"/>
      <c r="M4787" s="48"/>
      <c r="N4787" s="48"/>
      <c r="O4787" s="48" t="str">
        <f t="shared" si="2"/>
        <v/>
      </c>
      <c r="P4787" s="48" t="str">
        <f t="shared" si="3"/>
        <v/>
      </c>
      <c r="Q4787" s="84"/>
      <c r="R4787" s="84"/>
      <c r="S4787" s="84"/>
      <c r="T4787" s="84"/>
      <c r="U4787" s="84"/>
      <c r="V4787" s="84"/>
      <c r="W4787" s="84"/>
      <c r="X4787" s="84"/>
      <c r="Y4787" s="84"/>
      <c r="Z4787" s="84"/>
      <c r="AA4787" s="84"/>
      <c r="AB4787" s="84"/>
    </row>
    <row r="4788">
      <c r="A4788" s="89"/>
      <c r="B4788" s="89"/>
      <c r="C4788" s="89"/>
      <c r="D4788" s="89"/>
      <c r="E4788" s="89"/>
      <c r="F4788" s="89"/>
      <c r="G4788" s="89"/>
      <c r="H4788" s="2"/>
      <c r="I4788" s="90"/>
      <c r="J4788" s="90"/>
      <c r="K4788" s="2"/>
      <c r="L4788" s="49"/>
      <c r="M4788" s="49"/>
      <c r="N4788" s="49"/>
      <c r="O4788" s="49" t="str">
        <f t="shared" si="2"/>
        <v/>
      </c>
      <c r="P4788" s="49" t="str">
        <f t="shared" si="3"/>
        <v/>
      </c>
      <c r="Q4788" s="84"/>
      <c r="R4788" s="84"/>
      <c r="S4788" s="84"/>
      <c r="T4788" s="84"/>
      <c r="U4788" s="84"/>
      <c r="V4788" s="84"/>
      <c r="W4788" s="84"/>
      <c r="X4788" s="84"/>
      <c r="Y4788" s="84"/>
      <c r="Z4788" s="84"/>
      <c r="AA4788" s="84"/>
      <c r="AB4788" s="84"/>
    </row>
    <row r="4789">
      <c r="A4789" s="89"/>
      <c r="B4789" s="89"/>
      <c r="C4789" s="89"/>
      <c r="D4789" s="89"/>
      <c r="E4789" s="89"/>
      <c r="F4789" s="89"/>
      <c r="G4789" s="89"/>
      <c r="H4789" s="2"/>
      <c r="I4789" s="90"/>
      <c r="J4789" s="90"/>
      <c r="K4789" s="2"/>
      <c r="L4789" s="48"/>
      <c r="M4789" s="48"/>
      <c r="N4789" s="48"/>
      <c r="O4789" s="48" t="str">
        <f t="shared" si="2"/>
        <v/>
      </c>
      <c r="P4789" s="48" t="str">
        <f t="shared" si="3"/>
        <v/>
      </c>
      <c r="Q4789" s="84"/>
      <c r="R4789" s="84"/>
      <c r="S4789" s="84"/>
      <c r="T4789" s="84"/>
      <c r="U4789" s="84"/>
      <c r="V4789" s="84"/>
      <c r="W4789" s="84"/>
      <c r="X4789" s="84"/>
      <c r="Y4789" s="84"/>
      <c r="Z4789" s="84"/>
      <c r="AA4789" s="84"/>
      <c r="AB4789" s="84"/>
    </row>
    <row r="4790">
      <c r="A4790" s="89"/>
      <c r="B4790" s="89"/>
      <c r="C4790" s="89"/>
      <c r="D4790" s="89"/>
      <c r="E4790" s="89"/>
      <c r="F4790" s="89"/>
      <c r="G4790" s="89"/>
      <c r="H4790" s="2"/>
      <c r="I4790" s="90"/>
      <c r="J4790" s="90"/>
      <c r="K4790" s="2"/>
      <c r="L4790" s="49"/>
      <c r="M4790" s="49"/>
      <c r="N4790" s="49"/>
      <c r="O4790" s="49" t="str">
        <f t="shared" si="2"/>
        <v/>
      </c>
      <c r="P4790" s="49" t="str">
        <f t="shared" si="3"/>
        <v/>
      </c>
      <c r="Q4790" s="84"/>
      <c r="R4790" s="84"/>
      <c r="S4790" s="84"/>
      <c r="T4790" s="84"/>
      <c r="U4790" s="84"/>
      <c r="V4790" s="84"/>
      <c r="W4790" s="84"/>
      <c r="X4790" s="84"/>
      <c r="Y4790" s="84"/>
      <c r="Z4790" s="84"/>
      <c r="AA4790" s="84"/>
      <c r="AB4790" s="84"/>
    </row>
    <row r="4791">
      <c r="A4791" s="89"/>
      <c r="B4791" s="89"/>
      <c r="C4791" s="89"/>
      <c r="D4791" s="89"/>
      <c r="E4791" s="89"/>
      <c r="F4791" s="89"/>
      <c r="G4791" s="89"/>
      <c r="H4791" s="2"/>
      <c r="I4791" s="90"/>
      <c r="J4791" s="90"/>
      <c r="K4791" s="2"/>
      <c r="L4791" s="48"/>
      <c r="M4791" s="48"/>
      <c r="N4791" s="48"/>
      <c r="O4791" s="48" t="str">
        <f t="shared" si="2"/>
        <v/>
      </c>
      <c r="P4791" s="48" t="str">
        <f t="shared" si="3"/>
        <v/>
      </c>
      <c r="Q4791" s="84"/>
      <c r="R4791" s="84"/>
      <c r="S4791" s="84"/>
      <c r="T4791" s="84"/>
      <c r="U4791" s="84"/>
      <c r="V4791" s="84"/>
      <c r="W4791" s="84"/>
      <c r="X4791" s="84"/>
      <c r="Y4791" s="84"/>
      <c r="Z4791" s="84"/>
      <c r="AA4791" s="84"/>
      <c r="AB4791" s="84"/>
    </row>
    <row r="4792">
      <c r="A4792" s="89"/>
      <c r="B4792" s="89"/>
      <c r="C4792" s="89"/>
      <c r="D4792" s="89"/>
      <c r="E4792" s="89"/>
      <c r="F4792" s="89"/>
      <c r="G4792" s="89"/>
      <c r="H4792" s="2"/>
      <c r="I4792" s="90"/>
      <c r="J4792" s="90"/>
      <c r="K4792" s="2"/>
      <c r="L4792" s="49"/>
      <c r="M4792" s="49"/>
      <c r="N4792" s="49"/>
      <c r="O4792" s="49" t="str">
        <f t="shared" si="2"/>
        <v/>
      </c>
      <c r="P4792" s="49" t="str">
        <f t="shared" si="3"/>
        <v/>
      </c>
      <c r="Q4792" s="84"/>
      <c r="R4792" s="84"/>
      <c r="S4792" s="84"/>
      <c r="T4792" s="84"/>
      <c r="U4792" s="84"/>
      <c r="V4792" s="84"/>
      <c r="W4792" s="84"/>
      <c r="X4792" s="84"/>
      <c r="Y4792" s="84"/>
      <c r="Z4792" s="84"/>
      <c r="AA4792" s="84"/>
      <c r="AB4792" s="84"/>
    </row>
    <row r="4793">
      <c r="A4793" s="89"/>
      <c r="B4793" s="89"/>
      <c r="C4793" s="89"/>
      <c r="D4793" s="89"/>
      <c r="E4793" s="89"/>
      <c r="F4793" s="89"/>
      <c r="G4793" s="89"/>
      <c r="H4793" s="2"/>
      <c r="I4793" s="90"/>
      <c r="J4793" s="90"/>
      <c r="K4793" s="2"/>
      <c r="L4793" s="48"/>
      <c r="M4793" s="48"/>
      <c r="N4793" s="48"/>
      <c r="O4793" s="48" t="str">
        <f t="shared" si="2"/>
        <v/>
      </c>
      <c r="P4793" s="48" t="str">
        <f t="shared" si="3"/>
        <v/>
      </c>
      <c r="Q4793" s="84"/>
      <c r="R4793" s="84"/>
      <c r="S4793" s="84"/>
      <c r="T4793" s="84"/>
      <c r="U4793" s="84"/>
      <c r="V4793" s="84"/>
      <c r="W4793" s="84"/>
      <c r="X4793" s="84"/>
      <c r="Y4793" s="84"/>
      <c r="Z4793" s="84"/>
      <c r="AA4793" s="84"/>
      <c r="AB4793" s="84"/>
    </row>
    <row r="4794">
      <c r="A4794" s="89"/>
      <c r="B4794" s="89"/>
      <c r="C4794" s="89"/>
      <c r="D4794" s="89"/>
      <c r="E4794" s="89"/>
      <c r="F4794" s="89"/>
      <c r="G4794" s="89"/>
      <c r="H4794" s="2"/>
      <c r="I4794" s="90"/>
      <c r="J4794" s="90"/>
      <c r="K4794" s="2"/>
      <c r="L4794" s="49"/>
      <c r="M4794" s="49"/>
      <c r="N4794" s="49"/>
      <c r="O4794" s="49" t="str">
        <f t="shared" si="2"/>
        <v/>
      </c>
      <c r="P4794" s="49" t="str">
        <f t="shared" si="3"/>
        <v/>
      </c>
      <c r="Q4794" s="84"/>
      <c r="R4794" s="84"/>
      <c r="S4794" s="84"/>
      <c r="T4794" s="84"/>
      <c r="U4794" s="84"/>
      <c r="V4794" s="84"/>
      <c r="W4794" s="84"/>
      <c r="X4794" s="84"/>
      <c r="Y4794" s="84"/>
      <c r="Z4794" s="84"/>
      <c r="AA4794" s="84"/>
      <c r="AB4794" s="84"/>
    </row>
    <row r="4795">
      <c r="A4795" s="89"/>
      <c r="B4795" s="89"/>
      <c r="C4795" s="89"/>
      <c r="D4795" s="89"/>
      <c r="E4795" s="89"/>
      <c r="F4795" s="89"/>
      <c r="G4795" s="89"/>
      <c r="H4795" s="2"/>
      <c r="I4795" s="90"/>
      <c r="J4795" s="90"/>
      <c r="K4795" s="2"/>
      <c r="L4795" s="48"/>
      <c r="M4795" s="48"/>
      <c r="N4795" s="48"/>
      <c r="O4795" s="48" t="str">
        <f t="shared" si="2"/>
        <v/>
      </c>
      <c r="P4795" s="48" t="str">
        <f t="shared" si="3"/>
        <v/>
      </c>
      <c r="Q4795" s="84"/>
      <c r="R4795" s="84"/>
      <c r="S4795" s="84"/>
      <c r="T4795" s="84"/>
      <c r="U4795" s="84"/>
      <c r="V4795" s="84"/>
      <c r="W4795" s="84"/>
      <c r="X4795" s="84"/>
      <c r="Y4795" s="84"/>
      <c r="Z4795" s="84"/>
      <c r="AA4795" s="84"/>
      <c r="AB4795" s="84"/>
    </row>
    <row r="4796">
      <c r="A4796" s="89"/>
      <c r="B4796" s="89"/>
      <c r="C4796" s="89"/>
      <c r="D4796" s="89"/>
      <c r="E4796" s="89"/>
      <c r="F4796" s="89"/>
      <c r="G4796" s="89"/>
      <c r="H4796" s="2"/>
      <c r="I4796" s="90"/>
      <c r="J4796" s="90"/>
      <c r="K4796" s="2"/>
      <c r="L4796" s="49"/>
      <c r="M4796" s="49"/>
      <c r="N4796" s="49"/>
      <c r="O4796" s="49" t="str">
        <f t="shared" si="2"/>
        <v/>
      </c>
      <c r="P4796" s="49" t="str">
        <f t="shared" si="3"/>
        <v/>
      </c>
      <c r="Q4796" s="84"/>
      <c r="R4796" s="84"/>
      <c r="S4796" s="84"/>
      <c r="T4796" s="84"/>
      <c r="U4796" s="84"/>
      <c r="V4796" s="84"/>
      <c r="W4796" s="84"/>
      <c r="X4796" s="84"/>
      <c r="Y4796" s="84"/>
      <c r="Z4796" s="84"/>
      <c r="AA4796" s="84"/>
      <c r="AB4796" s="84"/>
    </row>
    <row r="4797">
      <c r="A4797" s="89"/>
      <c r="B4797" s="89"/>
      <c r="C4797" s="89"/>
      <c r="D4797" s="89"/>
      <c r="E4797" s="89"/>
      <c r="F4797" s="89"/>
      <c r="G4797" s="89"/>
      <c r="H4797" s="2"/>
      <c r="I4797" s="90"/>
      <c r="J4797" s="90"/>
      <c r="K4797" s="2"/>
      <c r="L4797" s="48"/>
      <c r="M4797" s="48"/>
      <c r="N4797" s="48"/>
      <c r="O4797" s="48" t="str">
        <f t="shared" si="2"/>
        <v/>
      </c>
      <c r="P4797" s="48" t="str">
        <f t="shared" si="3"/>
        <v/>
      </c>
      <c r="Q4797" s="84"/>
      <c r="R4797" s="84"/>
      <c r="S4797" s="84"/>
      <c r="T4797" s="84"/>
      <c r="U4797" s="84"/>
      <c r="V4797" s="84"/>
      <c r="W4797" s="84"/>
      <c r="X4797" s="84"/>
      <c r="Y4797" s="84"/>
      <c r="Z4797" s="84"/>
      <c r="AA4797" s="84"/>
      <c r="AB4797" s="84"/>
    </row>
    <row r="4798">
      <c r="A4798" s="89"/>
      <c r="B4798" s="89"/>
      <c r="C4798" s="89"/>
      <c r="D4798" s="89"/>
      <c r="E4798" s="89"/>
      <c r="F4798" s="89"/>
      <c r="G4798" s="89"/>
      <c r="H4798" s="2"/>
      <c r="I4798" s="90"/>
      <c r="J4798" s="90"/>
      <c r="K4798" s="2"/>
      <c r="L4798" s="49"/>
      <c r="M4798" s="49"/>
      <c r="N4798" s="49"/>
      <c r="O4798" s="49" t="str">
        <f t="shared" si="2"/>
        <v/>
      </c>
      <c r="P4798" s="49" t="str">
        <f t="shared" si="3"/>
        <v/>
      </c>
      <c r="Q4798" s="84"/>
      <c r="R4798" s="84"/>
      <c r="S4798" s="84"/>
      <c r="T4798" s="84"/>
      <c r="U4798" s="84"/>
      <c r="V4798" s="84"/>
      <c r="W4798" s="84"/>
      <c r="X4798" s="84"/>
      <c r="Y4798" s="84"/>
      <c r="Z4798" s="84"/>
      <c r="AA4798" s="84"/>
      <c r="AB4798" s="84"/>
    </row>
    <row r="4799">
      <c r="A4799" s="89"/>
      <c r="B4799" s="89"/>
      <c r="C4799" s="89"/>
      <c r="D4799" s="89"/>
      <c r="E4799" s="89"/>
      <c r="F4799" s="89"/>
      <c r="G4799" s="89"/>
      <c r="H4799" s="2"/>
      <c r="I4799" s="90"/>
      <c r="J4799" s="90"/>
      <c r="K4799" s="2"/>
      <c r="L4799" s="48"/>
      <c r="M4799" s="48"/>
      <c r="N4799" s="48"/>
      <c r="O4799" s="48" t="str">
        <f t="shared" si="2"/>
        <v/>
      </c>
      <c r="P4799" s="48" t="str">
        <f t="shared" si="3"/>
        <v/>
      </c>
      <c r="Q4799" s="84"/>
      <c r="R4799" s="84"/>
      <c r="S4799" s="84"/>
      <c r="T4799" s="84"/>
      <c r="U4799" s="84"/>
      <c r="V4799" s="84"/>
      <c r="W4799" s="84"/>
      <c r="X4799" s="84"/>
      <c r="Y4799" s="84"/>
      <c r="Z4799" s="84"/>
      <c r="AA4799" s="84"/>
      <c r="AB4799" s="84"/>
    </row>
    <row r="4800">
      <c r="A4800" s="89"/>
      <c r="B4800" s="89"/>
      <c r="C4800" s="89"/>
      <c r="D4800" s="89"/>
      <c r="E4800" s="89"/>
      <c r="F4800" s="89"/>
      <c r="G4800" s="89"/>
      <c r="H4800" s="2"/>
      <c r="I4800" s="90"/>
      <c r="J4800" s="90"/>
      <c r="K4800" s="2"/>
      <c r="L4800" s="49"/>
      <c r="M4800" s="49"/>
      <c r="N4800" s="49"/>
      <c r="O4800" s="49" t="str">
        <f t="shared" si="2"/>
        <v/>
      </c>
      <c r="P4800" s="49" t="str">
        <f t="shared" si="3"/>
        <v/>
      </c>
      <c r="Q4800" s="84"/>
      <c r="R4800" s="84"/>
      <c r="S4800" s="84"/>
      <c r="T4800" s="84"/>
      <c r="U4800" s="84"/>
      <c r="V4800" s="84"/>
      <c r="W4800" s="84"/>
      <c r="X4800" s="84"/>
      <c r="Y4800" s="84"/>
      <c r="Z4800" s="84"/>
      <c r="AA4800" s="84"/>
      <c r="AB4800" s="84"/>
    </row>
    <row r="4801">
      <c r="A4801" s="89"/>
      <c r="B4801" s="89"/>
      <c r="C4801" s="89"/>
      <c r="D4801" s="89"/>
      <c r="E4801" s="89"/>
      <c r="F4801" s="89"/>
      <c r="G4801" s="89"/>
      <c r="H4801" s="2"/>
      <c r="I4801" s="90"/>
      <c r="J4801" s="90"/>
      <c r="K4801" s="2"/>
      <c r="L4801" s="48"/>
      <c r="M4801" s="48"/>
      <c r="N4801" s="48"/>
      <c r="O4801" s="48" t="str">
        <f t="shared" si="2"/>
        <v/>
      </c>
      <c r="P4801" s="48" t="str">
        <f t="shared" si="3"/>
        <v/>
      </c>
      <c r="Q4801" s="84"/>
      <c r="R4801" s="84"/>
      <c r="S4801" s="84"/>
      <c r="T4801" s="84"/>
      <c r="U4801" s="84"/>
      <c r="V4801" s="84"/>
      <c r="W4801" s="84"/>
      <c r="X4801" s="84"/>
      <c r="Y4801" s="84"/>
      <c r="Z4801" s="84"/>
      <c r="AA4801" s="84"/>
      <c r="AB4801" s="84"/>
    </row>
    <row r="4802">
      <c r="A4802" s="89"/>
      <c r="B4802" s="89"/>
      <c r="C4802" s="89"/>
      <c r="D4802" s="89"/>
      <c r="E4802" s="89"/>
      <c r="F4802" s="89"/>
      <c r="G4802" s="89"/>
      <c r="H4802" s="2"/>
      <c r="I4802" s="90"/>
      <c r="J4802" s="90"/>
      <c r="K4802" s="2"/>
      <c r="L4802" s="49"/>
      <c r="M4802" s="49"/>
      <c r="N4802" s="49"/>
      <c r="O4802" s="49" t="str">
        <f t="shared" si="2"/>
        <v/>
      </c>
      <c r="P4802" s="49" t="str">
        <f t="shared" si="3"/>
        <v/>
      </c>
      <c r="Q4802" s="84"/>
      <c r="R4802" s="84"/>
      <c r="S4802" s="84"/>
      <c r="T4802" s="84"/>
      <c r="U4802" s="84"/>
      <c r="V4802" s="84"/>
      <c r="W4802" s="84"/>
      <c r="X4802" s="84"/>
      <c r="Y4802" s="84"/>
      <c r="Z4802" s="84"/>
      <c r="AA4802" s="84"/>
      <c r="AB4802" s="84"/>
    </row>
    <row r="4803">
      <c r="A4803" s="89"/>
      <c r="B4803" s="89"/>
      <c r="C4803" s="89"/>
      <c r="D4803" s="89"/>
      <c r="E4803" s="89"/>
      <c r="F4803" s="89"/>
      <c r="G4803" s="89"/>
      <c r="H4803" s="2"/>
      <c r="I4803" s="90"/>
      <c r="J4803" s="90"/>
      <c r="K4803" s="2"/>
      <c r="L4803" s="48"/>
      <c r="M4803" s="48"/>
      <c r="N4803" s="48"/>
      <c r="O4803" s="48" t="str">
        <f t="shared" si="2"/>
        <v/>
      </c>
      <c r="P4803" s="48" t="str">
        <f t="shared" si="3"/>
        <v/>
      </c>
      <c r="Q4803" s="84"/>
      <c r="R4803" s="84"/>
      <c r="S4803" s="84"/>
      <c r="T4803" s="84"/>
      <c r="U4803" s="84"/>
      <c r="V4803" s="84"/>
      <c r="W4803" s="84"/>
      <c r="X4803" s="84"/>
      <c r="Y4803" s="84"/>
      <c r="Z4803" s="84"/>
      <c r="AA4803" s="84"/>
      <c r="AB4803" s="84"/>
    </row>
    <row r="4804">
      <c r="A4804" s="89"/>
      <c r="B4804" s="89"/>
      <c r="C4804" s="89"/>
      <c r="D4804" s="89"/>
      <c r="E4804" s="89"/>
      <c r="F4804" s="89"/>
      <c r="G4804" s="89"/>
      <c r="H4804" s="2"/>
      <c r="I4804" s="90"/>
      <c r="J4804" s="90"/>
      <c r="K4804" s="2"/>
      <c r="L4804" s="49"/>
      <c r="M4804" s="49"/>
      <c r="N4804" s="49"/>
      <c r="O4804" s="49" t="str">
        <f t="shared" si="2"/>
        <v/>
      </c>
      <c r="P4804" s="49" t="str">
        <f t="shared" si="3"/>
        <v/>
      </c>
      <c r="Q4804" s="84"/>
      <c r="R4804" s="84"/>
      <c r="S4804" s="84"/>
      <c r="T4804" s="84"/>
      <c r="U4804" s="84"/>
      <c r="V4804" s="84"/>
      <c r="W4804" s="84"/>
      <c r="X4804" s="84"/>
      <c r="Y4804" s="84"/>
      <c r="Z4804" s="84"/>
      <c r="AA4804" s="84"/>
      <c r="AB4804" s="84"/>
    </row>
    <row r="4805">
      <c r="A4805" s="89"/>
      <c r="B4805" s="89"/>
      <c r="C4805" s="89"/>
      <c r="D4805" s="89"/>
      <c r="E4805" s="89"/>
      <c r="F4805" s="89"/>
      <c r="G4805" s="89"/>
      <c r="H4805" s="2"/>
      <c r="I4805" s="90"/>
      <c r="J4805" s="90"/>
      <c r="K4805" s="2"/>
      <c r="L4805" s="48"/>
      <c r="M4805" s="48"/>
      <c r="N4805" s="48"/>
      <c r="O4805" s="48" t="str">
        <f t="shared" si="2"/>
        <v/>
      </c>
      <c r="P4805" s="48" t="str">
        <f t="shared" si="3"/>
        <v/>
      </c>
      <c r="Q4805" s="84"/>
      <c r="R4805" s="84"/>
      <c r="S4805" s="84"/>
      <c r="T4805" s="84"/>
      <c r="U4805" s="84"/>
      <c r="V4805" s="84"/>
      <c r="W4805" s="84"/>
      <c r="X4805" s="84"/>
      <c r="Y4805" s="84"/>
      <c r="Z4805" s="84"/>
      <c r="AA4805" s="84"/>
      <c r="AB4805" s="84"/>
    </row>
    <row r="4806">
      <c r="A4806" s="89"/>
      <c r="B4806" s="89"/>
      <c r="C4806" s="89"/>
      <c r="D4806" s="89"/>
      <c r="E4806" s="89"/>
      <c r="F4806" s="89"/>
      <c r="G4806" s="89"/>
      <c r="H4806" s="2"/>
      <c r="I4806" s="90"/>
      <c r="J4806" s="90"/>
      <c r="K4806" s="2"/>
      <c r="L4806" s="49"/>
      <c r="M4806" s="49"/>
      <c r="N4806" s="49"/>
      <c r="O4806" s="49" t="str">
        <f t="shared" si="2"/>
        <v/>
      </c>
      <c r="P4806" s="49" t="str">
        <f t="shared" si="3"/>
        <v/>
      </c>
      <c r="Q4806" s="84"/>
      <c r="R4806" s="84"/>
      <c r="S4806" s="84"/>
      <c r="T4806" s="84"/>
      <c r="U4806" s="84"/>
      <c r="V4806" s="84"/>
      <c r="W4806" s="84"/>
      <c r="X4806" s="84"/>
      <c r="Y4806" s="84"/>
      <c r="Z4806" s="84"/>
      <c r="AA4806" s="84"/>
      <c r="AB4806" s="84"/>
    </row>
    <row r="4807">
      <c r="A4807" s="89"/>
      <c r="B4807" s="89"/>
      <c r="C4807" s="89"/>
      <c r="D4807" s="89"/>
      <c r="E4807" s="89"/>
      <c r="F4807" s="89"/>
      <c r="G4807" s="89"/>
      <c r="H4807" s="2"/>
      <c r="I4807" s="90"/>
      <c r="J4807" s="90"/>
      <c r="K4807" s="2"/>
      <c r="L4807" s="48"/>
      <c r="M4807" s="48"/>
      <c r="N4807" s="48"/>
      <c r="O4807" s="48" t="str">
        <f t="shared" si="2"/>
        <v/>
      </c>
      <c r="P4807" s="48" t="str">
        <f t="shared" si="3"/>
        <v/>
      </c>
      <c r="Q4807" s="84"/>
      <c r="R4807" s="84"/>
      <c r="S4807" s="84"/>
      <c r="T4807" s="84"/>
      <c r="U4807" s="84"/>
      <c r="V4807" s="84"/>
      <c r="W4807" s="84"/>
      <c r="X4807" s="84"/>
      <c r="Y4807" s="84"/>
      <c r="Z4807" s="84"/>
      <c r="AA4807" s="84"/>
      <c r="AB4807" s="84"/>
    </row>
    <row r="4808">
      <c r="A4808" s="89"/>
      <c r="B4808" s="89"/>
      <c r="C4808" s="89"/>
      <c r="D4808" s="89"/>
      <c r="E4808" s="89"/>
      <c r="F4808" s="89"/>
      <c r="G4808" s="89"/>
      <c r="H4808" s="2"/>
      <c r="I4808" s="90"/>
      <c r="J4808" s="90"/>
      <c r="K4808" s="2"/>
      <c r="L4808" s="49"/>
      <c r="M4808" s="49"/>
      <c r="N4808" s="49"/>
      <c r="O4808" s="49" t="str">
        <f t="shared" si="2"/>
        <v/>
      </c>
      <c r="P4808" s="49" t="str">
        <f t="shared" si="3"/>
        <v/>
      </c>
      <c r="Q4808" s="84"/>
      <c r="R4808" s="84"/>
      <c r="S4808" s="84"/>
      <c r="T4808" s="84"/>
      <c r="U4808" s="84"/>
      <c r="V4808" s="84"/>
      <c r="W4808" s="84"/>
      <c r="X4808" s="84"/>
      <c r="Y4808" s="84"/>
      <c r="Z4808" s="84"/>
      <c r="AA4808" s="84"/>
      <c r="AB4808" s="84"/>
    </row>
    <row r="4809">
      <c r="A4809" s="89"/>
      <c r="B4809" s="89"/>
      <c r="C4809" s="89"/>
      <c r="D4809" s="89"/>
      <c r="E4809" s="89"/>
      <c r="F4809" s="89"/>
      <c r="G4809" s="89"/>
      <c r="H4809" s="2"/>
      <c r="I4809" s="90"/>
      <c r="J4809" s="90"/>
      <c r="K4809" s="2"/>
      <c r="L4809" s="48"/>
      <c r="M4809" s="48"/>
      <c r="N4809" s="48"/>
      <c r="O4809" s="48" t="str">
        <f t="shared" si="2"/>
        <v/>
      </c>
      <c r="P4809" s="48" t="str">
        <f t="shared" si="3"/>
        <v/>
      </c>
      <c r="Q4809" s="84"/>
      <c r="R4809" s="84"/>
      <c r="S4809" s="84"/>
      <c r="T4809" s="84"/>
      <c r="U4809" s="84"/>
      <c r="V4809" s="84"/>
      <c r="W4809" s="84"/>
      <c r="X4809" s="84"/>
      <c r="Y4809" s="84"/>
      <c r="Z4809" s="84"/>
      <c r="AA4809" s="84"/>
      <c r="AB4809" s="84"/>
    </row>
    <row r="4810">
      <c r="A4810" s="89"/>
      <c r="B4810" s="89"/>
      <c r="C4810" s="89"/>
      <c r="D4810" s="89"/>
      <c r="E4810" s="89"/>
      <c r="F4810" s="89"/>
      <c r="G4810" s="89"/>
      <c r="H4810" s="2"/>
      <c r="I4810" s="90"/>
      <c r="J4810" s="90"/>
      <c r="K4810" s="2"/>
      <c r="L4810" s="49"/>
      <c r="M4810" s="49"/>
      <c r="N4810" s="49"/>
      <c r="O4810" s="49" t="str">
        <f t="shared" si="2"/>
        <v/>
      </c>
      <c r="P4810" s="49" t="str">
        <f t="shared" si="3"/>
        <v/>
      </c>
      <c r="Q4810" s="84"/>
      <c r="R4810" s="84"/>
      <c r="S4810" s="84"/>
      <c r="T4810" s="84"/>
      <c r="U4810" s="84"/>
      <c r="V4810" s="84"/>
      <c r="W4810" s="84"/>
      <c r="X4810" s="84"/>
      <c r="Y4810" s="84"/>
      <c r="Z4810" s="84"/>
      <c r="AA4810" s="84"/>
      <c r="AB4810" s="84"/>
    </row>
    <row r="4811">
      <c r="A4811" s="89"/>
      <c r="B4811" s="89"/>
      <c r="C4811" s="89"/>
      <c r="D4811" s="89"/>
      <c r="E4811" s="89"/>
      <c r="F4811" s="89"/>
      <c r="G4811" s="89"/>
      <c r="H4811" s="2"/>
      <c r="I4811" s="90"/>
      <c r="J4811" s="90"/>
      <c r="K4811" s="2"/>
      <c r="L4811" s="48"/>
      <c r="M4811" s="48"/>
      <c r="N4811" s="48"/>
      <c r="O4811" s="48" t="str">
        <f t="shared" si="2"/>
        <v/>
      </c>
      <c r="P4811" s="48" t="str">
        <f t="shared" si="3"/>
        <v/>
      </c>
      <c r="Q4811" s="84"/>
      <c r="R4811" s="84"/>
      <c r="S4811" s="84"/>
      <c r="T4811" s="84"/>
      <c r="U4811" s="84"/>
      <c r="V4811" s="84"/>
      <c r="W4811" s="84"/>
      <c r="X4811" s="84"/>
      <c r="Y4811" s="84"/>
      <c r="Z4811" s="84"/>
      <c r="AA4811" s="84"/>
      <c r="AB4811" s="84"/>
    </row>
    <row r="4812">
      <c r="A4812" s="89"/>
      <c r="B4812" s="89"/>
      <c r="C4812" s="89"/>
      <c r="D4812" s="89"/>
      <c r="E4812" s="89"/>
      <c r="F4812" s="89"/>
      <c r="G4812" s="89"/>
      <c r="H4812" s="2"/>
      <c r="I4812" s="90"/>
      <c r="J4812" s="90"/>
      <c r="K4812" s="2"/>
      <c r="L4812" s="49"/>
      <c r="M4812" s="49"/>
      <c r="N4812" s="49"/>
      <c r="O4812" s="49" t="str">
        <f t="shared" si="2"/>
        <v/>
      </c>
      <c r="P4812" s="49" t="str">
        <f t="shared" si="3"/>
        <v/>
      </c>
      <c r="Q4812" s="84"/>
      <c r="R4812" s="84"/>
      <c r="S4812" s="84"/>
      <c r="T4812" s="84"/>
      <c r="U4812" s="84"/>
      <c r="V4812" s="84"/>
      <c r="W4812" s="84"/>
      <c r="X4812" s="84"/>
      <c r="Y4812" s="84"/>
      <c r="Z4812" s="84"/>
      <c r="AA4812" s="84"/>
      <c r="AB4812" s="84"/>
    </row>
    <row r="4813">
      <c r="A4813" s="89"/>
      <c r="B4813" s="89"/>
      <c r="C4813" s="89"/>
      <c r="D4813" s="89"/>
      <c r="E4813" s="89"/>
      <c r="F4813" s="89"/>
      <c r="G4813" s="89"/>
      <c r="H4813" s="2"/>
      <c r="I4813" s="90"/>
      <c r="J4813" s="90"/>
      <c r="K4813" s="2"/>
      <c r="L4813" s="48"/>
      <c r="M4813" s="48"/>
      <c r="N4813" s="48"/>
      <c r="O4813" s="48" t="str">
        <f t="shared" si="2"/>
        <v/>
      </c>
      <c r="P4813" s="48" t="str">
        <f t="shared" si="3"/>
        <v/>
      </c>
      <c r="Q4813" s="84"/>
      <c r="R4813" s="84"/>
      <c r="S4813" s="84"/>
      <c r="T4813" s="84"/>
      <c r="U4813" s="84"/>
      <c r="V4813" s="84"/>
      <c r="W4813" s="84"/>
      <c r="X4813" s="84"/>
      <c r="Y4813" s="84"/>
      <c r="Z4813" s="84"/>
      <c r="AA4813" s="84"/>
      <c r="AB4813" s="84"/>
    </row>
    <row r="4814">
      <c r="A4814" s="89"/>
      <c r="B4814" s="89"/>
      <c r="C4814" s="89"/>
      <c r="D4814" s="89"/>
      <c r="E4814" s="89"/>
      <c r="F4814" s="89"/>
      <c r="G4814" s="89"/>
      <c r="H4814" s="2"/>
      <c r="I4814" s="90"/>
      <c r="J4814" s="90"/>
      <c r="K4814" s="2"/>
      <c r="L4814" s="49"/>
      <c r="M4814" s="49"/>
      <c r="N4814" s="49"/>
      <c r="O4814" s="49" t="str">
        <f t="shared" si="2"/>
        <v/>
      </c>
      <c r="P4814" s="49" t="str">
        <f t="shared" si="3"/>
        <v/>
      </c>
      <c r="Q4814" s="84"/>
      <c r="R4814" s="84"/>
      <c r="S4814" s="84"/>
      <c r="T4814" s="84"/>
      <c r="U4814" s="84"/>
      <c r="V4814" s="84"/>
      <c r="W4814" s="84"/>
      <c r="X4814" s="84"/>
      <c r="Y4814" s="84"/>
      <c r="Z4814" s="84"/>
      <c r="AA4814" s="84"/>
      <c r="AB4814" s="84"/>
    </row>
    <row r="4815">
      <c r="A4815" s="89"/>
      <c r="B4815" s="89"/>
      <c r="C4815" s="89"/>
      <c r="D4815" s="89"/>
      <c r="E4815" s="89"/>
      <c r="F4815" s="89"/>
      <c r="G4815" s="89"/>
      <c r="H4815" s="2"/>
      <c r="I4815" s="90"/>
      <c r="J4815" s="90"/>
      <c r="K4815" s="2"/>
      <c r="L4815" s="48"/>
      <c r="M4815" s="48"/>
      <c r="N4815" s="48"/>
      <c r="O4815" s="48" t="str">
        <f t="shared" si="2"/>
        <v/>
      </c>
      <c r="P4815" s="48" t="str">
        <f t="shared" si="3"/>
        <v/>
      </c>
      <c r="Q4815" s="84"/>
      <c r="R4815" s="84"/>
      <c r="S4815" s="84"/>
      <c r="T4815" s="84"/>
      <c r="U4815" s="84"/>
      <c r="V4815" s="84"/>
      <c r="W4815" s="84"/>
      <c r="X4815" s="84"/>
      <c r="Y4815" s="84"/>
      <c r="Z4815" s="84"/>
      <c r="AA4815" s="84"/>
      <c r="AB4815" s="84"/>
    </row>
    <row r="4816">
      <c r="A4816" s="89"/>
      <c r="B4816" s="89"/>
      <c r="C4816" s="89"/>
      <c r="D4816" s="89"/>
      <c r="E4816" s="89"/>
      <c r="F4816" s="89"/>
      <c r="G4816" s="89"/>
      <c r="H4816" s="2"/>
      <c r="I4816" s="90"/>
      <c r="J4816" s="90"/>
      <c r="K4816" s="2"/>
      <c r="L4816" s="49"/>
      <c r="M4816" s="49"/>
      <c r="N4816" s="49"/>
      <c r="O4816" s="49" t="str">
        <f t="shared" si="2"/>
        <v/>
      </c>
      <c r="P4816" s="49" t="str">
        <f t="shared" si="3"/>
        <v/>
      </c>
      <c r="Q4816" s="84"/>
      <c r="R4816" s="84"/>
      <c r="S4816" s="84"/>
      <c r="T4816" s="84"/>
      <c r="U4816" s="84"/>
      <c r="V4816" s="84"/>
      <c r="W4816" s="84"/>
      <c r="X4816" s="84"/>
      <c r="Y4816" s="84"/>
      <c r="Z4816" s="84"/>
      <c r="AA4816" s="84"/>
      <c r="AB4816" s="84"/>
    </row>
    <row r="4817">
      <c r="A4817" s="89"/>
      <c r="B4817" s="89"/>
      <c r="C4817" s="89"/>
      <c r="D4817" s="89"/>
      <c r="E4817" s="89"/>
      <c r="F4817" s="89"/>
      <c r="G4817" s="89"/>
      <c r="H4817" s="2"/>
      <c r="I4817" s="90"/>
      <c r="J4817" s="90"/>
      <c r="K4817" s="2"/>
      <c r="L4817" s="48"/>
      <c r="M4817" s="48"/>
      <c r="N4817" s="48"/>
      <c r="O4817" s="48" t="str">
        <f t="shared" si="2"/>
        <v/>
      </c>
      <c r="P4817" s="48" t="str">
        <f t="shared" si="3"/>
        <v/>
      </c>
      <c r="Q4817" s="84"/>
      <c r="R4817" s="84"/>
      <c r="S4817" s="84"/>
      <c r="T4817" s="84"/>
      <c r="U4817" s="84"/>
      <c r="V4817" s="84"/>
      <c r="W4817" s="84"/>
      <c r="X4817" s="84"/>
      <c r="Y4817" s="84"/>
      <c r="Z4817" s="84"/>
      <c r="AA4817" s="84"/>
      <c r="AB4817" s="84"/>
    </row>
    <row r="4818">
      <c r="A4818" s="89"/>
      <c r="B4818" s="89"/>
      <c r="C4818" s="89"/>
      <c r="D4818" s="89"/>
      <c r="E4818" s="89"/>
      <c r="F4818" s="89"/>
      <c r="G4818" s="89"/>
      <c r="H4818" s="2"/>
      <c r="I4818" s="90"/>
      <c r="J4818" s="90"/>
      <c r="K4818" s="2"/>
      <c r="L4818" s="49"/>
      <c r="M4818" s="49"/>
      <c r="N4818" s="49"/>
      <c r="O4818" s="49" t="str">
        <f t="shared" si="2"/>
        <v/>
      </c>
      <c r="P4818" s="49" t="str">
        <f t="shared" si="3"/>
        <v/>
      </c>
      <c r="Q4818" s="84"/>
      <c r="R4818" s="84"/>
      <c r="S4818" s="84"/>
      <c r="T4818" s="84"/>
      <c r="U4818" s="84"/>
      <c r="V4818" s="84"/>
      <c r="W4818" s="84"/>
      <c r="X4818" s="84"/>
      <c r="Y4818" s="84"/>
      <c r="Z4818" s="84"/>
      <c r="AA4818" s="84"/>
      <c r="AB4818" s="84"/>
    </row>
    <row r="4819">
      <c r="A4819" s="89"/>
      <c r="B4819" s="89"/>
      <c r="C4819" s="89"/>
      <c r="D4819" s="89"/>
      <c r="E4819" s="89"/>
      <c r="F4819" s="89"/>
      <c r="G4819" s="89"/>
      <c r="H4819" s="2"/>
      <c r="I4819" s="90"/>
      <c r="J4819" s="90"/>
      <c r="K4819" s="2"/>
      <c r="L4819" s="48"/>
      <c r="M4819" s="48"/>
      <c r="N4819" s="48"/>
      <c r="O4819" s="48" t="str">
        <f t="shared" si="2"/>
        <v/>
      </c>
      <c r="P4819" s="48" t="str">
        <f t="shared" si="3"/>
        <v/>
      </c>
      <c r="Q4819" s="84"/>
      <c r="R4819" s="84"/>
      <c r="S4819" s="84"/>
      <c r="T4819" s="84"/>
      <c r="U4819" s="84"/>
      <c r="V4819" s="84"/>
      <c r="W4819" s="84"/>
      <c r="X4819" s="84"/>
      <c r="Y4819" s="84"/>
      <c r="Z4819" s="84"/>
      <c r="AA4819" s="84"/>
      <c r="AB4819" s="84"/>
    </row>
    <row r="4820">
      <c r="A4820" s="89"/>
      <c r="B4820" s="89"/>
      <c r="C4820" s="89"/>
      <c r="D4820" s="89"/>
      <c r="E4820" s="89"/>
      <c r="F4820" s="89"/>
      <c r="G4820" s="89"/>
      <c r="H4820" s="2"/>
      <c r="I4820" s="90"/>
      <c r="J4820" s="90"/>
      <c r="K4820" s="2"/>
      <c r="L4820" s="49"/>
      <c r="M4820" s="49"/>
      <c r="N4820" s="49"/>
      <c r="O4820" s="49" t="str">
        <f t="shared" si="2"/>
        <v/>
      </c>
      <c r="P4820" s="49" t="str">
        <f t="shared" si="3"/>
        <v/>
      </c>
      <c r="Q4820" s="84"/>
      <c r="R4820" s="84"/>
      <c r="S4820" s="84"/>
      <c r="T4820" s="84"/>
      <c r="U4820" s="84"/>
      <c r="V4820" s="84"/>
      <c r="W4820" s="84"/>
      <c r="X4820" s="84"/>
      <c r="Y4820" s="84"/>
      <c r="Z4820" s="84"/>
      <c r="AA4820" s="84"/>
      <c r="AB4820" s="84"/>
    </row>
    <row r="4821">
      <c r="A4821" s="89"/>
      <c r="B4821" s="89"/>
      <c r="C4821" s="89"/>
      <c r="D4821" s="89"/>
      <c r="E4821" s="89"/>
      <c r="F4821" s="89"/>
      <c r="G4821" s="89"/>
      <c r="H4821" s="2"/>
      <c r="I4821" s="90"/>
      <c r="J4821" s="90"/>
      <c r="K4821" s="2"/>
      <c r="L4821" s="48"/>
      <c r="M4821" s="48"/>
      <c r="N4821" s="48"/>
      <c r="O4821" s="48" t="str">
        <f t="shared" si="2"/>
        <v/>
      </c>
      <c r="P4821" s="48" t="str">
        <f t="shared" si="3"/>
        <v/>
      </c>
      <c r="Q4821" s="84"/>
      <c r="R4821" s="84"/>
      <c r="S4821" s="84"/>
      <c r="T4821" s="84"/>
      <c r="U4821" s="84"/>
      <c r="V4821" s="84"/>
      <c r="W4821" s="84"/>
      <c r="X4821" s="84"/>
      <c r="Y4821" s="84"/>
      <c r="Z4821" s="84"/>
      <c r="AA4821" s="84"/>
      <c r="AB4821" s="84"/>
    </row>
    <row r="4822">
      <c r="A4822" s="89"/>
      <c r="B4822" s="89"/>
      <c r="C4822" s="89"/>
      <c r="D4822" s="89"/>
      <c r="E4822" s="89"/>
      <c r="F4822" s="89"/>
      <c r="G4822" s="89"/>
      <c r="H4822" s="2"/>
      <c r="I4822" s="90"/>
      <c r="J4822" s="90"/>
      <c r="K4822" s="2"/>
      <c r="L4822" s="49"/>
      <c r="M4822" s="49"/>
      <c r="N4822" s="49"/>
      <c r="O4822" s="49" t="str">
        <f t="shared" si="2"/>
        <v/>
      </c>
      <c r="P4822" s="49" t="str">
        <f t="shared" si="3"/>
        <v/>
      </c>
      <c r="Q4822" s="84"/>
      <c r="R4822" s="84"/>
      <c r="S4822" s="84"/>
      <c r="T4822" s="84"/>
      <c r="U4822" s="84"/>
      <c r="V4822" s="84"/>
      <c r="W4822" s="84"/>
      <c r="X4822" s="84"/>
      <c r="Y4822" s="84"/>
      <c r="Z4822" s="84"/>
      <c r="AA4822" s="84"/>
      <c r="AB4822" s="84"/>
    </row>
    <row r="4823">
      <c r="A4823" s="89"/>
      <c r="B4823" s="89"/>
      <c r="C4823" s="89"/>
      <c r="D4823" s="89"/>
      <c r="E4823" s="89"/>
      <c r="F4823" s="89"/>
      <c r="G4823" s="89"/>
      <c r="H4823" s="2"/>
      <c r="I4823" s="90"/>
      <c r="J4823" s="90"/>
      <c r="K4823" s="2"/>
      <c r="L4823" s="48"/>
      <c r="M4823" s="48"/>
      <c r="N4823" s="48"/>
      <c r="O4823" s="48" t="str">
        <f t="shared" si="2"/>
        <v/>
      </c>
      <c r="P4823" s="48" t="str">
        <f t="shared" si="3"/>
        <v/>
      </c>
      <c r="Q4823" s="84"/>
      <c r="R4823" s="84"/>
      <c r="S4823" s="84"/>
      <c r="T4823" s="84"/>
      <c r="U4823" s="84"/>
      <c r="V4823" s="84"/>
      <c r="W4823" s="84"/>
      <c r="X4823" s="84"/>
      <c r="Y4823" s="84"/>
      <c r="Z4823" s="84"/>
      <c r="AA4823" s="84"/>
      <c r="AB4823" s="84"/>
    </row>
    <row r="4824">
      <c r="A4824" s="89"/>
      <c r="B4824" s="89"/>
      <c r="C4824" s="89"/>
      <c r="D4824" s="89"/>
      <c r="E4824" s="89"/>
      <c r="F4824" s="89"/>
      <c r="G4824" s="89"/>
      <c r="H4824" s="2"/>
      <c r="I4824" s="90"/>
      <c r="J4824" s="90"/>
      <c r="K4824" s="2"/>
      <c r="L4824" s="49"/>
      <c r="M4824" s="49"/>
      <c r="N4824" s="49"/>
      <c r="O4824" s="49" t="str">
        <f t="shared" si="2"/>
        <v/>
      </c>
      <c r="P4824" s="49" t="str">
        <f t="shared" si="3"/>
        <v/>
      </c>
      <c r="Q4824" s="84"/>
      <c r="R4824" s="84"/>
      <c r="S4824" s="84"/>
      <c r="T4824" s="84"/>
      <c r="U4824" s="84"/>
      <c r="V4824" s="84"/>
      <c r="W4824" s="84"/>
      <c r="X4824" s="84"/>
      <c r="Y4824" s="84"/>
      <c r="Z4824" s="84"/>
      <c r="AA4824" s="84"/>
      <c r="AB4824" s="84"/>
    </row>
    <row r="4825">
      <c r="A4825" s="89"/>
      <c r="B4825" s="89"/>
      <c r="C4825" s="89"/>
      <c r="D4825" s="89"/>
      <c r="E4825" s="89"/>
      <c r="F4825" s="89"/>
      <c r="G4825" s="89"/>
      <c r="H4825" s="2"/>
      <c r="I4825" s="90"/>
      <c r="J4825" s="90"/>
      <c r="K4825" s="2"/>
      <c r="L4825" s="48"/>
      <c r="M4825" s="48"/>
      <c r="N4825" s="48"/>
      <c r="O4825" s="48" t="str">
        <f t="shared" si="2"/>
        <v/>
      </c>
      <c r="P4825" s="48" t="str">
        <f t="shared" si="3"/>
        <v/>
      </c>
      <c r="Q4825" s="84"/>
      <c r="R4825" s="84"/>
      <c r="S4825" s="84"/>
      <c r="T4825" s="84"/>
      <c r="U4825" s="84"/>
      <c r="V4825" s="84"/>
      <c r="W4825" s="84"/>
      <c r="X4825" s="84"/>
      <c r="Y4825" s="84"/>
      <c r="Z4825" s="84"/>
      <c r="AA4825" s="84"/>
      <c r="AB4825" s="84"/>
    </row>
    <row r="4826">
      <c r="A4826" s="89"/>
      <c r="B4826" s="89"/>
      <c r="C4826" s="89"/>
      <c r="D4826" s="89"/>
      <c r="E4826" s="89"/>
      <c r="F4826" s="89"/>
      <c r="G4826" s="89"/>
      <c r="H4826" s="2"/>
      <c r="I4826" s="90"/>
      <c r="J4826" s="90"/>
      <c r="K4826" s="2"/>
      <c r="L4826" s="49"/>
      <c r="M4826" s="49"/>
      <c r="N4826" s="49"/>
      <c r="O4826" s="49" t="str">
        <f t="shared" si="2"/>
        <v/>
      </c>
      <c r="P4826" s="49" t="str">
        <f t="shared" si="3"/>
        <v/>
      </c>
      <c r="Q4826" s="84"/>
      <c r="R4826" s="84"/>
      <c r="S4826" s="84"/>
      <c r="T4826" s="84"/>
      <c r="U4826" s="84"/>
      <c r="V4826" s="84"/>
      <c r="W4826" s="84"/>
      <c r="X4826" s="84"/>
      <c r="Y4826" s="84"/>
      <c r="Z4826" s="84"/>
      <c r="AA4826" s="84"/>
      <c r="AB4826" s="84"/>
    </row>
    <row r="4827">
      <c r="A4827" s="89"/>
      <c r="B4827" s="89"/>
      <c r="C4827" s="89"/>
      <c r="D4827" s="89"/>
      <c r="E4827" s="89"/>
      <c r="F4827" s="89"/>
      <c r="G4827" s="89"/>
      <c r="H4827" s="2"/>
      <c r="I4827" s="90"/>
      <c r="J4827" s="90"/>
      <c r="K4827" s="2"/>
      <c r="L4827" s="48"/>
      <c r="M4827" s="48"/>
      <c r="N4827" s="48"/>
      <c r="O4827" s="48" t="str">
        <f t="shared" si="2"/>
        <v/>
      </c>
      <c r="P4827" s="48" t="str">
        <f t="shared" si="3"/>
        <v/>
      </c>
      <c r="Q4827" s="84"/>
      <c r="R4827" s="84"/>
      <c r="S4827" s="84"/>
      <c r="T4827" s="84"/>
      <c r="U4827" s="84"/>
      <c r="V4827" s="84"/>
      <c r="W4827" s="84"/>
      <c r="X4827" s="84"/>
      <c r="Y4827" s="84"/>
      <c r="Z4827" s="84"/>
      <c r="AA4827" s="84"/>
      <c r="AB4827" s="84"/>
    </row>
    <row r="4828">
      <c r="A4828" s="89"/>
      <c r="B4828" s="89"/>
      <c r="C4828" s="89"/>
      <c r="D4828" s="89"/>
      <c r="E4828" s="89"/>
      <c r="F4828" s="89"/>
      <c r="G4828" s="89"/>
      <c r="H4828" s="2"/>
      <c r="I4828" s="90"/>
      <c r="J4828" s="90"/>
      <c r="K4828" s="2"/>
      <c r="L4828" s="49"/>
      <c r="M4828" s="49"/>
      <c r="N4828" s="49"/>
      <c r="O4828" s="49" t="str">
        <f t="shared" si="2"/>
        <v/>
      </c>
      <c r="P4828" s="49" t="str">
        <f t="shared" si="3"/>
        <v/>
      </c>
      <c r="Q4828" s="84"/>
      <c r="R4828" s="84"/>
      <c r="S4828" s="84"/>
      <c r="T4828" s="84"/>
      <c r="U4828" s="84"/>
      <c r="V4828" s="84"/>
      <c r="W4828" s="84"/>
      <c r="X4828" s="84"/>
      <c r="Y4828" s="84"/>
      <c r="Z4828" s="84"/>
      <c r="AA4828" s="84"/>
      <c r="AB4828" s="84"/>
    </row>
    <row r="4829">
      <c r="A4829" s="89"/>
      <c r="B4829" s="89"/>
      <c r="C4829" s="89"/>
      <c r="D4829" s="89"/>
      <c r="E4829" s="89"/>
      <c r="F4829" s="89"/>
      <c r="G4829" s="89"/>
      <c r="H4829" s="2"/>
      <c r="I4829" s="90"/>
      <c r="J4829" s="90"/>
      <c r="K4829" s="2"/>
      <c r="L4829" s="48"/>
      <c r="M4829" s="48"/>
      <c r="N4829" s="48"/>
      <c r="O4829" s="48" t="str">
        <f t="shared" si="2"/>
        <v/>
      </c>
      <c r="P4829" s="48" t="str">
        <f t="shared" si="3"/>
        <v/>
      </c>
      <c r="Q4829" s="84"/>
      <c r="R4829" s="84"/>
      <c r="S4829" s="84"/>
      <c r="T4829" s="84"/>
      <c r="U4829" s="84"/>
      <c r="V4829" s="84"/>
      <c r="W4829" s="84"/>
      <c r="X4829" s="84"/>
      <c r="Y4829" s="84"/>
      <c r="Z4829" s="84"/>
      <c r="AA4829" s="84"/>
      <c r="AB4829" s="84"/>
    </row>
    <row r="4830">
      <c r="A4830" s="89"/>
      <c r="B4830" s="89"/>
      <c r="C4830" s="89"/>
      <c r="D4830" s="89"/>
      <c r="E4830" s="89"/>
      <c r="F4830" s="89"/>
      <c r="G4830" s="89"/>
      <c r="H4830" s="2"/>
      <c r="I4830" s="90"/>
      <c r="J4830" s="90"/>
      <c r="K4830" s="2"/>
      <c r="L4830" s="49"/>
      <c r="M4830" s="49"/>
      <c r="N4830" s="49"/>
      <c r="O4830" s="49" t="str">
        <f t="shared" si="2"/>
        <v/>
      </c>
      <c r="P4830" s="49" t="str">
        <f t="shared" si="3"/>
        <v/>
      </c>
      <c r="Q4830" s="84"/>
      <c r="R4830" s="84"/>
      <c r="S4830" s="84"/>
      <c r="T4830" s="84"/>
      <c r="U4830" s="84"/>
      <c r="V4830" s="84"/>
      <c r="W4830" s="84"/>
      <c r="X4830" s="84"/>
      <c r="Y4830" s="84"/>
      <c r="Z4830" s="84"/>
      <c r="AA4830" s="84"/>
      <c r="AB4830" s="84"/>
    </row>
    <row r="4831">
      <c r="A4831" s="89"/>
      <c r="B4831" s="89"/>
      <c r="C4831" s="89"/>
      <c r="D4831" s="89"/>
      <c r="E4831" s="89"/>
      <c r="F4831" s="89"/>
      <c r="G4831" s="89"/>
      <c r="H4831" s="2"/>
      <c r="I4831" s="90"/>
      <c r="J4831" s="90"/>
      <c r="K4831" s="2"/>
      <c r="L4831" s="48"/>
      <c r="M4831" s="48"/>
      <c r="N4831" s="48"/>
      <c r="O4831" s="48" t="str">
        <f t="shared" si="2"/>
        <v/>
      </c>
      <c r="P4831" s="48" t="str">
        <f t="shared" si="3"/>
        <v/>
      </c>
      <c r="Q4831" s="84"/>
      <c r="R4831" s="84"/>
      <c r="S4831" s="84"/>
      <c r="T4831" s="84"/>
      <c r="U4831" s="84"/>
      <c r="V4831" s="84"/>
      <c r="W4831" s="84"/>
      <c r="X4831" s="84"/>
      <c r="Y4831" s="84"/>
      <c r="Z4831" s="84"/>
      <c r="AA4831" s="84"/>
      <c r="AB4831" s="84"/>
    </row>
    <row r="4832">
      <c r="A4832" s="89"/>
      <c r="B4832" s="89"/>
      <c r="C4832" s="89"/>
      <c r="D4832" s="89"/>
      <c r="E4832" s="89"/>
      <c r="F4832" s="89"/>
      <c r="G4832" s="89"/>
      <c r="H4832" s="2"/>
      <c r="I4832" s="90"/>
      <c r="J4832" s="90"/>
      <c r="K4832" s="2"/>
      <c r="L4832" s="49"/>
      <c r="M4832" s="49"/>
      <c r="N4832" s="49"/>
      <c r="O4832" s="49" t="str">
        <f t="shared" si="2"/>
        <v/>
      </c>
      <c r="P4832" s="49" t="str">
        <f t="shared" si="3"/>
        <v/>
      </c>
      <c r="Q4832" s="84"/>
      <c r="R4832" s="84"/>
      <c r="S4832" s="84"/>
      <c r="T4832" s="84"/>
      <c r="U4832" s="84"/>
      <c r="V4832" s="84"/>
      <c r="W4832" s="84"/>
      <c r="X4832" s="84"/>
      <c r="Y4832" s="84"/>
      <c r="Z4832" s="84"/>
      <c r="AA4832" s="84"/>
      <c r="AB4832" s="84"/>
    </row>
    <row r="4833">
      <c r="A4833" s="89"/>
      <c r="B4833" s="89"/>
      <c r="C4833" s="89"/>
      <c r="D4833" s="89"/>
      <c r="E4833" s="89"/>
      <c r="F4833" s="89"/>
      <c r="G4833" s="89"/>
      <c r="H4833" s="2"/>
      <c r="I4833" s="90"/>
      <c r="J4833" s="90"/>
      <c r="K4833" s="2"/>
      <c r="L4833" s="48"/>
      <c r="M4833" s="48"/>
      <c r="N4833" s="48"/>
      <c r="O4833" s="48" t="str">
        <f t="shared" si="2"/>
        <v/>
      </c>
      <c r="P4833" s="48" t="str">
        <f t="shared" si="3"/>
        <v/>
      </c>
      <c r="Q4833" s="84"/>
      <c r="R4833" s="84"/>
      <c r="S4833" s="84"/>
      <c r="T4833" s="84"/>
      <c r="U4833" s="84"/>
      <c r="V4833" s="84"/>
      <c r="W4833" s="84"/>
      <c r="X4833" s="84"/>
      <c r="Y4833" s="84"/>
      <c r="Z4833" s="84"/>
      <c r="AA4833" s="84"/>
      <c r="AB4833" s="84"/>
    </row>
    <row r="4834">
      <c r="A4834" s="89"/>
      <c r="B4834" s="89"/>
      <c r="C4834" s="89"/>
      <c r="D4834" s="89"/>
      <c r="E4834" s="89"/>
      <c r="F4834" s="89"/>
      <c r="G4834" s="89"/>
      <c r="H4834" s="2"/>
      <c r="I4834" s="90"/>
      <c r="J4834" s="90"/>
      <c r="K4834" s="2"/>
      <c r="L4834" s="49"/>
      <c r="M4834" s="49"/>
      <c r="N4834" s="49"/>
      <c r="O4834" s="49" t="str">
        <f t="shared" si="2"/>
        <v/>
      </c>
      <c r="P4834" s="49" t="str">
        <f t="shared" si="3"/>
        <v/>
      </c>
      <c r="Q4834" s="84"/>
      <c r="R4834" s="84"/>
      <c r="S4834" s="84"/>
      <c r="T4834" s="84"/>
      <c r="U4834" s="84"/>
      <c r="V4834" s="84"/>
      <c r="W4834" s="84"/>
      <c r="X4834" s="84"/>
      <c r="Y4834" s="84"/>
      <c r="Z4834" s="84"/>
      <c r="AA4834" s="84"/>
      <c r="AB4834" s="84"/>
    </row>
    <row r="4835">
      <c r="A4835" s="89"/>
      <c r="B4835" s="89"/>
      <c r="C4835" s="89"/>
      <c r="D4835" s="89"/>
      <c r="E4835" s="89"/>
      <c r="F4835" s="89"/>
      <c r="G4835" s="89"/>
      <c r="H4835" s="2"/>
      <c r="I4835" s="90"/>
      <c r="J4835" s="90"/>
      <c r="K4835" s="2"/>
      <c r="L4835" s="48"/>
      <c r="M4835" s="48"/>
      <c r="N4835" s="48"/>
      <c r="O4835" s="48" t="str">
        <f t="shared" si="2"/>
        <v/>
      </c>
      <c r="P4835" s="48" t="str">
        <f t="shared" si="3"/>
        <v/>
      </c>
      <c r="Q4835" s="84"/>
      <c r="R4835" s="84"/>
      <c r="S4835" s="84"/>
      <c r="T4835" s="84"/>
      <c r="U4835" s="84"/>
      <c r="V4835" s="84"/>
      <c r="W4835" s="84"/>
      <c r="X4835" s="84"/>
      <c r="Y4835" s="84"/>
      <c r="Z4835" s="84"/>
      <c r="AA4835" s="84"/>
      <c r="AB4835" s="84"/>
    </row>
    <row r="4836">
      <c r="A4836" s="89"/>
      <c r="B4836" s="89"/>
      <c r="C4836" s="89"/>
      <c r="D4836" s="89"/>
      <c r="E4836" s="89"/>
      <c r="F4836" s="89"/>
      <c r="G4836" s="89"/>
      <c r="H4836" s="2"/>
      <c r="I4836" s="90"/>
      <c r="J4836" s="90"/>
      <c r="K4836" s="2"/>
      <c r="L4836" s="49"/>
      <c r="M4836" s="49"/>
      <c r="N4836" s="49"/>
      <c r="O4836" s="49" t="str">
        <f t="shared" si="2"/>
        <v/>
      </c>
      <c r="P4836" s="49" t="str">
        <f t="shared" si="3"/>
        <v/>
      </c>
      <c r="Q4836" s="84"/>
      <c r="R4836" s="84"/>
      <c r="S4836" s="84"/>
      <c r="T4836" s="84"/>
      <c r="U4836" s="84"/>
      <c r="V4836" s="84"/>
      <c r="W4836" s="84"/>
      <c r="X4836" s="84"/>
      <c r="Y4836" s="84"/>
      <c r="Z4836" s="84"/>
      <c r="AA4836" s="84"/>
      <c r="AB4836" s="84"/>
    </row>
    <row r="4837">
      <c r="A4837" s="89"/>
      <c r="B4837" s="89"/>
      <c r="C4837" s="89"/>
      <c r="D4837" s="89"/>
      <c r="E4837" s="89"/>
      <c r="F4837" s="89"/>
      <c r="G4837" s="89"/>
      <c r="H4837" s="2"/>
      <c r="I4837" s="90"/>
      <c r="J4837" s="90"/>
      <c r="K4837" s="2"/>
      <c r="L4837" s="48"/>
      <c r="M4837" s="48"/>
      <c r="N4837" s="48"/>
      <c r="O4837" s="48" t="str">
        <f t="shared" si="2"/>
        <v/>
      </c>
      <c r="P4837" s="48" t="str">
        <f t="shared" si="3"/>
        <v/>
      </c>
      <c r="Q4837" s="84"/>
      <c r="R4837" s="84"/>
      <c r="S4837" s="84"/>
      <c r="T4837" s="84"/>
      <c r="U4837" s="84"/>
      <c r="V4837" s="84"/>
      <c r="W4837" s="84"/>
      <c r="X4837" s="84"/>
      <c r="Y4837" s="84"/>
      <c r="Z4837" s="84"/>
      <c r="AA4837" s="84"/>
      <c r="AB4837" s="84"/>
    </row>
    <row r="4838">
      <c r="A4838" s="89"/>
      <c r="B4838" s="89"/>
      <c r="C4838" s="89"/>
      <c r="D4838" s="89"/>
      <c r="E4838" s="89"/>
      <c r="F4838" s="89"/>
      <c r="G4838" s="89"/>
      <c r="H4838" s="2"/>
      <c r="I4838" s="90"/>
      <c r="J4838" s="90"/>
      <c r="K4838" s="2"/>
      <c r="L4838" s="49"/>
      <c r="M4838" s="49"/>
      <c r="N4838" s="49"/>
      <c r="O4838" s="49" t="str">
        <f t="shared" si="2"/>
        <v/>
      </c>
      <c r="P4838" s="49" t="str">
        <f t="shared" si="3"/>
        <v/>
      </c>
      <c r="Q4838" s="84"/>
      <c r="R4838" s="84"/>
      <c r="S4838" s="84"/>
      <c r="T4838" s="84"/>
      <c r="U4838" s="84"/>
      <c r="V4838" s="84"/>
      <c r="W4838" s="84"/>
      <c r="X4838" s="84"/>
      <c r="Y4838" s="84"/>
      <c r="Z4838" s="84"/>
      <c r="AA4838" s="84"/>
      <c r="AB4838" s="84"/>
    </row>
    <row r="4839">
      <c r="A4839" s="89"/>
      <c r="B4839" s="89"/>
      <c r="C4839" s="89"/>
      <c r="D4839" s="89"/>
      <c r="E4839" s="89"/>
      <c r="F4839" s="89"/>
      <c r="G4839" s="89"/>
      <c r="H4839" s="2"/>
      <c r="I4839" s="90"/>
      <c r="J4839" s="90"/>
      <c r="K4839" s="2"/>
      <c r="L4839" s="48"/>
      <c r="M4839" s="48"/>
      <c r="N4839" s="48"/>
      <c r="O4839" s="48" t="str">
        <f t="shared" si="2"/>
        <v/>
      </c>
      <c r="P4839" s="48" t="str">
        <f t="shared" si="3"/>
        <v/>
      </c>
      <c r="Q4839" s="84"/>
      <c r="R4839" s="84"/>
      <c r="S4839" s="84"/>
      <c r="T4839" s="84"/>
      <c r="U4839" s="84"/>
      <c r="V4839" s="84"/>
      <c r="W4839" s="84"/>
      <c r="X4839" s="84"/>
      <c r="Y4839" s="84"/>
      <c r="Z4839" s="84"/>
      <c r="AA4839" s="84"/>
      <c r="AB4839" s="84"/>
    </row>
    <row r="4840">
      <c r="A4840" s="89"/>
      <c r="B4840" s="89"/>
      <c r="C4840" s="89"/>
      <c r="D4840" s="89"/>
      <c r="E4840" s="89"/>
      <c r="F4840" s="89"/>
      <c r="G4840" s="89"/>
      <c r="H4840" s="2"/>
      <c r="I4840" s="90"/>
      <c r="J4840" s="90"/>
      <c r="K4840" s="2"/>
      <c r="L4840" s="49"/>
      <c r="M4840" s="49"/>
      <c r="N4840" s="49"/>
      <c r="O4840" s="49" t="str">
        <f t="shared" si="2"/>
        <v/>
      </c>
      <c r="P4840" s="49" t="str">
        <f t="shared" si="3"/>
        <v/>
      </c>
      <c r="Q4840" s="84"/>
      <c r="R4840" s="84"/>
      <c r="S4840" s="84"/>
      <c r="T4840" s="84"/>
      <c r="U4840" s="84"/>
      <c r="V4840" s="84"/>
      <c r="W4840" s="84"/>
      <c r="X4840" s="84"/>
      <c r="Y4840" s="84"/>
      <c r="Z4840" s="84"/>
      <c r="AA4840" s="84"/>
      <c r="AB4840" s="84"/>
    </row>
    <row r="4841">
      <c r="A4841" s="89"/>
      <c r="B4841" s="89"/>
      <c r="C4841" s="89"/>
      <c r="D4841" s="89"/>
      <c r="E4841" s="89"/>
      <c r="F4841" s="89"/>
      <c r="G4841" s="89"/>
      <c r="H4841" s="2"/>
      <c r="I4841" s="90"/>
      <c r="J4841" s="90"/>
      <c r="K4841" s="2"/>
      <c r="L4841" s="48"/>
      <c r="M4841" s="48"/>
      <c r="N4841" s="48"/>
      <c r="O4841" s="48" t="str">
        <f t="shared" si="2"/>
        <v/>
      </c>
      <c r="P4841" s="48" t="str">
        <f t="shared" si="3"/>
        <v/>
      </c>
      <c r="Q4841" s="84"/>
      <c r="R4841" s="84"/>
      <c r="S4841" s="84"/>
      <c r="T4841" s="84"/>
      <c r="U4841" s="84"/>
      <c r="V4841" s="84"/>
      <c r="W4841" s="84"/>
      <c r="X4841" s="84"/>
      <c r="Y4841" s="84"/>
      <c r="Z4841" s="84"/>
      <c r="AA4841" s="84"/>
      <c r="AB4841" s="84"/>
    </row>
    <row r="4842">
      <c r="A4842" s="89"/>
      <c r="B4842" s="89"/>
      <c r="C4842" s="89"/>
      <c r="D4842" s="89"/>
      <c r="E4842" s="89"/>
      <c r="F4842" s="89"/>
      <c r="G4842" s="89"/>
      <c r="H4842" s="2"/>
      <c r="I4842" s="90"/>
      <c r="J4842" s="90"/>
      <c r="K4842" s="2"/>
      <c r="L4842" s="49"/>
      <c r="M4842" s="49"/>
      <c r="N4842" s="49"/>
      <c r="O4842" s="49" t="str">
        <f t="shared" si="2"/>
        <v/>
      </c>
      <c r="P4842" s="49" t="str">
        <f t="shared" si="3"/>
        <v/>
      </c>
      <c r="Q4842" s="84"/>
      <c r="R4842" s="84"/>
      <c r="S4842" s="84"/>
      <c r="T4842" s="84"/>
      <c r="U4842" s="84"/>
      <c r="V4842" s="84"/>
      <c r="W4842" s="84"/>
      <c r="X4842" s="84"/>
      <c r="Y4842" s="84"/>
      <c r="Z4842" s="84"/>
      <c r="AA4842" s="84"/>
      <c r="AB4842" s="84"/>
    </row>
    <row r="4843">
      <c r="A4843" s="89"/>
      <c r="B4843" s="89"/>
      <c r="C4843" s="89"/>
      <c r="D4843" s="89"/>
      <c r="E4843" s="89"/>
      <c r="F4843" s="89"/>
      <c r="G4843" s="89"/>
      <c r="H4843" s="2"/>
      <c r="I4843" s="90"/>
      <c r="J4843" s="90"/>
      <c r="K4843" s="2"/>
      <c r="L4843" s="48"/>
      <c r="M4843" s="48"/>
      <c r="N4843" s="48"/>
      <c r="O4843" s="48" t="str">
        <f t="shared" si="2"/>
        <v/>
      </c>
      <c r="P4843" s="48" t="str">
        <f t="shared" si="3"/>
        <v/>
      </c>
      <c r="Q4843" s="84"/>
      <c r="R4843" s="84"/>
      <c r="S4843" s="84"/>
      <c r="T4843" s="84"/>
      <c r="U4843" s="84"/>
      <c r="V4843" s="84"/>
      <c r="W4843" s="84"/>
      <c r="X4843" s="84"/>
      <c r="Y4843" s="84"/>
      <c r="Z4843" s="84"/>
      <c r="AA4843" s="84"/>
      <c r="AB4843" s="84"/>
    </row>
    <row r="4844">
      <c r="A4844" s="89"/>
      <c r="B4844" s="89"/>
      <c r="C4844" s="89"/>
      <c r="D4844" s="89"/>
      <c r="E4844" s="89"/>
      <c r="F4844" s="89"/>
      <c r="G4844" s="89"/>
      <c r="H4844" s="2"/>
      <c r="I4844" s="90"/>
      <c r="J4844" s="90"/>
      <c r="K4844" s="2"/>
      <c r="L4844" s="49"/>
      <c r="M4844" s="49"/>
      <c r="N4844" s="49"/>
      <c r="O4844" s="49" t="str">
        <f t="shared" si="2"/>
        <v/>
      </c>
      <c r="P4844" s="49" t="str">
        <f t="shared" si="3"/>
        <v/>
      </c>
      <c r="Q4844" s="84"/>
      <c r="R4844" s="84"/>
      <c r="S4844" s="84"/>
      <c r="T4844" s="84"/>
      <c r="U4844" s="84"/>
      <c r="V4844" s="84"/>
      <c r="W4844" s="84"/>
      <c r="X4844" s="84"/>
      <c r="Y4844" s="84"/>
      <c r="Z4844" s="84"/>
      <c r="AA4844" s="84"/>
      <c r="AB4844" s="84"/>
    </row>
    <row r="4845">
      <c r="A4845" s="89"/>
      <c r="B4845" s="89"/>
      <c r="C4845" s="89"/>
      <c r="D4845" s="89"/>
      <c r="E4845" s="89"/>
      <c r="F4845" s="89"/>
      <c r="G4845" s="89"/>
      <c r="H4845" s="2"/>
      <c r="I4845" s="90"/>
      <c r="J4845" s="90"/>
      <c r="K4845" s="2"/>
      <c r="L4845" s="48"/>
      <c r="M4845" s="48"/>
      <c r="N4845" s="48"/>
      <c r="O4845" s="48" t="str">
        <f t="shared" si="2"/>
        <v/>
      </c>
      <c r="P4845" s="48" t="str">
        <f t="shared" si="3"/>
        <v/>
      </c>
      <c r="Q4845" s="84"/>
      <c r="R4845" s="84"/>
      <c r="S4845" s="84"/>
      <c r="T4845" s="84"/>
      <c r="U4845" s="84"/>
      <c r="V4845" s="84"/>
      <c r="W4845" s="84"/>
      <c r="X4845" s="84"/>
      <c r="Y4845" s="84"/>
      <c r="Z4845" s="84"/>
      <c r="AA4845" s="84"/>
      <c r="AB4845" s="84"/>
    </row>
    <row r="4846">
      <c r="A4846" s="89"/>
      <c r="B4846" s="89"/>
      <c r="C4846" s="89"/>
      <c r="D4846" s="89"/>
      <c r="E4846" s="89"/>
      <c r="F4846" s="89"/>
      <c r="G4846" s="89"/>
      <c r="H4846" s="2"/>
      <c r="I4846" s="90"/>
      <c r="J4846" s="90"/>
      <c r="K4846" s="2"/>
      <c r="L4846" s="49"/>
      <c r="M4846" s="49"/>
      <c r="N4846" s="49"/>
      <c r="O4846" s="49" t="str">
        <f t="shared" si="2"/>
        <v/>
      </c>
      <c r="P4846" s="49" t="str">
        <f t="shared" si="3"/>
        <v/>
      </c>
      <c r="Q4846" s="84"/>
      <c r="R4846" s="84"/>
      <c r="S4846" s="84"/>
      <c r="T4846" s="84"/>
      <c r="U4846" s="84"/>
      <c r="V4846" s="84"/>
      <c r="W4846" s="84"/>
      <c r="X4846" s="84"/>
      <c r="Y4846" s="84"/>
      <c r="Z4846" s="84"/>
      <c r="AA4846" s="84"/>
      <c r="AB4846" s="84"/>
    </row>
    <row r="4847">
      <c r="A4847" s="89"/>
      <c r="B4847" s="89"/>
      <c r="C4847" s="89"/>
      <c r="D4847" s="89"/>
      <c r="E4847" s="89"/>
      <c r="F4847" s="89"/>
      <c r="G4847" s="89"/>
      <c r="H4847" s="2"/>
      <c r="I4847" s="90"/>
      <c r="J4847" s="90"/>
      <c r="K4847" s="2"/>
      <c r="L4847" s="48"/>
      <c r="M4847" s="48"/>
      <c r="N4847" s="48"/>
      <c r="O4847" s="48" t="str">
        <f t="shared" si="2"/>
        <v/>
      </c>
      <c r="P4847" s="48" t="str">
        <f t="shared" si="3"/>
        <v/>
      </c>
      <c r="Q4847" s="84"/>
      <c r="R4847" s="84"/>
      <c r="S4847" s="84"/>
      <c r="T4847" s="84"/>
      <c r="U4847" s="84"/>
      <c r="V4847" s="84"/>
      <c r="W4847" s="84"/>
      <c r="X4847" s="84"/>
      <c r="Y4847" s="84"/>
      <c r="Z4847" s="84"/>
      <c r="AA4847" s="84"/>
      <c r="AB4847" s="84"/>
    </row>
    <row r="4848">
      <c r="A4848" s="89"/>
      <c r="B4848" s="89"/>
      <c r="C4848" s="89"/>
      <c r="D4848" s="89"/>
      <c r="E4848" s="89"/>
      <c r="F4848" s="89"/>
      <c r="G4848" s="89"/>
      <c r="H4848" s="2"/>
      <c r="I4848" s="90"/>
      <c r="J4848" s="90"/>
      <c r="K4848" s="2"/>
      <c r="L4848" s="49"/>
      <c r="M4848" s="49"/>
      <c r="N4848" s="49"/>
      <c r="O4848" s="49" t="str">
        <f t="shared" si="2"/>
        <v/>
      </c>
      <c r="P4848" s="49" t="str">
        <f t="shared" si="3"/>
        <v/>
      </c>
      <c r="Q4848" s="84"/>
      <c r="R4848" s="84"/>
      <c r="S4848" s="84"/>
      <c r="T4848" s="84"/>
      <c r="U4848" s="84"/>
      <c r="V4848" s="84"/>
      <c r="W4848" s="84"/>
      <c r="X4848" s="84"/>
      <c r="Y4848" s="84"/>
      <c r="Z4848" s="84"/>
      <c r="AA4848" s="84"/>
      <c r="AB4848" s="84"/>
    </row>
    <row r="4849">
      <c r="A4849" s="89"/>
      <c r="B4849" s="89"/>
      <c r="C4849" s="89"/>
      <c r="D4849" s="89"/>
      <c r="E4849" s="89"/>
      <c r="F4849" s="89"/>
      <c r="G4849" s="89"/>
      <c r="H4849" s="2"/>
      <c r="I4849" s="90"/>
      <c r="J4849" s="90"/>
      <c r="K4849" s="2"/>
      <c r="L4849" s="48"/>
      <c r="M4849" s="48"/>
      <c r="N4849" s="48"/>
      <c r="O4849" s="48" t="str">
        <f t="shared" si="2"/>
        <v/>
      </c>
      <c r="P4849" s="48" t="str">
        <f t="shared" si="3"/>
        <v/>
      </c>
      <c r="Q4849" s="84"/>
      <c r="R4849" s="84"/>
      <c r="S4849" s="84"/>
      <c r="T4849" s="84"/>
      <c r="U4849" s="84"/>
      <c r="V4849" s="84"/>
      <c r="W4849" s="84"/>
      <c r="X4849" s="84"/>
      <c r="Y4849" s="84"/>
      <c r="Z4849" s="84"/>
      <c r="AA4849" s="84"/>
      <c r="AB4849" s="84"/>
    </row>
    <row r="4850">
      <c r="A4850" s="89"/>
      <c r="B4850" s="89"/>
      <c r="C4850" s="89"/>
      <c r="D4850" s="89"/>
      <c r="E4850" s="89"/>
      <c r="F4850" s="89"/>
      <c r="G4850" s="89"/>
      <c r="H4850" s="2"/>
      <c r="I4850" s="90"/>
      <c r="J4850" s="90"/>
      <c r="K4850" s="2"/>
      <c r="L4850" s="49"/>
      <c r="M4850" s="49"/>
      <c r="N4850" s="49"/>
      <c r="O4850" s="49" t="str">
        <f t="shared" si="2"/>
        <v/>
      </c>
      <c r="P4850" s="49" t="str">
        <f t="shared" si="3"/>
        <v/>
      </c>
      <c r="Q4850" s="84"/>
      <c r="R4850" s="84"/>
      <c r="S4850" s="84"/>
      <c r="T4850" s="84"/>
      <c r="U4850" s="84"/>
      <c r="V4850" s="84"/>
      <c r="W4850" s="84"/>
      <c r="X4850" s="84"/>
      <c r="Y4850" s="84"/>
      <c r="Z4850" s="84"/>
      <c r="AA4850" s="84"/>
      <c r="AB4850" s="84"/>
    </row>
    <row r="4851">
      <c r="A4851" s="89"/>
      <c r="B4851" s="89"/>
      <c r="C4851" s="89"/>
      <c r="D4851" s="89"/>
      <c r="E4851" s="89"/>
      <c r="F4851" s="89"/>
      <c r="G4851" s="89"/>
      <c r="H4851" s="2"/>
      <c r="I4851" s="90"/>
      <c r="J4851" s="90"/>
      <c r="K4851" s="2"/>
      <c r="L4851" s="48"/>
      <c r="M4851" s="48"/>
      <c r="N4851" s="48"/>
      <c r="O4851" s="48" t="str">
        <f t="shared" si="2"/>
        <v/>
      </c>
      <c r="P4851" s="48" t="str">
        <f t="shared" si="3"/>
        <v/>
      </c>
      <c r="Q4851" s="84"/>
      <c r="R4851" s="84"/>
      <c r="S4851" s="84"/>
      <c r="T4851" s="84"/>
      <c r="U4851" s="84"/>
      <c r="V4851" s="84"/>
      <c r="W4851" s="84"/>
      <c r="X4851" s="84"/>
      <c r="Y4851" s="84"/>
      <c r="Z4851" s="84"/>
      <c r="AA4851" s="84"/>
      <c r="AB4851" s="84"/>
    </row>
    <row r="4852">
      <c r="A4852" s="89"/>
      <c r="B4852" s="89"/>
      <c r="C4852" s="89"/>
      <c r="D4852" s="89"/>
      <c r="E4852" s="89"/>
      <c r="F4852" s="89"/>
      <c r="G4852" s="89"/>
      <c r="H4852" s="2"/>
      <c r="I4852" s="90"/>
      <c r="J4852" s="90"/>
      <c r="K4852" s="2"/>
      <c r="L4852" s="49"/>
      <c r="M4852" s="49"/>
      <c r="N4852" s="49"/>
      <c r="O4852" s="49" t="str">
        <f t="shared" si="2"/>
        <v/>
      </c>
      <c r="P4852" s="49" t="str">
        <f t="shared" si="3"/>
        <v/>
      </c>
      <c r="Q4852" s="84"/>
      <c r="R4852" s="84"/>
      <c r="S4852" s="84"/>
      <c r="T4852" s="84"/>
      <c r="U4852" s="84"/>
      <c r="V4852" s="84"/>
      <c r="W4852" s="84"/>
      <c r="X4852" s="84"/>
      <c r="Y4852" s="84"/>
      <c r="Z4852" s="84"/>
      <c r="AA4852" s="84"/>
      <c r="AB4852" s="84"/>
    </row>
    <row r="4853">
      <c r="A4853" s="89"/>
      <c r="B4853" s="89"/>
      <c r="C4853" s="89"/>
      <c r="D4853" s="89"/>
      <c r="E4853" s="89"/>
      <c r="F4853" s="89"/>
      <c r="G4853" s="89"/>
      <c r="H4853" s="2"/>
      <c r="I4853" s="90"/>
      <c r="J4853" s="90"/>
      <c r="K4853" s="2"/>
      <c r="L4853" s="48"/>
      <c r="M4853" s="48"/>
      <c r="N4853" s="48"/>
      <c r="O4853" s="48" t="str">
        <f t="shared" si="2"/>
        <v/>
      </c>
      <c r="P4853" s="48" t="str">
        <f t="shared" si="3"/>
        <v/>
      </c>
      <c r="Q4853" s="84"/>
      <c r="R4853" s="84"/>
      <c r="S4853" s="84"/>
      <c r="T4853" s="84"/>
      <c r="U4853" s="84"/>
      <c r="V4853" s="84"/>
      <c r="W4853" s="84"/>
      <c r="X4853" s="84"/>
      <c r="Y4853" s="84"/>
      <c r="Z4853" s="84"/>
      <c r="AA4853" s="84"/>
      <c r="AB4853" s="84"/>
    </row>
    <row r="4854">
      <c r="A4854" s="89"/>
      <c r="B4854" s="89"/>
      <c r="C4854" s="89"/>
      <c r="D4854" s="89"/>
      <c r="E4854" s="89"/>
      <c r="F4854" s="89"/>
      <c r="G4854" s="89"/>
      <c r="H4854" s="2"/>
      <c r="I4854" s="90"/>
      <c r="J4854" s="90"/>
      <c r="K4854" s="2"/>
      <c r="L4854" s="49"/>
      <c r="M4854" s="49"/>
      <c r="N4854" s="49"/>
      <c r="O4854" s="49" t="str">
        <f t="shared" si="2"/>
        <v/>
      </c>
      <c r="P4854" s="49" t="str">
        <f t="shared" si="3"/>
        <v/>
      </c>
      <c r="Q4854" s="84"/>
      <c r="R4854" s="84"/>
      <c r="S4854" s="84"/>
      <c r="T4854" s="84"/>
      <c r="U4854" s="84"/>
      <c r="V4854" s="84"/>
      <c r="W4854" s="84"/>
      <c r="X4854" s="84"/>
      <c r="Y4854" s="84"/>
      <c r="Z4854" s="84"/>
      <c r="AA4854" s="84"/>
      <c r="AB4854" s="84"/>
    </row>
    <row r="4855">
      <c r="A4855" s="89"/>
      <c r="B4855" s="89"/>
      <c r="C4855" s="89"/>
      <c r="D4855" s="89"/>
      <c r="E4855" s="89"/>
      <c r="F4855" s="89"/>
      <c r="G4855" s="89"/>
      <c r="H4855" s="2"/>
      <c r="I4855" s="90"/>
      <c r="J4855" s="90"/>
      <c r="K4855" s="2"/>
      <c r="L4855" s="48"/>
      <c r="M4855" s="48"/>
      <c r="N4855" s="48"/>
      <c r="O4855" s="48" t="str">
        <f t="shared" si="2"/>
        <v/>
      </c>
      <c r="P4855" s="48" t="str">
        <f t="shared" si="3"/>
        <v/>
      </c>
      <c r="Q4855" s="84"/>
      <c r="R4855" s="84"/>
      <c r="S4855" s="84"/>
      <c r="T4855" s="84"/>
      <c r="U4855" s="84"/>
      <c r="V4855" s="84"/>
      <c r="W4855" s="84"/>
      <c r="X4855" s="84"/>
      <c r="Y4855" s="84"/>
      <c r="Z4855" s="84"/>
      <c r="AA4855" s="84"/>
      <c r="AB4855" s="84"/>
    </row>
    <row r="4856">
      <c r="A4856" s="89"/>
      <c r="B4856" s="89"/>
      <c r="C4856" s="89"/>
      <c r="D4856" s="89"/>
      <c r="E4856" s="89"/>
      <c r="F4856" s="89"/>
      <c r="G4856" s="89"/>
      <c r="H4856" s="2"/>
      <c r="I4856" s="90"/>
      <c r="J4856" s="90"/>
      <c r="K4856" s="2"/>
      <c r="L4856" s="49"/>
      <c r="M4856" s="49"/>
      <c r="N4856" s="49"/>
      <c r="O4856" s="49" t="str">
        <f t="shared" si="2"/>
        <v/>
      </c>
      <c r="P4856" s="49" t="str">
        <f t="shared" si="3"/>
        <v/>
      </c>
      <c r="Q4856" s="84"/>
      <c r="R4856" s="84"/>
      <c r="S4856" s="84"/>
      <c r="T4856" s="84"/>
      <c r="U4856" s="84"/>
      <c r="V4856" s="84"/>
      <c r="W4856" s="84"/>
      <c r="X4856" s="84"/>
      <c r="Y4856" s="84"/>
      <c r="Z4856" s="84"/>
      <c r="AA4856" s="84"/>
      <c r="AB4856" s="84"/>
    </row>
    <row r="4857">
      <c r="A4857" s="89"/>
      <c r="B4857" s="89"/>
      <c r="C4857" s="89"/>
      <c r="D4857" s="89"/>
      <c r="E4857" s="89"/>
      <c r="F4857" s="89"/>
      <c r="G4857" s="89"/>
      <c r="H4857" s="2"/>
      <c r="I4857" s="90"/>
      <c r="J4857" s="90"/>
      <c r="K4857" s="2"/>
      <c r="L4857" s="48"/>
      <c r="M4857" s="48"/>
      <c r="N4857" s="48"/>
      <c r="O4857" s="48" t="str">
        <f t="shared" si="2"/>
        <v/>
      </c>
      <c r="P4857" s="48" t="str">
        <f t="shared" si="3"/>
        <v/>
      </c>
      <c r="Q4857" s="84"/>
      <c r="R4857" s="84"/>
      <c r="S4857" s="84"/>
      <c r="T4857" s="84"/>
      <c r="U4857" s="84"/>
      <c r="V4857" s="84"/>
      <c r="W4857" s="84"/>
      <c r="X4857" s="84"/>
      <c r="Y4857" s="84"/>
      <c r="Z4857" s="84"/>
      <c r="AA4857" s="84"/>
      <c r="AB4857" s="84"/>
    </row>
    <row r="4858">
      <c r="A4858" s="89"/>
      <c r="B4858" s="89"/>
      <c r="C4858" s="89"/>
      <c r="D4858" s="89"/>
      <c r="E4858" s="89"/>
      <c r="F4858" s="89"/>
      <c r="G4858" s="89"/>
      <c r="H4858" s="2"/>
      <c r="I4858" s="90"/>
      <c r="J4858" s="90"/>
      <c r="K4858" s="2"/>
      <c r="L4858" s="49"/>
      <c r="M4858" s="49"/>
      <c r="N4858" s="49"/>
      <c r="O4858" s="49" t="str">
        <f t="shared" si="2"/>
        <v/>
      </c>
      <c r="P4858" s="49" t="str">
        <f t="shared" si="3"/>
        <v/>
      </c>
      <c r="Q4858" s="84"/>
      <c r="R4858" s="84"/>
      <c r="S4858" s="84"/>
      <c r="T4858" s="84"/>
      <c r="U4858" s="84"/>
      <c r="V4858" s="84"/>
      <c r="W4858" s="84"/>
      <c r="X4858" s="84"/>
      <c r="Y4858" s="84"/>
      <c r="Z4858" s="84"/>
      <c r="AA4858" s="84"/>
      <c r="AB4858" s="84"/>
    </row>
    <row r="4859">
      <c r="A4859" s="89"/>
      <c r="B4859" s="89"/>
      <c r="C4859" s="89"/>
      <c r="D4859" s="89"/>
      <c r="E4859" s="89"/>
      <c r="F4859" s="89"/>
      <c r="G4859" s="89"/>
      <c r="H4859" s="2"/>
      <c r="I4859" s="90"/>
      <c r="J4859" s="90"/>
      <c r="K4859" s="2"/>
      <c r="L4859" s="48"/>
      <c r="M4859" s="48"/>
      <c r="N4859" s="48"/>
      <c r="O4859" s="48" t="str">
        <f t="shared" si="2"/>
        <v/>
      </c>
      <c r="P4859" s="48" t="str">
        <f t="shared" si="3"/>
        <v/>
      </c>
      <c r="Q4859" s="84"/>
      <c r="R4859" s="84"/>
      <c r="S4859" s="84"/>
      <c r="T4859" s="84"/>
      <c r="U4859" s="84"/>
      <c r="V4859" s="84"/>
      <c r="W4859" s="84"/>
      <c r="X4859" s="84"/>
      <c r="Y4859" s="84"/>
      <c r="Z4859" s="84"/>
      <c r="AA4859" s="84"/>
      <c r="AB4859" s="84"/>
    </row>
    <row r="4860">
      <c r="A4860" s="89"/>
      <c r="B4860" s="89"/>
      <c r="C4860" s="89"/>
      <c r="D4860" s="89"/>
      <c r="E4860" s="89"/>
      <c r="F4860" s="89"/>
      <c r="G4860" s="89"/>
      <c r="H4860" s="2"/>
      <c r="I4860" s="90"/>
      <c r="J4860" s="90"/>
      <c r="K4860" s="2"/>
      <c r="L4860" s="49"/>
      <c r="M4860" s="49"/>
      <c r="N4860" s="49"/>
      <c r="O4860" s="49" t="str">
        <f t="shared" si="2"/>
        <v/>
      </c>
      <c r="P4860" s="49" t="str">
        <f t="shared" si="3"/>
        <v/>
      </c>
      <c r="Q4860" s="84"/>
      <c r="R4860" s="84"/>
      <c r="S4860" s="84"/>
      <c r="T4860" s="84"/>
      <c r="U4860" s="84"/>
      <c r="V4860" s="84"/>
      <c r="W4860" s="84"/>
      <c r="X4860" s="84"/>
      <c r="Y4860" s="84"/>
      <c r="Z4860" s="84"/>
      <c r="AA4860" s="84"/>
      <c r="AB4860" s="84"/>
    </row>
    <row r="4861">
      <c r="A4861" s="89"/>
      <c r="B4861" s="89"/>
      <c r="C4861" s="89"/>
      <c r="D4861" s="89"/>
      <c r="E4861" s="89"/>
      <c r="F4861" s="89"/>
      <c r="G4861" s="89"/>
      <c r="H4861" s="2"/>
      <c r="I4861" s="90"/>
      <c r="J4861" s="90"/>
      <c r="K4861" s="2"/>
      <c r="L4861" s="48"/>
      <c r="M4861" s="48"/>
      <c r="N4861" s="48"/>
      <c r="O4861" s="48" t="str">
        <f t="shared" si="2"/>
        <v/>
      </c>
      <c r="P4861" s="48" t="str">
        <f t="shared" si="3"/>
        <v/>
      </c>
      <c r="Q4861" s="84"/>
      <c r="R4861" s="84"/>
      <c r="S4861" s="84"/>
      <c r="T4861" s="84"/>
      <c r="U4861" s="84"/>
      <c r="V4861" s="84"/>
      <c r="W4861" s="84"/>
      <c r="X4861" s="84"/>
      <c r="Y4861" s="84"/>
      <c r="Z4861" s="84"/>
      <c r="AA4861" s="84"/>
      <c r="AB4861" s="84"/>
    </row>
    <row r="4862">
      <c r="A4862" s="89"/>
      <c r="B4862" s="89"/>
      <c r="C4862" s="89"/>
      <c r="D4862" s="89"/>
      <c r="E4862" s="89"/>
      <c r="F4862" s="89"/>
      <c r="G4862" s="89"/>
      <c r="H4862" s="2"/>
      <c r="I4862" s="90"/>
      <c r="J4862" s="90"/>
      <c r="K4862" s="2"/>
      <c r="L4862" s="49"/>
      <c r="M4862" s="49"/>
      <c r="N4862" s="49"/>
      <c r="O4862" s="49" t="str">
        <f t="shared" si="2"/>
        <v/>
      </c>
      <c r="P4862" s="49" t="str">
        <f t="shared" si="3"/>
        <v/>
      </c>
      <c r="Q4862" s="84"/>
      <c r="R4862" s="84"/>
      <c r="S4862" s="84"/>
      <c r="T4862" s="84"/>
      <c r="U4862" s="84"/>
      <c r="V4862" s="84"/>
      <c r="W4862" s="84"/>
      <c r="X4862" s="84"/>
      <c r="Y4862" s="84"/>
      <c r="Z4862" s="84"/>
      <c r="AA4862" s="84"/>
      <c r="AB4862" s="84"/>
    </row>
    <row r="4863">
      <c r="A4863" s="89"/>
      <c r="B4863" s="89"/>
      <c r="C4863" s="89"/>
      <c r="D4863" s="89"/>
      <c r="E4863" s="89"/>
      <c r="F4863" s="89"/>
      <c r="G4863" s="89"/>
      <c r="H4863" s="2"/>
      <c r="I4863" s="90"/>
      <c r="J4863" s="90"/>
      <c r="K4863" s="2"/>
      <c r="L4863" s="48"/>
      <c r="M4863" s="48"/>
      <c r="N4863" s="48"/>
      <c r="O4863" s="48" t="str">
        <f t="shared" si="2"/>
        <v/>
      </c>
      <c r="P4863" s="48" t="str">
        <f t="shared" si="3"/>
        <v/>
      </c>
      <c r="Q4863" s="84"/>
      <c r="R4863" s="84"/>
      <c r="S4863" s="84"/>
      <c r="T4863" s="84"/>
      <c r="U4863" s="84"/>
      <c r="V4863" s="84"/>
      <c r="W4863" s="84"/>
      <c r="X4863" s="84"/>
      <c r="Y4863" s="84"/>
      <c r="Z4863" s="84"/>
      <c r="AA4863" s="84"/>
      <c r="AB4863" s="84"/>
    </row>
    <row r="4864">
      <c r="A4864" s="89"/>
      <c r="B4864" s="89"/>
      <c r="C4864" s="89"/>
      <c r="D4864" s="89"/>
      <c r="E4864" s="89"/>
      <c r="F4864" s="89"/>
      <c r="G4864" s="89"/>
      <c r="H4864" s="2"/>
      <c r="I4864" s="90"/>
      <c r="J4864" s="90"/>
      <c r="K4864" s="2"/>
      <c r="L4864" s="49"/>
      <c r="M4864" s="49"/>
      <c r="N4864" s="49"/>
      <c r="O4864" s="49" t="str">
        <f t="shared" si="2"/>
        <v/>
      </c>
      <c r="P4864" s="49" t="str">
        <f t="shared" si="3"/>
        <v/>
      </c>
      <c r="Q4864" s="84"/>
      <c r="R4864" s="84"/>
      <c r="S4864" s="84"/>
      <c r="T4864" s="84"/>
      <c r="U4864" s="84"/>
      <c r="V4864" s="84"/>
      <c r="W4864" s="84"/>
      <c r="X4864" s="84"/>
      <c r="Y4864" s="84"/>
      <c r="Z4864" s="84"/>
      <c r="AA4864" s="84"/>
      <c r="AB4864" s="84"/>
    </row>
    <row r="4865">
      <c r="A4865" s="89"/>
      <c r="B4865" s="89"/>
      <c r="C4865" s="89"/>
      <c r="D4865" s="89"/>
      <c r="E4865" s="89"/>
      <c r="F4865" s="89"/>
      <c r="G4865" s="89"/>
      <c r="H4865" s="2"/>
      <c r="I4865" s="90"/>
      <c r="J4865" s="90"/>
      <c r="K4865" s="2"/>
      <c r="L4865" s="48"/>
      <c r="M4865" s="48"/>
      <c r="N4865" s="48"/>
      <c r="O4865" s="48" t="str">
        <f t="shared" si="2"/>
        <v/>
      </c>
      <c r="P4865" s="48" t="str">
        <f t="shared" si="3"/>
        <v/>
      </c>
      <c r="Q4865" s="84"/>
      <c r="R4865" s="84"/>
      <c r="S4865" s="84"/>
      <c r="T4865" s="84"/>
      <c r="U4865" s="84"/>
      <c r="V4865" s="84"/>
      <c r="W4865" s="84"/>
      <c r="X4865" s="84"/>
      <c r="Y4865" s="84"/>
      <c r="Z4865" s="84"/>
      <c r="AA4865" s="84"/>
      <c r="AB4865" s="84"/>
    </row>
    <row r="4866">
      <c r="A4866" s="89"/>
      <c r="B4866" s="89"/>
      <c r="C4866" s="89"/>
      <c r="D4866" s="89"/>
      <c r="E4866" s="89"/>
      <c r="F4866" s="89"/>
      <c r="G4866" s="89"/>
      <c r="H4866" s="2"/>
      <c r="I4866" s="90"/>
      <c r="J4866" s="90"/>
      <c r="K4866" s="2"/>
      <c r="L4866" s="49"/>
      <c r="M4866" s="49"/>
      <c r="N4866" s="49"/>
      <c r="O4866" s="49" t="str">
        <f t="shared" si="2"/>
        <v/>
      </c>
      <c r="P4866" s="49" t="str">
        <f t="shared" si="3"/>
        <v/>
      </c>
      <c r="Q4866" s="84"/>
      <c r="R4866" s="84"/>
      <c r="S4866" s="84"/>
      <c r="T4866" s="84"/>
      <c r="U4866" s="84"/>
      <c r="V4866" s="84"/>
      <c r="W4866" s="84"/>
      <c r="X4866" s="84"/>
      <c r="Y4866" s="84"/>
      <c r="Z4866" s="84"/>
      <c r="AA4866" s="84"/>
      <c r="AB4866" s="84"/>
    </row>
    <row r="4867">
      <c r="A4867" s="89"/>
      <c r="B4867" s="89"/>
      <c r="C4867" s="89"/>
      <c r="D4867" s="89"/>
      <c r="E4867" s="89"/>
      <c r="F4867" s="89"/>
      <c r="G4867" s="89"/>
      <c r="H4867" s="2"/>
      <c r="I4867" s="90"/>
      <c r="J4867" s="90"/>
      <c r="K4867" s="2"/>
      <c r="L4867" s="48"/>
      <c r="M4867" s="48"/>
      <c r="N4867" s="48"/>
      <c r="O4867" s="48" t="str">
        <f t="shared" si="2"/>
        <v/>
      </c>
      <c r="P4867" s="48" t="str">
        <f t="shared" si="3"/>
        <v/>
      </c>
      <c r="Q4867" s="84"/>
      <c r="R4867" s="84"/>
      <c r="S4867" s="84"/>
      <c r="T4867" s="84"/>
      <c r="U4867" s="84"/>
      <c r="V4867" s="84"/>
      <c r="W4867" s="84"/>
      <c r="X4867" s="84"/>
      <c r="Y4867" s="84"/>
      <c r="Z4867" s="84"/>
      <c r="AA4867" s="84"/>
      <c r="AB4867" s="84"/>
    </row>
    <row r="4868">
      <c r="A4868" s="89"/>
      <c r="B4868" s="89"/>
      <c r="C4868" s="89"/>
      <c r="D4868" s="89"/>
      <c r="E4868" s="89"/>
      <c r="F4868" s="89"/>
      <c r="G4868" s="89"/>
      <c r="H4868" s="2"/>
      <c r="I4868" s="90"/>
      <c r="J4868" s="90"/>
      <c r="K4868" s="2"/>
      <c r="L4868" s="49"/>
      <c r="M4868" s="49"/>
      <c r="N4868" s="49"/>
      <c r="O4868" s="49" t="str">
        <f t="shared" si="2"/>
        <v/>
      </c>
      <c r="P4868" s="49" t="str">
        <f t="shared" si="3"/>
        <v/>
      </c>
      <c r="Q4868" s="84"/>
      <c r="R4868" s="84"/>
      <c r="S4868" s="84"/>
      <c r="T4868" s="84"/>
      <c r="U4868" s="84"/>
      <c r="V4868" s="84"/>
      <c r="W4868" s="84"/>
      <c r="X4868" s="84"/>
      <c r="Y4868" s="84"/>
      <c r="Z4868" s="84"/>
      <c r="AA4868" s="84"/>
      <c r="AB4868" s="84"/>
    </row>
    <row r="4869">
      <c r="A4869" s="89"/>
      <c r="B4869" s="89"/>
      <c r="C4869" s="89"/>
      <c r="D4869" s="89"/>
      <c r="E4869" s="89"/>
      <c r="F4869" s="89"/>
      <c r="G4869" s="89"/>
      <c r="H4869" s="2"/>
      <c r="I4869" s="90"/>
      <c r="J4869" s="90"/>
      <c r="K4869" s="2"/>
      <c r="L4869" s="48"/>
      <c r="M4869" s="48"/>
      <c r="N4869" s="48"/>
      <c r="O4869" s="48" t="str">
        <f t="shared" si="2"/>
        <v/>
      </c>
      <c r="P4869" s="48" t="str">
        <f t="shared" si="3"/>
        <v/>
      </c>
      <c r="Q4869" s="84"/>
      <c r="R4869" s="84"/>
      <c r="S4869" s="84"/>
      <c r="T4869" s="84"/>
      <c r="U4869" s="84"/>
      <c r="V4869" s="84"/>
      <c r="W4869" s="84"/>
      <c r="X4869" s="84"/>
      <c r="Y4869" s="84"/>
      <c r="Z4869" s="84"/>
      <c r="AA4869" s="84"/>
      <c r="AB4869" s="84"/>
    </row>
    <row r="4870">
      <c r="A4870" s="89"/>
      <c r="B4870" s="89"/>
      <c r="C4870" s="89"/>
      <c r="D4870" s="89"/>
      <c r="E4870" s="89"/>
      <c r="F4870" s="89"/>
      <c r="G4870" s="89"/>
      <c r="H4870" s="2"/>
      <c r="I4870" s="90"/>
      <c r="J4870" s="90"/>
      <c r="K4870" s="2"/>
      <c r="L4870" s="49"/>
      <c r="M4870" s="49"/>
      <c r="N4870" s="49"/>
      <c r="O4870" s="49" t="str">
        <f t="shared" si="2"/>
        <v/>
      </c>
      <c r="P4870" s="49" t="str">
        <f t="shared" si="3"/>
        <v/>
      </c>
      <c r="Q4870" s="84"/>
      <c r="R4870" s="84"/>
      <c r="S4870" s="84"/>
      <c r="T4870" s="84"/>
      <c r="U4870" s="84"/>
      <c r="V4870" s="84"/>
      <c r="W4870" s="84"/>
      <c r="X4870" s="84"/>
      <c r="Y4870" s="84"/>
      <c r="Z4870" s="84"/>
      <c r="AA4870" s="84"/>
      <c r="AB4870" s="84"/>
    </row>
    <row r="4871">
      <c r="A4871" s="89"/>
      <c r="B4871" s="89"/>
      <c r="C4871" s="89"/>
      <c r="D4871" s="89"/>
      <c r="E4871" s="89"/>
      <c r="F4871" s="89"/>
      <c r="G4871" s="89"/>
      <c r="H4871" s="2"/>
      <c r="I4871" s="90"/>
      <c r="J4871" s="90"/>
      <c r="K4871" s="2"/>
      <c r="L4871" s="48"/>
      <c r="M4871" s="48"/>
      <c r="N4871" s="48"/>
      <c r="O4871" s="48" t="str">
        <f t="shared" si="2"/>
        <v/>
      </c>
      <c r="P4871" s="48" t="str">
        <f t="shared" si="3"/>
        <v/>
      </c>
      <c r="Q4871" s="84"/>
      <c r="R4871" s="84"/>
      <c r="S4871" s="84"/>
      <c r="T4871" s="84"/>
      <c r="U4871" s="84"/>
      <c r="V4871" s="84"/>
      <c r="W4871" s="84"/>
      <c r="X4871" s="84"/>
      <c r="Y4871" s="84"/>
      <c r="Z4871" s="84"/>
      <c r="AA4871" s="84"/>
      <c r="AB4871" s="84"/>
    </row>
    <row r="4872">
      <c r="A4872" s="89"/>
      <c r="B4872" s="89"/>
      <c r="C4872" s="89"/>
      <c r="D4872" s="89"/>
      <c r="E4872" s="89"/>
      <c r="F4872" s="89"/>
      <c r="G4872" s="89"/>
      <c r="H4872" s="2"/>
      <c r="I4872" s="90"/>
      <c r="J4872" s="90"/>
      <c r="K4872" s="2"/>
      <c r="L4872" s="49"/>
      <c r="M4872" s="49"/>
      <c r="N4872" s="49"/>
      <c r="O4872" s="49" t="str">
        <f t="shared" si="2"/>
        <v/>
      </c>
      <c r="P4872" s="49" t="str">
        <f t="shared" si="3"/>
        <v/>
      </c>
      <c r="Q4872" s="84"/>
      <c r="R4872" s="84"/>
      <c r="S4872" s="84"/>
      <c r="T4872" s="84"/>
      <c r="U4872" s="84"/>
      <c r="V4872" s="84"/>
      <c r="W4872" s="84"/>
      <c r="X4872" s="84"/>
      <c r="Y4872" s="84"/>
      <c r="Z4872" s="84"/>
      <c r="AA4872" s="84"/>
      <c r="AB4872" s="84"/>
    </row>
    <row r="4873">
      <c r="A4873" s="89"/>
      <c r="B4873" s="89"/>
      <c r="C4873" s="89"/>
      <c r="D4873" s="89"/>
      <c r="E4873" s="89"/>
      <c r="F4873" s="89"/>
      <c r="G4873" s="89"/>
      <c r="H4873" s="2"/>
      <c r="I4873" s="90"/>
      <c r="J4873" s="90"/>
      <c r="K4873" s="2"/>
      <c r="L4873" s="48"/>
      <c r="M4873" s="48"/>
      <c r="N4873" s="48"/>
      <c r="O4873" s="48" t="str">
        <f t="shared" si="2"/>
        <v/>
      </c>
      <c r="P4873" s="48" t="str">
        <f t="shared" si="3"/>
        <v/>
      </c>
      <c r="Q4873" s="84"/>
      <c r="R4873" s="84"/>
      <c r="S4873" s="84"/>
      <c r="T4873" s="84"/>
      <c r="U4873" s="84"/>
      <c r="V4873" s="84"/>
      <c r="W4873" s="84"/>
      <c r="X4873" s="84"/>
      <c r="Y4873" s="84"/>
      <c r="Z4873" s="84"/>
      <c r="AA4873" s="84"/>
      <c r="AB4873" s="84"/>
    </row>
    <row r="4874">
      <c r="A4874" s="89"/>
      <c r="B4874" s="89"/>
      <c r="C4874" s="89"/>
      <c r="D4874" s="89"/>
      <c r="E4874" s="89"/>
      <c r="F4874" s="89"/>
      <c r="G4874" s="89"/>
      <c r="H4874" s="2"/>
      <c r="I4874" s="90"/>
      <c r="J4874" s="90"/>
      <c r="K4874" s="2"/>
      <c r="L4874" s="49"/>
      <c r="M4874" s="49"/>
      <c r="N4874" s="49"/>
      <c r="O4874" s="49" t="str">
        <f t="shared" si="2"/>
        <v/>
      </c>
      <c r="P4874" s="49" t="str">
        <f t="shared" si="3"/>
        <v/>
      </c>
      <c r="Q4874" s="84"/>
      <c r="R4874" s="84"/>
      <c r="S4874" s="84"/>
      <c r="T4874" s="84"/>
      <c r="U4874" s="84"/>
      <c r="V4874" s="84"/>
      <c r="W4874" s="84"/>
      <c r="X4874" s="84"/>
      <c r="Y4874" s="84"/>
      <c r="Z4874" s="84"/>
      <c r="AA4874" s="84"/>
      <c r="AB4874" s="84"/>
    </row>
    <row r="4875">
      <c r="A4875" s="89"/>
      <c r="B4875" s="89"/>
      <c r="C4875" s="89"/>
      <c r="D4875" s="89"/>
      <c r="E4875" s="89"/>
      <c r="F4875" s="89"/>
      <c r="G4875" s="89"/>
      <c r="H4875" s="2"/>
      <c r="I4875" s="90"/>
      <c r="J4875" s="90"/>
      <c r="K4875" s="2"/>
      <c r="L4875" s="48"/>
      <c r="M4875" s="48"/>
      <c r="N4875" s="48"/>
      <c r="O4875" s="48" t="str">
        <f t="shared" si="2"/>
        <v/>
      </c>
      <c r="P4875" s="48" t="str">
        <f t="shared" si="3"/>
        <v/>
      </c>
      <c r="Q4875" s="84"/>
      <c r="R4875" s="84"/>
      <c r="S4875" s="84"/>
      <c r="T4875" s="84"/>
      <c r="U4875" s="84"/>
      <c r="V4875" s="84"/>
      <c r="W4875" s="84"/>
      <c r="X4875" s="84"/>
      <c r="Y4875" s="84"/>
      <c r="Z4875" s="84"/>
      <c r="AA4875" s="84"/>
      <c r="AB4875" s="84"/>
    </row>
    <row r="4876">
      <c r="A4876" s="89"/>
      <c r="B4876" s="89"/>
      <c r="C4876" s="89"/>
      <c r="D4876" s="89"/>
      <c r="E4876" s="89"/>
      <c r="F4876" s="89"/>
      <c r="G4876" s="89"/>
      <c r="H4876" s="2"/>
      <c r="I4876" s="90"/>
      <c r="J4876" s="90"/>
      <c r="K4876" s="2"/>
      <c r="L4876" s="49"/>
      <c r="M4876" s="49"/>
      <c r="N4876" s="49"/>
      <c r="O4876" s="49" t="str">
        <f t="shared" si="2"/>
        <v/>
      </c>
      <c r="P4876" s="49" t="str">
        <f t="shared" si="3"/>
        <v/>
      </c>
      <c r="Q4876" s="84"/>
      <c r="R4876" s="84"/>
      <c r="S4876" s="84"/>
      <c r="T4876" s="84"/>
      <c r="U4876" s="84"/>
      <c r="V4876" s="84"/>
      <c r="W4876" s="84"/>
      <c r="X4876" s="84"/>
      <c r="Y4876" s="84"/>
      <c r="Z4876" s="84"/>
      <c r="AA4876" s="84"/>
      <c r="AB4876" s="84"/>
    </row>
    <row r="4877">
      <c r="A4877" s="89"/>
      <c r="B4877" s="89"/>
      <c r="C4877" s="89"/>
      <c r="D4877" s="89"/>
      <c r="E4877" s="89"/>
      <c r="F4877" s="89"/>
      <c r="G4877" s="89"/>
      <c r="H4877" s="2"/>
      <c r="I4877" s="90"/>
      <c r="J4877" s="90"/>
      <c r="K4877" s="2"/>
      <c r="L4877" s="48"/>
      <c r="M4877" s="48"/>
      <c r="N4877" s="48"/>
      <c r="O4877" s="48" t="str">
        <f t="shared" si="2"/>
        <v/>
      </c>
      <c r="P4877" s="48" t="str">
        <f t="shared" si="3"/>
        <v/>
      </c>
      <c r="Q4877" s="84"/>
      <c r="R4877" s="84"/>
      <c r="S4877" s="84"/>
      <c r="T4877" s="84"/>
      <c r="U4877" s="84"/>
      <c r="V4877" s="84"/>
      <c r="W4877" s="84"/>
      <c r="X4877" s="84"/>
      <c r="Y4877" s="84"/>
      <c r="Z4877" s="84"/>
      <c r="AA4877" s="84"/>
      <c r="AB4877" s="84"/>
    </row>
    <row r="4878">
      <c r="A4878" s="89"/>
      <c r="B4878" s="89"/>
      <c r="C4878" s="89"/>
      <c r="D4878" s="89"/>
      <c r="E4878" s="89"/>
      <c r="F4878" s="89"/>
      <c r="G4878" s="89"/>
      <c r="H4878" s="2"/>
      <c r="I4878" s="90"/>
      <c r="J4878" s="90"/>
      <c r="K4878" s="2"/>
      <c r="L4878" s="49"/>
      <c r="M4878" s="49"/>
      <c r="N4878" s="49"/>
      <c r="O4878" s="49" t="str">
        <f t="shared" si="2"/>
        <v/>
      </c>
      <c r="P4878" s="49" t="str">
        <f t="shared" si="3"/>
        <v/>
      </c>
      <c r="Q4878" s="84"/>
      <c r="R4878" s="84"/>
      <c r="S4878" s="84"/>
      <c r="T4878" s="84"/>
      <c r="U4878" s="84"/>
      <c r="V4878" s="84"/>
      <c r="W4878" s="84"/>
      <c r="X4878" s="84"/>
      <c r="Y4878" s="84"/>
      <c r="Z4878" s="84"/>
      <c r="AA4878" s="84"/>
      <c r="AB4878" s="84"/>
    </row>
    <row r="4879">
      <c r="A4879" s="89"/>
      <c r="B4879" s="89"/>
      <c r="C4879" s="89"/>
      <c r="D4879" s="89"/>
      <c r="E4879" s="89"/>
      <c r="F4879" s="89"/>
      <c r="G4879" s="89"/>
      <c r="H4879" s="2"/>
      <c r="I4879" s="90"/>
      <c r="J4879" s="90"/>
      <c r="K4879" s="2"/>
      <c r="L4879" s="48"/>
      <c r="M4879" s="48"/>
      <c r="N4879" s="48"/>
      <c r="O4879" s="48" t="str">
        <f t="shared" si="2"/>
        <v/>
      </c>
      <c r="P4879" s="48" t="str">
        <f t="shared" si="3"/>
        <v/>
      </c>
      <c r="Q4879" s="84"/>
      <c r="R4879" s="84"/>
      <c r="S4879" s="84"/>
      <c r="T4879" s="84"/>
      <c r="U4879" s="84"/>
      <c r="V4879" s="84"/>
      <c r="W4879" s="84"/>
      <c r="X4879" s="84"/>
      <c r="Y4879" s="84"/>
      <c r="Z4879" s="84"/>
      <c r="AA4879" s="84"/>
      <c r="AB4879" s="84"/>
    </row>
    <row r="4880">
      <c r="A4880" s="89"/>
      <c r="B4880" s="89"/>
      <c r="C4880" s="89"/>
      <c r="D4880" s="89"/>
      <c r="E4880" s="89"/>
      <c r="F4880" s="89"/>
      <c r="G4880" s="89"/>
      <c r="H4880" s="2"/>
      <c r="I4880" s="90"/>
      <c r="J4880" s="90"/>
      <c r="K4880" s="2"/>
      <c r="L4880" s="49"/>
      <c r="M4880" s="49"/>
      <c r="N4880" s="49"/>
      <c r="O4880" s="49" t="str">
        <f t="shared" si="2"/>
        <v/>
      </c>
      <c r="P4880" s="49" t="str">
        <f t="shared" si="3"/>
        <v/>
      </c>
      <c r="Q4880" s="84"/>
      <c r="R4880" s="84"/>
      <c r="S4880" s="84"/>
      <c r="T4880" s="84"/>
      <c r="U4880" s="84"/>
      <c r="V4880" s="84"/>
      <c r="W4880" s="84"/>
      <c r="X4880" s="84"/>
      <c r="Y4880" s="84"/>
      <c r="Z4880" s="84"/>
      <c r="AA4880" s="84"/>
      <c r="AB4880" s="84"/>
    </row>
    <row r="4881">
      <c r="A4881" s="89"/>
      <c r="B4881" s="89"/>
      <c r="C4881" s="89"/>
      <c r="D4881" s="89"/>
      <c r="E4881" s="89"/>
      <c r="F4881" s="89"/>
      <c r="G4881" s="89"/>
      <c r="H4881" s="2"/>
      <c r="I4881" s="90"/>
      <c r="J4881" s="90"/>
      <c r="K4881" s="2"/>
      <c r="L4881" s="48"/>
      <c r="M4881" s="48"/>
      <c r="N4881" s="48"/>
      <c r="O4881" s="48" t="str">
        <f t="shared" si="2"/>
        <v/>
      </c>
      <c r="P4881" s="48" t="str">
        <f t="shared" si="3"/>
        <v/>
      </c>
      <c r="Q4881" s="84"/>
      <c r="R4881" s="84"/>
      <c r="S4881" s="84"/>
      <c r="T4881" s="84"/>
      <c r="U4881" s="84"/>
      <c r="V4881" s="84"/>
      <c r="W4881" s="84"/>
      <c r="X4881" s="84"/>
      <c r="Y4881" s="84"/>
      <c r="Z4881" s="84"/>
      <c r="AA4881" s="84"/>
      <c r="AB4881" s="84"/>
    </row>
    <row r="4882">
      <c r="A4882" s="89"/>
      <c r="B4882" s="89"/>
      <c r="C4882" s="89"/>
      <c r="D4882" s="89"/>
      <c r="E4882" s="89"/>
      <c r="F4882" s="89"/>
      <c r="G4882" s="89"/>
      <c r="H4882" s="2"/>
      <c r="I4882" s="90"/>
      <c r="J4882" s="90"/>
      <c r="K4882" s="2"/>
      <c r="L4882" s="49"/>
      <c r="M4882" s="49"/>
      <c r="N4882" s="49"/>
      <c r="O4882" s="49" t="str">
        <f t="shared" si="2"/>
        <v/>
      </c>
      <c r="P4882" s="49" t="str">
        <f t="shared" si="3"/>
        <v/>
      </c>
      <c r="Q4882" s="84"/>
      <c r="R4882" s="84"/>
      <c r="S4882" s="84"/>
      <c r="T4882" s="84"/>
      <c r="U4882" s="84"/>
      <c r="V4882" s="84"/>
      <c r="W4882" s="84"/>
      <c r="X4882" s="84"/>
      <c r="Y4882" s="84"/>
      <c r="Z4882" s="84"/>
      <c r="AA4882" s="84"/>
      <c r="AB4882" s="84"/>
    </row>
    <row r="4883">
      <c r="A4883" s="89"/>
      <c r="B4883" s="89"/>
      <c r="C4883" s="89"/>
      <c r="D4883" s="89"/>
      <c r="E4883" s="89"/>
      <c r="F4883" s="89"/>
      <c r="G4883" s="89"/>
      <c r="H4883" s="2"/>
      <c r="I4883" s="90"/>
      <c r="J4883" s="90"/>
      <c r="K4883" s="2"/>
      <c r="L4883" s="48"/>
      <c r="M4883" s="48"/>
      <c r="N4883" s="48"/>
      <c r="O4883" s="48" t="str">
        <f t="shared" si="2"/>
        <v/>
      </c>
      <c r="P4883" s="48" t="str">
        <f t="shared" si="3"/>
        <v/>
      </c>
      <c r="Q4883" s="84"/>
      <c r="R4883" s="84"/>
      <c r="S4883" s="84"/>
      <c r="T4883" s="84"/>
      <c r="U4883" s="84"/>
      <c r="V4883" s="84"/>
      <c r="W4883" s="84"/>
      <c r="X4883" s="84"/>
      <c r="Y4883" s="84"/>
      <c r="Z4883" s="84"/>
      <c r="AA4883" s="84"/>
      <c r="AB4883" s="84"/>
    </row>
    <row r="4884">
      <c r="A4884" s="89"/>
      <c r="B4884" s="89"/>
      <c r="C4884" s="89"/>
      <c r="D4884" s="89"/>
      <c r="E4884" s="89"/>
      <c r="F4884" s="89"/>
      <c r="G4884" s="89"/>
      <c r="H4884" s="2"/>
      <c r="I4884" s="90"/>
      <c r="J4884" s="90"/>
      <c r="K4884" s="2"/>
      <c r="L4884" s="49"/>
      <c r="M4884" s="49"/>
      <c r="N4884" s="49"/>
      <c r="O4884" s="49" t="str">
        <f t="shared" si="2"/>
        <v/>
      </c>
      <c r="P4884" s="49" t="str">
        <f t="shared" si="3"/>
        <v/>
      </c>
      <c r="Q4884" s="84"/>
      <c r="R4884" s="84"/>
      <c r="S4884" s="84"/>
      <c r="T4884" s="84"/>
      <c r="U4884" s="84"/>
      <c r="V4884" s="84"/>
      <c r="W4884" s="84"/>
      <c r="X4884" s="84"/>
      <c r="Y4884" s="84"/>
      <c r="Z4884" s="84"/>
      <c r="AA4884" s="84"/>
      <c r="AB4884" s="84"/>
    </row>
    <row r="4885">
      <c r="A4885" s="89"/>
      <c r="B4885" s="89"/>
      <c r="C4885" s="89"/>
      <c r="D4885" s="89"/>
      <c r="E4885" s="89"/>
      <c r="F4885" s="89"/>
      <c r="G4885" s="89"/>
      <c r="H4885" s="2"/>
      <c r="I4885" s="90"/>
      <c r="J4885" s="90"/>
      <c r="K4885" s="2"/>
      <c r="L4885" s="48"/>
      <c r="M4885" s="48"/>
      <c r="N4885" s="48"/>
      <c r="O4885" s="48" t="str">
        <f t="shared" si="2"/>
        <v/>
      </c>
      <c r="P4885" s="48" t="str">
        <f t="shared" si="3"/>
        <v/>
      </c>
      <c r="Q4885" s="84"/>
      <c r="R4885" s="84"/>
      <c r="S4885" s="84"/>
      <c r="T4885" s="84"/>
      <c r="U4885" s="84"/>
      <c r="V4885" s="84"/>
      <c r="W4885" s="84"/>
      <c r="X4885" s="84"/>
      <c r="Y4885" s="84"/>
      <c r="Z4885" s="84"/>
      <c r="AA4885" s="84"/>
      <c r="AB4885" s="84"/>
    </row>
    <row r="4886">
      <c r="A4886" s="89"/>
      <c r="B4886" s="89"/>
      <c r="C4886" s="89"/>
      <c r="D4886" s="89"/>
      <c r="E4886" s="89"/>
      <c r="F4886" s="89"/>
      <c r="G4886" s="89"/>
      <c r="H4886" s="2"/>
      <c r="I4886" s="90"/>
      <c r="J4886" s="90"/>
      <c r="K4886" s="2"/>
      <c r="L4886" s="49"/>
      <c r="M4886" s="49"/>
      <c r="N4886" s="49"/>
      <c r="O4886" s="49" t="str">
        <f t="shared" si="2"/>
        <v/>
      </c>
      <c r="P4886" s="49" t="str">
        <f t="shared" si="3"/>
        <v/>
      </c>
      <c r="Q4886" s="84"/>
      <c r="R4886" s="84"/>
      <c r="S4886" s="84"/>
      <c r="T4886" s="84"/>
      <c r="U4886" s="84"/>
      <c r="V4886" s="84"/>
      <c r="W4886" s="84"/>
      <c r="X4886" s="84"/>
      <c r="Y4886" s="84"/>
      <c r="Z4886" s="84"/>
      <c r="AA4886" s="84"/>
      <c r="AB4886" s="84"/>
    </row>
    <row r="4887">
      <c r="A4887" s="89"/>
      <c r="B4887" s="89"/>
      <c r="C4887" s="89"/>
      <c r="D4887" s="89"/>
      <c r="E4887" s="89"/>
      <c r="F4887" s="89"/>
      <c r="G4887" s="89"/>
      <c r="H4887" s="2"/>
      <c r="I4887" s="90"/>
      <c r="J4887" s="90"/>
      <c r="K4887" s="2"/>
      <c r="L4887" s="48"/>
      <c r="M4887" s="48"/>
      <c r="N4887" s="48"/>
      <c r="O4887" s="48" t="str">
        <f t="shared" si="2"/>
        <v/>
      </c>
      <c r="P4887" s="48" t="str">
        <f t="shared" si="3"/>
        <v/>
      </c>
      <c r="Q4887" s="84"/>
      <c r="R4887" s="84"/>
      <c r="S4887" s="84"/>
      <c r="T4887" s="84"/>
      <c r="U4887" s="84"/>
      <c r="V4887" s="84"/>
      <c r="W4887" s="84"/>
      <c r="X4887" s="84"/>
      <c r="Y4887" s="84"/>
      <c r="Z4887" s="84"/>
      <c r="AA4887" s="84"/>
      <c r="AB4887" s="84"/>
    </row>
    <row r="4888">
      <c r="A4888" s="89"/>
      <c r="B4888" s="89"/>
      <c r="C4888" s="89"/>
      <c r="D4888" s="89"/>
      <c r="E4888" s="89"/>
      <c r="F4888" s="89"/>
      <c r="G4888" s="89"/>
      <c r="H4888" s="2"/>
      <c r="I4888" s="90"/>
      <c r="J4888" s="90"/>
      <c r="K4888" s="2"/>
      <c r="L4888" s="49"/>
      <c r="M4888" s="49"/>
      <c r="N4888" s="49"/>
      <c r="O4888" s="49" t="str">
        <f t="shared" si="2"/>
        <v/>
      </c>
      <c r="P4888" s="49" t="str">
        <f t="shared" si="3"/>
        <v/>
      </c>
      <c r="Q4888" s="84"/>
      <c r="R4888" s="84"/>
      <c r="S4888" s="84"/>
      <c r="T4888" s="84"/>
      <c r="U4888" s="84"/>
      <c r="V4888" s="84"/>
      <c r="W4888" s="84"/>
      <c r="X4888" s="84"/>
      <c r="Y4888" s="84"/>
      <c r="Z4888" s="84"/>
      <c r="AA4888" s="84"/>
      <c r="AB4888" s="84"/>
    </row>
    <row r="4889">
      <c r="A4889" s="89"/>
      <c r="B4889" s="89"/>
      <c r="C4889" s="89"/>
      <c r="D4889" s="89"/>
      <c r="E4889" s="89"/>
      <c r="F4889" s="89"/>
      <c r="G4889" s="89"/>
      <c r="H4889" s="2"/>
      <c r="I4889" s="90"/>
      <c r="J4889" s="90"/>
      <c r="K4889" s="2"/>
      <c r="L4889" s="48"/>
      <c r="M4889" s="48"/>
      <c r="N4889" s="48"/>
      <c r="O4889" s="48" t="str">
        <f t="shared" si="2"/>
        <v/>
      </c>
      <c r="P4889" s="48" t="str">
        <f t="shared" si="3"/>
        <v/>
      </c>
      <c r="Q4889" s="84"/>
      <c r="R4889" s="84"/>
      <c r="S4889" s="84"/>
      <c r="T4889" s="84"/>
      <c r="U4889" s="84"/>
      <c r="V4889" s="84"/>
      <c r="W4889" s="84"/>
      <c r="X4889" s="84"/>
      <c r="Y4889" s="84"/>
      <c r="Z4889" s="84"/>
      <c r="AA4889" s="84"/>
      <c r="AB4889" s="84"/>
    </row>
    <row r="4890">
      <c r="A4890" s="89"/>
      <c r="B4890" s="89"/>
      <c r="C4890" s="89"/>
      <c r="D4890" s="89"/>
      <c r="E4890" s="89"/>
      <c r="F4890" s="89"/>
      <c r="G4890" s="89"/>
      <c r="H4890" s="2"/>
      <c r="I4890" s="90"/>
      <c r="J4890" s="90"/>
      <c r="K4890" s="2"/>
      <c r="L4890" s="49"/>
      <c r="M4890" s="49"/>
      <c r="N4890" s="49"/>
      <c r="O4890" s="49" t="str">
        <f t="shared" si="2"/>
        <v/>
      </c>
      <c r="P4890" s="49" t="str">
        <f t="shared" si="3"/>
        <v/>
      </c>
      <c r="Q4890" s="84"/>
      <c r="R4890" s="84"/>
      <c r="S4890" s="84"/>
      <c r="T4890" s="84"/>
      <c r="U4890" s="84"/>
      <c r="V4890" s="84"/>
      <c r="W4890" s="84"/>
      <c r="X4890" s="84"/>
      <c r="Y4890" s="84"/>
      <c r="Z4890" s="84"/>
      <c r="AA4890" s="84"/>
      <c r="AB4890" s="84"/>
    </row>
    <row r="4891">
      <c r="A4891" s="89"/>
      <c r="B4891" s="89"/>
      <c r="C4891" s="89"/>
      <c r="D4891" s="89"/>
      <c r="E4891" s="89"/>
      <c r="F4891" s="89"/>
      <c r="G4891" s="89"/>
      <c r="H4891" s="2"/>
      <c r="I4891" s="90"/>
      <c r="J4891" s="90"/>
      <c r="K4891" s="2"/>
      <c r="L4891" s="48"/>
      <c r="M4891" s="48"/>
      <c r="N4891" s="48"/>
      <c r="O4891" s="48" t="str">
        <f t="shared" si="2"/>
        <v/>
      </c>
      <c r="P4891" s="48" t="str">
        <f t="shared" si="3"/>
        <v/>
      </c>
      <c r="Q4891" s="84"/>
      <c r="R4891" s="84"/>
      <c r="S4891" s="84"/>
      <c r="T4891" s="84"/>
      <c r="U4891" s="84"/>
      <c r="V4891" s="84"/>
      <c r="W4891" s="84"/>
      <c r="X4891" s="84"/>
      <c r="Y4891" s="84"/>
      <c r="Z4891" s="84"/>
      <c r="AA4891" s="84"/>
      <c r="AB4891" s="84"/>
    </row>
    <row r="4892">
      <c r="A4892" s="89"/>
      <c r="B4892" s="89"/>
      <c r="C4892" s="89"/>
      <c r="D4892" s="89"/>
      <c r="E4892" s="89"/>
      <c r="F4892" s="89"/>
      <c r="G4892" s="89"/>
      <c r="H4892" s="2"/>
      <c r="I4892" s="90"/>
      <c r="J4892" s="90"/>
      <c r="K4892" s="2"/>
      <c r="L4892" s="49"/>
      <c r="M4892" s="49"/>
      <c r="N4892" s="49"/>
      <c r="O4892" s="49" t="str">
        <f t="shared" si="2"/>
        <v/>
      </c>
      <c r="P4892" s="49" t="str">
        <f t="shared" si="3"/>
        <v/>
      </c>
      <c r="Q4892" s="84"/>
      <c r="R4892" s="84"/>
      <c r="S4892" s="84"/>
      <c r="T4892" s="84"/>
      <c r="U4892" s="84"/>
      <c r="V4892" s="84"/>
      <c r="W4892" s="84"/>
      <c r="X4892" s="84"/>
      <c r="Y4892" s="84"/>
      <c r="Z4892" s="84"/>
      <c r="AA4892" s="84"/>
      <c r="AB4892" s="84"/>
    </row>
    <row r="4893">
      <c r="A4893" s="89"/>
      <c r="B4893" s="89"/>
      <c r="C4893" s="89"/>
      <c r="D4893" s="89"/>
      <c r="E4893" s="89"/>
      <c r="F4893" s="89"/>
      <c r="G4893" s="89"/>
      <c r="H4893" s="2"/>
      <c r="I4893" s="90"/>
      <c r="J4893" s="90"/>
      <c r="K4893" s="2"/>
      <c r="L4893" s="48"/>
      <c r="M4893" s="48"/>
      <c r="N4893" s="48"/>
      <c r="O4893" s="48" t="str">
        <f t="shared" si="2"/>
        <v/>
      </c>
      <c r="P4893" s="48" t="str">
        <f t="shared" si="3"/>
        <v/>
      </c>
      <c r="Q4893" s="84"/>
      <c r="R4893" s="84"/>
      <c r="S4893" s="84"/>
      <c r="T4893" s="84"/>
      <c r="U4893" s="84"/>
      <c r="V4893" s="84"/>
      <c r="W4893" s="84"/>
      <c r="X4893" s="84"/>
      <c r="Y4893" s="84"/>
      <c r="Z4893" s="84"/>
      <c r="AA4893" s="84"/>
      <c r="AB4893" s="84"/>
    </row>
    <row r="4894">
      <c r="A4894" s="89"/>
      <c r="B4894" s="89"/>
      <c r="C4894" s="89"/>
      <c r="D4894" s="89"/>
      <c r="E4894" s="89"/>
      <c r="F4894" s="89"/>
      <c r="G4894" s="89"/>
      <c r="H4894" s="2"/>
      <c r="I4894" s="90"/>
      <c r="J4894" s="90"/>
      <c r="K4894" s="2"/>
      <c r="L4894" s="49"/>
      <c r="M4894" s="49"/>
      <c r="N4894" s="49"/>
      <c r="O4894" s="49" t="str">
        <f t="shared" si="2"/>
        <v/>
      </c>
      <c r="P4894" s="49" t="str">
        <f t="shared" si="3"/>
        <v/>
      </c>
      <c r="Q4894" s="84"/>
      <c r="R4894" s="84"/>
      <c r="S4894" s="84"/>
      <c r="T4894" s="84"/>
      <c r="U4894" s="84"/>
      <c r="V4894" s="84"/>
      <c r="W4894" s="84"/>
      <c r="X4894" s="84"/>
      <c r="Y4894" s="84"/>
      <c r="Z4894" s="84"/>
      <c r="AA4894" s="84"/>
      <c r="AB4894" s="84"/>
    </row>
    <row r="4895">
      <c r="A4895" s="89"/>
      <c r="B4895" s="89"/>
      <c r="C4895" s="89"/>
      <c r="D4895" s="89"/>
      <c r="E4895" s="89"/>
      <c r="F4895" s="89"/>
      <c r="G4895" s="89"/>
      <c r="H4895" s="2"/>
      <c r="I4895" s="90"/>
      <c r="J4895" s="90"/>
      <c r="K4895" s="2"/>
      <c r="L4895" s="48"/>
      <c r="M4895" s="48"/>
      <c r="N4895" s="48"/>
      <c r="O4895" s="48" t="str">
        <f t="shared" si="2"/>
        <v/>
      </c>
      <c r="P4895" s="48" t="str">
        <f t="shared" si="3"/>
        <v/>
      </c>
      <c r="Q4895" s="84"/>
      <c r="R4895" s="84"/>
      <c r="S4895" s="84"/>
      <c r="T4895" s="84"/>
      <c r="U4895" s="84"/>
      <c r="V4895" s="84"/>
      <c r="W4895" s="84"/>
      <c r="X4895" s="84"/>
      <c r="Y4895" s="84"/>
      <c r="Z4895" s="84"/>
      <c r="AA4895" s="84"/>
      <c r="AB4895" s="84"/>
    </row>
    <row r="4896">
      <c r="A4896" s="89"/>
      <c r="B4896" s="89"/>
      <c r="C4896" s="89"/>
      <c r="D4896" s="89"/>
      <c r="E4896" s="89"/>
      <c r="F4896" s="89"/>
      <c r="G4896" s="89"/>
      <c r="H4896" s="2"/>
      <c r="I4896" s="90"/>
      <c r="J4896" s="90"/>
      <c r="K4896" s="2"/>
      <c r="L4896" s="49"/>
      <c r="M4896" s="49"/>
      <c r="N4896" s="49"/>
      <c r="O4896" s="49" t="str">
        <f t="shared" si="2"/>
        <v/>
      </c>
      <c r="P4896" s="49" t="str">
        <f t="shared" si="3"/>
        <v/>
      </c>
      <c r="Q4896" s="84"/>
      <c r="R4896" s="84"/>
      <c r="S4896" s="84"/>
      <c r="T4896" s="84"/>
      <c r="U4896" s="84"/>
      <c r="V4896" s="84"/>
      <c r="W4896" s="84"/>
      <c r="X4896" s="84"/>
      <c r="Y4896" s="84"/>
      <c r="Z4896" s="84"/>
      <c r="AA4896" s="84"/>
      <c r="AB4896" s="84"/>
    </row>
    <row r="4897">
      <c r="A4897" s="89"/>
      <c r="B4897" s="89"/>
      <c r="C4897" s="89"/>
      <c r="D4897" s="89"/>
      <c r="E4897" s="89"/>
      <c r="F4897" s="89"/>
      <c r="G4897" s="89"/>
      <c r="H4897" s="2"/>
      <c r="I4897" s="90"/>
      <c r="J4897" s="90"/>
      <c r="K4897" s="2"/>
      <c r="L4897" s="48"/>
      <c r="M4897" s="48"/>
      <c r="N4897" s="48"/>
      <c r="O4897" s="48" t="str">
        <f t="shared" si="2"/>
        <v/>
      </c>
      <c r="P4897" s="48" t="str">
        <f t="shared" si="3"/>
        <v/>
      </c>
      <c r="Q4897" s="84"/>
      <c r="R4897" s="84"/>
      <c r="S4897" s="84"/>
      <c r="T4897" s="84"/>
      <c r="U4897" s="84"/>
      <c r="V4897" s="84"/>
      <c r="W4897" s="84"/>
      <c r="X4897" s="84"/>
      <c r="Y4897" s="84"/>
      <c r="Z4897" s="84"/>
      <c r="AA4897" s="84"/>
      <c r="AB4897" s="84"/>
    </row>
    <row r="4898">
      <c r="A4898" s="89"/>
      <c r="B4898" s="89"/>
      <c r="C4898" s="89"/>
      <c r="D4898" s="89"/>
      <c r="E4898" s="89"/>
      <c r="F4898" s="89"/>
      <c r="G4898" s="89"/>
      <c r="H4898" s="2"/>
      <c r="I4898" s="90"/>
      <c r="J4898" s="90"/>
      <c r="K4898" s="2"/>
      <c r="L4898" s="49"/>
      <c r="M4898" s="49"/>
      <c r="N4898" s="49"/>
      <c r="O4898" s="49" t="str">
        <f t="shared" si="2"/>
        <v/>
      </c>
      <c r="P4898" s="49" t="str">
        <f t="shared" si="3"/>
        <v/>
      </c>
      <c r="Q4898" s="84"/>
      <c r="R4898" s="84"/>
      <c r="S4898" s="84"/>
      <c r="T4898" s="84"/>
      <c r="U4898" s="84"/>
      <c r="V4898" s="84"/>
      <c r="W4898" s="84"/>
      <c r="X4898" s="84"/>
      <c r="Y4898" s="84"/>
      <c r="Z4898" s="84"/>
      <c r="AA4898" s="84"/>
      <c r="AB4898" s="84"/>
    </row>
    <row r="4899">
      <c r="A4899" s="89"/>
      <c r="B4899" s="89"/>
      <c r="C4899" s="89"/>
      <c r="D4899" s="89"/>
      <c r="E4899" s="89"/>
      <c r="F4899" s="89"/>
      <c r="G4899" s="89"/>
      <c r="H4899" s="2"/>
      <c r="I4899" s="90"/>
      <c r="J4899" s="90"/>
      <c r="K4899" s="2"/>
      <c r="L4899" s="48"/>
      <c r="M4899" s="48"/>
      <c r="N4899" s="48"/>
      <c r="O4899" s="48" t="str">
        <f t="shared" si="2"/>
        <v/>
      </c>
      <c r="P4899" s="48" t="str">
        <f t="shared" si="3"/>
        <v/>
      </c>
      <c r="Q4899" s="84"/>
      <c r="R4899" s="84"/>
      <c r="S4899" s="84"/>
      <c r="T4899" s="84"/>
      <c r="U4899" s="84"/>
      <c r="V4899" s="84"/>
      <c r="W4899" s="84"/>
      <c r="X4899" s="84"/>
      <c r="Y4899" s="84"/>
      <c r="Z4899" s="84"/>
      <c r="AA4899" s="84"/>
      <c r="AB4899" s="84"/>
    </row>
    <row r="4900">
      <c r="A4900" s="89"/>
      <c r="B4900" s="89"/>
      <c r="C4900" s="89"/>
      <c r="D4900" s="89"/>
      <c r="E4900" s="89"/>
      <c r="F4900" s="89"/>
      <c r="G4900" s="89"/>
      <c r="H4900" s="2"/>
      <c r="I4900" s="90"/>
      <c r="J4900" s="90"/>
      <c r="K4900" s="2"/>
      <c r="L4900" s="49"/>
      <c r="M4900" s="49"/>
      <c r="N4900" s="49"/>
      <c r="O4900" s="49" t="str">
        <f t="shared" si="2"/>
        <v/>
      </c>
      <c r="P4900" s="49" t="str">
        <f t="shared" si="3"/>
        <v/>
      </c>
      <c r="Q4900" s="84"/>
      <c r="R4900" s="84"/>
      <c r="S4900" s="84"/>
      <c r="T4900" s="84"/>
      <c r="U4900" s="84"/>
      <c r="V4900" s="84"/>
      <c r="W4900" s="84"/>
      <c r="X4900" s="84"/>
      <c r="Y4900" s="84"/>
      <c r="Z4900" s="84"/>
      <c r="AA4900" s="84"/>
      <c r="AB4900" s="84"/>
    </row>
    <row r="4901">
      <c r="A4901" s="89"/>
      <c r="B4901" s="89"/>
      <c r="C4901" s="89"/>
      <c r="D4901" s="89"/>
      <c r="E4901" s="89"/>
      <c r="F4901" s="89"/>
      <c r="G4901" s="89"/>
      <c r="H4901" s="2"/>
      <c r="I4901" s="90"/>
      <c r="J4901" s="90"/>
      <c r="K4901" s="2"/>
      <c r="L4901" s="48"/>
      <c r="M4901" s="48"/>
      <c r="N4901" s="48"/>
      <c r="O4901" s="48" t="str">
        <f t="shared" si="2"/>
        <v/>
      </c>
      <c r="P4901" s="48" t="str">
        <f t="shared" si="3"/>
        <v/>
      </c>
      <c r="Q4901" s="84"/>
      <c r="R4901" s="84"/>
      <c r="S4901" s="84"/>
      <c r="T4901" s="84"/>
      <c r="U4901" s="84"/>
      <c r="V4901" s="84"/>
      <c r="W4901" s="84"/>
      <c r="X4901" s="84"/>
      <c r="Y4901" s="84"/>
      <c r="Z4901" s="84"/>
      <c r="AA4901" s="84"/>
      <c r="AB4901" s="84"/>
    </row>
    <row r="4902">
      <c r="A4902" s="89"/>
      <c r="B4902" s="89"/>
      <c r="C4902" s="89"/>
      <c r="D4902" s="89"/>
      <c r="E4902" s="89"/>
      <c r="F4902" s="89"/>
      <c r="G4902" s="89"/>
      <c r="H4902" s="2"/>
      <c r="I4902" s="90"/>
      <c r="J4902" s="90"/>
      <c r="K4902" s="2"/>
      <c r="L4902" s="49"/>
      <c r="M4902" s="49"/>
      <c r="N4902" s="49"/>
      <c r="O4902" s="49" t="str">
        <f t="shared" si="2"/>
        <v/>
      </c>
      <c r="P4902" s="49" t="str">
        <f t="shared" si="3"/>
        <v/>
      </c>
      <c r="Q4902" s="84"/>
      <c r="R4902" s="84"/>
      <c r="S4902" s="84"/>
      <c r="T4902" s="84"/>
      <c r="U4902" s="84"/>
      <c r="V4902" s="84"/>
      <c r="W4902" s="84"/>
      <c r="X4902" s="84"/>
      <c r="Y4902" s="84"/>
      <c r="Z4902" s="84"/>
      <c r="AA4902" s="84"/>
      <c r="AB4902" s="84"/>
    </row>
    <row r="4903">
      <c r="A4903" s="89"/>
      <c r="B4903" s="89"/>
      <c r="C4903" s="89"/>
      <c r="D4903" s="89"/>
      <c r="E4903" s="89"/>
      <c r="F4903" s="89"/>
      <c r="G4903" s="89"/>
      <c r="H4903" s="2"/>
      <c r="I4903" s="90"/>
      <c r="J4903" s="90"/>
      <c r="K4903" s="2"/>
      <c r="L4903" s="48"/>
      <c r="M4903" s="48"/>
      <c r="N4903" s="48"/>
      <c r="O4903" s="48" t="str">
        <f t="shared" si="2"/>
        <v/>
      </c>
      <c r="P4903" s="48" t="str">
        <f t="shared" si="3"/>
        <v/>
      </c>
      <c r="Q4903" s="84"/>
      <c r="R4903" s="84"/>
      <c r="S4903" s="84"/>
      <c r="T4903" s="84"/>
      <c r="U4903" s="84"/>
      <c r="V4903" s="84"/>
      <c r="W4903" s="84"/>
      <c r="X4903" s="84"/>
      <c r="Y4903" s="84"/>
      <c r="Z4903" s="84"/>
      <c r="AA4903" s="84"/>
      <c r="AB4903" s="84"/>
    </row>
    <row r="4904">
      <c r="A4904" s="89"/>
      <c r="B4904" s="89"/>
      <c r="C4904" s="89"/>
      <c r="D4904" s="89"/>
      <c r="E4904" s="89"/>
      <c r="F4904" s="89"/>
      <c r="G4904" s="89"/>
      <c r="H4904" s="2"/>
      <c r="I4904" s="90"/>
      <c r="J4904" s="90"/>
      <c r="K4904" s="2"/>
      <c r="L4904" s="49"/>
      <c r="M4904" s="49"/>
      <c r="N4904" s="49"/>
      <c r="O4904" s="49" t="str">
        <f t="shared" si="2"/>
        <v/>
      </c>
      <c r="P4904" s="49" t="str">
        <f t="shared" si="3"/>
        <v/>
      </c>
      <c r="Q4904" s="84"/>
      <c r="R4904" s="84"/>
      <c r="S4904" s="84"/>
      <c r="T4904" s="84"/>
      <c r="U4904" s="84"/>
      <c r="V4904" s="84"/>
      <c r="W4904" s="84"/>
      <c r="X4904" s="84"/>
      <c r="Y4904" s="84"/>
      <c r="Z4904" s="84"/>
      <c r="AA4904" s="84"/>
      <c r="AB4904" s="84"/>
    </row>
    <row r="4905">
      <c r="A4905" s="89"/>
      <c r="B4905" s="89"/>
      <c r="C4905" s="89"/>
      <c r="D4905" s="89"/>
      <c r="E4905" s="89"/>
      <c r="F4905" s="89"/>
      <c r="G4905" s="89"/>
      <c r="H4905" s="2"/>
      <c r="I4905" s="90"/>
      <c r="J4905" s="90"/>
      <c r="K4905" s="2"/>
      <c r="L4905" s="48"/>
      <c r="M4905" s="48"/>
      <c r="N4905" s="48"/>
      <c r="O4905" s="48" t="str">
        <f t="shared" si="2"/>
        <v/>
      </c>
      <c r="P4905" s="48" t="str">
        <f t="shared" si="3"/>
        <v/>
      </c>
      <c r="Q4905" s="84"/>
      <c r="R4905" s="84"/>
      <c r="S4905" s="84"/>
      <c r="T4905" s="84"/>
      <c r="U4905" s="84"/>
      <c r="V4905" s="84"/>
      <c r="W4905" s="84"/>
      <c r="X4905" s="84"/>
      <c r="Y4905" s="84"/>
      <c r="Z4905" s="84"/>
      <c r="AA4905" s="84"/>
      <c r="AB4905" s="84"/>
    </row>
    <row r="4906">
      <c r="A4906" s="89"/>
      <c r="B4906" s="89"/>
      <c r="C4906" s="89"/>
      <c r="D4906" s="89"/>
      <c r="E4906" s="89"/>
      <c r="F4906" s="89"/>
      <c r="G4906" s="89"/>
      <c r="H4906" s="2"/>
      <c r="I4906" s="90"/>
      <c r="J4906" s="90"/>
      <c r="K4906" s="2"/>
      <c r="L4906" s="49"/>
      <c r="M4906" s="49"/>
      <c r="N4906" s="49"/>
      <c r="O4906" s="49" t="str">
        <f t="shared" si="2"/>
        <v/>
      </c>
      <c r="P4906" s="49" t="str">
        <f t="shared" si="3"/>
        <v/>
      </c>
      <c r="Q4906" s="84"/>
      <c r="R4906" s="84"/>
      <c r="S4906" s="84"/>
      <c r="T4906" s="84"/>
      <c r="U4906" s="84"/>
      <c r="V4906" s="84"/>
      <c r="W4906" s="84"/>
      <c r="X4906" s="84"/>
      <c r="Y4906" s="84"/>
      <c r="Z4906" s="84"/>
      <c r="AA4906" s="84"/>
      <c r="AB4906" s="84"/>
    </row>
    <row r="4907">
      <c r="A4907" s="89"/>
      <c r="B4907" s="89"/>
      <c r="C4907" s="89"/>
      <c r="D4907" s="89"/>
      <c r="E4907" s="89"/>
      <c r="F4907" s="89"/>
      <c r="G4907" s="89"/>
      <c r="H4907" s="2"/>
      <c r="I4907" s="90"/>
      <c r="J4907" s="90"/>
      <c r="K4907" s="2"/>
      <c r="L4907" s="48"/>
      <c r="M4907" s="48"/>
      <c r="N4907" s="48"/>
      <c r="O4907" s="48" t="str">
        <f t="shared" si="2"/>
        <v/>
      </c>
      <c r="P4907" s="48" t="str">
        <f t="shared" si="3"/>
        <v/>
      </c>
      <c r="Q4907" s="84"/>
      <c r="R4907" s="84"/>
      <c r="S4907" s="84"/>
      <c r="T4907" s="84"/>
      <c r="U4907" s="84"/>
      <c r="V4907" s="84"/>
      <c r="W4907" s="84"/>
      <c r="X4907" s="84"/>
      <c r="Y4907" s="84"/>
      <c r="Z4907" s="84"/>
      <c r="AA4907" s="84"/>
      <c r="AB4907" s="84"/>
    </row>
    <row r="4908">
      <c r="A4908" s="89"/>
      <c r="B4908" s="89"/>
      <c r="C4908" s="89"/>
      <c r="D4908" s="89"/>
      <c r="E4908" s="89"/>
      <c r="F4908" s="89"/>
      <c r="G4908" s="89"/>
      <c r="H4908" s="2"/>
      <c r="I4908" s="90"/>
      <c r="J4908" s="90"/>
      <c r="K4908" s="2"/>
      <c r="L4908" s="49"/>
      <c r="M4908" s="49"/>
      <c r="N4908" s="49"/>
      <c r="O4908" s="49" t="str">
        <f t="shared" si="2"/>
        <v/>
      </c>
      <c r="P4908" s="49" t="str">
        <f t="shared" si="3"/>
        <v/>
      </c>
      <c r="Q4908" s="84"/>
      <c r="R4908" s="84"/>
      <c r="S4908" s="84"/>
      <c r="T4908" s="84"/>
      <c r="U4908" s="84"/>
      <c r="V4908" s="84"/>
      <c r="W4908" s="84"/>
      <c r="X4908" s="84"/>
      <c r="Y4908" s="84"/>
      <c r="Z4908" s="84"/>
      <c r="AA4908" s="84"/>
      <c r="AB4908" s="84"/>
    </row>
    <row r="4909">
      <c r="A4909" s="89"/>
      <c r="B4909" s="89"/>
      <c r="C4909" s="89"/>
      <c r="D4909" s="89"/>
      <c r="E4909" s="89"/>
      <c r="F4909" s="89"/>
      <c r="G4909" s="89"/>
      <c r="H4909" s="2"/>
      <c r="I4909" s="90"/>
      <c r="J4909" s="90"/>
      <c r="K4909" s="2"/>
      <c r="L4909" s="48"/>
      <c r="M4909" s="48"/>
      <c r="N4909" s="48"/>
      <c r="O4909" s="48" t="str">
        <f t="shared" si="2"/>
        <v/>
      </c>
      <c r="P4909" s="48" t="str">
        <f t="shared" si="3"/>
        <v/>
      </c>
      <c r="Q4909" s="84"/>
      <c r="R4909" s="84"/>
      <c r="S4909" s="84"/>
      <c r="T4909" s="84"/>
      <c r="U4909" s="84"/>
      <c r="V4909" s="84"/>
      <c r="W4909" s="84"/>
      <c r="X4909" s="84"/>
      <c r="Y4909" s="84"/>
      <c r="Z4909" s="84"/>
      <c r="AA4909" s="84"/>
      <c r="AB4909" s="84"/>
    </row>
    <row r="4910">
      <c r="A4910" s="89"/>
      <c r="B4910" s="89"/>
      <c r="C4910" s="89"/>
      <c r="D4910" s="89"/>
      <c r="E4910" s="89"/>
      <c r="F4910" s="89"/>
      <c r="G4910" s="89"/>
      <c r="H4910" s="2"/>
      <c r="I4910" s="90"/>
      <c r="J4910" s="90"/>
      <c r="K4910" s="2"/>
      <c r="L4910" s="49"/>
      <c r="M4910" s="49"/>
      <c r="N4910" s="49"/>
      <c r="O4910" s="49" t="str">
        <f t="shared" si="2"/>
        <v/>
      </c>
      <c r="P4910" s="49" t="str">
        <f t="shared" si="3"/>
        <v/>
      </c>
      <c r="Q4910" s="84"/>
      <c r="R4910" s="84"/>
      <c r="S4910" s="84"/>
      <c r="T4910" s="84"/>
      <c r="U4910" s="84"/>
      <c r="V4910" s="84"/>
      <c r="W4910" s="84"/>
      <c r="X4910" s="84"/>
      <c r="Y4910" s="84"/>
      <c r="Z4910" s="84"/>
      <c r="AA4910" s="84"/>
      <c r="AB4910" s="84"/>
    </row>
    <row r="4911">
      <c r="A4911" s="89"/>
      <c r="B4911" s="89"/>
      <c r="C4911" s="89"/>
      <c r="D4911" s="89"/>
      <c r="E4911" s="89"/>
      <c r="F4911" s="89"/>
      <c r="G4911" s="89"/>
      <c r="H4911" s="2"/>
      <c r="I4911" s="90"/>
      <c r="J4911" s="90"/>
      <c r="K4911" s="2"/>
      <c r="L4911" s="48"/>
      <c r="M4911" s="48"/>
      <c r="N4911" s="48"/>
      <c r="O4911" s="48" t="str">
        <f t="shared" si="2"/>
        <v/>
      </c>
      <c r="P4911" s="48" t="str">
        <f t="shared" si="3"/>
        <v/>
      </c>
      <c r="Q4911" s="84"/>
      <c r="R4911" s="84"/>
      <c r="S4911" s="84"/>
      <c r="T4911" s="84"/>
      <c r="U4911" s="84"/>
      <c r="V4911" s="84"/>
      <c r="W4911" s="84"/>
      <c r="X4911" s="84"/>
      <c r="Y4911" s="84"/>
      <c r="Z4911" s="84"/>
      <c r="AA4911" s="84"/>
      <c r="AB4911" s="84"/>
    </row>
    <row r="4912">
      <c r="A4912" s="89"/>
      <c r="B4912" s="89"/>
      <c r="C4912" s="89"/>
      <c r="D4912" s="89"/>
      <c r="E4912" s="89"/>
      <c r="F4912" s="89"/>
      <c r="G4912" s="89"/>
      <c r="H4912" s="2"/>
      <c r="I4912" s="90"/>
      <c r="J4912" s="90"/>
      <c r="K4912" s="2"/>
      <c r="L4912" s="49"/>
      <c r="M4912" s="49"/>
      <c r="N4912" s="49"/>
      <c r="O4912" s="49" t="str">
        <f t="shared" si="2"/>
        <v/>
      </c>
      <c r="P4912" s="49" t="str">
        <f t="shared" si="3"/>
        <v/>
      </c>
      <c r="Q4912" s="84"/>
      <c r="R4912" s="84"/>
      <c r="S4912" s="84"/>
      <c r="T4912" s="84"/>
      <c r="U4912" s="84"/>
      <c r="V4912" s="84"/>
      <c r="W4912" s="84"/>
      <c r="X4912" s="84"/>
      <c r="Y4912" s="84"/>
      <c r="Z4912" s="84"/>
      <c r="AA4912" s="84"/>
      <c r="AB4912" s="84"/>
    </row>
    <row r="4913">
      <c r="A4913" s="89"/>
      <c r="B4913" s="89"/>
      <c r="C4913" s="89"/>
      <c r="D4913" s="89"/>
      <c r="E4913" s="89"/>
      <c r="F4913" s="89"/>
      <c r="G4913" s="89"/>
      <c r="H4913" s="2"/>
      <c r="I4913" s="90"/>
      <c r="J4913" s="90"/>
      <c r="K4913" s="2"/>
      <c r="L4913" s="48"/>
      <c r="M4913" s="48"/>
      <c r="N4913" s="48"/>
      <c r="O4913" s="48" t="str">
        <f t="shared" si="2"/>
        <v/>
      </c>
      <c r="P4913" s="48" t="str">
        <f t="shared" si="3"/>
        <v/>
      </c>
      <c r="Q4913" s="84"/>
      <c r="R4913" s="84"/>
      <c r="S4913" s="84"/>
      <c r="T4913" s="84"/>
      <c r="U4913" s="84"/>
      <c r="V4913" s="84"/>
      <c r="W4913" s="84"/>
      <c r="X4913" s="84"/>
      <c r="Y4913" s="84"/>
      <c r="Z4913" s="84"/>
      <c r="AA4913" s="84"/>
      <c r="AB4913" s="84"/>
    </row>
    <row r="4914">
      <c r="A4914" s="89"/>
      <c r="B4914" s="89"/>
      <c r="C4914" s="89"/>
      <c r="D4914" s="89"/>
      <c r="E4914" s="89"/>
      <c r="F4914" s="89"/>
      <c r="G4914" s="89"/>
      <c r="H4914" s="2"/>
      <c r="I4914" s="90"/>
      <c r="J4914" s="90"/>
      <c r="K4914" s="2"/>
      <c r="L4914" s="49"/>
      <c r="M4914" s="49"/>
      <c r="N4914" s="49"/>
      <c r="O4914" s="49" t="str">
        <f t="shared" si="2"/>
        <v/>
      </c>
      <c r="P4914" s="49" t="str">
        <f t="shared" si="3"/>
        <v/>
      </c>
      <c r="Q4914" s="84"/>
      <c r="R4914" s="84"/>
      <c r="S4914" s="84"/>
      <c r="T4914" s="84"/>
      <c r="U4914" s="84"/>
      <c r="V4914" s="84"/>
      <c r="W4914" s="84"/>
      <c r="X4914" s="84"/>
      <c r="Y4914" s="84"/>
      <c r="Z4914" s="84"/>
      <c r="AA4914" s="84"/>
      <c r="AB4914" s="84"/>
    </row>
    <row r="4915">
      <c r="A4915" s="89"/>
      <c r="B4915" s="89"/>
      <c r="C4915" s="89"/>
      <c r="D4915" s="89"/>
      <c r="E4915" s="89"/>
      <c r="F4915" s="89"/>
      <c r="G4915" s="89"/>
      <c r="H4915" s="2"/>
      <c r="I4915" s="90"/>
      <c r="J4915" s="90"/>
      <c r="K4915" s="2"/>
      <c r="L4915" s="48"/>
      <c r="M4915" s="48"/>
      <c r="N4915" s="48"/>
      <c r="O4915" s="48" t="str">
        <f t="shared" si="2"/>
        <v/>
      </c>
      <c r="P4915" s="48" t="str">
        <f t="shared" si="3"/>
        <v/>
      </c>
      <c r="Q4915" s="84"/>
      <c r="R4915" s="84"/>
      <c r="S4915" s="84"/>
      <c r="T4915" s="84"/>
      <c r="U4915" s="84"/>
      <c r="V4915" s="84"/>
      <c r="W4915" s="84"/>
      <c r="X4915" s="84"/>
      <c r="Y4915" s="84"/>
      <c r="Z4915" s="84"/>
      <c r="AA4915" s="84"/>
      <c r="AB4915" s="84"/>
    </row>
    <row r="4916">
      <c r="A4916" s="89"/>
      <c r="B4916" s="89"/>
      <c r="C4916" s="89"/>
      <c r="D4916" s="89"/>
      <c r="E4916" s="89"/>
      <c r="F4916" s="89"/>
      <c r="G4916" s="89"/>
      <c r="H4916" s="2"/>
      <c r="I4916" s="90"/>
      <c r="J4916" s="90"/>
      <c r="K4916" s="2"/>
      <c r="L4916" s="49"/>
      <c r="M4916" s="49"/>
      <c r="N4916" s="49"/>
      <c r="O4916" s="49" t="str">
        <f t="shared" si="2"/>
        <v/>
      </c>
      <c r="P4916" s="49" t="str">
        <f t="shared" si="3"/>
        <v/>
      </c>
      <c r="Q4916" s="84"/>
      <c r="R4916" s="84"/>
      <c r="S4916" s="84"/>
      <c r="T4916" s="84"/>
      <c r="U4916" s="84"/>
      <c r="V4916" s="84"/>
      <c r="W4916" s="84"/>
      <c r="X4916" s="84"/>
      <c r="Y4916" s="84"/>
      <c r="Z4916" s="84"/>
      <c r="AA4916" s="84"/>
      <c r="AB4916" s="84"/>
    </row>
    <row r="4917">
      <c r="A4917" s="89"/>
      <c r="B4917" s="89"/>
      <c r="C4917" s="89"/>
      <c r="D4917" s="89"/>
      <c r="E4917" s="89"/>
      <c r="F4917" s="89"/>
      <c r="G4917" s="89"/>
      <c r="H4917" s="2"/>
      <c r="I4917" s="90"/>
      <c r="J4917" s="90"/>
      <c r="K4917" s="2"/>
      <c r="L4917" s="48"/>
      <c r="M4917" s="48"/>
      <c r="N4917" s="48"/>
      <c r="O4917" s="48" t="str">
        <f t="shared" si="2"/>
        <v/>
      </c>
      <c r="P4917" s="48" t="str">
        <f t="shared" si="3"/>
        <v/>
      </c>
      <c r="Q4917" s="84"/>
      <c r="R4917" s="84"/>
      <c r="S4917" s="84"/>
      <c r="T4917" s="84"/>
      <c r="U4917" s="84"/>
      <c r="V4917" s="84"/>
      <c r="W4917" s="84"/>
      <c r="X4917" s="84"/>
      <c r="Y4917" s="84"/>
      <c r="Z4917" s="84"/>
      <c r="AA4917" s="84"/>
      <c r="AB4917" s="84"/>
    </row>
    <row r="4918">
      <c r="A4918" s="89"/>
      <c r="B4918" s="89"/>
      <c r="C4918" s="89"/>
      <c r="D4918" s="89"/>
      <c r="E4918" s="89"/>
      <c r="F4918" s="89"/>
      <c r="G4918" s="89"/>
      <c r="H4918" s="2"/>
      <c r="I4918" s="90"/>
      <c r="J4918" s="90"/>
      <c r="K4918" s="2"/>
      <c r="L4918" s="49"/>
      <c r="M4918" s="49"/>
      <c r="N4918" s="49"/>
      <c r="O4918" s="49" t="str">
        <f t="shared" si="2"/>
        <v/>
      </c>
      <c r="P4918" s="49" t="str">
        <f t="shared" si="3"/>
        <v/>
      </c>
      <c r="Q4918" s="84"/>
      <c r="R4918" s="84"/>
      <c r="S4918" s="84"/>
      <c r="T4918" s="84"/>
      <c r="U4918" s="84"/>
      <c r="V4918" s="84"/>
      <c r="W4918" s="84"/>
      <c r="X4918" s="84"/>
      <c r="Y4918" s="84"/>
      <c r="Z4918" s="84"/>
      <c r="AA4918" s="84"/>
      <c r="AB4918" s="84"/>
    </row>
    <row r="4919">
      <c r="A4919" s="89"/>
      <c r="B4919" s="89"/>
      <c r="C4919" s="89"/>
      <c r="D4919" s="89"/>
      <c r="E4919" s="89"/>
      <c r="F4919" s="89"/>
      <c r="G4919" s="89"/>
      <c r="H4919" s="2"/>
      <c r="I4919" s="90"/>
      <c r="J4919" s="90"/>
      <c r="K4919" s="2"/>
      <c r="L4919" s="48"/>
      <c r="M4919" s="48"/>
      <c r="N4919" s="48"/>
      <c r="O4919" s="48" t="str">
        <f t="shared" si="2"/>
        <v/>
      </c>
      <c r="P4919" s="48" t="str">
        <f t="shared" si="3"/>
        <v/>
      </c>
      <c r="Q4919" s="84"/>
      <c r="R4919" s="84"/>
      <c r="S4919" s="84"/>
      <c r="T4919" s="84"/>
      <c r="U4919" s="84"/>
      <c r="V4919" s="84"/>
      <c r="W4919" s="84"/>
      <c r="X4919" s="84"/>
      <c r="Y4919" s="84"/>
      <c r="Z4919" s="84"/>
      <c r="AA4919" s="84"/>
      <c r="AB4919" s="84"/>
    </row>
    <row r="4920">
      <c r="A4920" s="89"/>
      <c r="B4920" s="89"/>
      <c r="C4920" s="89"/>
      <c r="D4920" s="89"/>
      <c r="E4920" s="89"/>
      <c r="F4920" s="89"/>
      <c r="G4920" s="89"/>
      <c r="H4920" s="2"/>
      <c r="I4920" s="90"/>
      <c r="J4920" s="90"/>
      <c r="K4920" s="2"/>
      <c r="L4920" s="49"/>
      <c r="M4920" s="49"/>
      <c r="N4920" s="49"/>
      <c r="O4920" s="49" t="str">
        <f t="shared" si="2"/>
        <v/>
      </c>
      <c r="P4920" s="49" t="str">
        <f t="shared" si="3"/>
        <v/>
      </c>
      <c r="Q4920" s="84"/>
      <c r="R4920" s="84"/>
      <c r="S4920" s="84"/>
      <c r="T4920" s="84"/>
      <c r="U4920" s="84"/>
      <c r="V4920" s="84"/>
      <c r="W4920" s="84"/>
      <c r="X4920" s="84"/>
      <c r="Y4920" s="84"/>
      <c r="Z4920" s="84"/>
      <c r="AA4920" s="84"/>
      <c r="AB4920" s="84"/>
    </row>
    <row r="4921">
      <c r="A4921" s="89"/>
      <c r="B4921" s="89"/>
      <c r="C4921" s="89"/>
      <c r="D4921" s="89"/>
      <c r="E4921" s="89"/>
      <c r="F4921" s="89"/>
      <c r="G4921" s="89"/>
      <c r="H4921" s="2"/>
      <c r="I4921" s="90"/>
      <c r="J4921" s="90"/>
      <c r="K4921" s="2"/>
      <c r="L4921" s="48"/>
      <c r="M4921" s="48"/>
      <c r="N4921" s="48"/>
      <c r="O4921" s="48" t="str">
        <f t="shared" si="2"/>
        <v/>
      </c>
      <c r="P4921" s="48" t="str">
        <f t="shared" si="3"/>
        <v/>
      </c>
      <c r="Q4921" s="84"/>
      <c r="R4921" s="84"/>
      <c r="S4921" s="84"/>
      <c r="T4921" s="84"/>
      <c r="U4921" s="84"/>
      <c r="V4921" s="84"/>
      <c r="W4921" s="84"/>
      <c r="X4921" s="84"/>
      <c r="Y4921" s="84"/>
      <c r="Z4921" s="84"/>
      <c r="AA4921" s="84"/>
      <c r="AB4921" s="84"/>
    </row>
    <row r="4922">
      <c r="A4922" s="89"/>
      <c r="B4922" s="89"/>
      <c r="C4922" s="89"/>
      <c r="D4922" s="89"/>
      <c r="E4922" s="89"/>
      <c r="F4922" s="89"/>
      <c r="G4922" s="89"/>
      <c r="H4922" s="2"/>
      <c r="I4922" s="90"/>
      <c r="J4922" s="90"/>
      <c r="K4922" s="2"/>
      <c r="L4922" s="49"/>
      <c r="M4922" s="49"/>
      <c r="N4922" s="49"/>
      <c r="O4922" s="49" t="str">
        <f t="shared" si="2"/>
        <v/>
      </c>
      <c r="P4922" s="49" t="str">
        <f t="shared" si="3"/>
        <v/>
      </c>
      <c r="Q4922" s="84"/>
      <c r="R4922" s="84"/>
      <c r="S4922" s="84"/>
      <c r="T4922" s="84"/>
      <c r="U4922" s="84"/>
      <c r="V4922" s="84"/>
      <c r="W4922" s="84"/>
      <c r="X4922" s="84"/>
      <c r="Y4922" s="84"/>
      <c r="Z4922" s="84"/>
      <c r="AA4922" s="84"/>
      <c r="AB4922" s="84"/>
    </row>
    <row r="4923">
      <c r="A4923" s="89"/>
      <c r="B4923" s="89"/>
      <c r="C4923" s="89"/>
      <c r="D4923" s="89"/>
      <c r="E4923" s="89"/>
      <c r="F4923" s="89"/>
      <c r="G4923" s="89"/>
      <c r="H4923" s="2"/>
      <c r="I4923" s="90"/>
      <c r="J4923" s="90"/>
      <c r="K4923" s="2"/>
      <c r="L4923" s="48"/>
      <c r="M4923" s="48"/>
      <c r="N4923" s="48"/>
      <c r="O4923" s="48" t="str">
        <f t="shared" si="2"/>
        <v/>
      </c>
      <c r="P4923" s="48" t="str">
        <f t="shared" si="3"/>
        <v/>
      </c>
      <c r="Q4923" s="84"/>
      <c r="R4923" s="84"/>
      <c r="S4923" s="84"/>
      <c r="T4923" s="84"/>
      <c r="U4923" s="84"/>
      <c r="V4923" s="84"/>
      <c r="W4923" s="84"/>
      <c r="X4923" s="84"/>
      <c r="Y4923" s="84"/>
      <c r="Z4923" s="84"/>
      <c r="AA4923" s="84"/>
      <c r="AB4923" s="84"/>
    </row>
    <row r="4924">
      <c r="A4924" s="89"/>
      <c r="B4924" s="89"/>
      <c r="C4924" s="89"/>
      <c r="D4924" s="89"/>
      <c r="E4924" s="89"/>
      <c r="F4924" s="89"/>
      <c r="G4924" s="89"/>
      <c r="H4924" s="2"/>
      <c r="I4924" s="90"/>
      <c r="J4924" s="90"/>
      <c r="K4924" s="2"/>
      <c r="L4924" s="49"/>
      <c r="M4924" s="49"/>
      <c r="N4924" s="49"/>
      <c r="O4924" s="49" t="str">
        <f t="shared" si="2"/>
        <v/>
      </c>
      <c r="P4924" s="49" t="str">
        <f t="shared" si="3"/>
        <v/>
      </c>
      <c r="Q4924" s="84"/>
      <c r="R4924" s="84"/>
      <c r="S4924" s="84"/>
      <c r="T4924" s="84"/>
      <c r="U4924" s="84"/>
      <c r="V4924" s="84"/>
      <c r="W4924" s="84"/>
      <c r="X4924" s="84"/>
      <c r="Y4924" s="84"/>
      <c r="Z4924" s="84"/>
      <c r="AA4924" s="84"/>
      <c r="AB4924" s="84"/>
    </row>
    <row r="4925">
      <c r="A4925" s="89"/>
      <c r="B4925" s="89"/>
      <c r="C4925" s="89"/>
      <c r="D4925" s="89"/>
      <c r="E4925" s="89"/>
      <c r="F4925" s="89"/>
      <c r="G4925" s="89"/>
      <c r="H4925" s="2"/>
      <c r="I4925" s="90"/>
      <c r="J4925" s="90"/>
      <c r="K4925" s="2"/>
      <c r="L4925" s="48"/>
      <c r="M4925" s="48"/>
      <c r="N4925" s="48"/>
      <c r="O4925" s="48" t="str">
        <f t="shared" si="2"/>
        <v/>
      </c>
      <c r="P4925" s="48" t="str">
        <f t="shared" si="3"/>
        <v/>
      </c>
      <c r="Q4925" s="84"/>
      <c r="R4925" s="84"/>
      <c r="S4925" s="84"/>
      <c r="T4925" s="84"/>
      <c r="U4925" s="84"/>
      <c r="V4925" s="84"/>
      <c r="W4925" s="84"/>
      <c r="X4925" s="84"/>
      <c r="Y4925" s="84"/>
      <c r="Z4925" s="84"/>
      <c r="AA4925" s="84"/>
      <c r="AB4925" s="84"/>
    </row>
    <row r="4926">
      <c r="A4926" s="89"/>
      <c r="B4926" s="89"/>
      <c r="C4926" s="89"/>
      <c r="D4926" s="89"/>
      <c r="E4926" s="89"/>
      <c r="F4926" s="89"/>
      <c r="G4926" s="89"/>
      <c r="H4926" s="2"/>
      <c r="I4926" s="90"/>
      <c r="J4926" s="90"/>
      <c r="K4926" s="2"/>
      <c r="L4926" s="49"/>
      <c r="M4926" s="49"/>
      <c r="N4926" s="49"/>
      <c r="O4926" s="49" t="str">
        <f t="shared" si="2"/>
        <v/>
      </c>
      <c r="P4926" s="49" t="str">
        <f t="shared" si="3"/>
        <v/>
      </c>
      <c r="Q4926" s="84"/>
      <c r="R4926" s="84"/>
      <c r="S4926" s="84"/>
      <c r="T4926" s="84"/>
      <c r="U4926" s="84"/>
      <c r="V4926" s="84"/>
      <c r="W4926" s="84"/>
      <c r="X4926" s="84"/>
      <c r="Y4926" s="84"/>
      <c r="Z4926" s="84"/>
      <c r="AA4926" s="84"/>
      <c r="AB4926" s="84"/>
    </row>
    <row r="4927">
      <c r="A4927" s="89"/>
      <c r="B4927" s="89"/>
      <c r="C4927" s="89"/>
      <c r="D4927" s="89"/>
      <c r="E4927" s="89"/>
      <c r="F4927" s="89"/>
      <c r="G4927" s="89"/>
      <c r="H4927" s="2"/>
      <c r="I4927" s="90"/>
      <c r="J4927" s="90"/>
      <c r="K4927" s="2"/>
      <c r="L4927" s="48"/>
      <c r="M4927" s="48"/>
      <c r="N4927" s="48"/>
      <c r="O4927" s="48" t="str">
        <f t="shared" si="2"/>
        <v/>
      </c>
      <c r="P4927" s="48" t="str">
        <f t="shared" si="3"/>
        <v/>
      </c>
      <c r="Q4927" s="84"/>
      <c r="R4927" s="84"/>
      <c r="S4927" s="84"/>
      <c r="T4927" s="84"/>
      <c r="U4927" s="84"/>
      <c r="V4927" s="84"/>
      <c r="W4927" s="84"/>
      <c r="X4927" s="84"/>
      <c r="Y4927" s="84"/>
      <c r="Z4927" s="84"/>
      <c r="AA4927" s="84"/>
      <c r="AB4927" s="84"/>
    </row>
    <row r="4928">
      <c r="A4928" s="89"/>
      <c r="B4928" s="89"/>
      <c r="C4928" s="89"/>
      <c r="D4928" s="89"/>
      <c r="E4928" s="89"/>
      <c r="F4928" s="89"/>
      <c r="G4928" s="89"/>
      <c r="H4928" s="2"/>
      <c r="I4928" s="90"/>
      <c r="J4928" s="90"/>
      <c r="K4928" s="2"/>
      <c r="L4928" s="49"/>
      <c r="M4928" s="49"/>
      <c r="N4928" s="49"/>
      <c r="O4928" s="49" t="str">
        <f t="shared" si="2"/>
        <v/>
      </c>
      <c r="P4928" s="49" t="str">
        <f t="shared" si="3"/>
        <v/>
      </c>
      <c r="Q4928" s="84"/>
      <c r="R4928" s="84"/>
      <c r="S4928" s="84"/>
      <c r="T4928" s="84"/>
      <c r="U4928" s="84"/>
      <c r="V4928" s="84"/>
      <c r="W4928" s="84"/>
      <c r="X4928" s="84"/>
      <c r="Y4928" s="84"/>
      <c r="Z4928" s="84"/>
      <c r="AA4928" s="84"/>
      <c r="AB4928" s="84"/>
    </row>
    <row r="4929">
      <c r="A4929" s="89"/>
      <c r="B4929" s="89"/>
      <c r="C4929" s="89"/>
      <c r="D4929" s="89"/>
      <c r="E4929" s="89"/>
      <c r="F4929" s="89"/>
      <c r="G4929" s="89"/>
      <c r="H4929" s="2"/>
      <c r="I4929" s="90"/>
      <c r="J4929" s="90"/>
      <c r="K4929" s="2"/>
      <c r="L4929" s="48"/>
      <c r="M4929" s="48"/>
      <c r="N4929" s="48"/>
      <c r="O4929" s="48" t="str">
        <f t="shared" si="2"/>
        <v/>
      </c>
      <c r="P4929" s="48" t="str">
        <f t="shared" si="3"/>
        <v/>
      </c>
      <c r="Q4929" s="84"/>
      <c r="R4929" s="84"/>
      <c r="S4929" s="84"/>
      <c r="T4929" s="84"/>
      <c r="U4929" s="84"/>
      <c r="V4929" s="84"/>
      <c r="W4929" s="84"/>
      <c r="X4929" s="84"/>
      <c r="Y4929" s="84"/>
      <c r="Z4929" s="84"/>
      <c r="AA4929" s="84"/>
      <c r="AB4929" s="84"/>
    </row>
    <row r="4930">
      <c r="A4930" s="89"/>
      <c r="B4930" s="89"/>
      <c r="C4930" s="89"/>
      <c r="D4930" s="89"/>
      <c r="E4930" s="89"/>
      <c r="F4930" s="89"/>
      <c r="G4930" s="89"/>
      <c r="H4930" s="2"/>
      <c r="I4930" s="90"/>
      <c r="J4930" s="90"/>
      <c r="K4930" s="2"/>
      <c r="L4930" s="49"/>
      <c r="M4930" s="49"/>
      <c r="N4930" s="49"/>
      <c r="O4930" s="49" t="str">
        <f t="shared" si="2"/>
        <v/>
      </c>
      <c r="P4930" s="49" t="str">
        <f t="shared" si="3"/>
        <v/>
      </c>
      <c r="Q4930" s="84"/>
      <c r="R4930" s="84"/>
      <c r="S4930" s="84"/>
      <c r="T4930" s="84"/>
      <c r="U4930" s="84"/>
      <c r="V4930" s="84"/>
      <c r="W4930" s="84"/>
      <c r="X4930" s="84"/>
      <c r="Y4930" s="84"/>
      <c r="Z4930" s="84"/>
      <c r="AA4930" s="84"/>
      <c r="AB4930" s="84"/>
    </row>
    <row r="4931">
      <c r="A4931" s="89"/>
      <c r="B4931" s="89"/>
      <c r="C4931" s="89"/>
      <c r="D4931" s="89"/>
      <c r="E4931" s="89"/>
      <c r="F4931" s="89"/>
      <c r="G4931" s="89"/>
      <c r="H4931" s="2"/>
      <c r="I4931" s="90"/>
      <c r="J4931" s="90"/>
      <c r="K4931" s="2"/>
      <c r="L4931" s="48"/>
      <c r="M4931" s="48"/>
      <c r="N4931" s="48"/>
      <c r="O4931" s="48" t="str">
        <f t="shared" si="2"/>
        <v/>
      </c>
      <c r="P4931" s="48" t="str">
        <f t="shared" si="3"/>
        <v/>
      </c>
      <c r="Q4931" s="84"/>
      <c r="R4931" s="84"/>
      <c r="S4931" s="84"/>
      <c r="T4931" s="84"/>
      <c r="U4931" s="84"/>
      <c r="V4931" s="84"/>
      <c r="W4931" s="84"/>
      <c r="X4931" s="84"/>
      <c r="Y4931" s="84"/>
      <c r="Z4931" s="84"/>
      <c r="AA4931" s="84"/>
      <c r="AB4931" s="84"/>
    </row>
    <row r="4932">
      <c r="A4932" s="89"/>
      <c r="B4932" s="89"/>
      <c r="C4932" s="89"/>
      <c r="D4932" s="89"/>
      <c r="E4932" s="89"/>
      <c r="F4932" s="89"/>
      <c r="G4932" s="89"/>
      <c r="H4932" s="2"/>
      <c r="I4932" s="90"/>
      <c r="J4932" s="90"/>
      <c r="K4932" s="2"/>
      <c r="L4932" s="49"/>
      <c r="M4932" s="49"/>
      <c r="N4932" s="49"/>
      <c r="O4932" s="49" t="str">
        <f t="shared" si="2"/>
        <v/>
      </c>
      <c r="P4932" s="49" t="str">
        <f t="shared" si="3"/>
        <v/>
      </c>
      <c r="Q4932" s="84"/>
      <c r="R4932" s="84"/>
      <c r="S4932" s="84"/>
      <c r="T4932" s="84"/>
      <c r="U4932" s="84"/>
      <c r="V4932" s="84"/>
      <c r="W4932" s="84"/>
      <c r="X4932" s="84"/>
      <c r="Y4932" s="84"/>
      <c r="Z4932" s="84"/>
      <c r="AA4932" s="84"/>
      <c r="AB4932" s="84"/>
    </row>
    <row r="4933">
      <c r="A4933" s="89"/>
      <c r="B4933" s="89"/>
      <c r="C4933" s="89"/>
      <c r="D4933" s="89"/>
      <c r="E4933" s="89"/>
      <c r="F4933" s="89"/>
      <c r="G4933" s="89"/>
      <c r="H4933" s="2"/>
      <c r="I4933" s="90"/>
      <c r="J4933" s="90"/>
      <c r="K4933" s="2"/>
      <c r="L4933" s="48"/>
      <c r="M4933" s="48"/>
      <c r="N4933" s="48"/>
      <c r="O4933" s="48" t="str">
        <f t="shared" si="2"/>
        <v/>
      </c>
      <c r="P4933" s="48" t="str">
        <f t="shared" si="3"/>
        <v/>
      </c>
      <c r="Q4933" s="84"/>
      <c r="R4933" s="84"/>
      <c r="S4933" s="84"/>
      <c r="T4933" s="84"/>
      <c r="U4933" s="84"/>
      <c r="V4933" s="84"/>
      <c r="W4933" s="84"/>
      <c r="X4933" s="84"/>
      <c r="Y4933" s="84"/>
      <c r="Z4933" s="84"/>
      <c r="AA4933" s="84"/>
      <c r="AB4933" s="84"/>
    </row>
    <row r="4934">
      <c r="A4934" s="89"/>
      <c r="B4934" s="89"/>
      <c r="C4934" s="89"/>
      <c r="D4934" s="89"/>
      <c r="E4934" s="89"/>
      <c r="F4934" s="89"/>
      <c r="G4934" s="89"/>
      <c r="H4934" s="2"/>
      <c r="I4934" s="90"/>
      <c r="J4934" s="90"/>
      <c r="K4934" s="2"/>
      <c r="L4934" s="49"/>
      <c r="M4934" s="49"/>
      <c r="N4934" s="49"/>
      <c r="O4934" s="49" t="str">
        <f t="shared" si="2"/>
        <v/>
      </c>
      <c r="P4934" s="49" t="str">
        <f t="shared" si="3"/>
        <v/>
      </c>
      <c r="Q4934" s="84"/>
      <c r="R4934" s="84"/>
      <c r="S4934" s="84"/>
      <c r="T4934" s="84"/>
      <c r="U4934" s="84"/>
      <c r="V4934" s="84"/>
      <c r="W4934" s="84"/>
      <c r="X4934" s="84"/>
      <c r="Y4934" s="84"/>
      <c r="Z4934" s="84"/>
      <c r="AA4934" s="84"/>
      <c r="AB4934" s="84"/>
    </row>
    <row r="4935">
      <c r="A4935" s="89"/>
      <c r="B4935" s="89"/>
      <c r="C4935" s="89"/>
      <c r="D4935" s="89"/>
      <c r="E4935" s="89"/>
      <c r="F4935" s="89"/>
      <c r="G4935" s="89"/>
      <c r="H4935" s="2"/>
      <c r="I4935" s="90"/>
      <c r="J4935" s="90"/>
      <c r="K4935" s="2"/>
      <c r="L4935" s="48"/>
      <c r="M4935" s="48"/>
      <c r="N4935" s="48"/>
      <c r="O4935" s="48" t="str">
        <f t="shared" si="2"/>
        <v/>
      </c>
      <c r="P4935" s="48" t="str">
        <f t="shared" si="3"/>
        <v/>
      </c>
      <c r="Q4935" s="84"/>
      <c r="R4935" s="84"/>
      <c r="S4935" s="84"/>
      <c r="T4935" s="84"/>
      <c r="U4935" s="84"/>
      <c r="V4935" s="84"/>
      <c r="W4935" s="84"/>
      <c r="X4935" s="84"/>
      <c r="Y4935" s="84"/>
      <c r="Z4935" s="84"/>
      <c r="AA4935" s="84"/>
      <c r="AB4935" s="84"/>
    </row>
    <row r="4936">
      <c r="A4936" s="89"/>
      <c r="B4936" s="89"/>
      <c r="C4936" s="89"/>
      <c r="D4936" s="89"/>
      <c r="E4936" s="89"/>
      <c r="F4936" s="89"/>
      <c r="G4936" s="89"/>
      <c r="H4936" s="2"/>
      <c r="I4936" s="90"/>
      <c r="J4936" s="90"/>
      <c r="K4936" s="2"/>
      <c r="L4936" s="49"/>
      <c r="M4936" s="49"/>
      <c r="N4936" s="49"/>
      <c r="O4936" s="49" t="str">
        <f t="shared" si="2"/>
        <v/>
      </c>
      <c r="P4936" s="49" t="str">
        <f t="shared" si="3"/>
        <v/>
      </c>
      <c r="Q4936" s="84"/>
      <c r="R4936" s="84"/>
      <c r="S4936" s="84"/>
      <c r="T4936" s="84"/>
      <c r="U4936" s="84"/>
      <c r="V4936" s="84"/>
      <c r="W4936" s="84"/>
      <c r="X4936" s="84"/>
      <c r="Y4936" s="84"/>
      <c r="Z4936" s="84"/>
      <c r="AA4936" s="84"/>
      <c r="AB4936" s="84"/>
    </row>
    <row r="4937">
      <c r="A4937" s="89"/>
      <c r="B4937" s="89"/>
      <c r="C4937" s="89"/>
      <c r="D4937" s="89"/>
      <c r="E4937" s="89"/>
      <c r="F4937" s="89"/>
      <c r="G4937" s="89"/>
      <c r="H4937" s="2"/>
      <c r="I4937" s="90"/>
      <c r="J4937" s="90"/>
      <c r="K4937" s="2"/>
      <c r="L4937" s="48"/>
      <c r="M4937" s="48"/>
      <c r="N4937" s="48"/>
      <c r="O4937" s="48" t="str">
        <f t="shared" si="2"/>
        <v/>
      </c>
      <c r="P4937" s="48" t="str">
        <f t="shared" si="3"/>
        <v/>
      </c>
      <c r="Q4937" s="84"/>
      <c r="R4937" s="84"/>
      <c r="S4937" s="84"/>
      <c r="T4937" s="84"/>
      <c r="U4937" s="84"/>
      <c r="V4937" s="84"/>
      <c r="W4937" s="84"/>
      <c r="X4937" s="84"/>
      <c r="Y4937" s="84"/>
      <c r="Z4937" s="84"/>
      <c r="AA4937" s="84"/>
      <c r="AB4937" s="84"/>
    </row>
    <row r="4938">
      <c r="A4938" s="89"/>
      <c r="B4938" s="89"/>
      <c r="C4938" s="89"/>
      <c r="D4938" s="89"/>
      <c r="E4938" s="89"/>
      <c r="F4938" s="89"/>
      <c r="G4938" s="89"/>
      <c r="H4938" s="2"/>
      <c r="I4938" s="90"/>
      <c r="J4938" s="90"/>
      <c r="K4938" s="2"/>
      <c r="L4938" s="49"/>
      <c r="M4938" s="49"/>
      <c r="N4938" s="49"/>
      <c r="O4938" s="49" t="str">
        <f t="shared" si="2"/>
        <v/>
      </c>
      <c r="P4938" s="49" t="str">
        <f t="shared" si="3"/>
        <v/>
      </c>
      <c r="Q4938" s="84"/>
      <c r="R4938" s="84"/>
      <c r="S4938" s="84"/>
      <c r="T4938" s="84"/>
      <c r="U4938" s="84"/>
      <c r="V4938" s="84"/>
      <c r="W4938" s="84"/>
      <c r="X4938" s="84"/>
      <c r="Y4938" s="84"/>
      <c r="Z4938" s="84"/>
      <c r="AA4938" s="84"/>
      <c r="AB4938" s="84"/>
    </row>
    <row r="4939">
      <c r="A4939" s="89"/>
      <c r="B4939" s="89"/>
      <c r="C4939" s="89"/>
      <c r="D4939" s="89"/>
      <c r="E4939" s="89"/>
      <c r="F4939" s="89"/>
      <c r="G4939" s="89"/>
      <c r="H4939" s="2"/>
      <c r="I4939" s="90"/>
      <c r="J4939" s="90"/>
      <c r="K4939" s="2"/>
      <c r="L4939" s="48"/>
      <c r="M4939" s="48"/>
      <c r="N4939" s="48"/>
      <c r="O4939" s="48" t="str">
        <f t="shared" si="2"/>
        <v/>
      </c>
      <c r="P4939" s="48" t="str">
        <f t="shared" si="3"/>
        <v/>
      </c>
      <c r="Q4939" s="84"/>
      <c r="R4939" s="84"/>
      <c r="S4939" s="84"/>
      <c r="T4939" s="84"/>
      <c r="U4939" s="84"/>
      <c r="V4939" s="84"/>
      <c r="W4939" s="84"/>
      <c r="X4939" s="84"/>
      <c r="Y4939" s="84"/>
      <c r="Z4939" s="84"/>
      <c r="AA4939" s="84"/>
      <c r="AB4939" s="84"/>
    </row>
    <row r="4940">
      <c r="A4940" s="89"/>
      <c r="B4940" s="89"/>
      <c r="C4940" s="89"/>
      <c r="D4940" s="89"/>
      <c r="E4940" s="89"/>
      <c r="F4940" s="89"/>
      <c r="G4940" s="89"/>
      <c r="H4940" s="2"/>
      <c r="I4940" s="90"/>
      <c r="J4940" s="90"/>
      <c r="K4940" s="2"/>
      <c r="L4940" s="49"/>
      <c r="M4940" s="49"/>
      <c r="N4940" s="49"/>
      <c r="O4940" s="49" t="str">
        <f t="shared" si="2"/>
        <v/>
      </c>
      <c r="P4940" s="49" t="str">
        <f t="shared" si="3"/>
        <v/>
      </c>
      <c r="Q4940" s="84"/>
      <c r="R4940" s="84"/>
      <c r="S4940" s="84"/>
      <c r="T4940" s="84"/>
      <c r="U4940" s="84"/>
      <c r="V4940" s="84"/>
      <c r="W4940" s="84"/>
      <c r="X4940" s="84"/>
      <c r="Y4940" s="84"/>
      <c r="Z4940" s="84"/>
      <c r="AA4940" s="84"/>
      <c r="AB4940" s="84"/>
    </row>
    <row r="4941">
      <c r="A4941" s="89"/>
      <c r="B4941" s="89"/>
      <c r="C4941" s="89"/>
      <c r="D4941" s="89"/>
      <c r="E4941" s="89"/>
      <c r="F4941" s="89"/>
      <c r="G4941" s="89"/>
      <c r="H4941" s="2"/>
      <c r="I4941" s="90"/>
      <c r="J4941" s="90"/>
      <c r="K4941" s="2"/>
      <c r="L4941" s="48"/>
      <c r="M4941" s="48"/>
      <c r="N4941" s="48"/>
      <c r="O4941" s="48" t="str">
        <f t="shared" si="2"/>
        <v/>
      </c>
      <c r="P4941" s="48" t="str">
        <f t="shared" si="3"/>
        <v/>
      </c>
      <c r="Q4941" s="84"/>
      <c r="R4941" s="84"/>
      <c r="S4941" s="84"/>
      <c r="T4941" s="84"/>
      <c r="U4941" s="84"/>
      <c r="V4941" s="84"/>
      <c r="W4941" s="84"/>
      <c r="X4941" s="84"/>
      <c r="Y4941" s="84"/>
      <c r="Z4941" s="84"/>
      <c r="AA4941" s="84"/>
      <c r="AB4941" s="84"/>
    </row>
    <row r="4942">
      <c r="A4942" s="89"/>
      <c r="B4942" s="89"/>
      <c r="C4942" s="89"/>
      <c r="D4942" s="89"/>
      <c r="E4942" s="89"/>
      <c r="F4942" s="89"/>
      <c r="G4942" s="89"/>
      <c r="H4942" s="2"/>
      <c r="I4942" s="90"/>
      <c r="J4942" s="90"/>
      <c r="K4942" s="2"/>
      <c r="L4942" s="49"/>
      <c r="M4942" s="49"/>
      <c r="N4942" s="49"/>
      <c r="O4942" s="49" t="str">
        <f t="shared" si="2"/>
        <v/>
      </c>
      <c r="P4942" s="49" t="str">
        <f t="shared" si="3"/>
        <v/>
      </c>
      <c r="Q4942" s="84"/>
      <c r="R4942" s="84"/>
      <c r="S4942" s="84"/>
      <c r="T4942" s="84"/>
      <c r="U4942" s="84"/>
      <c r="V4942" s="84"/>
      <c r="W4942" s="84"/>
      <c r="X4942" s="84"/>
      <c r="Y4942" s="84"/>
      <c r="Z4942" s="84"/>
      <c r="AA4942" s="84"/>
      <c r="AB4942" s="84"/>
    </row>
    <row r="4943">
      <c r="A4943" s="89"/>
      <c r="B4943" s="89"/>
      <c r="C4943" s="89"/>
      <c r="D4943" s="89"/>
      <c r="E4943" s="89"/>
      <c r="F4943" s="89"/>
      <c r="G4943" s="89"/>
      <c r="H4943" s="2"/>
      <c r="I4943" s="90"/>
      <c r="J4943" s="90"/>
      <c r="K4943" s="2"/>
      <c r="L4943" s="48"/>
      <c r="M4943" s="48"/>
      <c r="N4943" s="48"/>
      <c r="O4943" s="48" t="str">
        <f t="shared" si="2"/>
        <v/>
      </c>
      <c r="P4943" s="48" t="str">
        <f t="shared" si="3"/>
        <v/>
      </c>
      <c r="Q4943" s="84"/>
      <c r="R4943" s="84"/>
      <c r="S4943" s="84"/>
      <c r="T4943" s="84"/>
      <c r="U4943" s="84"/>
      <c r="V4943" s="84"/>
      <c r="W4943" s="84"/>
      <c r="X4943" s="84"/>
      <c r="Y4943" s="84"/>
      <c r="Z4943" s="84"/>
      <c r="AA4943" s="84"/>
      <c r="AB4943" s="84"/>
    </row>
    <row r="4944">
      <c r="A4944" s="89"/>
      <c r="B4944" s="89"/>
      <c r="C4944" s="89"/>
      <c r="D4944" s="89"/>
      <c r="E4944" s="89"/>
      <c r="F4944" s="89"/>
      <c r="G4944" s="89"/>
      <c r="H4944" s="2"/>
      <c r="I4944" s="90"/>
      <c r="J4944" s="90"/>
      <c r="K4944" s="2"/>
      <c r="L4944" s="49"/>
      <c r="M4944" s="49"/>
      <c r="N4944" s="49"/>
      <c r="O4944" s="49" t="str">
        <f t="shared" si="2"/>
        <v/>
      </c>
      <c r="P4944" s="49" t="str">
        <f t="shared" si="3"/>
        <v/>
      </c>
      <c r="Q4944" s="84"/>
      <c r="R4944" s="84"/>
      <c r="S4944" s="84"/>
      <c r="T4944" s="84"/>
      <c r="U4944" s="84"/>
      <c r="V4944" s="84"/>
      <c r="W4944" s="84"/>
      <c r="X4944" s="84"/>
      <c r="Y4944" s="84"/>
      <c r="Z4944" s="84"/>
      <c r="AA4944" s="84"/>
      <c r="AB4944" s="84"/>
    </row>
    <row r="4945">
      <c r="A4945" s="89"/>
      <c r="B4945" s="89"/>
      <c r="C4945" s="89"/>
      <c r="D4945" s="89"/>
      <c r="E4945" s="89"/>
      <c r="F4945" s="89"/>
      <c r="G4945" s="89"/>
      <c r="H4945" s="2"/>
      <c r="I4945" s="90"/>
      <c r="J4945" s="90"/>
      <c r="K4945" s="2"/>
      <c r="L4945" s="48"/>
      <c r="M4945" s="48"/>
      <c r="N4945" s="48"/>
      <c r="O4945" s="48" t="str">
        <f t="shared" si="2"/>
        <v/>
      </c>
      <c r="P4945" s="48" t="str">
        <f t="shared" si="3"/>
        <v/>
      </c>
      <c r="Q4945" s="84"/>
      <c r="R4945" s="84"/>
      <c r="S4945" s="84"/>
      <c r="T4945" s="84"/>
      <c r="U4945" s="84"/>
      <c r="V4945" s="84"/>
      <c r="W4945" s="84"/>
      <c r="X4945" s="84"/>
      <c r="Y4945" s="84"/>
      <c r="Z4945" s="84"/>
      <c r="AA4945" s="84"/>
      <c r="AB4945" s="84"/>
    </row>
    <row r="4946">
      <c r="A4946" s="89"/>
      <c r="B4946" s="89"/>
      <c r="C4946" s="89"/>
      <c r="D4946" s="89"/>
      <c r="E4946" s="89"/>
      <c r="F4946" s="89"/>
      <c r="G4946" s="89"/>
      <c r="H4946" s="2"/>
      <c r="I4946" s="90"/>
      <c r="J4946" s="90"/>
      <c r="K4946" s="2"/>
      <c r="L4946" s="49"/>
      <c r="M4946" s="49"/>
      <c r="N4946" s="49"/>
      <c r="O4946" s="49" t="str">
        <f t="shared" si="2"/>
        <v/>
      </c>
      <c r="P4946" s="49" t="str">
        <f t="shared" si="3"/>
        <v/>
      </c>
      <c r="Q4946" s="84"/>
      <c r="R4946" s="84"/>
      <c r="S4946" s="84"/>
      <c r="T4946" s="84"/>
      <c r="U4946" s="84"/>
      <c r="V4946" s="84"/>
      <c r="W4946" s="84"/>
      <c r="X4946" s="84"/>
      <c r="Y4946" s="84"/>
      <c r="Z4946" s="84"/>
      <c r="AA4946" s="84"/>
      <c r="AB4946" s="84"/>
    </row>
    <row r="4947">
      <c r="A4947" s="89"/>
      <c r="B4947" s="89"/>
      <c r="C4947" s="89"/>
      <c r="D4947" s="89"/>
      <c r="E4947" s="89"/>
      <c r="F4947" s="89"/>
      <c r="G4947" s="89"/>
      <c r="H4947" s="2"/>
      <c r="I4947" s="90"/>
      <c r="J4947" s="90"/>
      <c r="K4947" s="2"/>
      <c r="L4947" s="48"/>
      <c r="M4947" s="48"/>
      <c r="N4947" s="48"/>
      <c r="O4947" s="48" t="str">
        <f t="shared" si="2"/>
        <v/>
      </c>
      <c r="P4947" s="48" t="str">
        <f t="shared" si="3"/>
        <v/>
      </c>
      <c r="Q4947" s="84"/>
      <c r="R4947" s="84"/>
      <c r="S4947" s="84"/>
      <c r="T4947" s="84"/>
      <c r="U4947" s="84"/>
      <c r="V4947" s="84"/>
      <c r="W4947" s="84"/>
      <c r="X4947" s="84"/>
      <c r="Y4947" s="84"/>
      <c r="Z4947" s="84"/>
      <c r="AA4947" s="84"/>
      <c r="AB4947" s="84"/>
    </row>
    <row r="4948">
      <c r="A4948" s="89"/>
      <c r="B4948" s="89"/>
      <c r="C4948" s="89"/>
      <c r="D4948" s="89"/>
      <c r="E4948" s="89"/>
      <c r="F4948" s="89"/>
      <c r="G4948" s="89"/>
      <c r="H4948" s="2"/>
      <c r="I4948" s="90"/>
      <c r="J4948" s="90"/>
      <c r="K4948" s="2"/>
      <c r="L4948" s="49"/>
      <c r="M4948" s="49"/>
      <c r="N4948" s="49"/>
      <c r="O4948" s="49" t="str">
        <f t="shared" si="2"/>
        <v/>
      </c>
      <c r="P4948" s="49" t="str">
        <f t="shared" si="3"/>
        <v/>
      </c>
      <c r="Q4948" s="84"/>
      <c r="R4948" s="84"/>
      <c r="S4948" s="84"/>
      <c r="T4948" s="84"/>
      <c r="U4948" s="84"/>
      <c r="V4948" s="84"/>
      <c r="W4948" s="84"/>
      <c r="X4948" s="84"/>
      <c r="Y4948" s="84"/>
      <c r="Z4948" s="84"/>
      <c r="AA4948" s="84"/>
      <c r="AB4948" s="84"/>
    </row>
    <row r="4949">
      <c r="A4949" s="89"/>
      <c r="B4949" s="89"/>
      <c r="C4949" s="89"/>
      <c r="D4949" s="89"/>
      <c r="E4949" s="89"/>
      <c r="F4949" s="89"/>
      <c r="G4949" s="89"/>
      <c r="H4949" s="2"/>
      <c r="I4949" s="90"/>
      <c r="J4949" s="90"/>
      <c r="K4949" s="2"/>
      <c r="L4949" s="48"/>
      <c r="M4949" s="48"/>
      <c r="N4949" s="48"/>
      <c r="O4949" s="48" t="str">
        <f t="shared" si="2"/>
        <v/>
      </c>
      <c r="P4949" s="48" t="str">
        <f t="shared" si="3"/>
        <v/>
      </c>
      <c r="Q4949" s="84"/>
      <c r="R4949" s="84"/>
      <c r="S4949" s="84"/>
      <c r="T4949" s="84"/>
      <c r="U4949" s="84"/>
      <c r="V4949" s="84"/>
      <c r="W4949" s="84"/>
      <c r="X4949" s="84"/>
      <c r="Y4949" s="84"/>
      <c r="Z4949" s="84"/>
      <c r="AA4949" s="84"/>
      <c r="AB4949" s="84"/>
    </row>
    <row r="4950">
      <c r="A4950" s="89"/>
      <c r="B4950" s="89"/>
      <c r="C4950" s="89"/>
      <c r="D4950" s="89"/>
      <c r="E4950" s="89"/>
      <c r="F4950" s="89"/>
      <c r="G4950" s="89"/>
      <c r="H4950" s="2"/>
      <c r="I4950" s="90"/>
      <c r="J4950" s="90"/>
      <c r="K4950" s="2"/>
      <c r="L4950" s="49"/>
      <c r="M4950" s="49"/>
      <c r="N4950" s="49"/>
      <c r="O4950" s="49" t="str">
        <f t="shared" si="2"/>
        <v/>
      </c>
      <c r="P4950" s="49" t="str">
        <f t="shared" si="3"/>
        <v/>
      </c>
      <c r="Q4950" s="84"/>
      <c r="R4950" s="84"/>
      <c r="S4950" s="84"/>
      <c r="T4950" s="84"/>
      <c r="U4950" s="84"/>
      <c r="V4950" s="84"/>
      <c r="W4950" s="84"/>
      <c r="X4950" s="84"/>
      <c r="Y4950" s="84"/>
      <c r="Z4950" s="84"/>
      <c r="AA4950" s="84"/>
      <c r="AB4950" s="84"/>
    </row>
    <row r="4951">
      <c r="A4951" s="89"/>
      <c r="B4951" s="89"/>
      <c r="C4951" s="89"/>
      <c r="D4951" s="89"/>
      <c r="E4951" s="89"/>
      <c r="F4951" s="89"/>
      <c r="G4951" s="89"/>
      <c r="H4951" s="2"/>
      <c r="I4951" s="90"/>
      <c r="J4951" s="90"/>
      <c r="K4951" s="2"/>
      <c r="L4951" s="48"/>
      <c r="M4951" s="48"/>
      <c r="N4951" s="48"/>
      <c r="O4951" s="48" t="str">
        <f t="shared" si="2"/>
        <v/>
      </c>
      <c r="P4951" s="48" t="str">
        <f t="shared" si="3"/>
        <v/>
      </c>
      <c r="Q4951" s="84"/>
      <c r="R4951" s="84"/>
      <c r="S4951" s="84"/>
      <c r="T4951" s="84"/>
      <c r="U4951" s="84"/>
      <c r="V4951" s="84"/>
      <c r="W4951" s="84"/>
      <c r="X4951" s="84"/>
      <c r="Y4951" s="84"/>
      <c r="Z4951" s="84"/>
      <c r="AA4951" s="84"/>
      <c r="AB4951" s="84"/>
    </row>
    <row r="4952">
      <c r="A4952" s="89"/>
      <c r="B4952" s="89"/>
      <c r="C4952" s="89"/>
      <c r="D4952" s="89"/>
      <c r="E4952" s="89"/>
      <c r="F4952" s="89"/>
      <c r="G4952" s="89"/>
      <c r="H4952" s="2"/>
      <c r="I4952" s="90"/>
      <c r="J4952" s="90"/>
      <c r="K4952" s="2"/>
      <c r="L4952" s="49"/>
      <c r="M4952" s="49"/>
      <c r="N4952" s="49"/>
      <c r="O4952" s="49" t="str">
        <f t="shared" si="2"/>
        <v/>
      </c>
      <c r="P4952" s="49" t="str">
        <f t="shared" si="3"/>
        <v/>
      </c>
      <c r="Q4952" s="84"/>
      <c r="R4952" s="84"/>
      <c r="S4952" s="84"/>
      <c r="T4952" s="84"/>
      <c r="U4952" s="84"/>
      <c r="V4952" s="84"/>
      <c r="W4952" s="84"/>
      <c r="X4952" s="84"/>
      <c r="Y4952" s="84"/>
      <c r="Z4952" s="84"/>
      <c r="AA4952" s="84"/>
      <c r="AB4952" s="84"/>
    </row>
    <row r="4953">
      <c r="A4953" s="89"/>
      <c r="B4953" s="89"/>
      <c r="C4953" s="89"/>
      <c r="D4953" s="89"/>
      <c r="E4953" s="89"/>
      <c r="F4953" s="89"/>
      <c r="G4953" s="89"/>
      <c r="H4953" s="2"/>
      <c r="I4953" s="90"/>
      <c r="J4953" s="90"/>
      <c r="K4953" s="2"/>
      <c r="L4953" s="48"/>
      <c r="M4953" s="48"/>
      <c r="N4953" s="48"/>
      <c r="O4953" s="48" t="str">
        <f t="shared" si="2"/>
        <v/>
      </c>
      <c r="P4953" s="48" t="str">
        <f t="shared" si="3"/>
        <v/>
      </c>
      <c r="Q4953" s="84"/>
      <c r="R4953" s="84"/>
      <c r="S4953" s="84"/>
      <c r="T4953" s="84"/>
      <c r="U4953" s="84"/>
      <c r="V4953" s="84"/>
      <c r="W4953" s="84"/>
      <c r="X4953" s="84"/>
      <c r="Y4953" s="84"/>
      <c r="Z4953" s="84"/>
      <c r="AA4953" s="84"/>
      <c r="AB4953" s="84"/>
    </row>
    <row r="4954">
      <c r="A4954" s="89"/>
      <c r="B4954" s="89"/>
      <c r="C4954" s="89"/>
      <c r="D4954" s="89"/>
      <c r="E4954" s="89"/>
      <c r="F4954" s="89"/>
      <c r="G4954" s="89"/>
      <c r="H4954" s="2"/>
      <c r="I4954" s="90"/>
      <c r="J4954" s="90"/>
      <c r="K4954" s="2"/>
      <c r="L4954" s="49"/>
      <c r="M4954" s="49"/>
      <c r="N4954" s="49"/>
      <c r="O4954" s="49" t="str">
        <f t="shared" si="2"/>
        <v/>
      </c>
      <c r="P4954" s="49" t="str">
        <f t="shared" si="3"/>
        <v/>
      </c>
      <c r="Q4954" s="84"/>
      <c r="R4954" s="84"/>
      <c r="S4954" s="84"/>
      <c r="T4954" s="84"/>
      <c r="U4954" s="84"/>
      <c r="V4954" s="84"/>
      <c r="W4954" s="84"/>
      <c r="X4954" s="84"/>
      <c r="Y4954" s="84"/>
      <c r="Z4954" s="84"/>
      <c r="AA4954" s="84"/>
      <c r="AB4954" s="84"/>
    </row>
    <row r="4955">
      <c r="A4955" s="89"/>
      <c r="B4955" s="89"/>
      <c r="C4955" s="89"/>
      <c r="D4955" s="89"/>
      <c r="E4955" s="89"/>
      <c r="F4955" s="89"/>
      <c r="G4955" s="89"/>
      <c r="H4955" s="2"/>
      <c r="I4955" s="90"/>
      <c r="J4955" s="90"/>
      <c r="K4955" s="2"/>
      <c r="L4955" s="48"/>
      <c r="M4955" s="48"/>
      <c r="N4955" s="48"/>
      <c r="O4955" s="48" t="str">
        <f t="shared" si="2"/>
        <v/>
      </c>
      <c r="P4955" s="48" t="str">
        <f t="shared" si="3"/>
        <v/>
      </c>
      <c r="Q4955" s="84"/>
      <c r="R4955" s="84"/>
      <c r="S4955" s="84"/>
      <c r="T4955" s="84"/>
      <c r="U4955" s="84"/>
      <c r="V4955" s="84"/>
      <c r="W4955" s="84"/>
      <c r="X4955" s="84"/>
      <c r="Y4955" s="84"/>
      <c r="Z4955" s="84"/>
      <c r="AA4955" s="84"/>
      <c r="AB4955" s="84"/>
    </row>
    <row r="4956">
      <c r="A4956" s="89"/>
      <c r="B4956" s="89"/>
      <c r="C4956" s="89"/>
      <c r="D4956" s="89"/>
      <c r="E4956" s="89"/>
      <c r="F4956" s="89"/>
      <c r="G4956" s="89"/>
      <c r="H4956" s="2"/>
      <c r="I4956" s="90"/>
      <c r="J4956" s="90"/>
      <c r="K4956" s="2"/>
      <c r="L4956" s="49"/>
      <c r="M4956" s="49"/>
      <c r="N4956" s="49"/>
      <c r="O4956" s="49" t="str">
        <f t="shared" si="2"/>
        <v/>
      </c>
      <c r="P4956" s="49" t="str">
        <f t="shared" si="3"/>
        <v/>
      </c>
      <c r="Q4956" s="84"/>
      <c r="R4956" s="84"/>
      <c r="S4956" s="84"/>
      <c r="T4956" s="84"/>
      <c r="U4956" s="84"/>
      <c r="V4956" s="84"/>
      <c r="W4956" s="84"/>
      <c r="X4956" s="84"/>
      <c r="Y4956" s="84"/>
      <c r="Z4956" s="84"/>
      <c r="AA4956" s="84"/>
      <c r="AB4956" s="84"/>
    </row>
    <row r="4957">
      <c r="A4957" s="89"/>
      <c r="B4957" s="89"/>
      <c r="C4957" s="89"/>
      <c r="D4957" s="89"/>
      <c r="E4957" s="89"/>
      <c r="F4957" s="89"/>
      <c r="G4957" s="89"/>
      <c r="H4957" s="2"/>
      <c r="I4957" s="90"/>
      <c r="J4957" s="90"/>
      <c r="K4957" s="2"/>
      <c r="L4957" s="48"/>
      <c r="M4957" s="48"/>
      <c r="N4957" s="48"/>
      <c r="O4957" s="48" t="str">
        <f t="shared" si="2"/>
        <v/>
      </c>
      <c r="P4957" s="48" t="str">
        <f t="shared" si="3"/>
        <v/>
      </c>
      <c r="Q4957" s="84"/>
      <c r="R4957" s="84"/>
      <c r="S4957" s="84"/>
      <c r="T4957" s="84"/>
      <c r="U4957" s="84"/>
      <c r="V4957" s="84"/>
      <c r="W4957" s="84"/>
      <c r="X4957" s="84"/>
      <c r="Y4957" s="84"/>
      <c r="Z4957" s="84"/>
      <c r="AA4957" s="84"/>
      <c r="AB4957" s="84"/>
    </row>
    <row r="4958">
      <c r="A4958" s="89"/>
      <c r="B4958" s="89"/>
      <c r="C4958" s="89"/>
      <c r="D4958" s="89"/>
      <c r="E4958" s="89"/>
      <c r="F4958" s="89"/>
      <c r="G4958" s="89"/>
      <c r="H4958" s="2"/>
      <c r="I4958" s="90"/>
      <c r="J4958" s="90"/>
      <c r="K4958" s="2"/>
      <c r="L4958" s="49"/>
      <c r="M4958" s="49"/>
      <c r="N4958" s="49"/>
      <c r="O4958" s="49" t="str">
        <f t="shared" si="2"/>
        <v/>
      </c>
      <c r="P4958" s="49" t="str">
        <f t="shared" si="3"/>
        <v/>
      </c>
      <c r="Q4958" s="84"/>
      <c r="R4958" s="84"/>
      <c r="S4958" s="84"/>
      <c r="T4958" s="84"/>
      <c r="U4958" s="84"/>
      <c r="V4958" s="84"/>
      <c r="W4958" s="84"/>
      <c r="X4958" s="84"/>
      <c r="Y4958" s="84"/>
      <c r="Z4958" s="84"/>
      <c r="AA4958" s="84"/>
      <c r="AB4958" s="84"/>
    </row>
    <row r="4959">
      <c r="A4959" s="89"/>
      <c r="B4959" s="89"/>
      <c r="C4959" s="89"/>
      <c r="D4959" s="89"/>
      <c r="E4959" s="89"/>
      <c r="F4959" s="89"/>
      <c r="G4959" s="89"/>
      <c r="H4959" s="2"/>
      <c r="I4959" s="90"/>
      <c r="J4959" s="90"/>
      <c r="K4959" s="2"/>
      <c r="L4959" s="48"/>
      <c r="M4959" s="48"/>
      <c r="N4959" s="48"/>
      <c r="O4959" s="48" t="str">
        <f t="shared" si="2"/>
        <v/>
      </c>
      <c r="P4959" s="48" t="str">
        <f t="shared" si="3"/>
        <v/>
      </c>
      <c r="Q4959" s="84"/>
      <c r="R4959" s="84"/>
      <c r="S4959" s="84"/>
      <c r="T4959" s="84"/>
      <c r="U4959" s="84"/>
      <c r="V4959" s="84"/>
      <c r="W4959" s="84"/>
      <c r="X4959" s="84"/>
      <c r="Y4959" s="84"/>
      <c r="Z4959" s="84"/>
      <c r="AA4959" s="84"/>
      <c r="AB4959" s="84"/>
    </row>
    <row r="4960">
      <c r="A4960" s="89"/>
      <c r="B4960" s="89"/>
      <c r="C4960" s="89"/>
      <c r="D4960" s="89"/>
      <c r="E4960" s="89"/>
      <c r="F4960" s="89"/>
      <c r="G4960" s="89"/>
      <c r="H4960" s="2"/>
      <c r="I4960" s="90"/>
      <c r="J4960" s="90"/>
      <c r="K4960" s="2"/>
      <c r="L4960" s="49"/>
      <c r="M4960" s="49"/>
      <c r="N4960" s="49"/>
      <c r="O4960" s="49" t="str">
        <f t="shared" si="2"/>
        <v/>
      </c>
      <c r="P4960" s="49" t="str">
        <f t="shared" si="3"/>
        <v/>
      </c>
      <c r="Q4960" s="84"/>
      <c r="R4960" s="84"/>
      <c r="S4960" s="84"/>
      <c r="T4960" s="84"/>
      <c r="U4960" s="84"/>
      <c r="V4960" s="84"/>
      <c r="W4960" s="84"/>
      <c r="X4960" s="84"/>
      <c r="Y4960" s="84"/>
      <c r="Z4960" s="84"/>
      <c r="AA4960" s="84"/>
      <c r="AB4960" s="84"/>
    </row>
    <row r="4961">
      <c r="A4961" s="89"/>
      <c r="B4961" s="89"/>
      <c r="C4961" s="89"/>
      <c r="D4961" s="89"/>
      <c r="E4961" s="89"/>
      <c r="F4961" s="89"/>
      <c r="G4961" s="89"/>
      <c r="H4961" s="2"/>
      <c r="I4961" s="90"/>
      <c r="J4961" s="90"/>
      <c r="K4961" s="2"/>
      <c r="L4961" s="48"/>
      <c r="M4961" s="48"/>
      <c r="N4961" s="48"/>
      <c r="O4961" s="48" t="str">
        <f t="shared" si="2"/>
        <v/>
      </c>
      <c r="P4961" s="48" t="str">
        <f t="shared" si="3"/>
        <v/>
      </c>
      <c r="Q4961" s="84"/>
      <c r="R4961" s="84"/>
      <c r="S4961" s="84"/>
      <c r="T4961" s="84"/>
      <c r="U4961" s="84"/>
      <c r="V4961" s="84"/>
      <c r="W4961" s="84"/>
      <c r="X4961" s="84"/>
      <c r="Y4961" s="84"/>
      <c r="Z4961" s="84"/>
      <c r="AA4961" s="84"/>
      <c r="AB4961" s="84"/>
    </row>
    <row r="4962">
      <c r="A4962" s="89"/>
      <c r="B4962" s="89"/>
      <c r="C4962" s="89"/>
      <c r="D4962" s="89"/>
      <c r="E4962" s="89"/>
      <c r="F4962" s="89"/>
      <c r="G4962" s="89"/>
      <c r="H4962" s="2"/>
      <c r="I4962" s="90"/>
      <c r="J4962" s="90"/>
      <c r="K4962" s="2"/>
      <c r="L4962" s="49"/>
      <c r="M4962" s="49"/>
      <c r="N4962" s="49"/>
      <c r="O4962" s="49" t="str">
        <f t="shared" si="2"/>
        <v/>
      </c>
      <c r="P4962" s="49" t="str">
        <f t="shared" si="3"/>
        <v/>
      </c>
      <c r="Q4962" s="84"/>
      <c r="R4962" s="84"/>
      <c r="S4962" s="84"/>
      <c r="T4962" s="84"/>
      <c r="U4962" s="84"/>
      <c r="V4962" s="84"/>
      <c r="W4962" s="84"/>
      <c r="X4962" s="84"/>
      <c r="Y4962" s="84"/>
      <c r="Z4962" s="84"/>
      <c r="AA4962" s="84"/>
      <c r="AB4962" s="84"/>
    </row>
    <row r="4963">
      <c r="A4963" s="89"/>
      <c r="B4963" s="89"/>
      <c r="C4963" s="89"/>
      <c r="D4963" s="89"/>
      <c r="E4963" s="89"/>
      <c r="F4963" s="89"/>
      <c r="G4963" s="89"/>
      <c r="H4963" s="2"/>
      <c r="I4963" s="90"/>
      <c r="J4963" s="90"/>
      <c r="K4963" s="2"/>
      <c r="L4963" s="48"/>
      <c r="M4963" s="48"/>
      <c r="N4963" s="48"/>
      <c r="O4963" s="48" t="str">
        <f t="shared" si="2"/>
        <v/>
      </c>
      <c r="P4963" s="48" t="str">
        <f t="shared" si="3"/>
        <v/>
      </c>
      <c r="Q4963" s="84"/>
      <c r="R4963" s="84"/>
      <c r="S4963" s="84"/>
      <c r="T4963" s="84"/>
      <c r="U4963" s="84"/>
      <c r="V4963" s="84"/>
      <c r="W4963" s="84"/>
      <c r="X4963" s="84"/>
      <c r="Y4963" s="84"/>
      <c r="Z4963" s="84"/>
      <c r="AA4963" s="84"/>
      <c r="AB4963" s="84"/>
    </row>
    <row r="4964">
      <c r="A4964" s="89"/>
      <c r="B4964" s="89"/>
      <c r="C4964" s="89"/>
      <c r="D4964" s="89"/>
      <c r="E4964" s="89"/>
      <c r="F4964" s="89"/>
      <c r="G4964" s="89"/>
      <c r="H4964" s="2"/>
      <c r="I4964" s="90"/>
      <c r="J4964" s="90"/>
      <c r="K4964" s="2"/>
      <c r="L4964" s="49"/>
      <c r="M4964" s="49"/>
      <c r="N4964" s="49"/>
      <c r="O4964" s="49" t="str">
        <f t="shared" si="2"/>
        <v/>
      </c>
      <c r="P4964" s="49" t="str">
        <f t="shared" si="3"/>
        <v/>
      </c>
      <c r="Q4964" s="84"/>
      <c r="R4964" s="84"/>
      <c r="S4964" s="84"/>
      <c r="T4964" s="84"/>
      <c r="U4964" s="84"/>
      <c r="V4964" s="84"/>
      <c r="W4964" s="84"/>
      <c r="X4964" s="84"/>
      <c r="Y4964" s="84"/>
      <c r="Z4964" s="84"/>
      <c r="AA4964" s="84"/>
      <c r="AB4964" s="84"/>
    </row>
    <row r="4965">
      <c r="A4965" s="89"/>
      <c r="B4965" s="89"/>
      <c r="C4965" s="89"/>
      <c r="D4965" s="89"/>
      <c r="E4965" s="89"/>
      <c r="F4965" s="89"/>
      <c r="G4965" s="89"/>
      <c r="H4965" s="2"/>
      <c r="I4965" s="90"/>
      <c r="J4965" s="90"/>
      <c r="K4965" s="2"/>
      <c r="L4965" s="48"/>
      <c r="M4965" s="48"/>
      <c r="N4965" s="48"/>
      <c r="O4965" s="48" t="str">
        <f t="shared" si="2"/>
        <v/>
      </c>
      <c r="P4965" s="48" t="str">
        <f t="shared" si="3"/>
        <v/>
      </c>
      <c r="Q4965" s="84"/>
      <c r="R4965" s="84"/>
      <c r="S4965" s="84"/>
      <c r="T4965" s="84"/>
      <c r="U4965" s="84"/>
      <c r="V4965" s="84"/>
      <c r="W4965" s="84"/>
      <c r="X4965" s="84"/>
      <c r="Y4965" s="84"/>
      <c r="Z4965" s="84"/>
      <c r="AA4965" s="84"/>
      <c r="AB4965" s="84"/>
    </row>
    <row r="4966">
      <c r="A4966" s="89"/>
      <c r="B4966" s="89"/>
      <c r="C4966" s="89"/>
      <c r="D4966" s="89"/>
      <c r="E4966" s="89"/>
      <c r="F4966" s="89"/>
      <c r="G4966" s="89"/>
      <c r="H4966" s="2"/>
      <c r="I4966" s="90"/>
      <c r="J4966" s="90"/>
      <c r="K4966" s="2"/>
      <c r="L4966" s="49"/>
      <c r="M4966" s="49"/>
      <c r="N4966" s="49"/>
      <c r="O4966" s="49" t="str">
        <f t="shared" si="2"/>
        <v/>
      </c>
      <c r="P4966" s="49" t="str">
        <f t="shared" si="3"/>
        <v/>
      </c>
      <c r="Q4966" s="84"/>
      <c r="R4966" s="84"/>
      <c r="S4966" s="84"/>
      <c r="T4966" s="84"/>
      <c r="U4966" s="84"/>
      <c r="V4966" s="84"/>
      <c r="W4966" s="84"/>
      <c r="X4966" s="84"/>
      <c r="Y4966" s="84"/>
      <c r="Z4966" s="84"/>
      <c r="AA4966" s="84"/>
      <c r="AB4966" s="84"/>
    </row>
    <row r="4967">
      <c r="A4967" s="89"/>
      <c r="B4967" s="89"/>
      <c r="C4967" s="89"/>
      <c r="D4967" s="89"/>
      <c r="E4967" s="89"/>
      <c r="F4967" s="89"/>
      <c r="G4967" s="89"/>
      <c r="H4967" s="2"/>
      <c r="I4967" s="90"/>
      <c r="J4967" s="90"/>
      <c r="K4967" s="2"/>
      <c r="L4967" s="48"/>
      <c r="M4967" s="48"/>
      <c r="N4967" s="48"/>
      <c r="O4967" s="48" t="str">
        <f t="shared" si="2"/>
        <v/>
      </c>
      <c r="P4967" s="48" t="str">
        <f t="shared" si="3"/>
        <v/>
      </c>
      <c r="Q4967" s="84"/>
      <c r="R4967" s="84"/>
      <c r="S4967" s="84"/>
      <c r="T4967" s="84"/>
      <c r="U4967" s="84"/>
      <c r="V4967" s="84"/>
      <c r="W4967" s="84"/>
      <c r="X4967" s="84"/>
      <c r="Y4967" s="84"/>
      <c r="Z4967" s="84"/>
      <c r="AA4967" s="84"/>
      <c r="AB4967" s="84"/>
    </row>
    <row r="4968">
      <c r="A4968" s="89"/>
      <c r="B4968" s="89"/>
      <c r="C4968" s="89"/>
      <c r="D4968" s="89"/>
      <c r="E4968" s="89"/>
      <c r="F4968" s="89"/>
      <c r="G4968" s="89"/>
      <c r="H4968" s="2"/>
      <c r="I4968" s="90"/>
      <c r="J4968" s="90"/>
      <c r="K4968" s="2"/>
      <c r="L4968" s="49"/>
      <c r="M4968" s="49"/>
      <c r="N4968" s="49"/>
      <c r="O4968" s="49" t="str">
        <f t="shared" si="2"/>
        <v/>
      </c>
      <c r="P4968" s="49" t="str">
        <f t="shared" si="3"/>
        <v/>
      </c>
      <c r="Q4968" s="84"/>
      <c r="R4968" s="84"/>
      <c r="S4968" s="84"/>
      <c r="T4968" s="84"/>
      <c r="U4968" s="84"/>
      <c r="V4968" s="84"/>
      <c r="W4968" s="84"/>
      <c r="X4968" s="84"/>
      <c r="Y4968" s="84"/>
      <c r="Z4968" s="84"/>
      <c r="AA4968" s="84"/>
      <c r="AB4968" s="84"/>
    </row>
    <row r="4969">
      <c r="A4969" s="89"/>
      <c r="B4969" s="89"/>
      <c r="C4969" s="89"/>
      <c r="D4969" s="89"/>
      <c r="E4969" s="89"/>
      <c r="F4969" s="89"/>
      <c r="G4969" s="89"/>
      <c r="H4969" s="2"/>
      <c r="I4969" s="90"/>
      <c r="J4969" s="90"/>
      <c r="K4969" s="2"/>
      <c r="L4969" s="48"/>
      <c r="M4969" s="48"/>
      <c r="N4969" s="48"/>
      <c r="O4969" s="48" t="str">
        <f t="shared" si="2"/>
        <v/>
      </c>
      <c r="P4969" s="48" t="str">
        <f t="shared" si="3"/>
        <v/>
      </c>
      <c r="Q4969" s="84"/>
      <c r="R4969" s="84"/>
      <c r="S4969" s="84"/>
      <c r="T4969" s="84"/>
      <c r="U4969" s="84"/>
      <c r="V4969" s="84"/>
      <c r="W4969" s="84"/>
      <c r="X4969" s="84"/>
      <c r="Y4969" s="84"/>
      <c r="Z4969" s="84"/>
      <c r="AA4969" s="84"/>
      <c r="AB4969" s="84"/>
    </row>
    <row r="4970">
      <c r="A4970" s="89"/>
      <c r="B4970" s="89"/>
      <c r="C4970" s="89"/>
      <c r="D4970" s="89"/>
      <c r="E4970" s="89"/>
      <c r="F4970" s="89"/>
      <c r="G4970" s="89"/>
      <c r="H4970" s="2"/>
      <c r="I4970" s="90"/>
      <c r="J4970" s="90"/>
      <c r="K4970" s="2"/>
      <c r="L4970" s="49"/>
      <c r="M4970" s="49"/>
      <c r="N4970" s="49"/>
      <c r="O4970" s="49" t="str">
        <f t="shared" si="2"/>
        <v/>
      </c>
      <c r="P4970" s="49" t="str">
        <f t="shared" si="3"/>
        <v/>
      </c>
      <c r="Q4970" s="84"/>
      <c r="R4970" s="84"/>
      <c r="S4970" s="84"/>
      <c r="T4970" s="84"/>
      <c r="U4970" s="84"/>
      <c r="V4970" s="84"/>
      <c r="W4970" s="84"/>
      <c r="X4970" s="84"/>
      <c r="Y4970" s="84"/>
      <c r="Z4970" s="84"/>
      <c r="AA4970" s="84"/>
      <c r="AB4970" s="84"/>
    </row>
    <row r="4971">
      <c r="A4971" s="89"/>
      <c r="B4971" s="89"/>
      <c r="C4971" s="89"/>
      <c r="D4971" s="89"/>
      <c r="E4971" s="89"/>
      <c r="F4971" s="89"/>
      <c r="G4971" s="89"/>
      <c r="H4971" s="2"/>
      <c r="I4971" s="90"/>
      <c r="J4971" s="90"/>
      <c r="K4971" s="2"/>
      <c r="L4971" s="48"/>
      <c r="M4971" s="48"/>
      <c r="N4971" s="48"/>
      <c r="O4971" s="48" t="str">
        <f t="shared" si="2"/>
        <v/>
      </c>
      <c r="P4971" s="48" t="str">
        <f t="shared" si="3"/>
        <v/>
      </c>
      <c r="Q4971" s="84"/>
      <c r="R4971" s="84"/>
      <c r="S4971" s="84"/>
      <c r="T4971" s="84"/>
      <c r="U4971" s="84"/>
      <c r="V4971" s="84"/>
      <c r="W4971" s="84"/>
      <c r="X4971" s="84"/>
      <c r="Y4971" s="84"/>
      <c r="Z4971" s="84"/>
      <c r="AA4971" s="84"/>
      <c r="AB4971" s="84"/>
    </row>
    <row r="4972">
      <c r="A4972" s="89"/>
      <c r="B4972" s="89"/>
      <c r="C4972" s="89"/>
      <c r="D4972" s="89"/>
      <c r="E4972" s="89"/>
      <c r="F4972" s="89"/>
      <c r="G4972" s="89"/>
      <c r="H4972" s="2"/>
      <c r="I4972" s="90"/>
      <c r="J4972" s="90"/>
      <c r="K4972" s="2"/>
      <c r="L4972" s="49"/>
      <c r="M4972" s="49"/>
      <c r="N4972" s="49"/>
      <c r="O4972" s="49" t="str">
        <f t="shared" si="2"/>
        <v/>
      </c>
      <c r="P4972" s="49" t="str">
        <f t="shared" si="3"/>
        <v/>
      </c>
      <c r="Q4972" s="84"/>
      <c r="R4972" s="84"/>
      <c r="S4972" s="84"/>
      <c r="T4972" s="84"/>
      <c r="U4972" s="84"/>
      <c r="V4972" s="84"/>
      <c r="W4972" s="84"/>
      <c r="X4972" s="84"/>
      <c r="Y4972" s="84"/>
      <c r="Z4972" s="84"/>
      <c r="AA4972" s="84"/>
      <c r="AB4972" s="84"/>
    </row>
    <row r="4973">
      <c r="A4973" s="89"/>
      <c r="B4973" s="89"/>
      <c r="C4973" s="89"/>
      <c r="D4973" s="89"/>
      <c r="E4973" s="89"/>
      <c r="F4973" s="89"/>
      <c r="G4973" s="89"/>
      <c r="H4973" s="2"/>
      <c r="I4973" s="90"/>
      <c r="J4973" s="90"/>
      <c r="K4973" s="2"/>
      <c r="L4973" s="48"/>
      <c r="M4973" s="48"/>
      <c r="N4973" s="48"/>
      <c r="O4973" s="48" t="str">
        <f t="shared" si="2"/>
        <v/>
      </c>
      <c r="P4973" s="48" t="str">
        <f t="shared" si="3"/>
        <v/>
      </c>
      <c r="Q4973" s="84"/>
      <c r="R4973" s="84"/>
      <c r="S4973" s="84"/>
      <c r="T4973" s="84"/>
      <c r="U4973" s="84"/>
      <c r="V4973" s="84"/>
      <c r="W4973" s="84"/>
      <c r="X4973" s="84"/>
      <c r="Y4973" s="84"/>
      <c r="Z4973" s="84"/>
      <c r="AA4973" s="84"/>
      <c r="AB4973" s="84"/>
    </row>
    <row r="4974">
      <c r="A4974" s="89"/>
      <c r="B4974" s="89"/>
      <c r="C4974" s="89"/>
      <c r="D4974" s="89"/>
      <c r="E4974" s="89"/>
      <c r="F4974" s="89"/>
      <c r="G4974" s="89"/>
      <c r="H4974" s="2"/>
      <c r="I4974" s="90"/>
      <c r="J4974" s="90"/>
      <c r="K4974" s="2"/>
      <c r="L4974" s="49"/>
      <c r="M4974" s="49"/>
      <c r="N4974" s="49"/>
      <c r="O4974" s="49" t="str">
        <f t="shared" si="2"/>
        <v/>
      </c>
      <c r="P4974" s="49" t="str">
        <f t="shared" si="3"/>
        <v/>
      </c>
      <c r="Q4974" s="84"/>
      <c r="R4974" s="84"/>
      <c r="S4974" s="84"/>
      <c r="T4974" s="84"/>
      <c r="U4974" s="84"/>
      <c r="V4974" s="84"/>
      <c r="W4974" s="84"/>
      <c r="X4974" s="84"/>
      <c r="Y4974" s="84"/>
      <c r="Z4974" s="84"/>
      <c r="AA4974" s="84"/>
      <c r="AB4974" s="84"/>
    </row>
    <row r="4975">
      <c r="A4975" s="89"/>
      <c r="B4975" s="89"/>
      <c r="C4975" s="89"/>
      <c r="D4975" s="89"/>
      <c r="E4975" s="89"/>
      <c r="F4975" s="89"/>
      <c r="G4975" s="89"/>
      <c r="H4975" s="2"/>
      <c r="I4975" s="90"/>
      <c r="J4975" s="90"/>
      <c r="K4975" s="2"/>
      <c r="L4975" s="48"/>
      <c r="M4975" s="48"/>
      <c r="N4975" s="48"/>
      <c r="O4975" s="48" t="str">
        <f t="shared" si="2"/>
        <v/>
      </c>
      <c r="P4975" s="48" t="str">
        <f t="shared" si="3"/>
        <v/>
      </c>
      <c r="Q4975" s="84"/>
      <c r="R4975" s="84"/>
      <c r="S4975" s="84"/>
      <c r="T4975" s="84"/>
      <c r="U4975" s="84"/>
      <c r="V4975" s="84"/>
      <c r="W4975" s="84"/>
      <c r="X4975" s="84"/>
      <c r="Y4975" s="84"/>
      <c r="Z4975" s="84"/>
      <c r="AA4975" s="84"/>
      <c r="AB4975" s="84"/>
    </row>
    <row r="4976">
      <c r="A4976" s="89"/>
      <c r="B4976" s="89"/>
      <c r="C4976" s="89"/>
      <c r="D4976" s="89"/>
      <c r="E4976" s="89"/>
      <c r="F4976" s="89"/>
      <c r="G4976" s="89"/>
      <c r="H4976" s="2"/>
      <c r="I4976" s="90"/>
      <c r="J4976" s="90"/>
      <c r="K4976" s="2"/>
      <c r="L4976" s="49"/>
      <c r="M4976" s="49"/>
      <c r="N4976" s="49"/>
      <c r="O4976" s="49" t="str">
        <f t="shared" si="2"/>
        <v/>
      </c>
      <c r="P4976" s="49" t="str">
        <f t="shared" si="3"/>
        <v/>
      </c>
      <c r="Q4976" s="84"/>
      <c r="R4976" s="84"/>
      <c r="S4976" s="84"/>
      <c r="T4976" s="84"/>
      <c r="U4976" s="84"/>
      <c r="V4976" s="84"/>
      <c r="W4976" s="84"/>
      <c r="X4976" s="84"/>
      <c r="Y4976" s="84"/>
      <c r="Z4976" s="84"/>
      <c r="AA4976" s="84"/>
      <c r="AB4976" s="84"/>
    </row>
    <row r="4977">
      <c r="A4977" s="89"/>
      <c r="B4977" s="89"/>
      <c r="C4977" s="89"/>
      <c r="D4977" s="89"/>
      <c r="E4977" s="89"/>
      <c r="F4977" s="89"/>
      <c r="G4977" s="89"/>
      <c r="H4977" s="2"/>
      <c r="I4977" s="90"/>
      <c r="J4977" s="90"/>
      <c r="K4977" s="2"/>
      <c r="L4977" s="48"/>
      <c r="M4977" s="48"/>
      <c r="N4977" s="48"/>
      <c r="O4977" s="48" t="str">
        <f t="shared" si="2"/>
        <v/>
      </c>
      <c r="P4977" s="48" t="str">
        <f t="shared" si="3"/>
        <v/>
      </c>
      <c r="Q4977" s="84"/>
      <c r="R4977" s="84"/>
      <c r="S4977" s="84"/>
      <c r="T4977" s="84"/>
      <c r="U4977" s="84"/>
      <c r="V4977" s="84"/>
      <c r="W4977" s="84"/>
      <c r="X4977" s="84"/>
      <c r="Y4977" s="84"/>
      <c r="Z4977" s="84"/>
      <c r="AA4977" s="84"/>
      <c r="AB4977" s="84"/>
    </row>
    <row r="4978">
      <c r="A4978" s="89"/>
      <c r="B4978" s="89"/>
      <c r="C4978" s="89"/>
      <c r="D4978" s="89"/>
      <c r="E4978" s="89"/>
      <c r="F4978" s="89"/>
      <c r="G4978" s="89"/>
      <c r="H4978" s="2"/>
      <c r="I4978" s="90"/>
      <c r="J4978" s="90"/>
      <c r="K4978" s="2"/>
      <c r="L4978" s="49"/>
      <c r="M4978" s="49"/>
      <c r="N4978" s="49"/>
      <c r="O4978" s="49" t="str">
        <f t="shared" si="2"/>
        <v/>
      </c>
      <c r="P4978" s="49" t="str">
        <f t="shared" si="3"/>
        <v/>
      </c>
      <c r="Q4978" s="84"/>
      <c r="R4978" s="84"/>
      <c r="S4978" s="84"/>
      <c r="T4978" s="84"/>
      <c r="U4978" s="84"/>
      <c r="V4978" s="84"/>
      <c r="W4978" s="84"/>
      <c r="X4978" s="84"/>
      <c r="Y4978" s="84"/>
      <c r="Z4978" s="84"/>
      <c r="AA4978" s="84"/>
      <c r="AB4978" s="84"/>
    </row>
    <row r="4979">
      <c r="A4979" s="89"/>
      <c r="B4979" s="89"/>
      <c r="C4979" s="89"/>
      <c r="D4979" s="89"/>
      <c r="E4979" s="89"/>
      <c r="F4979" s="89"/>
      <c r="G4979" s="89"/>
      <c r="H4979" s="2"/>
      <c r="I4979" s="90"/>
      <c r="J4979" s="90"/>
      <c r="K4979" s="2"/>
      <c r="L4979" s="48"/>
      <c r="M4979" s="48"/>
      <c r="N4979" s="48"/>
      <c r="O4979" s="48" t="str">
        <f t="shared" si="2"/>
        <v/>
      </c>
      <c r="P4979" s="48" t="str">
        <f t="shared" si="3"/>
        <v/>
      </c>
      <c r="Q4979" s="84"/>
      <c r="R4979" s="84"/>
      <c r="S4979" s="84"/>
      <c r="T4979" s="84"/>
      <c r="U4979" s="84"/>
      <c r="V4979" s="84"/>
      <c r="W4979" s="84"/>
      <c r="X4979" s="84"/>
      <c r="Y4979" s="84"/>
      <c r="Z4979" s="84"/>
      <c r="AA4979" s="84"/>
      <c r="AB4979" s="84"/>
    </row>
    <row r="4980">
      <c r="A4980" s="89"/>
      <c r="B4980" s="89"/>
      <c r="C4980" s="89"/>
      <c r="D4980" s="89"/>
      <c r="E4980" s="89"/>
      <c r="F4980" s="89"/>
      <c r="G4980" s="89"/>
      <c r="H4980" s="2"/>
      <c r="I4980" s="90"/>
      <c r="J4980" s="90"/>
      <c r="K4980" s="2"/>
      <c r="L4980" s="49"/>
      <c r="M4980" s="49"/>
      <c r="N4980" s="49"/>
      <c r="O4980" s="49" t="str">
        <f t="shared" si="2"/>
        <v/>
      </c>
      <c r="P4980" s="49" t="str">
        <f t="shared" si="3"/>
        <v/>
      </c>
      <c r="Q4980" s="84"/>
      <c r="R4980" s="84"/>
      <c r="S4980" s="84"/>
      <c r="T4980" s="84"/>
      <c r="U4980" s="84"/>
      <c r="V4980" s="84"/>
      <c r="W4980" s="84"/>
      <c r="X4980" s="84"/>
      <c r="Y4980" s="84"/>
      <c r="Z4980" s="84"/>
      <c r="AA4980" s="84"/>
      <c r="AB4980" s="84"/>
    </row>
    <row r="4981">
      <c r="A4981" s="89"/>
      <c r="B4981" s="89"/>
      <c r="C4981" s="89"/>
      <c r="D4981" s="89"/>
      <c r="E4981" s="89"/>
      <c r="F4981" s="89"/>
      <c r="G4981" s="89"/>
      <c r="H4981" s="2"/>
      <c r="I4981" s="90"/>
      <c r="J4981" s="90"/>
      <c r="K4981" s="2"/>
      <c r="L4981" s="48"/>
      <c r="M4981" s="48"/>
      <c r="N4981" s="48"/>
      <c r="O4981" s="48" t="str">
        <f t="shared" si="2"/>
        <v/>
      </c>
      <c r="P4981" s="48" t="str">
        <f t="shared" si="3"/>
        <v/>
      </c>
      <c r="Q4981" s="84"/>
      <c r="R4981" s="84"/>
      <c r="S4981" s="84"/>
      <c r="T4981" s="84"/>
      <c r="U4981" s="84"/>
      <c r="V4981" s="84"/>
      <c r="W4981" s="84"/>
      <c r="X4981" s="84"/>
      <c r="Y4981" s="84"/>
      <c r="Z4981" s="84"/>
      <c r="AA4981" s="84"/>
      <c r="AB4981" s="84"/>
    </row>
    <row r="4982">
      <c r="A4982" s="89"/>
      <c r="B4982" s="89"/>
      <c r="C4982" s="89"/>
      <c r="D4982" s="89"/>
      <c r="E4982" s="89"/>
      <c r="F4982" s="89"/>
      <c r="G4982" s="89"/>
      <c r="H4982" s="2"/>
      <c r="I4982" s="90"/>
      <c r="J4982" s="90"/>
      <c r="K4982" s="2"/>
      <c r="L4982" s="49"/>
      <c r="M4982" s="49"/>
      <c r="N4982" s="49"/>
      <c r="O4982" s="49" t="str">
        <f t="shared" si="2"/>
        <v/>
      </c>
      <c r="P4982" s="49" t="str">
        <f t="shared" si="3"/>
        <v/>
      </c>
      <c r="Q4982" s="84"/>
      <c r="R4982" s="84"/>
      <c r="S4982" s="84"/>
      <c r="T4982" s="84"/>
      <c r="U4982" s="84"/>
      <c r="V4982" s="84"/>
      <c r="W4982" s="84"/>
      <c r="X4982" s="84"/>
      <c r="Y4982" s="84"/>
      <c r="Z4982" s="84"/>
      <c r="AA4982" s="84"/>
      <c r="AB4982" s="84"/>
    </row>
    <row r="4983">
      <c r="A4983" s="89"/>
      <c r="B4983" s="89"/>
      <c r="C4983" s="89"/>
      <c r="D4983" s="89"/>
      <c r="E4983" s="89"/>
      <c r="F4983" s="89"/>
      <c r="G4983" s="89"/>
      <c r="H4983" s="2"/>
      <c r="I4983" s="90"/>
      <c r="J4983" s="90"/>
      <c r="K4983" s="2"/>
      <c r="L4983" s="48"/>
      <c r="M4983" s="48"/>
      <c r="N4983" s="48"/>
      <c r="O4983" s="48" t="str">
        <f t="shared" si="2"/>
        <v/>
      </c>
      <c r="P4983" s="48" t="str">
        <f t="shared" si="3"/>
        <v/>
      </c>
      <c r="Q4983" s="84"/>
      <c r="R4983" s="84"/>
      <c r="S4983" s="84"/>
      <c r="T4983" s="84"/>
      <c r="U4983" s="84"/>
      <c r="V4983" s="84"/>
      <c r="W4983" s="84"/>
      <c r="X4983" s="84"/>
      <c r="Y4983" s="84"/>
      <c r="Z4983" s="84"/>
      <c r="AA4983" s="84"/>
      <c r="AB4983" s="84"/>
    </row>
    <row r="4984">
      <c r="A4984" s="89"/>
      <c r="B4984" s="89"/>
      <c r="C4984" s="89"/>
      <c r="D4984" s="89"/>
      <c r="E4984" s="89"/>
      <c r="F4984" s="89"/>
      <c r="G4984" s="89"/>
      <c r="H4984" s="2"/>
      <c r="I4984" s="90"/>
      <c r="J4984" s="90"/>
      <c r="K4984" s="2"/>
      <c r="L4984" s="49"/>
      <c r="M4984" s="49"/>
      <c r="N4984" s="49"/>
      <c r="O4984" s="49" t="str">
        <f t="shared" si="2"/>
        <v/>
      </c>
      <c r="P4984" s="49" t="str">
        <f t="shared" si="3"/>
        <v/>
      </c>
      <c r="Q4984" s="84"/>
      <c r="R4984" s="84"/>
      <c r="S4984" s="84"/>
      <c r="T4984" s="84"/>
      <c r="U4984" s="84"/>
      <c r="V4984" s="84"/>
      <c r="W4984" s="84"/>
      <c r="X4984" s="84"/>
      <c r="Y4984" s="84"/>
      <c r="Z4984" s="84"/>
      <c r="AA4984" s="84"/>
      <c r="AB4984" s="84"/>
    </row>
    <row r="4985">
      <c r="A4985" s="89"/>
      <c r="B4985" s="89"/>
      <c r="C4985" s="89"/>
      <c r="D4985" s="89"/>
      <c r="E4985" s="89"/>
      <c r="F4985" s="89"/>
      <c r="G4985" s="89"/>
      <c r="H4985" s="2"/>
      <c r="I4985" s="90"/>
      <c r="J4985" s="90"/>
      <c r="K4985" s="2"/>
      <c r="L4985" s="48"/>
      <c r="M4985" s="48"/>
      <c r="N4985" s="48"/>
      <c r="O4985" s="48" t="str">
        <f t="shared" si="2"/>
        <v/>
      </c>
      <c r="P4985" s="48" t="str">
        <f t="shared" si="3"/>
        <v/>
      </c>
      <c r="Q4985" s="84"/>
      <c r="R4985" s="84"/>
      <c r="S4985" s="84"/>
      <c r="T4985" s="84"/>
      <c r="U4985" s="84"/>
      <c r="V4985" s="84"/>
      <c r="W4985" s="84"/>
      <c r="X4985" s="84"/>
      <c r="Y4985" s="84"/>
      <c r="Z4985" s="84"/>
      <c r="AA4985" s="84"/>
      <c r="AB4985" s="84"/>
    </row>
    <row r="4986">
      <c r="A4986" s="89"/>
      <c r="B4986" s="89"/>
      <c r="C4986" s="89"/>
      <c r="D4986" s="89"/>
      <c r="E4986" s="89"/>
      <c r="F4986" s="89"/>
      <c r="G4986" s="89"/>
      <c r="H4986" s="2"/>
      <c r="I4986" s="90"/>
      <c r="J4986" s="90"/>
      <c r="K4986" s="2"/>
      <c r="L4986" s="49"/>
      <c r="M4986" s="49"/>
      <c r="N4986" s="49"/>
      <c r="O4986" s="49" t="str">
        <f t="shared" si="2"/>
        <v/>
      </c>
      <c r="P4986" s="49" t="str">
        <f t="shared" si="3"/>
        <v/>
      </c>
      <c r="Q4986" s="84"/>
      <c r="R4986" s="84"/>
      <c r="S4986" s="84"/>
      <c r="T4986" s="84"/>
      <c r="U4986" s="84"/>
      <c r="V4986" s="84"/>
      <c r="W4986" s="84"/>
      <c r="X4986" s="84"/>
      <c r="Y4986" s="84"/>
      <c r="Z4986" s="84"/>
      <c r="AA4986" s="84"/>
      <c r="AB4986" s="84"/>
    </row>
    <row r="4987">
      <c r="A4987" s="89"/>
      <c r="B4987" s="89"/>
      <c r="C4987" s="89"/>
      <c r="D4987" s="89"/>
      <c r="E4987" s="89"/>
      <c r="F4987" s="89"/>
      <c r="G4987" s="89"/>
      <c r="H4987" s="2"/>
      <c r="I4987" s="90"/>
      <c r="J4987" s="90"/>
      <c r="K4987" s="2"/>
      <c r="L4987" s="48"/>
      <c r="M4987" s="48"/>
      <c r="N4987" s="48"/>
      <c r="O4987" s="48" t="str">
        <f t="shared" si="2"/>
        <v/>
      </c>
      <c r="P4987" s="48" t="str">
        <f t="shared" si="3"/>
        <v/>
      </c>
      <c r="Q4987" s="84"/>
      <c r="R4987" s="84"/>
      <c r="S4987" s="84"/>
      <c r="T4987" s="84"/>
      <c r="U4987" s="84"/>
      <c r="V4987" s="84"/>
      <c r="W4987" s="84"/>
      <c r="X4987" s="84"/>
      <c r="Y4987" s="84"/>
      <c r="Z4987" s="84"/>
      <c r="AA4987" s="84"/>
      <c r="AB4987" s="84"/>
    </row>
    <row r="4988">
      <c r="A4988" s="89"/>
      <c r="B4988" s="89"/>
      <c r="C4988" s="89"/>
      <c r="D4988" s="89"/>
      <c r="E4988" s="89"/>
      <c r="F4988" s="89"/>
      <c r="G4988" s="89"/>
      <c r="H4988" s="2"/>
      <c r="I4988" s="90"/>
      <c r="J4988" s="90"/>
      <c r="K4988" s="2"/>
      <c r="L4988" s="49"/>
      <c r="M4988" s="49"/>
      <c r="N4988" s="49"/>
      <c r="O4988" s="49" t="str">
        <f t="shared" si="2"/>
        <v/>
      </c>
      <c r="P4988" s="49" t="str">
        <f t="shared" si="3"/>
        <v/>
      </c>
      <c r="Q4988" s="84"/>
      <c r="R4988" s="84"/>
      <c r="S4988" s="84"/>
      <c r="T4988" s="84"/>
      <c r="U4988" s="84"/>
      <c r="V4988" s="84"/>
      <c r="W4988" s="84"/>
      <c r="X4988" s="84"/>
      <c r="Y4988" s="84"/>
      <c r="Z4988" s="84"/>
      <c r="AA4988" s="84"/>
      <c r="AB4988" s="84"/>
    </row>
    <row r="4989">
      <c r="A4989" s="89"/>
      <c r="B4989" s="89"/>
      <c r="C4989" s="89"/>
      <c r="D4989" s="89"/>
      <c r="E4989" s="89"/>
      <c r="F4989" s="89"/>
      <c r="G4989" s="89"/>
      <c r="H4989" s="2"/>
      <c r="I4989" s="90"/>
      <c r="J4989" s="90"/>
      <c r="K4989" s="2"/>
      <c r="L4989" s="48"/>
      <c r="M4989" s="48"/>
      <c r="N4989" s="48"/>
      <c r="O4989" s="48" t="str">
        <f t="shared" si="2"/>
        <v/>
      </c>
      <c r="P4989" s="48" t="str">
        <f t="shared" si="3"/>
        <v/>
      </c>
      <c r="Q4989" s="84"/>
      <c r="R4989" s="84"/>
      <c r="S4989" s="84"/>
      <c r="T4989" s="84"/>
      <c r="U4989" s="84"/>
      <c r="V4989" s="84"/>
      <c r="W4989" s="84"/>
      <c r="X4989" s="84"/>
      <c r="Y4989" s="84"/>
      <c r="Z4989" s="84"/>
      <c r="AA4989" s="84"/>
      <c r="AB4989" s="84"/>
    </row>
    <row r="4990">
      <c r="A4990" s="89"/>
      <c r="B4990" s="89"/>
      <c r="C4990" s="89"/>
      <c r="D4990" s="89"/>
      <c r="E4990" s="89"/>
      <c r="F4990" s="89"/>
      <c r="G4990" s="89"/>
      <c r="H4990" s="2"/>
      <c r="I4990" s="90"/>
      <c r="J4990" s="90"/>
      <c r="K4990" s="2"/>
      <c r="L4990" s="49"/>
      <c r="M4990" s="49"/>
      <c r="N4990" s="49"/>
      <c r="O4990" s="49" t="str">
        <f t="shared" si="2"/>
        <v/>
      </c>
      <c r="P4990" s="49" t="str">
        <f t="shared" si="3"/>
        <v/>
      </c>
      <c r="Q4990" s="84"/>
      <c r="R4990" s="84"/>
      <c r="S4990" s="84"/>
      <c r="T4990" s="84"/>
      <c r="U4990" s="84"/>
      <c r="V4990" s="84"/>
      <c r="W4990" s="84"/>
      <c r="X4990" s="84"/>
      <c r="Y4990" s="84"/>
      <c r="Z4990" s="84"/>
      <c r="AA4990" s="84"/>
      <c r="AB4990" s="84"/>
    </row>
    <row r="4991">
      <c r="A4991" s="89"/>
      <c r="B4991" s="89"/>
      <c r="C4991" s="89"/>
      <c r="D4991" s="89"/>
      <c r="E4991" s="89"/>
      <c r="F4991" s="89"/>
      <c r="G4991" s="89"/>
      <c r="H4991" s="2"/>
      <c r="I4991" s="90"/>
      <c r="J4991" s="90"/>
      <c r="K4991" s="2"/>
      <c r="L4991" s="48"/>
      <c r="M4991" s="48"/>
      <c r="N4991" s="48"/>
      <c r="O4991" s="48" t="str">
        <f t="shared" si="2"/>
        <v/>
      </c>
      <c r="P4991" s="48" t="str">
        <f t="shared" si="3"/>
        <v/>
      </c>
      <c r="Q4991" s="84"/>
      <c r="R4991" s="84"/>
      <c r="S4991" s="84"/>
      <c r="T4991" s="84"/>
      <c r="U4991" s="84"/>
      <c r="V4991" s="84"/>
      <c r="W4991" s="84"/>
      <c r="X4991" s="84"/>
      <c r="Y4991" s="84"/>
      <c r="Z4991" s="84"/>
      <c r="AA4991" s="84"/>
      <c r="AB4991" s="84"/>
    </row>
    <row r="4992">
      <c r="A4992" s="89"/>
      <c r="B4992" s="89"/>
      <c r="C4992" s="89"/>
      <c r="D4992" s="89"/>
      <c r="E4992" s="89"/>
      <c r="F4992" s="89"/>
      <c r="G4992" s="89"/>
      <c r="H4992" s="2"/>
      <c r="I4992" s="90"/>
      <c r="J4992" s="90"/>
      <c r="K4992" s="2"/>
      <c r="L4992" s="49"/>
      <c r="M4992" s="49"/>
      <c r="N4992" s="49"/>
      <c r="O4992" s="49" t="str">
        <f t="shared" si="2"/>
        <v/>
      </c>
      <c r="P4992" s="49" t="str">
        <f t="shared" si="3"/>
        <v/>
      </c>
      <c r="Q4992" s="84"/>
      <c r="R4992" s="84"/>
      <c r="S4992" s="84"/>
      <c r="T4992" s="84"/>
      <c r="U4992" s="84"/>
      <c r="V4992" s="84"/>
      <c r="W4992" s="84"/>
      <c r="X4992" s="84"/>
      <c r="Y4992" s="84"/>
      <c r="Z4992" s="84"/>
      <c r="AA4992" s="84"/>
      <c r="AB4992" s="84"/>
    </row>
    <row r="4993">
      <c r="A4993" s="89"/>
      <c r="B4993" s="89"/>
      <c r="C4993" s="89"/>
      <c r="D4993" s="89"/>
      <c r="E4993" s="89"/>
      <c r="F4993" s="89"/>
      <c r="G4993" s="89"/>
      <c r="H4993" s="2"/>
      <c r="I4993" s="90"/>
      <c r="J4993" s="90"/>
      <c r="K4993" s="2"/>
      <c r="L4993" s="48"/>
      <c r="M4993" s="48"/>
      <c r="N4993" s="48"/>
      <c r="O4993" s="48" t="str">
        <f t="shared" si="2"/>
        <v/>
      </c>
      <c r="P4993" s="48" t="str">
        <f t="shared" si="3"/>
        <v/>
      </c>
      <c r="Q4993" s="84"/>
      <c r="R4993" s="84"/>
      <c r="S4993" s="84"/>
      <c r="T4993" s="84"/>
      <c r="U4993" s="84"/>
      <c r="V4993" s="84"/>
      <c r="W4993" s="84"/>
      <c r="X4993" s="84"/>
      <c r="Y4993" s="84"/>
      <c r="Z4993" s="84"/>
      <c r="AA4993" s="84"/>
      <c r="AB4993" s="84"/>
    </row>
    <row r="4994">
      <c r="A4994" s="89"/>
      <c r="B4994" s="89"/>
      <c r="C4994" s="89"/>
      <c r="D4994" s="89"/>
      <c r="E4994" s="89"/>
      <c r="F4994" s="89"/>
      <c r="G4994" s="89"/>
      <c r="H4994" s="2"/>
      <c r="I4994" s="90"/>
      <c r="J4994" s="90"/>
      <c r="K4994" s="2"/>
      <c r="L4994" s="49"/>
      <c r="M4994" s="49"/>
      <c r="N4994" s="49"/>
      <c r="O4994" s="49" t="str">
        <f t="shared" si="2"/>
        <v/>
      </c>
      <c r="P4994" s="49" t="str">
        <f t="shared" si="3"/>
        <v/>
      </c>
      <c r="Q4994" s="84"/>
      <c r="R4994" s="84"/>
      <c r="S4994" s="84"/>
      <c r="T4994" s="84"/>
      <c r="U4994" s="84"/>
      <c r="V4994" s="84"/>
      <c r="W4994" s="84"/>
      <c r="X4994" s="84"/>
      <c r="Y4994" s="84"/>
      <c r="Z4994" s="84"/>
      <c r="AA4994" s="84"/>
      <c r="AB4994" s="84"/>
    </row>
    <row r="4995">
      <c r="A4995" s="89"/>
      <c r="B4995" s="89"/>
      <c r="C4995" s="89"/>
      <c r="D4995" s="89"/>
      <c r="E4995" s="89"/>
      <c r="F4995" s="89"/>
      <c r="G4995" s="89"/>
      <c r="H4995" s="2"/>
      <c r="I4995" s="90"/>
      <c r="J4995" s="90"/>
      <c r="K4995" s="2"/>
      <c r="L4995" s="48"/>
      <c r="M4995" s="48"/>
      <c r="N4995" s="48"/>
      <c r="O4995" s="48" t="str">
        <f t="shared" si="2"/>
        <v/>
      </c>
      <c r="P4995" s="48" t="str">
        <f t="shared" si="3"/>
        <v/>
      </c>
      <c r="Q4995" s="84"/>
      <c r="R4995" s="84"/>
      <c r="S4995" s="84"/>
      <c r="T4995" s="84"/>
      <c r="U4995" s="84"/>
      <c r="V4995" s="84"/>
      <c r="W4995" s="84"/>
      <c r="X4995" s="84"/>
      <c r="Y4995" s="84"/>
      <c r="Z4995" s="84"/>
      <c r="AA4995" s="84"/>
      <c r="AB4995" s="84"/>
    </row>
    <row r="4996">
      <c r="A4996" s="89"/>
      <c r="B4996" s="89"/>
      <c r="C4996" s="89"/>
      <c r="D4996" s="89"/>
      <c r="E4996" s="89"/>
      <c r="F4996" s="89"/>
      <c r="G4996" s="89"/>
      <c r="H4996" s="2"/>
      <c r="I4996" s="90"/>
      <c r="J4996" s="90"/>
      <c r="K4996" s="2"/>
      <c r="L4996" s="49"/>
      <c r="M4996" s="49"/>
      <c r="N4996" s="49"/>
      <c r="O4996" s="49" t="str">
        <f t="shared" si="2"/>
        <v/>
      </c>
      <c r="P4996" s="49" t="str">
        <f t="shared" si="3"/>
        <v/>
      </c>
      <c r="Q4996" s="84"/>
      <c r="R4996" s="84"/>
      <c r="S4996" s="84"/>
      <c r="T4996" s="84"/>
      <c r="U4996" s="84"/>
      <c r="V4996" s="84"/>
      <c r="W4996" s="84"/>
      <c r="X4996" s="84"/>
      <c r="Y4996" s="84"/>
      <c r="Z4996" s="84"/>
      <c r="AA4996" s="84"/>
      <c r="AB4996" s="84"/>
    </row>
    <row r="4997">
      <c r="A4997" s="89"/>
      <c r="B4997" s="89"/>
      <c r="C4997" s="89"/>
      <c r="D4997" s="89"/>
      <c r="E4997" s="89"/>
      <c r="F4997" s="89"/>
      <c r="G4997" s="89"/>
      <c r="H4997" s="2"/>
      <c r="I4997" s="90"/>
      <c r="J4997" s="90"/>
      <c r="K4997" s="2"/>
      <c r="L4997" s="48"/>
      <c r="M4997" s="48"/>
      <c r="N4997" s="48"/>
      <c r="O4997" s="48" t="str">
        <f t="shared" si="2"/>
        <v/>
      </c>
      <c r="P4997" s="48" t="str">
        <f t="shared" si="3"/>
        <v/>
      </c>
      <c r="Q4997" s="84"/>
      <c r="R4997" s="84"/>
      <c r="S4997" s="84"/>
      <c r="T4997" s="84"/>
      <c r="U4997" s="84"/>
      <c r="V4997" s="84"/>
      <c r="W4997" s="84"/>
      <c r="X4997" s="84"/>
      <c r="Y4997" s="84"/>
      <c r="Z4997" s="84"/>
      <c r="AA4997" s="84"/>
      <c r="AB4997" s="84"/>
    </row>
    <row r="4998">
      <c r="A4998" s="89"/>
      <c r="B4998" s="89"/>
      <c r="C4998" s="89"/>
      <c r="D4998" s="89"/>
      <c r="E4998" s="89"/>
      <c r="F4998" s="89"/>
      <c r="G4998" s="89"/>
      <c r="H4998" s="2"/>
      <c r="I4998" s="90"/>
      <c r="J4998" s="90"/>
      <c r="K4998" s="2"/>
      <c r="L4998" s="49"/>
      <c r="M4998" s="49"/>
      <c r="N4998" s="49"/>
      <c r="O4998" s="49" t="str">
        <f t="shared" si="2"/>
        <v/>
      </c>
      <c r="P4998" s="49" t="str">
        <f t="shared" si="3"/>
        <v/>
      </c>
      <c r="Q4998" s="84"/>
      <c r="R4998" s="84"/>
      <c r="S4998" s="84"/>
      <c r="T4998" s="84"/>
      <c r="U4998" s="84"/>
      <c r="V4998" s="84"/>
      <c r="W4998" s="84"/>
      <c r="X4998" s="84"/>
      <c r="Y4998" s="84"/>
      <c r="Z4998" s="84"/>
      <c r="AA4998" s="84"/>
      <c r="AB4998" s="84"/>
    </row>
    <row r="4999">
      <c r="A4999" s="89"/>
      <c r="B4999" s="89"/>
      <c r="C4999" s="89"/>
      <c r="D4999" s="89"/>
      <c r="E4999" s="89"/>
      <c r="F4999" s="89"/>
      <c r="G4999" s="89"/>
      <c r="H4999" s="2"/>
      <c r="I4999" s="90"/>
      <c r="J4999" s="90"/>
      <c r="K4999" s="2"/>
      <c r="L4999" s="48"/>
      <c r="M4999" s="48"/>
      <c r="N4999" s="48"/>
      <c r="O4999" s="48" t="str">
        <f t="shared" si="2"/>
        <v/>
      </c>
      <c r="P4999" s="48" t="str">
        <f t="shared" si="3"/>
        <v/>
      </c>
      <c r="Q4999" s="84"/>
      <c r="R4999" s="84"/>
      <c r="S4999" s="84"/>
      <c r="T4999" s="84"/>
      <c r="U4999" s="84"/>
      <c r="V4999" s="84"/>
      <c r="W4999" s="84"/>
      <c r="X4999" s="84"/>
      <c r="Y4999" s="84"/>
      <c r="Z4999" s="84"/>
      <c r="AA4999" s="84"/>
      <c r="AB4999" s="84"/>
    </row>
    <row r="5000">
      <c r="A5000" s="89"/>
      <c r="B5000" s="89"/>
      <c r="C5000" s="89"/>
      <c r="D5000" s="89"/>
      <c r="E5000" s="89"/>
      <c r="F5000" s="89"/>
      <c r="G5000" s="89"/>
      <c r="H5000" s="2"/>
      <c r="I5000" s="90"/>
      <c r="J5000" s="90"/>
      <c r="K5000" s="2"/>
      <c r="L5000" s="49"/>
      <c r="M5000" s="49"/>
      <c r="N5000" s="49"/>
      <c r="O5000" s="49" t="str">
        <f t="shared" si="2"/>
        <v/>
      </c>
      <c r="P5000" s="49" t="str">
        <f t="shared" si="3"/>
        <v/>
      </c>
      <c r="Q5000" s="84"/>
      <c r="R5000" s="84"/>
      <c r="S5000" s="84"/>
      <c r="T5000" s="84"/>
      <c r="U5000" s="84"/>
      <c r="V5000" s="84"/>
      <c r="W5000" s="84"/>
      <c r="X5000" s="84"/>
      <c r="Y5000" s="84"/>
      <c r="Z5000" s="84"/>
      <c r="AA5000" s="84"/>
      <c r="AB5000" s="84"/>
    </row>
    <row r="5001">
      <c r="A5001" s="89"/>
      <c r="B5001" s="89"/>
      <c r="C5001" s="89"/>
      <c r="D5001" s="89"/>
      <c r="E5001" s="89"/>
      <c r="F5001" s="89"/>
      <c r="G5001" s="89"/>
      <c r="H5001" s="2"/>
      <c r="I5001" s="90"/>
      <c r="J5001" s="90"/>
      <c r="K5001" s="2"/>
      <c r="L5001" s="48"/>
      <c r="M5001" s="48"/>
      <c r="N5001" s="48"/>
      <c r="O5001" s="48" t="str">
        <f t="shared" si="2"/>
        <v/>
      </c>
      <c r="P5001" s="48" t="str">
        <f t="shared" si="3"/>
        <v/>
      </c>
      <c r="Q5001" s="84"/>
      <c r="R5001" s="84"/>
      <c r="S5001" s="84"/>
      <c r="T5001" s="84"/>
      <c r="U5001" s="84"/>
      <c r="V5001" s="84"/>
      <c r="W5001" s="84"/>
      <c r="X5001" s="84"/>
      <c r="Y5001" s="84"/>
      <c r="Z5001" s="84"/>
      <c r="AA5001" s="84"/>
      <c r="AB5001" s="84"/>
    </row>
    <row r="5002">
      <c r="A5002" s="89"/>
      <c r="B5002" s="89"/>
      <c r="C5002" s="89"/>
      <c r="D5002" s="89"/>
      <c r="E5002" s="89"/>
      <c r="F5002" s="89"/>
      <c r="G5002" s="89"/>
      <c r="H5002" s="2"/>
      <c r="I5002" s="90"/>
      <c r="J5002" s="90"/>
      <c r="K5002" s="2"/>
      <c r="L5002" s="49"/>
      <c r="M5002" s="49"/>
      <c r="N5002" s="49"/>
      <c r="O5002" s="49" t="str">
        <f t="shared" si="2"/>
        <v/>
      </c>
      <c r="P5002" s="49" t="str">
        <f t="shared" si="3"/>
        <v/>
      </c>
      <c r="Q5002" s="84"/>
      <c r="R5002" s="84"/>
      <c r="S5002" s="84"/>
      <c r="T5002" s="84"/>
      <c r="U5002" s="84"/>
      <c r="V5002" s="84"/>
      <c r="W5002" s="84"/>
      <c r="X5002" s="84"/>
      <c r="Y5002" s="84"/>
      <c r="Z5002" s="84"/>
      <c r="AA5002" s="84"/>
      <c r="AB5002" s="84"/>
    </row>
    <row r="5003">
      <c r="A5003" s="89"/>
      <c r="B5003" s="89"/>
      <c r="C5003" s="89"/>
      <c r="D5003" s="89"/>
      <c r="E5003" s="89"/>
      <c r="F5003" s="89"/>
      <c r="G5003" s="89"/>
      <c r="H5003" s="2"/>
      <c r="I5003" s="90"/>
      <c r="J5003" s="90"/>
      <c r="K5003" s="2"/>
      <c r="L5003" s="48"/>
      <c r="M5003" s="48"/>
      <c r="N5003" s="48"/>
      <c r="O5003" s="48" t="str">
        <f t="shared" si="2"/>
        <v/>
      </c>
      <c r="P5003" s="48" t="str">
        <f t="shared" si="3"/>
        <v/>
      </c>
      <c r="Q5003" s="84"/>
      <c r="R5003" s="84"/>
      <c r="S5003" s="84"/>
      <c r="T5003" s="84"/>
      <c r="U5003" s="84"/>
      <c r="V5003" s="84"/>
      <c r="W5003" s="84"/>
      <c r="X5003" s="84"/>
      <c r="Y5003" s="84"/>
      <c r="Z5003" s="84"/>
      <c r="AA5003" s="84"/>
      <c r="AB5003" s="84"/>
    </row>
    <row r="5004">
      <c r="A5004" s="89"/>
      <c r="B5004" s="89"/>
      <c r="C5004" s="89"/>
      <c r="D5004" s="89"/>
      <c r="E5004" s="89"/>
      <c r="F5004" s="89"/>
      <c r="G5004" s="89"/>
      <c r="H5004" s="2"/>
      <c r="I5004" s="90"/>
      <c r="J5004" s="90"/>
      <c r="K5004" s="2"/>
      <c r="L5004" s="49"/>
      <c r="M5004" s="49"/>
      <c r="N5004" s="49"/>
      <c r="O5004" s="49" t="str">
        <f t="shared" si="2"/>
        <v/>
      </c>
      <c r="P5004" s="49" t="str">
        <f t="shared" si="3"/>
        <v/>
      </c>
      <c r="Q5004" s="84"/>
      <c r="R5004" s="84"/>
      <c r="S5004" s="84"/>
      <c r="T5004" s="84"/>
      <c r="U5004" s="84"/>
      <c r="V5004" s="84"/>
      <c r="W5004" s="84"/>
      <c r="X5004" s="84"/>
      <c r="Y5004" s="84"/>
      <c r="Z5004" s="84"/>
      <c r="AA5004" s="84"/>
      <c r="AB5004" s="84"/>
    </row>
    <row r="5005">
      <c r="A5005" s="89"/>
      <c r="B5005" s="89"/>
      <c r="C5005" s="89"/>
      <c r="D5005" s="89"/>
      <c r="E5005" s="89"/>
      <c r="F5005" s="89"/>
      <c r="G5005" s="89"/>
      <c r="H5005" s="2"/>
      <c r="I5005" s="90"/>
      <c r="J5005" s="90"/>
      <c r="K5005" s="2"/>
      <c r="L5005" s="48"/>
      <c r="M5005" s="48"/>
      <c r="N5005" s="48"/>
      <c r="O5005" s="48" t="str">
        <f t="shared" si="2"/>
        <v/>
      </c>
      <c r="P5005" s="48" t="str">
        <f t="shared" si="3"/>
        <v/>
      </c>
      <c r="Q5005" s="84"/>
      <c r="R5005" s="84"/>
      <c r="S5005" s="84"/>
      <c r="T5005" s="84"/>
      <c r="U5005" s="84"/>
      <c r="V5005" s="84"/>
      <c r="W5005" s="84"/>
      <c r="X5005" s="84"/>
      <c r="Y5005" s="84"/>
      <c r="Z5005" s="84"/>
      <c r="AA5005" s="84"/>
      <c r="AB5005" s="84"/>
    </row>
    <row r="5006">
      <c r="A5006" s="89"/>
      <c r="B5006" s="89"/>
      <c r="C5006" s="89"/>
      <c r="D5006" s="89"/>
      <c r="E5006" s="89"/>
      <c r="F5006" s="89"/>
      <c r="G5006" s="89"/>
      <c r="H5006" s="2"/>
      <c r="I5006" s="90"/>
      <c r="J5006" s="90"/>
      <c r="K5006" s="2"/>
      <c r="L5006" s="49"/>
      <c r="M5006" s="49"/>
      <c r="N5006" s="49"/>
      <c r="O5006" s="49" t="str">
        <f t="shared" si="2"/>
        <v/>
      </c>
      <c r="P5006" s="49" t="str">
        <f t="shared" si="3"/>
        <v/>
      </c>
      <c r="Q5006" s="84"/>
      <c r="R5006" s="84"/>
      <c r="S5006" s="84"/>
      <c r="T5006" s="84"/>
      <c r="U5006" s="84"/>
      <c r="V5006" s="84"/>
      <c r="W5006" s="84"/>
      <c r="X5006" s="84"/>
      <c r="Y5006" s="84"/>
      <c r="Z5006" s="84"/>
      <c r="AA5006" s="84"/>
      <c r="AB5006" s="84"/>
    </row>
    <row r="5007">
      <c r="A5007" s="89"/>
      <c r="B5007" s="89"/>
      <c r="C5007" s="89"/>
      <c r="D5007" s="89"/>
      <c r="E5007" s="89"/>
      <c r="F5007" s="89"/>
      <c r="G5007" s="89"/>
      <c r="H5007" s="2"/>
      <c r="I5007" s="90"/>
      <c r="J5007" s="90"/>
      <c r="K5007" s="2"/>
      <c r="L5007" s="48"/>
      <c r="M5007" s="48"/>
      <c r="N5007" s="48"/>
      <c r="O5007" s="48" t="str">
        <f t="shared" si="2"/>
        <v/>
      </c>
      <c r="P5007" s="48" t="str">
        <f t="shared" si="3"/>
        <v/>
      </c>
      <c r="Q5007" s="84"/>
      <c r="R5007" s="84"/>
      <c r="S5007" s="84"/>
      <c r="T5007" s="84"/>
      <c r="U5007" s="84"/>
      <c r="V5007" s="84"/>
      <c r="W5007" s="84"/>
      <c r="X5007" s="84"/>
      <c r="Y5007" s="84"/>
      <c r="Z5007" s="84"/>
      <c r="AA5007" s="84"/>
      <c r="AB5007" s="84"/>
    </row>
    <row r="5008">
      <c r="A5008" s="89"/>
      <c r="B5008" s="89"/>
      <c r="C5008" s="89"/>
      <c r="D5008" s="89"/>
      <c r="E5008" s="89"/>
      <c r="F5008" s="89"/>
      <c r="G5008" s="89"/>
      <c r="H5008" s="2"/>
      <c r="I5008" s="90"/>
      <c r="J5008" s="90"/>
      <c r="K5008" s="2"/>
      <c r="L5008" s="49"/>
      <c r="M5008" s="49"/>
      <c r="N5008" s="49"/>
      <c r="O5008" s="49" t="str">
        <f t="shared" si="2"/>
        <v/>
      </c>
      <c r="P5008" s="49" t="str">
        <f t="shared" si="3"/>
        <v/>
      </c>
      <c r="Q5008" s="84"/>
      <c r="R5008" s="84"/>
      <c r="S5008" s="84"/>
      <c r="T5008" s="84"/>
      <c r="U5008" s="84"/>
      <c r="V5008" s="84"/>
      <c r="W5008" s="84"/>
      <c r="X5008" s="84"/>
      <c r="Y5008" s="84"/>
      <c r="Z5008" s="84"/>
      <c r="AA5008" s="84"/>
      <c r="AB5008" s="84"/>
    </row>
    <row r="5009">
      <c r="A5009" s="89"/>
      <c r="B5009" s="89"/>
      <c r="C5009" s="89"/>
      <c r="D5009" s="89"/>
      <c r="E5009" s="89"/>
      <c r="F5009" s="89"/>
      <c r="G5009" s="89"/>
      <c r="H5009" s="2"/>
      <c r="I5009" s="90"/>
      <c r="J5009" s="90"/>
      <c r="K5009" s="2"/>
      <c r="L5009" s="48"/>
      <c r="M5009" s="48"/>
      <c r="N5009" s="48"/>
      <c r="O5009" s="48" t="str">
        <f t="shared" si="2"/>
        <v/>
      </c>
      <c r="P5009" s="48" t="str">
        <f t="shared" si="3"/>
        <v/>
      </c>
      <c r="Q5009" s="84"/>
      <c r="R5009" s="84"/>
      <c r="S5009" s="84"/>
      <c r="T5009" s="84"/>
      <c r="U5009" s="84"/>
      <c r="V5009" s="84"/>
      <c r="W5009" s="84"/>
      <c r="X5009" s="84"/>
      <c r="Y5009" s="84"/>
      <c r="Z5009" s="84"/>
      <c r="AA5009" s="84"/>
      <c r="AB5009" s="84"/>
    </row>
    <row r="5010">
      <c r="A5010" s="89"/>
      <c r="B5010" s="89"/>
      <c r="C5010" s="89"/>
      <c r="D5010" s="89"/>
      <c r="E5010" s="89"/>
      <c r="F5010" s="89"/>
      <c r="G5010" s="89"/>
      <c r="H5010" s="2"/>
      <c r="I5010" s="90"/>
      <c r="J5010" s="90"/>
      <c r="K5010" s="2"/>
      <c r="L5010" s="49"/>
      <c r="M5010" s="49"/>
      <c r="N5010" s="49"/>
      <c r="O5010" s="49" t="str">
        <f t="shared" si="2"/>
        <v/>
      </c>
      <c r="P5010" s="49" t="str">
        <f t="shared" si="3"/>
        <v/>
      </c>
      <c r="Q5010" s="84"/>
      <c r="R5010" s="84"/>
      <c r="S5010" s="84"/>
      <c r="T5010" s="84"/>
      <c r="U5010" s="84"/>
      <c r="V5010" s="84"/>
      <c r="W5010" s="84"/>
      <c r="X5010" s="84"/>
      <c r="Y5010" s="84"/>
      <c r="Z5010" s="84"/>
      <c r="AA5010" s="84"/>
      <c r="AB5010" s="84"/>
    </row>
    <row r="5011">
      <c r="A5011" s="89"/>
      <c r="B5011" s="89"/>
      <c r="C5011" s="89"/>
      <c r="D5011" s="89"/>
      <c r="E5011" s="89"/>
      <c r="F5011" s="89"/>
      <c r="G5011" s="89"/>
      <c r="H5011" s="2"/>
      <c r="I5011" s="90"/>
      <c r="J5011" s="90"/>
      <c r="K5011" s="2"/>
      <c r="L5011" s="48"/>
      <c r="M5011" s="48"/>
      <c r="N5011" s="48"/>
      <c r="O5011" s="48" t="str">
        <f t="shared" si="2"/>
        <v/>
      </c>
      <c r="P5011" s="48" t="str">
        <f t="shared" si="3"/>
        <v/>
      </c>
      <c r="Q5011" s="84"/>
      <c r="R5011" s="84"/>
      <c r="S5011" s="84"/>
      <c r="T5011" s="84"/>
      <c r="U5011" s="84"/>
      <c r="V5011" s="84"/>
      <c r="W5011" s="84"/>
      <c r="X5011" s="84"/>
      <c r="Y5011" s="84"/>
      <c r="Z5011" s="84"/>
      <c r="AA5011" s="84"/>
      <c r="AB5011" s="84"/>
    </row>
    <row r="5012">
      <c r="A5012" s="89"/>
      <c r="B5012" s="89"/>
      <c r="C5012" s="89"/>
      <c r="D5012" s="89"/>
      <c r="E5012" s="89"/>
      <c r="F5012" s="89"/>
      <c r="G5012" s="89"/>
      <c r="H5012" s="2"/>
      <c r="I5012" s="90"/>
      <c r="J5012" s="90"/>
      <c r="K5012" s="2"/>
      <c r="L5012" s="49"/>
      <c r="M5012" s="49"/>
      <c r="N5012" s="49"/>
      <c r="O5012" s="49" t="str">
        <f t="shared" si="2"/>
        <v/>
      </c>
      <c r="P5012" s="49" t="str">
        <f t="shared" si="3"/>
        <v/>
      </c>
      <c r="Q5012" s="84"/>
      <c r="R5012" s="84"/>
      <c r="S5012" s="84"/>
      <c r="T5012" s="84"/>
      <c r="U5012" s="84"/>
      <c r="V5012" s="84"/>
      <c r="W5012" s="84"/>
      <c r="X5012" s="84"/>
      <c r="Y5012" s="84"/>
      <c r="Z5012" s="84"/>
      <c r="AA5012" s="84"/>
      <c r="AB5012" s="84"/>
    </row>
    <row r="5013">
      <c r="A5013" s="89"/>
      <c r="B5013" s="89"/>
      <c r="C5013" s="89"/>
      <c r="D5013" s="89"/>
      <c r="E5013" s="89"/>
      <c r="F5013" s="89"/>
      <c r="G5013" s="89"/>
      <c r="H5013" s="2"/>
      <c r="I5013" s="90"/>
      <c r="J5013" s="90"/>
      <c r="K5013" s="2"/>
      <c r="L5013" s="48"/>
      <c r="M5013" s="48"/>
      <c r="N5013" s="48"/>
      <c r="O5013" s="48" t="str">
        <f t="shared" si="2"/>
        <v/>
      </c>
      <c r="P5013" s="48" t="str">
        <f t="shared" si="3"/>
        <v/>
      </c>
      <c r="Q5013" s="84"/>
      <c r="R5013" s="84"/>
      <c r="S5013" s="84"/>
      <c r="T5013" s="84"/>
      <c r="U5013" s="84"/>
      <c r="V5013" s="84"/>
      <c r="W5013" s="84"/>
      <c r="X5013" s="84"/>
      <c r="Y5013" s="84"/>
      <c r="Z5013" s="84"/>
      <c r="AA5013" s="84"/>
      <c r="AB5013" s="84"/>
    </row>
    <row r="5014">
      <c r="A5014" s="89"/>
      <c r="B5014" s="89"/>
      <c r="C5014" s="89"/>
      <c r="D5014" s="89"/>
      <c r="E5014" s="89"/>
      <c r="F5014" s="89"/>
      <c r="G5014" s="89"/>
      <c r="H5014" s="2"/>
      <c r="I5014" s="90"/>
      <c r="J5014" s="90"/>
      <c r="K5014" s="2"/>
      <c r="L5014" s="49"/>
      <c r="M5014" s="49"/>
      <c r="N5014" s="49"/>
      <c r="O5014" s="49" t="str">
        <f t="shared" si="2"/>
        <v/>
      </c>
      <c r="P5014" s="49" t="str">
        <f t="shared" si="3"/>
        <v/>
      </c>
      <c r="Q5014" s="84"/>
      <c r="R5014" s="84"/>
      <c r="S5014" s="84"/>
      <c r="T5014" s="84"/>
      <c r="U5014" s="84"/>
      <c r="V5014" s="84"/>
      <c r="W5014" s="84"/>
      <c r="X5014" s="84"/>
      <c r="Y5014" s="84"/>
      <c r="Z5014" s="84"/>
      <c r="AA5014" s="84"/>
      <c r="AB5014" s="84"/>
    </row>
    <row r="5015">
      <c r="A5015" s="89"/>
      <c r="B5015" s="89"/>
      <c r="C5015" s="89"/>
      <c r="D5015" s="89"/>
      <c r="E5015" s="89"/>
      <c r="F5015" s="89"/>
      <c r="G5015" s="89"/>
      <c r="H5015" s="2"/>
      <c r="I5015" s="90"/>
      <c r="J5015" s="90"/>
      <c r="K5015" s="2"/>
      <c r="L5015" s="48"/>
      <c r="M5015" s="48"/>
      <c r="N5015" s="48"/>
      <c r="O5015" s="48" t="str">
        <f t="shared" si="2"/>
        <v/>
      </c>
      <c r="P5015" s="48" t="str">
        <f t="shared" si="3"/>
        <v/>
      </c>
      <c r="Q5015" s="84"/>
      <c r="R5015" s="84"/>
      <c r="S5015" s="84"/>
      <c r="T5015" s="84"/>
      <c r="U5015" s="84"/>
      <c r="V5015" s="84"/>
      <c r="W5015" s="84"/>
      <c r="X5015" s="84"/>
      <c r="Y5015" s="84"/>
      <c r="Z5015" s="84"/>
      <c r="AA5015" s="84"/>
      <c r="AB5015" s="84"/>
    </row>
    <row r="5016">
      <c r="A5016" s="89"/>
      <c r="B5016" s="89"/>
      <c r="C5016" s="89"/>
      <c r="D5016" s="89"/>
      <c r="E5016" s="89"/>
      <c r="F5016" s="89"/>
      <c r="G5016" s="89"/>
      <c r="H5016" s="2"/>
      <c r="I5016" s="90"/>
      <c r="J5016" s="90"/>
      <c r="K5016" s="2"/>
      <c r="L5016" s="49"/>
      <c r="M5016" s="49"/>
      <c r="N5016" s="49"/>
      <c r="O5016" s="49" t="str">
        <f t="shared" si="2"/>
        <v/>
      </c>
      <c r="P5016" s="49" t="str">
        <f t="shared" si="3"/>
        <v/>
      </c>
      <c r="Q5016" s="84"/>
      <c r="R5016" s="84"/>
      <c r="S5016" s="84"/>
      <c r="T5016" s="84"/>
      <c r="U5016" s="84"/>
      <c r="V5016" s="84"/>
      <c r="W5016" s="84"/>
      <c r="X5016" s="84"/>
      <c r="Y5016" s="84"/>
      <c r="Z5016" s="84"/>
      <c r="AA5016" s="84"/>
      <c r="AB5016" s="84"/>
    </row>
    <row r="5017">
      <c r="A5017" s="89"/>
      <c r="B5017" s="89"/>
      <c r="C5017" s="89"/>
      <c r="D5017" s="89"/>
      <c r="E5017" s="89"/>
      <c r="F5017" s="89"/>
      <c r="G5017" s="89"/>
      <c r="H5017" s="2"/>
      <c r="I5017" s="90"/>
      <c r="J5017" s="90"/>
      <c r="K5017" s="2"/>
      <c r="L5017" s="48"/>
      <c r="M5017" s="48"/>
      <c r="N5017" s="48"/>
      <c r="O5017" s="48" t="str">
        <f t="shared" si="2"/>
        <v/>
      </c>
      <c r="P5017" s="48" t="str">
        <f t="shared" si="3"/>
        <v/>
      </c>
      <c r="Q5017" s="84"/>
      <c r="R5017" s="84"/>
      <c r="S5017" s="84"/>
      <c r="T5017" s="84"/>
      <c r="U5017" s="84"/>
      <c r="V5017" s="84"/>
      <c r="W5017" s="84"/>
      <c r="X5017" s="84"/>
      <c r="Y5017" s="84"/>
      <c r="Z5017" s="84"/>
      <c r="AA5017" s="84"/>
      <c r="AB5017" s="84"/>
    </row>
    <row r="5018">
      <c r="A5018" s="89"/>
      <c r="B5018" s="89"/>
      <c r="C5018" s="89"/>
      <c r="D5018" s="89"/>
      <c r="E5018" s="89"/>
      <c r="F5018" s="89"/>
      <c r="G5018" s="89"/>
      <c r="H5018" s="2"/>
      <c r="I5018" s="90"/>
      <c r="J5018" s="90"/>
      <c r="K5018" s="2"/>
      <c r="L5018" s="49"/>
      <c r="M5018" s="49"/>
      <c r="N5018" s="49"/>
      <c r="O5018" s="49" t="str">
        <f t="shared" si="2"/>
        <v/>
      </c>
      <c r="P5018" s="49" t="str">
        <f t="shared" si="3"/>
        <v/>
      </c>
      <c r="Q5018" s="84"/>
      <c r="R5018" s="84"/>
      <c r="S5018" s="84"/>
      <c r="T5018" s="84"/>
      <c r="U5018" s="84"/>
      <c r="V5018" s="84"/>
      <c r="W5018" s="84"/>
      <c r="X5018" s="84"/>
      <c r="Y5018" s="84"/>
      <c r="Z5018" s="84"/>
      <c r="AA5018" s="84"/>
      <c r="AB5018" s="84"/>
    </row>
    <row r="5019">
      <c r="A5019" s="89"/>
      <c r="B5019" s="89"/>
      <c r="C5019" s="89"/>
      <c r="D5019" s="89"/>
      <c r="E5019" s="89"/>
      <c r="F5019" s="89"/>
      <c r="G5019" s="89"/>
      <c r="H5019" s="2"/>
      <c r="I5019" s="90"/>
      <c r="J5019" s="90"/>
      <c r="K5019" s="2"/>
      <c r="L5019" s="48"/>
      <c r="M5019" s="48"/>
      <c r="N5019" s="48"/>
      <c r="O5019" s="48" t="str">
        <f t="shared" si="2"/>
        <v/>
      </c>
      <c r="P5019" s="48" t="str">
        <f t="shared" si="3"/>
        <v/>
      </c>
      <c r="Q5019" s="84"/>
      <c r="R5019" s="84"/>
      <c r="S5019" s="84"/>
      <c r="T5019" s="84"/>
      <c r="U5019" s="84"/>
      <c r="V5019" s="84"/>
      <c r="W5019" s="84"/>
      <c r="X5019" s="84"/>
      <c r="Y5019" s="84"/>
      <c r="Z5019" s="84"/>
      <c r="AA5019" s="84"/>
      <c r="AB5019" s="84"/>
    </row>
    <row r="5020">
      <c r="A5020" s="89"/>
      <c r="B5020" s="89"/>
      <c r="C5020" s="89"/>
      <c r="D5020" s="89"/>
      <c r="E5020" s="89"/>
      <c r="F5020" s="89"/>
      <c r="G5020" s="89"/>
      <c r="H5020" s="2"/>
      <c r="I5020" s="90"/>
      <c r="J5020" s="90"/>
      <c r="K5020" s="2"/>
      <c r="L5020" s="49"/>
      <c r="M5020" s="49"/>
      <c r="N5020" s="49"/>
      <c r="O5020" s="49" t="str">
        <f t="shared" si="2"/>
        <v/>
      </c>
      <c r="P5020" s="49" t="str">
        <f t="shared" si="3"/>
        <v/>
      </c>
      <c r="Q5020" s="84"/>
      <c r="R5020" s="84"/>
      <c r="S5020" s="84"/>
      <c r="T5020" s="84"/>
      <c r="U5020" s="84"/>
      <c r="V5020" s="84"/>
      <c r="W5020" s="84"/>
      <c r="X5020" s="84"/>
      <c r="Y5020" s="84"/>
      <c r="Z5020" s="84"/>
      <c r="AA5020" s="84"/>
      <c r="AB5020" s="84"/>
    </row>
    <row r="5021">
      <c r="A5021" s="89"/>
      <c r="B5021" s="89"/>
      <c r="C5021" s="89"/>
      <c r="D5021" s="89"/>
      <c r="E5021" s="89"/>
      <c r="F5021" s="89"/>
      <c r="G5021" s="89"/>
      <c r="H5021" s="2"/>
      <c r="I5021" s="90"/>
      <c r="J5021" s="90"/>
      <c r="K5021" s="2"/>
      <c r="L5021" s="48"/>
      <c r="M5021" s="48"/>
      <c r="N5021" s="48"/>
      <c r="O5021" s="48" t="str">
        <f t="shared" si="2"/>
        <v/>
      </c>
      <c r="P5021" s="48" t="str">
        <f t="shared" si="3"/>
        <v/>
      </c>
      <c r="Q5021" s="84"/>
      <c r="R5021" s="84"/>
      <c r="S5021" s="84"/>
      <c r="T5021" s="84"/>
      <c r="U5021" s="84"/>
      <c r="V5021" s="84"/>
      <c r="W5021" s="84"/>
      <c r="X5021" s="84"/>
      <c r="Y5021" s="84"/>
      <c r="Z5021" s="84"/>
      <c r="AA5021" s="84"/>
      <c r="AB5021" s="84"/>
    </row>
    <row r="5022">
      <c r="A5022" s="89"/>
      <c r="B5022" s="89"/>
      <c r="C5022" s="89"/>
      <c r="D5022" s="89"/>
      <c r="E5022" s="89"/>
      <c r="F5022" s="89"/>
      <c r="G5022" s="89"/>
      <c r="H5022" s="2"/>
      <c r="I5022" s="90"/>
      <c r="J5022" s="90"/>
      <c r="K5022" s="2"/>
      <c r="L5022" s="49"/>
      <c r="M5022" s="49"/>
      <c r="N5022" s="49"/>
      <c r="O5022" s="49" t="str">
        <f t="shared" si="2"/>
        <v/>
      </c>
      <c r="P5022" s="49" t="str">
        <f t="shared" si="3"/>
        <v/>
      </c>
      <c r="Q5022" s="84"/>
      <c r="R5022" s="84"/>
      <c r="S5022" s="84"/>
      <c r="T5022" s="84"/>
      <c r="U5022" s="84"/>
      <c r="V5022" s="84"/>
      <c r="W5022" s="84"/>
      <c r="X5022" s="84"/>
      <c r="Y5022" s="84"/>
      <c r="Z5022" s="84"/>
      <c r="AA5022" s="84"/>
      <c r="AB5022" s="84"/>
    </row>
    <row r="5023">
      <c r="A5023" s="89"/>
      <c r="B5023" s="89"/>
      <c r="C5023" s="89"/>
      <c r="D5023" s="89"/>
      <c r="E5023" s="89"/>
      <c r="F5023" s="89"/>
      <c r="G5023" s="89"/>
      <c r="H5023" s="2"/>
      <c r="I5023" s="90"/>
      <c r="J5023" s="90"/>
      <c r="K5023" s="2"/>
      <c r="L5023" s="48"/>
      <c r="M5023" s="48"/>
      <c r="N5023" s="48"/>
      <c r="O5023" s="48" t="str">
        <f t="shared" si="2"/>
        <v/>
      </c>
      <c r="P5023" s="48" t="str">
        <f t="shared" si="3"/>
        <v/>
      </c>
      <c r="Q5023" s="84"/>
      <c r="R5023" s="84"/>
      <c r="S5023" s="84"/>
      <c r="T5023" s="84"/>
      <c r="U5023" s="84"/>
      <c r="V5023" s="84"/>
      <c r="W5023" s="84"/>
      <c r="X5023" s="84"/>
      <c r="Y5023" s="84"/>
      <c r="Z5023" s="84"/>
      <c r="AA5023" s="84"/>
      <c r="AB5023" s="84"/>
    </row>
    <row r="5024">
      <c r="A5024" s="89"/>
      <c r="B5024" s="89"/>
      <c r="C5024" s="89"/>
      <c r="D5024" s="89"/>
      <c r="E5024" s="89"/>
      <c r="F5024" s="89"/>
      <c r="G5024" s="89"/>
      <c r="H5024" s="2"/>
      <c r="I5024" s="90"/>
      <c r="J5024" s="90"/>
      <c r="K5024" s="2"/>
      <c r="L5024" s="49"/>
      <c r="M5024" s="49"/>
      <c r="N5024" s="49"/>
      <c r="O5024" s="49" t="str">
        <f t="shared" si="2"/>
        <v/>
      </c>
      <c r="P5024" s="49" t="str">
        <f t="shared" si="3"/>
        <v/>
      </c>
      <c r="Q5024" s="84"/>
      <c r="R5024" s="84"/>
      <c r="S5024" s="84"/>
      <c r="T5024" s="84"/>
      <c r="U5024" s="84"/>
      <c r="V5024" s="84"/>
      <c r="W5024" s="84"/>
      <c r="X5024" s="84"/>
      <c r="Y5024" s="84"/>
      <c r="Z5024" s="84"/>
      <c r="AA5024" s="84"/>
      <c r="AB5024" s="84"/>
    </row>
    <row r="5025">
      <c r="A5025" s="89"/>
      <c r="B5025" s="89"/>
      <c r="C5025" s="89"/>
      <c r="D5025" s="89"/>
      <c r="E5025" s="89"/>
      <c r="F5025" s="89"/>
      <c r="G5025" s="89"/>
      <c r="H5025" s="2"/>
      <c r="I5025" s="90"/>
      <c r="J5025" s="90"/>
      <c r="K5025" s="2"/>
      <c r="L5025" s="48"/>
      <c r="M5025" s="48"/>
      <c r="N5025" s="48"/>
      <c r="O5025" s="48" t="str">
        <f t="shared" si="2"/>
        <v/>
      </c>
      <c r="P5025" s="48" t="str">
        <f t="shared" si="3"/>
        <v/>
      </c>
      <c r="Q5025" s="84"/>
      <c r="R5025" s="84"/>
      <c r="S5025" s="84"/>
      <c r="T5025" s="84"/>
      <c r="U5025" s="84"/>
      <c r="V5025" s="84"/>
      <c r="W5025" s="84"/>
      <c r="X5025" s="84"/>
      <c r="Y5025" s="84"/>
      <c r="Z5025" s="84"/>
      <c r="AA5025" s="84"/>
      <c r="AB5025" s="84"/>
    </row>
    <row r="5026">
      <c r="A5026" s="89"/>
      <c r="B5026" s="89"/>
      <c r="C5026" s="89"/>
      <c r="D5026" s="89"/>
      <c r="E5026" s="89"/>
      <c r="F5026" s="89"/>
      <c r="G5026" s="89"/>
      <c r="H5026" s="2"/>
      <c r="I5026" s="90"/>
      <c r="J5026" s="90"/>
      <c r="K5026" s="2"/>
      <c r="L5026" s="49"/>
      <c r="M5026" s="49"/>
      <c r="N5026" s="49"/>
      <c r="O5026" s="49" t="str">
        <f t="shared" si="2"/>
        <v/>
      </c>
      <c r="P5026" s="49" t="str">
        <f t="shared" si="3"/>
        <v/>
      </c>
      <c r="Q5026" s="84"/>
      <c r="R5026" s="84"/>
      <c r="S5026" s="84"/>
      <c r="T5026" s="84"/>
      <c r="U5026" s="84"/>
      <c r="V5026" s="84"/>
      <c r="W5026" s="84"/>
      <c r="X5026" s="84"/>
      <c r="Y5026" s="84"/>
      <c r="Z5026" s="84"/>
      <c r="AA5026" s="84"/>
      <c r="AB5026" s="84"/>
    </row>
    <row r="5027">
      <c r="A5027" s="89"/>
      <c r="B5027" s="89"/>
      <c r="C5027" s="89"/>
      <c r="D5027" s="89"/>
      <c r="E5027" s="89"/>
      <c r="F5027" s="89"/>
      <c r="G5027" s="89"/>
      <c r="H5027" s="2"/>
      <c r="I5027" s="90"/>
      <c r="J5027" s="90"/>
      <c r="K5027" s="2"/>
      <c r="L5027" s="48"/>
      <c r="M5027" s="48"/>
      <c r="N5027" s="48"/>
      <c r="O5027" s="48" t="str">
        <f t="shared" si="2"/>
        <v/>
      </c>
      <c r="P5027" s="48" t="str">
        <f t="shared" si="3"/>
        <v/>
      </c>
      <c r="Q5027" s="84"/>
      <c r="R5027" s="84"/>
      <c r="S5027" s="84"/>
      <c r="T5027" s="84"/>
      <c r="U5027" s="84"/>
      <c r="V5027" s="84"/>
      <c r="W5027" s="84"/>
      <c r="X5027" s="84"/>
      <c r="Y5027" s="84"/>
      <c r="Z5027" s="84"/>
      <c r="AA5027" s="84"/>
      <c r="AB5027" s="84"/>
    </row>
    <row r="5028">
      <c r="A5028" s="89"/>
      <c r="B5028" s="89"/>
      <c r="C5028" s="89"/>
      <c r="D5028" s="89"/>
      <c r="E5028" s="89"/>
      <c r="F5028" s="89"/>
      <c r="G5028" s="89"/>
      <c r="H5028" s="2"/>
      <c r="I5028" s="90"/>
      <c r="J5028" s="90"/>
      <c r="K5028" s="2"/>
      <c r="L5028" s="49"/>
      <c r="M5028" s="49"/>
      <c r="N5028" s="49"/>
      <c r="O5028" s="49" t="str">
        <f t="shared" si="2"/>
        <v/>
      </c>
      <c r="P5028" s="49" t="str">
        <f t="shared" si="3"/>
        <v/>
      </c>
      <c r="Q5028" s="84"/>
      <c r="R5028" s="84"/>
      <c r="S5028" s="84"/>
      <c r="T5028" s="84"/>
      <c r="U5028" s="84"/>
      <c r="V5028" s="84"/>
      <c r="W5028" s="84"/>
      <c r="X5028" s="84"/>
      <c r="Y5028" s="84"/>
      <c r="Z5028" s="84"/>
      <c r="AA5028" s="84"/>
      <c r="AB5028" s="84"/>
    </row>
    <row r="5029">
      <c r="A5029" s="89"/>
      <c r="B5029" s="89"/>
      <c r="C5029" s="89"/>
      <c r="D5029" s="89"/>
      <c r="E5029" s="89"/>
      <c r="F5029" s="89"/>
      <c r="G5029" s="89"/>
      <c r="H5029" s="2"/>
      <c r="I5029" s="90"/>
      <c r="J5029" s="90"/>
      <c r="K5029" s="2"/>
      <c r="L5029" s="48"/>
      <c r="M5029" s="48"/>
      <c r="N5029" s="48"/>
      <c r="O5029" s="48" t="str">
        <f t="shared" si="2"/>
        <v/>
      </c>
      <c r="P5029" s="48" t="str">
        <f t="shared" si="3"/>
        <v/>
      </c>
      <c r="Q5029" s="84"/>
      <c r="R5029" s="84"/>
      <c r="S5029" s="84"/>
      <c r="T5029" s="84"/>
      <c r="U5029" s="84"/>
      <c r="V5029" s="84"/>
      <c r="W5029" s="84"/>
      <c r="X5029" s="84"/>
      <c r="Y5029" s="84"/>
      <c r="Z5029" s="84"/>
      <c r="AA5029" s="84"/>
      <c r="AB5029" s="84"/>
    </row>
    <row r="5030">
      <c r="A5030" s="89"/>
      <c r="B5030" s="89"/>
      <c r="C5030" s="89"/>
      <c r="D5030" s="89"/>
      <c r="E5030" s="89"/>
      <c r="F5030" s="89"/>
      <c r="G5030" s="89"/>
      <c r="H5030" s="2"/>
      <c r="I5030" s="90"/>
      <c r="J5030" s="90"/>
      <c r="K5030" s="2"/>
      <c r="L5030" s="49"/>
      <c r="M5030" s="49"/>
      <c r="N5030" s="49"/>
      <c r="O5030" s="49" t="str">
        <f t="shared" si="2"/>
        <v/>
      </c>
      <c r="P5030" s="49" t="str">
        <f t="shared" si="3"/>
        <v/>
      </c>
      <c r="Q5030" s="84"/>
      <c r="R5030" s="84"/>
      <c r="S5030" s="84"/>
      <c r="T5030" s="84"/>
      <c r="U5030" s="84"/>
      <c r="V5030" s="84"/>
      <c r="W5030" s="84"/>
      <c r="X5030" s="84"/>
      <c r="Y5030" s="84"/>
      <c r="Z5030" s="84"/>
      <c r="AA5030" s="84"/>
      <c r="AB5030" s="84"/>
    </row>
    <row r="5031">
      <c r="A5031" s="89"/>
      <c r="B5031" s="89"/>
      <c r="C5031" s="89"/>
      <c r="D5031" s="89"/>
      <c r="E5031" s="89"/>
      <c r="F5031" s="89"/>
      <c r="G5031" s="89"/>
      <c r="H5031" s="2"/>
      <c r="I5031" s="90"/>
      <c r="J5031" s="90"/>
      <c r="K5031" s="2"/>
      <c r="L5031" s="48"/>
      <c r="M5031" s="48"/>
      <c r="N5031" s="48"/>
      <c r="O5031" s="48" t="str">
        <f t="shared" si="2"/>
        <v/>
      </c>
      <c r="P5031" s="48" t="str">
        <f t="shared" si="3"/>
        <v/>
      </c>
      <c r="Q5031" s="84"/>
      <c r="R5031" s="84"/>
      <c r="S5031" s="84"/>
      <c r="T5031" s="84"/>
      <c r="U5031" s="84"/>
      <c r="V5031" s="84"/>
      <c r="W5031" s="84"/>
      <c r="X5031" s="84"/>
      <c r="Y5031" s="84"/>
      <c r="Z5031" s="84"/>
      <c r="AA5031" s="84"/>
      <c r="AB5031" s="84"/>
    </row>
    <row r="5032">
      <c r="A5032" s="89"/>
      <c r="B5032" s="89"/>
      <c r="C5032" s="89"/>
      <c r="D5032" s="89"/>
      <c r="E5032" s="89"/>
      <c r="F5032" s="89"/>
      <c r="G5032" s="89"/>
      <c r="H5032" s="2"/>
      <c r="I5032" s="90"/>
      <c r="J5032" s="90"/>
      <c r="K5032" s="2"/>
      <c r="L5032" s="49"/>
      <c r="M5032" s="49"/>
      <c r="N5032" s="49"/>
      <c r="O5032" s="49" t="str">
        <f t="shared" si="2"/>
        <v/>
      </c>
      <c r="P5032" s="49" t="str">
        <f t="shared" si="3"/>
        <v/>
      </c>
      <c r="Q5032" s="84"/>
      <c r="R5032" s="84"/>
      <c r="S5032" s="84"/>
      <c r="T5032" s="84"/>
      <c r="U5032" s="84"/>
      <c r="V5032" s="84"/>
      <c r="W5032" s="84"/>
      <c r="X5032" s="84"/>
      <c r="Y5032" s="84"/>
      <c r="Z5032" s="84"/>
      <c r="AA5032" s="84"/>
      <c r="AB5032" s="84"/>
    </row>
    <row r="5033">
      <c r="A5033" s="89"/>
      <c r="B5033" s="89"/>
      <c r="C5033" s="89"/>
      <c r="D5033" s="89"/>
      <c r="E5033" s="89"/>
      <c r="F5033" s="89"/>
      <c r="G5033" s="89"/>
      <c r="H5033" s="2"/>
      <c r="I5033" s="90"/>
      <c r="J5033" s="90"/>
      <c r="K5033" s="2"/>
      <c r="L5033" s="48"/>
      <c r="M5033" s="48"/>
      <c r="N5033" s="48"/>
      <c r="O5033" s="48" t="str">
        <f t="shared" si="2"/>
        <v/>
      </c>
      <c r="P5033" s="48" t="str">
        <f t="shared" si="3"/>
        <v/>
      </c>
      <c r="Q5033" s="84"/>
      <c r="R5033" s="84"/>
      <c r="S5033" s="84"/>
      <c r="T5033" s="84"/>
      <c r="U5033" s="84"/>
      <c r="V5033" s="84"/>
      <c r="W5033" s="84"/>
      <c r="X5033" s="84"/>
      <c r="Y5033" s="84"/>
      <c r="Z5033" s="84"/>
      <c r="AA5033" s="84"/>
      <c r="AB5033" s="84"/>
    </row>
    <row r="5034">
      <c r="A5034" s="89"/>
      <c r="B5034" s="89"/>
      <c r="C5034" s="89"/>
      <c r="D5034" s="89"/>
      <c r="E5034" s="89"/>
      <c r="F5034" s="89"/>
      <c r="G5034" s="89"/>
      <c r="H5034" s="2"/>
      <c r="I5034" s="90"/>
      <c r="J5034" s="90"/>
      <c r="K5034" s="2"/>
      <c r="L5034" s="49"/>
      <c r="M5034" s="49"/>
      <c r="N5034" s="49"/>
      <c r="O5034" s="49" t="str">
        <f t="shared" si="2"/>
        <v/>
      </c>
      <c r="P5034" s="49" t="str">
        <f t="shared" si="3"/>
        <v/>
      </c>
      <c r="Q5034" s="84"/>
      <c r="R5034" s="84"/>
      <c r="S5034" s="84"/>
      <c r="T5034" s="84"/>
      <c r="U5034" s="84"/>
      <c r="V5034" s="84"/>
      <c r="W5034" s="84"/>
      <c r="X5034" s="84"/>
      <c r="Y5034" s="84"/>
      <c r="Z5034" s="84"/>
      <c r="AA5034" s="84"/>
      <c r="AB5034" s="84"/>
    </row>
    <row r="5035">
      <c r="A5035" s="89"/>
      <c r="B5035" s="89"/>
      <c r="C5035" s="89"/>
      <c r="D5035" s="89"/>
      <c r="E5035" s="89"/>
      <c r="F5035" s="89"/>
      <c r="G5035" s="89"/>
      <c r="H5035" s="2"/>
      <c r="I5035" s="90"/>
      <c r="J5035" s="90"/>
      <c r="K5035" s="2"/>
      <c r="L5035" s="48"/>
      <c r="M5035" s="48"/>
      <c r="N5035" s="48"/>
      <c r="O5035" s="48" t="str">
        <f t="shared" si="2"/>
        <v/>
      </c>
      <c r="P5035" s="48" t="str">
        <f t="shared" si="3"/>
        <v/>
      </c>
      <c r="Q5035" s="84"/>
      <c r="R5035" s="84"/>
      <c r="S5035" s="84"/>
      <c r="T5035" s="84"/>
      <c r="U5035" s="84"/>
      <c r="V5035" s="84"/>
      <c r="W5035" s="84"/>
      <c r="X5035" s="84"/>
      <c r="Y5035" s="84"/>
      <c r="Z5035" s="84"/>
      <c r="AA5035" s="84"/>
      <c r="AB5035" s="84"/>
    </row>
    <row r="5036">
      <c r="A5036" s="89"/>
      <c r="B5036" s="89"/>
      <c r="C5036" s="89"/>
      <c r="D5036" s="89"/>
      <c r="E5036" s="89"/>
      <c r="F5036" s="89"/>
      <c r="G5036" s="89"/>
      <c r="H5036" s="2"/>
      <c r="I5036" s="90"/>
      <c r="J5036" s="90"/>
      <c r="K5036" s="2"/>
      <c r="L5036" s="49"/>
      <c r="M5036" s="49"/>
      <c r="N5036" s="49"/>
      <c r="O5036" s="49" t="str">
        <f t="shared" si="2"/>
        <v/>
      </c>
      <c r="P5036" s="49" t="str">
        <f t="shared" si="3"/>
        <v/>
      </c>
      <c r="Q5036" s="84"/>
      <c r="R5036" s="84"/>
      <c r="S5036" s="84"/>
      <c r="T5036" s="84"/>
      <c r="U5036" s="84"/>
      <c r="V5036" s="84"/>
      <c r="W5036" s="84"/>
      <c r="X5036" s="84"/>
      <c r="Y5036" s="84"/>
      <c r="Z5036" s="84"/>
      <c r="AA5036" s="84"/>
      <c r="AB5036" s="84"/>
    </row>
    <row r="5037">
      <c r="A5037" s="89"/>
      <c r="B5037" s="89"/>
      <c r="C5037" s="89"/>
      <c r="D5037" s="89"/>
      <c r="E5037" s="89"/>
      <c r="F5037" s="89"/>
      <c r="G5037" s="89"/>
      <c r="H5037" s="2"/>
      <c r="I5037" s="90"/>
      <c r="J5037" s="90"/>
      <c r="K5037" s="2"/>
      <c r="L5037" s="48"/>
      <c r="M5037" s="48"/>
      <c r="N5037" s="48"/>
      <c r="O5037" s="48" t="str">
        <f t="shared" si="2"/>
        <v/>
      </c>
      <c r="P5037" s="48" t="str">
        <f t="shared" si="3"/>
        <v/>
      </c>
      <c r="Q5037" s="84"/>
      <c r="R5037" s="84"/>
      <c r="S5037" s="84"/>
      <c r="T5037" s="84"/>
      <c r="U5037" s="84"/>
      <c r="V5037" s="84"/>
      <c r="W5037" s="84"/>
      <c r="X5037" s="84"/>
      <c r="Y5037" s="84"/>
      <c r="Z5037" s="84"/>
      <c r="AA5037" s="84"/>
      <c r="AB5037" s="84"/>
    </row>
    <row r="5038">
      <c r="A5038" s="89"/>
      <c r="B5038" s="89"/>
      <c r="C5038" s="89"/>
      <c r="D5038" s="89"/>
      <c r="E5038" s="89"/>
      <c r="F5038" s="89"/>
      <c r="G5038" s="89"/>
      <c r="H5038" s="2"/>
      <c r="I5038" s="90"/>
      <c r="J5038" s="90"/>
      <c r="K5038" s="2"/>
      <c r="L5038" s="49"/>
      <c r="M5038" s="49"/>
      <c r="N5038" s="49"/>
      <c r="O5038" s="49" t="str">
        <f t="shared" si="2"/>
        <v/>
      </c>
      <c r="P5038" s="49" t="str">
        <f t="shared" si="3"/>
        <v/>
      </c>
      <c r="Q5038" s="84"/>
      <c r="R5038" s="84"/>
      <c r="S5038" s="84"/>
      <c r="T5038" s="84"/>
      <c r="U5038" s="84"/>
      <c r="V5038" s="84"/>
      <c r="W5038" s="84"/>
      <c r="X5038" s="84"/>
      <c r="Y5038" s="84"/>
      <c r="Z5038" s="84"/>
      <c r="AA5038" s="84"/>
      <c r="AB5038" s="84"/>
    </row>
    <row r="5039">
      <c r="A5039" s="89"/>
      <c r="B5039" s="89"/>
      <c r="C5039" s="89"/>
      <c r="D5039" s="89"/>
      <c r="E5039" s="89"/>
      <c r="F5039" s="89"/>
      <c r="G5039" s="89"/>
      <c r="H5039" s="2"/>
      <c r="I5039" s="90"/>
      <c r="J5039" s="90"/>
      <c r="K5039" s="2"/>
      <c r="L5039" s="48"/>
      <c r="M5039" s="48"/>
      <c r="N5039" s="48"/>
      <c r="O5039" s="48" t="str">
        <f t="shared" si="2"/>
        <v/>
      </c>
      <c r="P5039" s="48" t="str">
        <f t="shared" si="3"/>
        <v/>
      </c>
      <c r="Q5039" s="84"/>
      <c r="R5039" s="84"/>
      <c r="S5039" s="84"/>
      <c r="T5039" s="84"/>
      <c r="U5039" s="84"/>
      <c r="V5039" s="84"/>
      <c r="W5039" s="84"/>
      <c r="X5039" s="84"/>
      <c r="Y5039" s="84"/>
      <c r="Z5039" s="84"/>
      <c r="AA5039" s="84"/>
      <c r="AB5039" s="84"/>
    </row>
    <row r="5040">
      <c r="A5040" s="89"/>
      <c r="B5040" s="89"/>
      <c r="C5040" s="89"/>
      <c r="D5040" s="89"/>
      <c r="E5040" s="89"/>
      <c r="F5040" s="89"/>
      <c r="G5040" s="89"/>
      <c r="H5040" s="2"/>
      <c r="I5040" s="90"/>
      <c r="J5040" s="90"/>
      <c r="K5040" s="2"/>
      <c r="L5040" s="49"/>
      <c r="M5040" s="49"/>
      <c r="N5040" s="49"/>
      <c r="O5040" s="49" t="str">
        <f t="shared" si="2"/>
        <v/>
      </c>
      <c r="P5040" s="49" t="str">
        <f t="shared" si="3"/>
        <v/>
      </c>
      <c r="Q5040" s="84"/>
      <c r="R5040" s="84"/>
      <c r="S5040" s="84"/>
      <c r="T5040" s="84"/>
      <c r="U5040" s="84"/>
      <c r="V5040" s="84"/>
      <c r="W5040" s="84"/>
      <c r="X5040" s="84"/>
      <c r="Y5040" s="84"/>
      <c r="Z5040" s="84"/>
      <c r="AA5040" s="84"/>
      <c r="AB5040" s="84"/>
    </row>
    <row r="5041">
      <c r="A5041" s="89"/>
      <c r="B5041" s="89"/>
      <c r="C5041" s="89"/>
      <c r="D5041" s="89"/>
      <c r="E5041" s="89"/>
      <c r="F5041" s="89"/>
      <c r="G5041" s="89"/>
      <c r="H5041" s="2"/>
      <c r="I5041" s="90"/>
      <c r="J5041" s="90"/>
      <c r="K5041" s="2"/>
      <c r="L5041" s="48"/>
      <c r="M5041" s="48"/>
      <c r="N5041" s="48"/>
      <c r="O5041" s="48" t="str">
        <f t="shared" si="2"/>
        <v/>
      </c>
      <c r="P5041" s="48" t="str">
        <f t="shared" si="3"/>
        <v/>
      </c>
      <c r="Q5041" s="84"/>
      <c r="R5041" s="84"/>
      <c r="S5041" s="84"/>
      <c r="T5041" s="84"/>
      <c r="U5041" s="84"/>
      <c r="V5041" s="84"/>
      <c r="W5041" s="84"/>
      <c r="X5041" s="84"/>
      <c r="Y5041" s="84"/>
      <c r="Z5041" s="84"/>
      <c r="AA5041" s="84"/>
      <c r="AB5041" s="84"/>
    </row>
    <row r="5042">
      <c r="A5042" s="89"/>
      <c r="B5042" s="89"/>
      <c r="C5042" s="89"/>
      <c r="D5042" s="89"/>
      <c r="E5042" s="89"/>
      <c r="F5042" s="89"/>
      <c r="G5042" s="89"/>
      <c r="H5042" s="2"/>
      <c r="I5042" s="90"/>
      <c r="J5042" s="90"/>
      <c r="K5042" s="2"/>
      <c r="L5042" s="49"/>
      <c r="M5042" s="49"/>
      <c r="N5042" s="49"/>
      <c r="O5042" s="49" t="str">
        <f t="shared" si="2"/>
        <v/>
      </c>
      <c r="P5042" s="49" t="str">
        <f t="shared" si="3"/>
        <v/>
      </c>
      <c r="Q5042" s="84"/>
      <c r="R5042" s="84"/>
      <c r="S5042" s="84"/>
      <c r="T5042" s="84"/>
      <c r="U5042" s="84"/>
      <c r="V5042" s="84"/>
      <c r="W5042" s="84"/>
      <c r="X5042" s="84"/>
      <c r="Y5042" s="84"/>
      <c r="Z5042" s="84"/>
      <c r="AA5042" s="84"/>
      <c r="AB5042" s="84"/>
    </row>
    <row r="5043">
      <c r="A5043" s="89"/>
      <c r="B5043" s="89"/>
      <c r="C5043" s="89"/>
      <c r="D5043" s="89"/>
      <c r="E5043" s="89"/>
      <c r="F5043" s="89"/>
      <c r="G5043" s="89"/>
      <c r="H5043" s="2"/>
      <c r="I5043" s="90"/>
      <c r="J5043" s="90"/>
      <c r="K5043" s="2"/>
      <c r="L5043" s="48"/>
      <c r="M5043" s="48"/>
      <c r="N5043" s="48"/>
      <c r="O5043" s="48" t="str">
        <f t="shared" si="2"/>
        <v/>
      </c>
      <c r="P5043" s="48" t="str">
        <f t="shared" si="3"/>
        <v/>
      </c>
      <c r="Q5043" s="84"/>
      <c r="R5043" s="84"/>
      <c r="S5043" s="84"/>
      <c r="T5043" s="84"/>
      <c r="U5043" s="84"/>
      <c r="V5043" s="84"/>
      <c r="W5043" s="84"/>
      <c r="X5043" s="84"/>
      <c r="Y5043" s="84"/>
      <c r="Z5043" s="84"/>
      <c r="AA5043" s="84"/>
      <c r="AB5043" s="84"/>
    </row>
    <row r="5044">
      <c r="A5044" s="89"/>
      <c r="B5044" s="89"/>
      <c r="C5044" s="89"/>
      <c r="D5044" s="89"/>
      <c r="E5044" s="89"/>
      <c r="F5044" s="89"/>
      <c r="G5044" s="89"/>
      <c r="H5044" s="2"/>
      <c r="I5044" s="90"/>
      <c r="J5044" s="90"/>
      <c r="K5044" s="2"/>
      <c r="L5044" s="49"/>
      <c r="M5044" s="49"/>
      <c r="N5044" s="49"/>
      <c r="O5044" s="49" t="str">
        <f t="shared" si="2"/>
        <v/>
      </c>
      <c r="P5044" s="49" t="str">
        <f t="shared" si="3"/>
        <v/>
      </c>
      <c r="Q5044" s="84"/>
      <c r="R5044" s="84"/>
      <c r="S5044" s="84"/>
      <c r="T5044" s="84"/>
      <c r="U5044" s="84"/>
      <c r="V5044" s="84"/>
      <c r="W5044" s="84"/>
      <c r="X5044" s="84"/>
      <c r="Y5044" s="84"/>
      <c r="Z5044" s="84"/>
      <c r="AA5044" s="84"/>
      <c r="AB5044" s="84"/>
    </row>
    <row r="5045">
      <c r="A5045" s="89"/>
      <c r="B5045" s="89"/>
      <c r="C5045" s="89"/>
      <c r="D5045" s="89"/>
      <c r="E5045" s="89"/>
      <c r="F5045" s="89"/>
      <c r="G5045" s="89"/>
      <c r="H5045" s="2"/>
      <c r="I5045" s="90"/>
      <c r="J5045" s="90"/>
      <c r="K5045" s="2"/>
      <c r="L5045" s="48"/>
      <c r="M5045" s="48"/>
      <c r="N5045" s="48"/>
      <c r="O5045" s="48" t="str">
        <f t="shared" si="2"/>
        <v/>
      </c>
      <c r="P5045" s="48" t="str">
        <f t="shared" si="3"/>
        <v/>
      </c>
      <c r="Q5045" s="84"/>
      <c r="R5045" s="84"/>
      <c r="S5045" s="84"/>
      <c r="T5045" s="84"/>
      <c r="U5045" s="84"/>
      <c r="V5045" s="84"/>
      <c r="W5045" s="84"/>
      <c r="X5045" s="84"/>
      <c r="Y5045" s="84"/>
      <c r="Z5045" s="84"/>
      <c r="AA5045" s="84"/>
      <c r="AB5045" s="84"/>
    </row>
    <row r="5046">
      <c r="A5046" s="89"/>
      <c r="B5046" s="89"/>
      <c r="C5046" s="89"/>
      <c r="D5046" s="89"/>
      <c r="E5046" s="89"/>
      <c r="F5046" s="89"/>
      <c r="G5046" s="89"/>
      <c r="H5046" s="2"/>
      <c r="I5046" s="90"/>
      <c r="J5046" s="90"/>
      <c r="K5046" s="2"/>
      <c r="L5046" s="49"/>
      <c r="M5046" s="49"/>
      <c r="N5046" s="49"/>
      <c r="O5046" s="49" t="str">
        <f t="shared" si="2"/>
        <v/>
      </c>
      <c r="P5046" s="49" t="str">
        <f t="shared" si="3"/>
        <v/>
      </c>
      <c r="Q5046" s="84"/>
      <c r="R5046" s="84"/>
      <c r="S5046" s="84"/>
      <c r="T5046" s="84"/>
      <c r="U5046" s="84"/>
      <c r="V5046" s="84"/>
      <c r="W5046" s="84"/>
      <c r="X5046" s="84"/>
      <c r="Y5046" s="84"/>
      <c r="Z5046" s="84"/>
      <c r="AA5046" s="84"/>
      <c r="AB5046" s="84"/>
    </row>
    <row r="5047">
      <c r="A5047" s="89"/>
      <c r="B5047" s="89"/>
      <c r="C5047" s="89"/>
      <c r="D5047" s="89"/>
      <c r="E5047" s="89"/>
      <c r="F5047" s="89"/>
      <c r="G5047" s="89"/>
      <c r="H5047" s="2"/>
      <c r="I5047" s="90"/>
      <c r="J5047" s="90"/>
      <c r="K5047" s="2"/>
      <c r="L5047" s="48"/>
      <c r="M5047" s="48"/>
      <c r="N5047" s="48"/>
      <c r="O5047" s="48" t="str">
        <f t="shared" si="2"/>
        <v/>
      </c>
      <c r="P5047" s="48" t="str">
        <f t="shared" si="3"/>
        <v/>
      </c>
      <c r="Q5047" s="84"/>
      <c r="R5047" s="84"/>
      <c r="S5047" s="84"/>
      <c r="T5047" s="84"/>
      <c r="U5047" s="84"/>
      <c r="V5047" s="84"/>
      <c r="W5047" s="84"/>
      <c r="X5047" s="84"/>
      <c r="Y5047" s="84"/>
      <c r="Z5047" s="84"/>
      <c r="AA5047" s="84"/>
      <c r="AB5047" s="84"/>
    </row>
    <row r="5048">
      <c r="A5048" s="89"/>
      <c r="B5048" s="89"/>
      <c r="C5048" s="89"/>
      <c r="D5048" s="89"/>
      <c r="E5048" s="89"/>
      <c r="F5048" s="89"/>
      <c r="G5048" s="89"/>
      <c r="H5048" s="2"/>
      <c r="I5048" s="90"/>
      <c r="J5048" s="90"/>
      <c r="K5048" s="2"/>
      <c r="L5048" s="49"/>
      <c r="M5048" s="49"/>
      <c r="N5048" s="49"/>
      <c r="O5048" s="49" t="str">
        <f t="shared" si="2"/>
        <v/>
      </c>
      <c r="P5048" s="49" t="str">
        <f t="shared" si="3"/>
        <v/>
      </c>
      <c r="Q5048" s="84"/>
      <c r="R5048" s="84"/>
      <c r="S5048" s="84"/>
      <c r="T5048" s="84"/>
      <c r="U5048" s="84"/>
      <c r="V5048" s="84"/>
      <c r="W5048" s="84"/>
      <c r="X5048" s="84"/>
      <c r="Y5048" s="84"/>
      <c r="Z5048" s="84"/>
      <c r="AA5048" s="84"/>
      <c r="AB5048" s="84"/>
    </row>
    <row r="5049">
      <c r="A5049" s="89"/>
      <c r="B5049" s="89"/>
      <c r="C5049" s="89"/>
      <c r="D5049" s="89"/>
      <c r="E5049" s="89"/>
      <c r="F5049" s="89"/>
      <c r="G5049" s="89"/>
      <c r="H5049" s="2"/>
      <c r="I5049" s="90"/>
      <c r="J5049" s="90"/>
      <c r="K5049" s="2"/>
      <c r="L5049" s="48"/>
      <c r="M5049" s="48"/>
      <c r="N5049" s="48"/>
      <c r="O5049" s="48" t="str">
        <f t="shared" si="2"/>
        <v/>
      </c>
      <c r="P5049" s="48" t="str">
        <f t="shared" si="3"/>
        <v/>
      </c>
      <c r="Q5049" s="84"/>
      <c r="R5049" s="84"/>
      <c r="S5049" s="84"/>
      <c r="T5049" s="84"/>
      <c r="U5049" s="84"/>
      <c r="V5049" s="84"/>
      <c r="W5049" s="84"/>
      <c r="X5049" s="84"/>
      <c r="Y5049" s="84"/>
      <c r="Z5049" s="84"/>
      <c r="AA5049" s="84"/>
      <c r="AB5049" s="84"/>
    </row>
    <row r="5050">
      <c r="A5050" s="89"/>
      <c r="B5050" s="89"/>
      <c r="C5050" s="89"/>
      <c r="D5050" s="89"/>
      <c r="E5050" s="89"/>
      <c r="F5050" s="89"/>
      <c r="G5050" s="89"/>
      <c r="H5050" s="2"/>
      <c r="I5050" s="90"/>
      <c r="J5050" s="90"/>
      <c r="K5050" s="2"/>
      <c r="L5050" s="49"/>
      <c r="M5050" s="49"/>
      <c r="N5050" s="49"/>
      <c r="O5050" s="49" t="str">
        <f t="shared" si="2"/>
        <v/>
      </c>
      <c r="P5050" s="49" t="str">
        <f t="shared" si="3"/>
        <v/>
      </c>
      <c r="Q5050" s="84"/>
      <c r="R5050" s="84"/>
      <c r="S5050" s="84"/>
      <c r="T5050" s="84"/>
      <c r="U5050" s="84"/>
      <c r="V5050" s="84"/>
      <c r="W5050" s="84"/>
      <c r="X5050" s="84"/>
      <c r="Y5050" s="84"/>
      <c r="Z5050" s="84"/>
      <c r="AA5050" s="84"/>
      <c r="AB5050" s="84"/>
    </row>
    <row r="5051">
      <c r="A5051" s="89"/>
      <c r="B5051" s="89"/>
      <c r="C5051" s="89"/>
      <c r="D5051" s="89"/>
      <c r="E5051" s="89"/>
      <c r="F5051" s="89"/>
      <c r="G5051" s="89"/>
      <c r="H5051" s="2"/>
      <c r="I5051" s="90"/>
      <c r="J5051" s="90"/>
      <c r="K5051" s="2"/>
      <c r="L5051" s="48"/>
      <c r="M5051" s="48"/>
      <c r="N5051" s="48"/>
      <c r="O5051" s="48" t="str">
        <f t="shared" si="2"/>
        <v/>
      </c>
      <c r="P5051" s="48" t="str">
        <f t="shared" si="3"/>
        <v/>
      </c>
      <c r="Q5051" s="84"/>
      <c r="R5051" s="84"/>
      <c r="S5051" s="84"/>
      <c r="T5051" s="84"/>
      <c r="U5051" s="84"/>
      <c r="V5051" s="84"/>
      <c r="W5051" s="84"/>
      <c r="X5051" s="84"/>
      <c r="Y5051" s="84"/>
      <c r="Z5051" s="84"/>
      <c r="AA5051" s="84"/>
      <c r="AB5051" s="84"/>
    </row>
    <row r="5052">
      <c r="A5052" s="89"/>
      <c r="B5052" s="89"/>
      <c r="C5052" s="89"/>
      <c r="D5052" s="89"/>
      <c r="E5052" s="89"/>
      <c r="F5052" s="89"/>
      <c r="G5052" s="89"/>
      <c r="H5052" s="2"/>
      <c r="I5052" s="90"/>
      <c r="J5052" s="90"/>
      <c r="K5052" s="2"/>
      <c r="L5052" s="49"/>
      <c r="M5052" s="49"/>
      <c r="N5052" s="49"/>
      <c r="O5052" s="49" t="str">
        <f t="shared" si="2"/>
        <v/>
      </c>
      <c r="P5052" s="49" t="str">
        <f t="shared" si="3"/>
        <v/>
      </c>
      <c r="Q5052" s="84"/>
      <c r="R5052" s="84"/>
      <c r="S5052" s="84"/>
      <c r="T5052" s="84"/>
      <c r="U5052" s="84"/>
      <c r="V5052" s="84"/>
      <c r="W5052" s="84"/>
      <c r="X5052" s="84"/>
      <c r="Y5052" s="84"/>
      <c r="Z5052" s="84"/>
      <c r="AA5052" s="84"/>
      <c r="AB5052" s="84"/>
    </row>
    <row r="5053">
      <c r="A5053" s="89"/>
      <c r="B5053" s="89"/>
      <c r="C5053" s="89"/>
      <c r="D5053" s="89"/>
      <c r="E5053" s="89"/>
      <c r="F5053" s="89"/>
      <c r="G5053" s="89"/>
      <c r="H5053" s="2"/>
      <c r="I5053" s="90"/>
      <c r="J5053" s="90"/>
      <c r="K5053" s="2"/>
      <c r="L5053" s="48"/>
      <c r="M5053" s="48"/>
      <c r="N5053" s="48"/>
      <c r="O5053" s="48" t="str">
        <f t="shared" si="2"/>
        <v/>
      </c>
      <c r="P5053" s="48" t="str">
        <f t="shared" si="3"/>
        <v/>
      </c>
      <c r="Q5053" s="84"/>
      <c r="R5053" s="84"/>
      <c r="S5053" s="84"/>
      <c r="T5053" s="84"/>
      <c r="U5053" s="84"/>
      <c r="V5053" s="84"/>
      <c r="W5053" s="84"/>
      <c r="X5053" s="84"/>
      <c r="Y5053" s="84"/>
      <c r="Z5053" s="84"/>
      <c r="AA5053" s="84"/>
      <c r="AB5053" s="84"/>
    </row>
    <row r="5054">
      <c r="A5054" s="89"/>
      <c r="B5054" s="89"/>
      <c r="C5054" s="89"/>
      <c r="D5054" s="89"/>
      <c r="E5054" s="89"/>
      <c r="F5054" s="89"/>
      <c r="G5054" s="89"/>
      <c r="H5054" s="2"/>
      <c r="I5054" s="90"/>
      <c r="J5054" s="90"/>
      <c r="K5054" s="2"/>
      <c r="L5054" s="49"/>
      <c r="M5054" s="49"/>
      <c r="N5054" s="49"/>
      <c r="O5054" s="49" t="str">
        <f t="shared" si="2"/>
        <v/>
      </c>
      <c r="P5054" s="49" t="str">
        <f t="shared" si="3"/>
        <v/>
      </c>
      <c r="Q5054" s="84"/>
      <c r="R5054" s="84"/>
      <c r="S5054" s="84"/>
      <c r="T5054" s="84"/>
      <c r="U5054" s="84"/>
      <c r="V5054" s="84"/>
      <c r="W5054" s="84"/>
      <c r="X5054" s="84"/>
      <c r="Y5054" s="84"/>
      <c r="Z5054" s="84"/>
      <c r="AA5054" s="84"/>
      <c r="AB5054" s="84"/>
    </row>
    <row r="5055">
      <c r="A5055" s="89"/>
      <c r="B5055" s="89"/>
      <c r="C5055" s="89"/>
      <c r="D5055" s="89"/>
      <c r="E5055" s="89"/>
      <c r="F5055" s="89"/>
      <c r="G5055" s="89"/>
      <c r="H5055" s="2"/>
      <c r="I5055" s="90"/>
      <c r="J5055" s="90"/>
      <c r="K5055" s="2"/>
      <c r="L5055" s="48"/>
      <c r="M5055" s="48"/>
      <c r="N5055" s="48"/>
      <c r="O5055" s="48" t="str">
        <f t="shared" si="2"/>
        <v/>
      </c>
      <c r="P5055" s="48" t="str">
        <f t="shared" si="3"/>
        <v/>
      </c>
      <c r="Q5055" s="84"/>
      <c r="R5055" s="84"/>
      <c r="S5055" s="84"/>
      <c r="T5055" s="84"/>
      <c r="U5055" s="84"/>
      <c r="V5055" s="84"/>
      <c r="W5055" s="84"/>
      <c r="X5055" s="84"/>
      <c r="Y5055" s="84"/>
      <c r="Z5055" s="84"/>
      <c r="AA5055" s="84"/>
      <c r="AB5055" s="84"/>
    </row>
    <row r="5056">
      <c r="A5056" s="89"/>
      <c r="B5056" s="89"/>
      <c r="C5056" s="89"/>
      <c r="D5056" s="89"/>
      <c r="E5056" s="89"/>
      <c r="F5056" s="89"/>
      <c r="G5056" s="89"/>
      <c r="H5056" s="2"/>
      <c r="I5056" s="90"/>
      <c r="J5056" s="90"/>
      <c r="K5056" s="2"/>
      <c r="L5056" s="49"/>
      <c r="M5056" s="49"/>
      <c r="N5056" s="49"/>
      <c r="O5056" s="49" t="str">
        <f t="shared" si="2"/>
        <v/>
      </c>
      <c r="P5056" s="49" t="str">
        <f t="shared" si="3"/>
        <v/>
      </c>
      <c r="Q5056" s="84"/>
      <c r="R5056" s="84"/>
      <c r="S5056" s="84"/>
      <c r="T5056" s="84"/>
      <c r="U5056" s="84"/>
      <c r="V5056" s="84"/>
      <c r="W5056" s="84"/>
      <c r="X5056" s="84"/>
      <c r="Y5056" s="84"/>
      <c r="Z5056" s="84"/>
      <c r="AA5056" s="84"/>
      <c r="AB5056" s="84"/>
    </row>
    <row r="5057">
      <c r="A5057" s="89"/>
      <c r="B5057" s="89"/>
      <c r="C5057" s="89"/>
      <c r="D5057" s="89"/>
      <c r="E5057" s="89"/>
      <c r="F5057" s="89"/>
      <c r="G5057" s="89"/>
      <c r="H5057" s="2"/>
      <c r="I5057" s="90"/>
      <c r="J5057" s="90"/>
      <c r="K5057" s="2"/>
      <c r="L5057" s="48"/>
      <c r="M5057" s="48"/>
      <c r="N5057" s="48"/>
      <c r="O5057" s="48" t="str">
        <f t="shared" si="2"/>
        <v/>
      </c>
      <c r="P5057" s="48" t="str">
        <f t="shared" si="3"/>
        <v/>
      </c>
      <c r="Q5057" s="84"/>
      <c r="R5057" s="84"/>
      <c r="S5057" s="84"/>
      <c r="T5057" s="84"/>
      <c r="U5057" s="84"/>
      <c r="V5057" s="84"/>
      <c r="W5057" s="84"/>
      <c r="X5057" s="84"/>
      <c r="Y5057" s="84"/>
      <c r="Z5057" s="84"/>
      <c r="AA5057" s="84"/>
      <c r="AB5057" s="84"/>
    </row>
    <row r="5058">
      <c r="A5058" s="89"/>
      <c r="B5058" s="89"/>
      <c r="C5058" s="89"/>
      <c r="D5058" s="89"/>
      <c r="E5058" s="89"/>
      <c r="F5058" s="89"/>
      <c r="G5058" s="89"/>
      <c r="H5058" s="2"/>
      <c r="I5058" s="90"/>
      <c r="J5058" s="90"/>
      <c r="K5058" s="2"/>
      <c r="L5058" s="49"/>
      <c r="M5058" s="49"/>
      <c r="N5058" s="49"/>
      <c r="O5058" s="49" t="str">
        <f t="shared" si="2"/>
        <v/>
      </c>
      <c r="P5058" s="49" t="str">
        <f t="shared" si="3"/>
        <v/>
      </c>
      <c r="Q5058" s="84"/>
      <c r="R5058" s="84"/>
      <c r="S5058" s="84"/>
      <c r="T5058" s="84"/>
      <c r="U5058" s="84"/>
      <c r="V5058" s="84"/>
      <c r="W5058" s="84"/>
      <c r="X5058" s="84"/>
      <c r="Y5058" s="84"/>
      <c r="Z5058" s="84"/>
      <c r="AA5058" s="84"/>
      <c r="AB5058" s="84"/>
    </row>
    <row r="5059">
      <c r="A5059" s="89"/>
      <c r="B5059" s="89"/>
      <c r="C5059" s="89"/>
      <c r="D5059" s="89"/>
      <c r="E5059" s="89"/>
      <c r="F5059" s="89"/>
      <c r="G5059" s="89"/>
      <c r="H5059" s="2"/>
      <c r="I5059" s="90"/>
      <c r="J5059" s="90"/>
      <c r="K5059" s="2"/>
      <c r="L5059" s="48"/>
      <c r="M5059" s="48"/>
      <c r="N5059" s="48"/>
      <c r="O5059" s="48" t="str">
        <f t="shared" si="2"/>
        <v/>
      </c>
      <c r="P5059" s="48" t="str">
        <f t="shared" si="3"/>
        <v/>
      </c>
      <c r="Q5059" s="84"/>
      <c r="R5059" s="84"/>
      <c r="S5059" s="84"/>
      <c r="T5059" s="84"/>
      <c r="U5059" s="84"/>
      <c r="V5059" s="84"/>
      <c r="W5059" s="84"/>
      <c r="X5059" s="84"/>
      <c r="Y5059" s="84"/>
      <c r="Z5059" s="84"/>
      <c r="AA5059" s="84"/>
      <c r="AB5059" s="84"/>
    </row>
    <row r="5060">
      <c r="A5060" s="89"/>
      <c r="B5060" s="89"/>
      <c r="C5060" s="89"/>
      <c r="D5060" s="89"/>
      <c r="E5060" s="89"/>
      <c r="F5060" s="89"/>
      <c r="G5060" s="89"/>
      <c r="H5060" s="2"/>
      <c r="I5060" s="90"/>
      <c r="J5060" s="90"/>
      <c r="K5060" s="2"/>
      <c r="L5060" s="49"/>
      <c r="M5060" s="49"/>
      <c r="N5060" s="49"/>
      <c r="O5060" s="49" t="str">
        <f t="shared" si="2"/>
        <v/>
      </c>
      <c r="P5060" s="49" t="str">
        <f t="shared" si="3"/>
        <v/>
      </c>
      <c r="Q5060" s="84"/>
      <c r="R5060" s="84"/>
      <c r="S5060" s="84"/>
      <c r="T5060" s="84"/>
      <c r="U5060" s="84"/>
      <c r="V5060" s="84"/>
      <c r="W5060" s="84"/>
      <c r="X5060" s="84"/>
      <c r="Y5060" s="84"/>
      <c r="Z5060" s="84"/>
      <c r="AA5060" s="84"/>
      <c r="AB5060" s="84"/>
    </row>
    <row r="5061">
      <c r="A5061" s="89"/>
      <c r="B5061" s="89"/>
      <c r="C5061" s="89"/>
      <c r="D5061" s="89"/>
      <c r="E5061" s="89"/>
      <c r="F5061" s="89"/>
      <c r="G5061" s="89"/>
      <c r="H5061" s="2"/>
      <c r="I5061" s="90"/>
      <c r="J5061" s="90"/>
      <c r="K5061" s="2"/>
      <c r="L5061" s="48"/>
      <c r="M5061" s="48"/>
      <c r="N5061" s="48"/>
      <c r="O5061" s="48" t="str">
        <f t="shared" si="2"/>
        <v/>
      </c>
      <c r="P5061" s="48" t="str">
        <f t="shared" si="3"/>
        <v/>
      </c>
      <c r="Q5061" s="84"/>
      <c r="R5061" s="84"/>
      <c r="S5061" s="84"/>
      <c r="T5061" s="84"/>
      <c r="U5061" s="84"/>
      <c r="V5061" s="84"/>
      <c r="W5061" s="84"/>
      <c r="X5061" s="84"/>
      <c r="Y5061" s="84"/>
      <c r="Z5061" s="84"/>
      <c r="AA5061" s="84"/>
      <c r="AB5061" s="84"/>
    </row>
    <row r="5062">
      <c r="A5062" s="89"/>
      <c r="B5062" s="89"/>
      <c r="C5062" s="89"/>
      <c r="D5062" s="89"/>
      <c r="E5062" s="89"/>
      <c r="F5062" s="89"/>
      <c r="G5062" s="89"/>
      <c r="H5062" s="2"/>
      <c r="I5062" s="90"/>
      <c r="J5062" s="90"/>
      <c r="K5062" s="2"/>
      <c r="L5062" s="49"/>
      <c r="M5062" s="49"/>
      <c r="N5062" s="49"/>
      <c r="O5062" s="49" t="str">
        <f t="shared" si="2"/>
        <v/>
      </c>
      <c r="P5062" s="49" t="str">
        <f t="shared" si="3"/>
        <v/>
      </c>
      <c r="Q5062" s="84"/>
      <c r="R5062" s="84"/>
      <c r="S5062" s="84"/>
      <c r="T5062" s="84"/>
      <c r="U5062" s="84"/>
      <c r="V5062" s="84"/>
      <c r="W5062" s="84"/>
      <c r="X5062" s="84"/>
      <c r="Y5062" s="84"/>
      <c r="Z5062" s="84"/>
      <c r="AA5062" s="84"/>
      <c r="AB5062" s="84"/>
    </row>
    <row r="5063">
      <c r="A5063" s="89"/>
      <c r="B5063" s="89"/>
      <c r="C5063" s="89"/>
      <c r="D5063" s="89"/>
      <c r="E5063" s="89"/>
      <c r="F5063" s="89"/>
      <c r="G5063" s="89"/>
      <c r="H5063" s="2"/>
      <c r="I5063" s="90"/>
      <c r="J5063" s="90"/>
      <c r="K5063" s="2"/>
      <c r="L5063" s="48"/>
      <c r="M5063" s="48"/>
      <c r="N5063" s="48"/>
      <c r="O5063" s="48" t="str">
        <f t="shared" si="2"/>
        <v/>
      </c>
      <c r="P5063" s="48" t="str">
        <f t="shared" si="3"/>
        <v/>
      </c>
      <c r="Q5063" s="84"/>
      <c r="R5063" s="84"/>
      <c r="S5063" s="84"/>
      <c r="T5063" s="84"/>
      <c r="U5063" s="84"/>
      <c r="V5063" s="84"/>
      <c r="W5063" s="84"/>
      <c r="X5063" s="84"/>
      <c r="Y5063" s="84"/>
      <c r="Z5063" s="84"/>
      <c r="AA5063" s="84"/>
      <c r="AB5063" s="84"/>
    </row>
    <row r="5064">
      <c r="A5064" s="89"/>
      <c r="B5064" s="89"/>
      <c r="C5064" s="89"/>
      <c r="D5064" s="89"/>
      <c r="E5064" s="89"/>
      <c r="F5064" s="89"/>
      <c r="G5064" s="89"/>
      <c r="H5064" s="2"/>
      <c r="I5064" s="90"/>
      <c r="J5064" s="90"/>
      <c r="K5064" s="2"/>
      <c r="L5064" s="49"/>
      <c r="M5064" s="49"/>
      <c r="N5064" s="49"/>
      <c r="O5064" s="49" t="str">
        <f t="shared" si="2"/>
        <v/>
      </c>
      <c r="P5064" s="49" t="str">
        <f t="shared" si="3"/>
        <v/>
      </c>
      <c r="Q5064" s="84"/>
      <c r="R5064" s="84"/>
      <c r="S5064" s="84"/>
      <c r="T5064" s="84"/>
      <c r="U5064" s="84"/>
      <c r="V5064" s="84"/>
      <c r="W5064" s="84"/>
      <c r="X5064" s="84"/>
      <c r="Y5064" s="84"/>
      <c r="Z5064" s="84"/>
      <c r="AA5064" s="84"/>
      <c r="AB5064" s="84"/>
    </row>
    <row r="5065">
      <c r="A5065" s="89"/>
      <c r="B5065" s="89"/>
      <c r="C5065" s="89"/>
      <c r="D5065" s="89"/>
      <c r="E5065" s="89"/>
      <c r="F5065" s="89"/>
      <c r="G5065" s="89"/>
      <c r="H5065" s="2"/>
      <c r="I5065" s="90"/>
      <c r="J5065" s="90"/>
      <c r="K5065" s="2"/>
      <c r="L5065" s="48"/>
      <c r="M5065" s="48"/>
      <c r="N5065" s="48"/>
      <c r="O5065" s="48" t="str">
        <f t="shared" si="2"/>
        <v/>
      </c>
      <c r="P5065" s="48" t="str">
        <f t="shared" si="3"/>
        <v/>
      </c>
      <c r="Q5065" s="84"/>
      <c r="R5065" s="84"/>
      <c r="S5065" s="84"/>
      <c r="T5065" s="84"/>
      <c r="U5065" s="84"/>
      <c r="V5065" s="84"/>
      <c r="W5065" s="84"/>
      <c r="X5065" s="84"/>
      <c r="Y5065" s="84"/>
      <c r="Z5065" s="84"/>
      <c r="AA5065" s="84"/>
      <c r="AB5065" s="84"/>
    </row>
    <row r="5066">
      <c r="A5066" s="84"/>
      <c r="B5066" s="84"/>
      <c r="C5066" s="84"/>
      <c r="D5066" s="84"/>
      <c r="E5066" s="84"/>
      <c r="F5066" s="84"/>
      <c r="G5066" s="84"/>
      <c r="H5066" s="84"/>
      <c r="I5066" s="84"/>
      <c r="J5066" s="84"/>
      <c r="K5066" s="84"/>
      <c r="L5066" s="91"/>
      <c r="M5066" s="91"/>
      <c r="N5066" s="91"/>
      <c r="O5066" s="91"/>
      <c r="P5066" s="91"/>
      <c r="Q5066" s="84"/>
      <c r="R5066" s="84"/>
      <c r="S5066" s="84"/>
      <c r="T5066" s="84"/>
      <c r="U5066" s="84"/>
      <c r="V5066" s="84"/>
      <c r="W5066" s="84"/>
      <c r="X5066" s="84"/>
      <c r="Y5066" s="84"/>
      <c r="Z5066" s="84"/>
      <c r="AA5066" s="84"/>
      <c r="AB5066" s="84"/>
    </row>
    <row r="5067">
      <c r="A5067" s="84"/>
      <c r="B5067" s="84"/>
      <c r="C5067" s="84"/>
      <c r="D5067" s="84"/>
      <c r="E5067" s="84"/>
      <c r="F5067" s="84"/>
      <c r="G5067" s="84"/>
      <c r="H5067" s="84"/>
      <c r="I5067" s="84"/>
      <c r="J5067" s="84"/>
      <c r="K5067" s="84"/>
      <c r="L5067" s="92"/>
      <c r="M5067" s="92"/>
      <c r="N5067" s="92"/>
      <c r="O5067" s="92"/>
      <c r="P5067" s="92"/>
      <c r="Q5067" s="84"/>
      <c r="R5067" s="84"/>
      <c r="S5067" s="84"/>
      <c r="T5067" s="84"/>
      <c r="U5067" s="84"/>
      <c r="V5067" s="84"/>
      <c r="W5067" s="84"/>
      <c r="X5067" s="84"/>
      <c r="Y5067" s="84"/>
      <c r="Z5067" s="84"/>
      <c r="AA5067" s="84"/>
      <c r="AB5067" s="84"/>
    </row>
  </sheetData>
  <mergeCells count="4">
    <mergeCell ref="N1:P1"/>
    <mergeCell ref="R2:Z3"/>
    <mergeCell ref="R5:Z6"/>
    <mergeCell ref="R7:Z8"/>
  </mergeCells>
  <dataValidations>
    <dataValidation type="list" allowBlank="1" showInputMessage="1" showErrorMessage="1" prompt="Choose A Car" sqref="M1">
      <formula1>$AB$2:$AB5067</formula1>
    </dataValidation>
  </dataValidations>
  <hyperlinks>
    <hyperlink r:id="rId1" ref="R7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5.63"/>
    <col customWidth="1" min="3" max="3" width="17.75"/>
  </cols>
  <sheetData>
    <row r="1">
      <c r="A1" s="42" t="s">
        <v>6</v>
      </c>
      <c r="B1" s="42" t="s">
        <v>49</v>
      </c>
      <c r="C1" s="42" t="s">
        <v>50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44">
        <v>1.0</v>
      </c>
      <c r="B2" s="44" t="s">
        <v>918</v>
      </c>
      <c r="C2" s="44" t="s">
        <v>4025</v>
      </c>
    </row>
    <row r="3">
      <c r="A3" s="46">
        <v>2.0</v>
      </c>
      <c r="B3" s="46" t="s">
        <v>877</v>
      </c>
      <c r="C3" s="46" t="s">
        <v>4026</v>
      </c>
    </row>
    <row r="4">
      <c r="A4" s="44">
        <v>3.0</v>
      </c>
      <c r="B4" s="44" t="s">
        <v>898</v>
      </c>
      <c r="C4" s="44" t="s">
        <v>4027</v>
      </c>
    </row>
    <row r="5">
      <c r="A5" s="46">
        <v>4.0</v>
      </c>
      <c r="B5" s="46" t="s">
        <v>911</v>
      </c>
      <c r="C5" s="46" t="s">
        <v>4028</v>
      </c>
    </row>
    <row r="6">
      <c r="A6" s="44">
        <v>5.0</v>
      </c>
      <c r="B6" s="44" t="s">
        <v>865</v>
      </c>
      <c r="C6" s="44" t="s">
        <v>4029</v>
      </c>
    </row>
    <row r="7">
      <c r="A7" s="46">
        <v>6.0</v>
      </c>
      <c r="B7" s="46" t="s">
        <v>820</v>
      </c>
      <c r="C7" s="46" t="s">
        <v>4030</v>
      </c>
    </row>
    <row r="8">
      <c r="A8" s="44">
        <v>7.0</v>
      </c>
      <c r="B8" s="44" t="s">
        <v>4031</v>
      </c>
      <c r="C8" s="44" t="s">
        <v>4032</v>
      </c>
    </row>
    <row r="9">
      <c r="A9" s="46">
        <v>8.0</v>
      </c>
      <c r="B9" s="46" t="s">
        <v>4033</v>
      </c>
      <c r="C9" s="46" t="s">
        <v>4034</v>
      </c>
    </row>
    <row r="10">
      <c r="A10" s="44">
        <v>9.0</v>
      </c>
      <c r="B10" s="44" t="s">
        <v>4035</v>
      </c>
      <c r="C10" s="44" t="s">
        <v>4036</v>
      </c>
    </row>
    <row r="11">
      <c r="A11" s="46">
        <v>10.0</v>
      </c>
      <c r="B11" s="46" t="s">
        <v>4037</v>
      </c>
      <c r="C11" s="46" t="s">
        <v>4038</v>
      </c>
    </row>
    <row r="12">
      <c r="A12" s="44">
        <v>11.0</v>
      </c>
      <c r="B12" s="44" t="s">
        <v>4039</v>
      </c>
      <c r="C12" s="44" t="s">
        <v>4040</v>
      </c>
    </row>
    <row r="13">
      <c r="A13" s="46">
        <v>12.0</v>
      </c>
      <c r="B13" s="46" t="s">
        <v>4041</v>
      </c>
      <c r="C13" s="46" t="s">
        <v>4042</v>
      </c>
    </row>
    <row r="14">
      <c r="A14" s="44">
        <v>13.0</v>
      </c>
      <c r="B14" s="44" t="s">
        <v>4043</v>
      </c>
      <c r="C14" s="44" t="s">
        <v>4044</v>
      </c>
    </row>
    <row r="15">
      <c r="A15" s="46">
        <v>14.0</v>
      </c>
      <c r="B15" s="46" t="s">
        <v>4045</v>
      </c>
      <c r="C15" s="46" t="s">
        <v>4046</v>
      </c>
    </row>
    <row r="16">
      <c r="A16" s="44">
        <v>15.0</v>
      </c>
      <c r="B16" s="44" t="s">
        <v>4047</v>
      </c>
      <c r="C16" s="44" t="s">
        <v>4048</v>
      </c>
    </row>
    <row r="17">
      <c r="A17" s="46">
        <v>16.0</v>
      </c>
      <c r="B17" s="46" t="s">
        <v>4049</v>
      </c>
      <c r="C17" s="46" t="s">
        <v>4050</v>
      </c>
    </row>
    <row r="18">
      <c r="A18" s="44">
        <v>17.0</v>
      </c>
      <c r="B18" s="44" t="s">
        <v>4051</v>
      </c>
      <c r="C18" s="44" t="s">
        <v>4052</v>
      </c>
    </row>
    <row r="19">
      <c r="A19" s="46">
        <v>18.0</v>
      </c>
      <c r="B19" s="46" t="s">
        <v>4053</v>
      </c>
      <c r="C19" s="46" t="s">
        <v>4054</v>
      </c>
    </row>
    <row r="20">
      <c r="A20" s="44">
        <v>19.0</v>
      </c>
      <c r="B20" s="44" t="s">
        <v>4055</v>
      </c>
      <c r="C20" s="44" t="s">
        <v>4056</v>
      </c>
    </row>
    <row r="21">
      <c r="A21" s="46">
        <v>20.0</v>
      </c>
      <c r="B21" s="46" t="s">
        <v>4057</v>
      </c>
      <c r="C21" s="46" t="s">
        <v>4058</v>
      </c>
    </row>
    <row r="22">
      <c r="A22" s="44">
        <v>21.0</v>
      </c>
      <c r="B22" s="44" t="s">
        <v>837</v>
      </c>
      <c r="C22" s="44" t="s">
        <v>4059</v>
      </c>
    </row>
    <row r="23">
      <c r="A23" s="46">
        <v>22.0</v>
      </c>
      <c r="B23" s="46" t="s">
        <v>4060</v>
      </c>
      <c r="C23" s="46" t="s">
        <v>4061</v>
      </c>
    </row>
    <row r="24">
      <c r="A24" s="44">
        <v>23.0</v>
      </c>
      <c r="B24" s="44" t="s">
        <v>856</v>
      </c>
      <c r="C24" s="44" t="s">
        <v>4062</v>
      </c>
    </row>
    <row r="25">
      <c r="A25" s="46">
        <v>24.0</v>
      </c>
      <c r="B25" s="46" t="s">
        <v>4063</v>
      </c>
      <c r="C25" s="46" t="s">
        <v>4064</v>
      </c>
    </row>
    <row r="26">
      <c r="A26" s="44">
        <v>25.0</v>
      </c>
      <c r="B26" s="44" t="s">
        <v>4065</v>
      </c>
      <c r="C26" s="44" t="s">
        <v>4066</v>
      </c>
    </row>
    <row r="27">
      <c r="A27" s="46">
        <v>26.0</v>
      </c>
      <c r="B27" s="46" t="s">
        <v>4067</v>
      </c>
      <c r="C27" s="46" t="s">
        <v>4068</v>
      </c>
    </row>
    <row r="28">
      <c r="A28" s="44">
        <v>27.0</v>
      </c>
      <c r="B28" s="44" t="s">
        <v>4069</v>
      </c>
      <c r="C28" s="44" t="s">
        <v>4070</v>
      </c>
    </row>
    <row r="29">
      <c r="A29" s="46">
        <v>28.0</v>
      </c>
      <c r="B29" s="46" t="s">
        <v>4071</v>
      </c>
      <c r="C29" s="46" t="s">
        <v>4072</v>
      </c>
    </row>
    <row r="30">
      <c r="A30" s="44">
        <v>29.0</v>
      </c>
      <c r="B30" s="44" t="s">
        <v>4073</v>
      </c>
      <c r="C30" s="44" t="s">
        <v>4074</v>
      </c>
    </row>
    <row r="31">
      <c r="A31" s="46">
        <v>30.0</v>
      </c>
      <c r="B31" s="46" t="s">
        <v>783</v>
      </c>
      <c r="C31" s="46" t="s">
        <v>4075</v>
      </c>
    </row>
    <row r="32">
      <c r="A32" s="44">
        <v>31.0</v>
      </c>
      <c r="B32" s="44" t="s">
        <v>4076</v>
      </c>
      <c r="C32" s="44" t="s">
        <v>4077</v>
      </c>
    </row>
    <row r="33">
      <c r="A33" s="46">
        <v>32.0</v>
      </c>
      <c r="B33" s="46" t="s">
        <v>4078</v>
      </c>
      <c r="C33" s="46" t="s">
        <v>4079</v>
      </c>
    </row>
    <row r="34">
      <c r="A34" s="44">
        <v>33.0</v>
      </c>
      <c r="B34" s="44" t="s">
        <v>4080</v>
      </c>
      <c r="C34" s="44" t="s">
        <v>4081</v>
      </c>
    </row>
    <row r="35">
      <c r="A35" s="46">
        <v>34.0</v>
      </c>
      <c r="B35" s="46" t="s">
        <v>4082</v>
      </c>
      <c r="C35" s="46" t="s">
        <v>4083</v>
      </c>
    </row>
    <row r="36">
      <c r="A36" s="44">
        <v>35.0</v>
      </c>
      <c r="B36" s="44" t="s">
        <v>4084</v>
      </c>
      <c r="C36" s="44" t="s">
        <v>4085</v>
      </c>
    </row>
    <row r="37">
      <c r="A37" s="46">
        <v>36.0</v>
      </c>
      <c r="B37" s="46" t="s">
        <v>4086</v>
      </c>
      <c r="C37" s="46" t="s">
        <v>4087</v>
      </c>
    </row>
    <row r="38">
      <c r="A38" s="44">
        <v>37.0</v>
      </c>
      <c r="B38" s="44" t="s">
        <v>4088</v>
      </c>
      <c r="C38" s="44" t="s">
        <v>4089</v>
      </c>
    </row>
    <row r="39">
      <c r="A39" s="46">
        <v>38.0</v>
      </c>
      <c r="B39" s="46" t="s">
        <v>4090</v>
      </c>
      <c r="C39" s="46" t="s">
        <v>4091</v>
      </c>
    </row>
    <row r="40">
      <c r="A40" s="44">
        <v>39.0</v>
      </c>
      <c r="B40" s="44" t="s">
        <v>4092</v>
      </c>
      <c r="C40" s="44" t="s">
        <v>4093</v>
      </c>
    </row>
    <row r="41">
      <c r="A41" s="46">
        <v>40.0</v>
      </c>
      <c r="B41" s="46" t="s">
        <v>4094</v>
      </c>
      <c r="C41" s="46" t="s">
        <v>4095</v>
      </c>
    </row>
    <row r="42">
      <c r="A42" s="44">
        <v>41.0</v>
      </c>
      <c r="B42" s="44" t="s">
        <v>4096</v>
      </c>
      <c r="C42" s="44" t="s">
        <v>4097</v>
      </c>
    </row>
    <row r="43">
      <c r="A43" s="46">
        <v>42.0</v>
      </c>
      <c r="B43" s="46" t="s">
        <v>4098</v>
      </c>
      <c r="C43" s="46" t="s">
        <v>4099</v>
      </c>
    </row>
    <row r="44">
      <c r="A44" s="44">
        <v>43.0</v>
      </c>
      <c r="B44" s="44" t="s">
        <v>4100</v>
      </c>
      <c r="C44" s="44" t="s">
        <v>4101</v>
      </c>
    </row>
    <row r="45">
      <c r="A45" s="46">
        <v>44.0</v>
      </c>
      <c r="B45" s="46" t="s">
        <v>4102</v>
      </c>
      <c r="C45" s="46" t="s">
        <v>4103</v>
      </c>
    </row>
    <row r="46">
      <c r="A46" s="44">
        <v>45.0</v>
      </c>
      <c r="B46" s="44" t="s">
        <v>4104</v>
      </c>
      <c r="C46" s="44" t="s">
        <v>4105</v>
      </c>
    </row>
    <row r="47">
      <c r="A47" s="46">
        <v>46.0</v>
      </c>
      <c r="B47" s="46" t="s">
        <v>4106</v>
      </c>
      <c r="C47" s="46" t="s">
        <v>4107</v>
      </c>
    </row>
  </sheetData>
  <autoFilter ref="$A$1:$C$47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7.38"/>
    <col customWidth="1" min="3" max="3" width="28.13"/>
    <col customWidth="1" min="4" max="4" width="14.5"/>
    <col customWidth="1" min="5" max="5" width="29.5"/>
    <col customWidth="1" min="6" max="6" width="20.25"/>
    <col customWidth="1" min="7" max="7" width="13.63"/>
    <col customWidth="1" min="8" max="8" width="46.13"/>
  </cols>
  <sheetData>
    <row r="1">
      <c r="A1" s="93" t="s">
        <v>6</v>
      </c>
      <c r="B1" s="94" t="s">
        <v>47</v>
      </c>
      <c r="C1" s="94" t="s">
        <v>31</v>
      </c>
      <c r="D1" s="94" t="s">
        <v>4108</v>
      </c>
      <c r="E1" s="94" t="s">
        <v>4109</v>
      </c>
      <c r="F1" s="94" t="s">
        <v>4110</v>
      </c>
      <c r="G1" s="94" t="s">
        <v>4111</v>
      </c>
      <c r="H1" s="94" t="s">
        <v>8</v>
      </c>
    </row>
    <row r="2">
      <c r="A2" s="95">
        <v>1.0</v>
      </c>
      <c r="B2" s="95">
        <v>1.0</v>
      </c>
      <c r="C2" s="96" t="s">
        <v>4112</v>
      </c>
      <c r="D2" s="97" t="b">
        <v>1</v>
      </c>
      <c r="E2" s="97" t="b">
        <v>1</v>
      </c>
      <c r="F2" s="97" t="b">
        <v>0</v>
      </c>
      <c r="G2" s="97" t="b">
        <v>1</v>
      </c>
      <c r="H2" s="96"/>
    </row>
    <row r="3">
      <c r="A3" s="98">
        <v>2.0</v>
      </c>
      <c r="B3" s="98">
        <v>2.0</v>
      </c>
      <c r="C3" s="99" t="s">
        <v>4113</v>
      </c>
      <c r="D3" s="100" t="b">
        <v>1</v>
      </c>
      <c r="E3" s="100" t="b">
        <v>1</v>
      </c>
      <c r="F3" s="100" t="b">
        <v>0</v>
      </c>
      <c r="G3" s="100" t="b">
        <v>1</v>
      </c>
      <c r="H3" s="99"/>
    </row>
    <row r="4">
      <c r="A4" s="95">
        <v>3.0</v>
      </c>
      <c r="B4" s="95">
        <v>3.0</v>
      </c>
      <c r="C4" s="96" t="s">
        <v>4114</v>
      </c>
      <c r="D4" s="97" t="b">
        <v>1</v>
      </c>
      <c r="E4" s="97" t="b">
        <v>1</v>
      </c>
      <c r="F4" s="97" t="b">
        <v>0</v>
      </c>
      <c r="G4" s="97" t="b">
        <v>1</v>
      </c>
      <c r="H4" s="96"/>
    </row>
    <row r="5">
      <c r="A5" s="98">
        <v>4.0</v>
      </c>
      <c r="B5" s="98">
        <v>4.0</v>
      </c>
      <c r="C5" s="99" t="s">
        <v>4115</v>
      </c>
      <c r="D5" s="100" t="b">
        <v>1</v>
      </c>
      <c r="E5" s="100" t="b">
        <v>1</v>
      </c>
      <c r="F5" s="100" t="b">
        <v>0</v>
      </c>
      <c r="G5" s="100" t="b">
        <v>1</v>
      </c>
      <c r="H5" s="99"/>
    </row>
    <row r="6">
      <c r="A6" s="95">
        <v>5.0</v>
      </c>
      <c r="B6" s="95">
        <v>5.0</v>
      </c>
      <c r="C6" s="96" t="s">
        <v>4116</v>
      </c>
      <c r="D6" s="97" t="b">
        <v>1</v>
      </c>
      <c r="E6" s="97" t="b">
        <v>1</v>
      </c>
      <c r="F6" s="97" t="b">
        <v>0</v>
      </c>
      <c r="G6" s="97" t="b">
        <v>1</v>
      </c>
      <c r="H6" s="96"/>
    </row>
    <row r="7">
      <c r="A7" s="98">
        <v>6.0</v>
      </c>
      <c r="B7" s="98">
        <v>7.0</v>
      </c>
      <c r="C7" s="99" t="s">
        <v>4117</v>
      </c>
      <c r="D7" s="100" t="b">
        <v>1</v>
      </c>
      <c r="E7" s="100" t="b">
        <v>1</v>
      </c>
      <c r="F7" s="100" t="b">
        <v>0</v>
      </c>
      <c r="G7" s="100" t="b">
        <v>1</v>
      </c>
      <c r="H7" s="99"/>
    </row>
    <row r="8">
      <c r="A8" s="95">
        <v>7.0</v>
      </c>
      <c r="B8" s="95">
        <v>8.0</v>
      </c>
      <c r="C8" s="96" t="s">
        <v>4118</v>
      </c>
      <c r="D8" s="97" t="b">
        <v>1</v>
      </c>
      <c r="E8" s="97" t="b">
        <v>1</v>
      </c>
      <c r="F8" s="97" t="b">
        <v>0</v>
      </c>
      <c r="G8" s="97" t="b">
        <v>1</v>
      </c>
      <c r="H8" s="96"/>
    </row>
    <row r="9">
      <c r="A9" s="98">
        <v>8.0</v>
      </c>
      <c r="B9" s="98">
        <v>10.0</v>
      </c>
      <c r="C9" s="99" t="s">
        <v>4119</v>
      </c>
      <c r="D9" s="100" t="b">
        <v>1</v>
      </c>
      <c r="E9" s="100" t="b">
        <v>1</v>
      </c>
      <c r="F9" s="100" t="b">
        <v>0</v>
      </c>
      <c r="G9" s="100" t="b">
        <v>1</v>
      </c>
      <c r="H9" s="99"/>
    </row>
    <row r="10">
      <c r="A10" s="95">
        <v>9.0</v>
      </c>
      <c r="B10" s="95">
        <v>11.0</v>
      </c>
      <c r="C10" s="96" t="s">
        <v>4120</v>
      </c>
      <c r="D10" s="97" t="b">
        <v>1</v>
      </c>
      <c r="E10" s="97" t="b">
        <v>1</v>
      </c>
      <c r="F10" s="97" t="b">
        <v>0</v>
      </c>
      <c r="G10" s="97" t="b">
        <v>1</v>
      </c>
      <c r="H10" s="96"/>
    </row>
    <row r="11">
      <c r="A11" s="98">
        <v>10.0</v>
      </c>
      <c r="B11" s="98">
        <v>12.0</v>
      </c>
      <c r="C11" s="99" t="s">
        <v>4121</v>
      </c>
      <c r="D11" s="100" t="b">
        <v>1</v>
      </c>
      <c r="E11" s="100" t="b">
        <v>1</v>
      </c>
      <c r="F11" s="100" t="b">
        <v>0</v>
      </c>
      <c r="G11" s="100" t="b">
        <v>1</v>
      </c>
      <c r="H11" s="99"/>
    </row>
    <row r="12">
      <c r="A12" s="95">
        <v>11.0</v>
      </c>
      <c r="B12" s="95">
        <v>13.0</v>
      </c>
      <c r="C12" s="96" t="s">
        <v>4122</v>
      </c>
      <c r="D12" s="97" t="b">
        <v>1</v>
      </c>
      <c r="E12" s="97" t="b">
        <v>1</v>
      </c>
      <c r="F12" s="97" t="b">
        <v>0</v>
      </c>
      <c r="G12" s="97" t="b">
        <v>1</v>
      </c>
      <c r="H12" s="96"/>
    </row>
    <row r="13">
      <c r="A13" s="98">
        <v>12.0</v>
      </c>
      <c r="B13" s="98">
        <v>14.0</v>
      </c>
      <c r="C13" s="99" t="s">
        <v>4123</v>
      </c>
      <c r="D13" s="100" t="b">
        <v>1</v>
      </c>
      <c r="E13" s="100" t="b">
        <v>1</v>
      </c>
      <c r="F13" s="100" t="b">
        <v>0</v>
      </c>
      <c r="G13" s="100" t="b">
        <v>1</v>
      </c>
      <c r="H13" s="99"/>
    </row>
    <row r="14">
      <c r="A14" s="95">
        <v>13.0</v>
      </c>
      <c r="B14" s="95">
        <v>15.0</v>
      </c>
      <c r="C14" s="96" t="s">
        <v>4124</v>
      </c>
      <c r="D14" s="97" t="b">
        <v>1</v>
      </c>
      <c r="E14" s="97" t="b">
        <v>1</v>
      </c>
      <c r="F14" s="97" t="b">
        <v>0</v>
      </c>
      <c r="G14" s="97" t="b">
        <v>1</v>
      </c>
      <c r="H14" s="96"/>
    </row>
    <row r="15">
      <c r="A15" s="98">
        <v>14.0</v>
      </c>
      <c r="B15" s="98">
        <v>16.0</v>
      </c>
      <c r="C15" s="99" t="s">
        <v>4125</v>
      </c>
      <c r="D15" s="100" t="b">
        <v>1</v>
      </c>
      <c r="E15" s="100" t="b">
        <v>1</v>
      </c>
      <c r="F15" s="100" t="b">
        <v>0</v>
      </c>
      <c r="G15" s="100" t="b">
        <v>1</v>
      </c>
      <c r="H15" s="99"/>
    </row>
    <row r="16">
      <c r="A16" s="95">
        <v>15.0</v>
      </c>
      <c r="B16" s="95">
        <v>17.0</v>
      </c>
      <c r="C16" s="96" t="s">
        <v>4126</v>
      </c>
      <c r="D16" s="97" t="b">
        <v>1</v>
      </c>
      <c r="E16" s="97" t="b">
        <v>1</v>
      </c>
      <c r="F16" s="97" t="b">
        <v>0</v>
      </c>
      <c r="G16" s="97" t="b">
        <v>1</v>
      </c>
      <c r="H16" s="96"/>
    </row>
    <row r="17">
      <c r="A17" s="98">
        <v>16.0</v>
      </c>
      <c r="B17" s="98">
        <v>18.0</v>
      </c>
      <c r="C17" s="99" t="s">
        <v>4127</v>
      </c>
      <c r="D17" s="100" t="b">
        <v>1</v>
      </c>
      <c r="E17" s="100" t="b">
        <v>1</v>
      </c>
      <c r="F17" s="100" t="b">
        <v>0</v>
      </c>
      <c r="G17" s="100" t="b">
        <v>1</v>
      </c>
      <c r="H17" s="99"/>
    </row>
    <row r="18">
      <c r="A18" s="95">
        <v>17.0</v>
      </c>
      <c r="B18" s="95">
        <v>20.0</v>
      </c>
      <c r="C18" s="96" t="s">
        <v>4128</v>
      </c>
      <c r="D18" s="97" t="b">
        <v>1</v>
      </c>
      <c r="E18" s="97" t="b">
        <v>1</v>
      </c>
      <c r="F18" s="97" t="b">
        <v>0</v>
      </c>
      <c r="G18" s="97" t="b">
        <v>1</v>
      </c>
      <c r="H18" s="96"/>
    </row>
    <row r="19">
      <c r="A19" s="98">
        <v>18.0</v>
      </c>
      <c r="B19" s="98">
        <v>21.0</v>
      </c>
      <c r="C19" s="99" t="s">
        <v>4129</v>
      </c>
      <c r="D19" s="100" t="b">
        <v>1</v>
      </c>
      <c r="E19" s="100" t="b">
        <v>1</v>
      </c>
      <c r="F19" s="100" t="b">
        <v>0</v>
      </c>
      <c r="G19" s="100" t="b">
        <v>1</v>
      </c>
      <c r="H19" s="99"/>
    </row>
    <row r="20">
      <c r="A20" s="95">
        <v>19.0</v>
      </c>
      <c r="B20" s="95">
        <v>22.0</v>
      </c>
      <c r="C20" s="96" t="s">
        <v>4130</v>
      </c>
      <c r="D20" s="97" t="b">
        <v>1</v>
      </c>
      <c r="E20" s="97" t="b">
        <v>1</v>
      </c>
      <c r="F20" s="97" t="b">
        <v>0</v>
      </c>
      <c r="G20" s="97" t="b">
        <v>1</v>
      </c>
      <c r="H20" s="96"/>
    </row>
    <row r="21">
      <c r="A21" s="98">
        <v>20.0</v>
      </c>
      <c r="B21" s="98">
        <v>23.0</v>
      </c>
      <c r="C21" s="99" t="s">
        <v>4131</v>
      </c>
      <c r="D21" s="100" t="b">
        <v>1</v>
      </c>
      <c r="E21" s="100" t="b">
        <v>1</v>
      </c>
      <c r="F21" s="100" t="b">
        <v>0</v>
      </c>
      <c r="G21" s="100" t="b">
        <v>1</v>
      </c>
      <c r="H21" s="99"/>
    </row>
    <row r="22">
      <c r="A22" s="95">
        <v>21.0</v>
      </c>
      <c r="B22" s="95">
        <v>26.0</v>
      </c>
      <c r="C22" s="96" t="s">
        <v>4132</v>
      </c>
      <c r="D22" s="97" t="b">
        <v>1</v>
      </c>
      <c r="E22" s="97" t="b">
        <v>1</v>
      </c>
      <c r="F22" s="97" t="b">
        <v>0</v>
      </c>
      <c r="G22" s="97" t="b">
        <v>1</v>
      </c>
      <c r="H22" s="96"/>
    </row>
    <row r="23">
      <c r="A23" s="98">
        <v>22.0</v>
      </c>
      <c r="B23" s="98">
        <v>28.0</v>
      </c>
      <c r="C23" s="99" t="s">
        <v>4133</v>
      </c>
      <c r="D23" s="100" t="b">
        <v>1</v>
      </c>
      <c r="E23" s="100" t="b">
        <v>1</v>
      </c>
      <c r="F23" s="100" t="b">
        <v>0</v>
      </c>
      <c r="G23" s="100" t="b">
        <v>1</v>
      </c>
      <c r="H23" s="99"/>
    </row>
    <row r="24">
      <c r="A24" s="95">
        <v>23.0</v>
      </c>
      <c r="B24" s="95">
        <v>29.0</v>
      </c>
      <c r="C24" s="96" t="s">
        <v>4134</v>
      </c>
      <c r="D24" s="97" t="b">
        <v>1</v>
      </c>
      <c r="E24" s="97" t="b">
        <v>1</v>
      </c>
      <c r="F24" s="97" t="b">
        <v>0</v>
      </c>
      <c r="G24" s="97" t="b">
        <v>1</v>
      </c>
      <c r="H24" s="96"/>
    </row>
    <row r="25">
      <c r="A25" s="98">
        <v>24.0</v>
      </c>
      <c r="B25" s="98">
        <v>30.0</v>
      </c>
      <c r="C25" s="99" t="s">
        <v>4135</v>
      </c>
      <c r="D25" s="100" t="b">
        <v>1</v>
      </c>
      <c r="E25" s="100" t="b">
        <v>1</v>
      </c>
      <c r="F25" s="100" t="b">
        <v>0</v>
      </c>
      <c r="G25" s="100" t="b">
        <v>0</v>
      </c>
      <c r="H25" s="99"/>
    </row>
    <row r="26">
      <c r="A26" s="95">
        <v>25.0</v>
      </c>
      <c r="B26" s="95">
        <v>31.0</v>
      </c>
      <c r="C26" s="96" t="s">
        <v>4136</v>
      </c>
      <c r="D26" s="97" t="b">
        <v>1</v>
      </c>
      <c r="E26" s="97" t="b">
        <v>1</v>
      </c>
      <c r="F26" s="97" t="b">
        <v>0</v>
      </c>
      <c r="G26" s="97" t="b">
        <v>0</v>
      </c>
      <c r="H26" s="96"/>
    </row>
    <row r="27">
      <c r="A27" s="98">
        <v>26.0</v>
      </c>
      <c r="B27" s="98">
        <v>32.0</v>
      </c>
      <c r="C27" s="99" t="s">
        <v>4137</v>
      </c>
      <c r="D27" s="100" t="b">
        <v>1</v>
      </c>
      <c r="E27" s="100" t="b">
        <v>1</v>
      </c>
      <c r="F27" s="100" t="b">
        <v>0</v>
      </c>
      <c r="G27" s="100" t="b">
        <v>0</v>
      </c>
      <c r="H27" s="99"/>
    </row>
    <row r="28">
      <c r="A28" s="95">
        <v>27.0</v>
      </c>
      <c r="B28" s="95">
        <v>33.0</v>
      </c>
      <c r="C28" s="96" t="s">
        <v>4138</v>
      </c>
      <c r="D28" s="97" t="b">
        <v>1</v>
      </c>
      <c r="E28" s="97" t="b">
        <v>1</v>
      </c>
      <c r="F28" s="97" t="b">
        <v>0</v>
      </c>
      <c r="G28" s="97" t="b">
        <v>0</v>
      </c>
      <c r="H28" s="96"/>
    </row>
    <row r="29">
      <c r="A29" s="98">
        <v>28.0</v>
      </c>
      <c r="B29" s="98">
        <v>34.0</v>
      </c>
      <c r="C29" s="99" t="s">
        <v>4139</v>
      </c>
      <c r="D29" s="100" t="b">
        <v>1</v>
      </c>
      <c r="E29" s="100" t="b">
        <v>1</v>
      </c>
      <c r="F29" s="100" t="b">
        <v>0</v>
      </c>
      <c r="G29" s="100" t="b">
        <v>0</v>
      </c>
      <c r="H29" s="99"/>
    </row>
    <row r="30">
      <c r="A30" s="95">
        <v>29.0</v>
      </c>
      <c r="B30" s="95">
        <v>35.0</v>
      </c>
      <c r="C30" s="96" t="s">
        <v>4140</v>
      </c>
      <c r="D30" s="97" t="b">
        <v>1</v>
      </c>
      <c r="E30" s="97" t="b">
        <v>1</v>
      </c>
      <c r="F30" s="97" t="b">
        <v>0</v>
      </c>
      <c r="G30" s="97" t="b">
        <v>0</v>
      </c>
      <c r="H30" s="96"/>
    </row>
    <row r="31">
      <c r="A31" s="98">
        <v>30.0</v>
      </c>
      <c r="B31" s="98">
        <v>36.0</v>
      </c>
      <c r="C31" s="99" t="s">
        <v>4141</v>
      </c>
      <c r="D31" s="100" t="b">
        <v>1</v>
      </c>
      <c r="E31" s="100" t="b">
        <v>1</v>
      </c>
      <c r="F31" s="100" t="b">
        <v>0</v>
      </c>
      <c r="G31" s="100" t="b">
        <v>0</v>
      </c>
      <c r="H31" s="99"/>
    </row>
    <row r="32">
      <c r="A32" s="95">
        <v>31.0</v>
      </c>
      <c r="B32" s="95">
        <v>37.0</v>
      </c>
      <c r="C32" s="96" t="s">
        <v>4142</v>
      </c>
      <c r="D32" s="97" t="b">
        <v>1</v>
      </c>
      <c r="E32" s="97" t="b">
        <v>1</v>
      </c>
      <c r="F32" s="97" t="b">
        <v>0</v>
      </c>
      <c r="G32" s="97" t="b">
        <v>0</v>
      </c>
      <c r="H32" s="96"/>
    </row>
    <row r="33">
      <c r="A33" s="98">
        <v>32.0</v>
      </c>
      <c r="B33" s="98">
        <v>38.0</v>
      </c>
      <c r="C33" s="99" t="s">
        <v>4143</v>
      </c>
      <c r="D33" s="100" t="b">
        <v>1</v>
      </c>
      <c r="E33" s="100" t="b">
        <v>1</v>
      </c>
      <c r="F33" s="100" t="b">
        <v>0</v>
      </c>
      <c r="G33" s="100" t="b">
        <v>0</v>
      </c>
      <c r="H33" s="99"/>
    </row>
    <row r="34">
      <c r="A34" s="95">
        <v>33.0</v>
      </c>
      <c r="B34" s="95">
        <v>39.0</v>
      </c>
      <c r="C34" s="96" t="s">
        <v>4144</v>
      </c>
      <c r="D34" s="97" t="b">
        <v>1</v>
      </c>
      <c r="E34" s="97" t="b">
        <v>1</v>
      </c>
      <c r="F34" s="97" t="b">
        <v>0</v>
      </c>
      <c r="G34" s="97" t="b">
        <v>0</v>
      </c>
      <c r="H34" s="96"/>
    </row>
    <row r="35">
      <c r="A35" s="98">
        <v>34.0</v>
      </c>
      <c r="B35" s="98">
        <v>40.0</v>
      </c>
      <c r="C35" s="99" t="s">
        <v>4145</v>
      </c>
      <c r="D35" s="100" t="b">
        <v>1</v>
      </c>
      <c r="E35" s="100" t="b">
        <v>1</v>
      </c>
      <c r="F35" s="100" t="b">
        <v>0</v>
      </c>
      <c r="G35" s="100" t="b">
        <v>0</v>
      </c>
      <c r="H35" s="99"/>
    </row>
    <row r="36">
      <c r="A36" s="95">
        <v>35.0</v>
      </c>
      <c r="B36" s="95">
        <v>41.0</v>
      </c>
      <c r="C36" s="96" t="s">
        <v>4146</v>
      </c>
      <c r="D36" s="97" t="b">
        <v>1</v>
      </c>
      <c r="E36" s="97" t="b">
        <v>1</v>
      </c>
      <c r="F36" s="97" t="b">
        <v>0</v>
      </c>
      <c r="G36" s="97" t="b">
        <v>0</v>
      </c>
      <c r="H36" s="96"/>
    </row>
    <row r="37">
      <c r="A37" s="98">
        <v>36.0</v>
      </c>
      <c r="B37" s="98">
        <v>42.0</v>
      </c>
      <c r="C37" s="99" t="s">
        <v>4147</v>
      </c>
      <c r="D37" s="100" t="b">
        <v>1</v>
      </c>
      <c r="E37" s="100" t="b">
        <v>1</v>
      </c>
      <c r="F37" s="100" t="b">
        <v>0</v>
      </c>
      <c r="G37" s="100" t="b">
        <v>0</v>
      </c>
      <c r="H37" s="99"/>
    </row>
    <row r="38">
      <c r="A38" s="95">
        <v>37.0</v>
      </c>
      <c r="B38" s="95">
        <v>43.0</v>
      </c>
      <c r="C38" s="96" t="s">
        <v>4148</v>
      </c>
      <c r="D38" s="97" t="b">
        <v>1</v>
      </c>
      <c r="E38" s="97" t="b">
        <v>1</v>
      </c>
      <c r="F38" s="97" t="b">
        <v>0</v>
      </c>
      <c r="G38" s="97" t="b">
        <v>0</v>
      </c>
      <c r="H38" s="96"/>
    </row>
    <row r="39">
      <c r="A39" s="98">
        <v>38.0</v>
      </c>
      <c r="B39" s="98">
        <v>44.0</v>
      </c>
      <c r="C39" s="99" t="s">
        <v>4149</v>
      </c>
      <c r="D39" s="100" t="b">
        <v>1</v>
      </c>
      <c r="E39" s="100" t="b">
        <v>1</v>
      </c>
      <c r="F39" s="100" t="b">
        <v>0</v>
      </c>
      <c r="G39" s="100" t="b">
        <v>0</v>
      </c>
      <c r="H39" s="99"/>
    </row>
    <row r="40">
      <c r="A40" s="95">
        <v>39.0</v>
      </c>
      <c r="B40" s="95">
        <v>45.0</v>
      </c>
      <c r="C40" s="96" t="s">
        <v>4150</v>
      </c>
      <c r="D40" s="97" t="b">
        <v>1</v>
      </c>
      <c r="E40" s="97" t="b">
        <v>1</v>
      </c>
      <c r="F40" s="97" t="b">
        <v>0</v>
      </c>
      <c r="G40" s="97" t="b">
        <v>0</v>
      </c>
      <c r="H40" s="96"/>
    </row>
    <row r="41">
      <c r="A41" s="98">
        <v>40.0</v>
      </c>
      <c r="B41" s="98">
        <v>46.0</v>
      </c>
      <c r="C41" s="99" t="s">
        <v>4151</v>
      </c>
      <c r="D41" s="100" t="b">
        <v>1</v>
      </c>
      <c r="E41" s="100" t="b">
        <v>1</v>
      </c>
      <c r="F41" s="100" t="b">
        <v>0</v>
      </c>
      <c r="G41" s="100" t="b">
        <v>1</v>
      </c>
      <c r="H41" s="99"/>
    </row>
    <row r="42">
      <c r="A42" s="95">
        <v>41.0</v>
      </c>
      <c r="B42" s="95">
        <v>47.0</v>
      </c>
      <c r="C42" s="96" t="s">
        <v>4152</v>
      </c>
      <c r="D42" s="97" t="b">
        <v>1</v>
      </c>
      <c r="E42" s="97" t="b">
        <v>1</v>
      </c>
      <c r="F42" s="97" t="b">
        <v>0</v>
      </c>
      <c r="G42" s="97" t="b">
        <v>1</v>
      </c>
      <c r="H42" s="96"/>
    </row>
    <row r="43">
      <c r="A43" s="98">
        <v>42.0</v>
      </c>
      <c r="B43" s="98">
        <v>48.0</v>
      </c>
      <c r="C43" s="99" t="s">
        <v>4153</v>
      </c>
      <c r="D43" s="100" t="b">
        <v>1</v>
      </c>
      <c r="E43" s="100" t="b">
        <v>1</v>
      </c>
      <c r="F43" s="100" t="b">
        <v>0</v>
      </c>
      <c r="G43" s="100" t="b">
        <v>1</v>
      </c>
      <c r="H43" s="99"/>
    </row>
    <row r="44">
      <c r="A44" s="95">
        <v>43.0</v>
      </c>
      <c r="B44" s="95">
        <v>201.0</v>
      </c>
      <c r="C44" s="96" t="s">
        <v>4154</v>
      </c>
      <c r="D44" s="97" t="b">
        <v>1</v>
      </c>
      <c r="E44" s="97" t="b">
        <v>1</v>
      </c>
      <c r="F44" s="97" t="b">
        <v>0</v>
      </c>
      <c r="G44" s="97" t="b">
        <v>1</v>
      </c>
      <c r="H44" s="96"/>
    </row>
    <row r="45">
      <c r="A45" s="98">
        <v>44.0</v>
      </c>
      <c r="B45" s="98">
        <v>202.0</v>
      </c>
      <c r="C45" s="99" t="s">
        <v>4155</v>
      </c>
      <c r="D45" s="100" t="b">
        <v>1</v>
      </c>
      <c r="E45" s="100" t="b">
        <v>1</v>
      </c>
      <c r="F45" s="100" t="b">
        <v>0</v>
      </c>
      <c r="G45" s="100" t="b">
        <v>1</v>
      </c>
      <c r="H45" s="99"/>
    </row>
    <row r="46">
      <c r="A46" s="95">
        <v>45.0</v>
      </c>
      <c r="B46" s="95">
        <v>203.0</v>
      </c>
      <c r="C46" s="96" t="s">
        <v>4156</v>
      </c>
      <c r="D46" s="97" t="b">
        <v>1</v>
      </c>
      <c r="E46" s="97" t="b">
        <v>1</v>
      </c>
      <c r="F46" s="97" t="b">
        <v>0</v>
      </c>
      <c r="G46" s="97" t="b">
        <v>1</v>
      </c>
      <c r="H46" s="96"/>
    </row>
    <row r="47">
      <c r="A47" s="98">
        <v>46.0</v>
      </c>
      <c r="B47" s="98">
        <v>204.0</v>
      </c>
      <c r="C47" s="99" t="s">
        <v>4157</v>
      </c>
      <c r="D47" s="100" t="b">
        <v>1</v>
      </c>
      <c r="E47" s="100" t="b">
        <v>1</v>
      </c>
      <c r="F47" s="100" t="b">
        <v>0</v>
      </c>
      <c r="G47" s="100" t="b">
        <v>1</v>
      </c>
      <c r="H47" s="99"/>
    </row>
    <row r="48">
      <c r="A48" s="95">
        <v>47.0</v>
      </c>
      <c r="B48" s="95">
        <v>205.0</v>
      </c>
      <c r="C48" s="96" t="s">
        <v>4158</v>
      </c>
      <c r="D48" s="97" t="b">
        <v>1</v>
      </c>
      <c r="E48" s="97" t="b">
        <v>1</v>
      </c>
      <c r="F48" s="97" t="b">
        <v>0</v>
      </c>
      <c r="G48" s="97" t="b">
        <v>1</v>
      </c>
      <c r="H48" s="96"/>
    </row>
    <row r="49">
      <c r="A49" s="98">
        <v>48.0</v>
      </c>
      <c r="B49" s="98">
        <v>207.0</v>
      </c>
      <c r="C49" s="99" t="s">
        <v>4159</v>
      </c>
      <c r="D49" s="100" t="b">
        <v>1</v>
      </c>
      <c r="E49" s="100" t="b">
        <v>1</v>
      </c>
      <c r="F49" s="100" t="b">
        <v>0</v>
      </c>
      <c r="G49" s="100" t="b">
        <v>1</v>
      </c>
      <c r="H49" s="99"/>
    </row>
    <row r="50">
      <c r="A50" s="95">
        <v>49.0</v>
      </c>
      <c r="B50" s="95">
        <v>208.0</v>
      </c>
      <c r="C50" s="96" t="s">
        <v>4160</v>
      </c>
      <c r="D50" s="97" t="b">
        <v>1</v>
      </c>
      <c r="E50" s="97" t="b">
        <v>1</v>
      </c>
      <c r="F50" s="97" t="b">
        <v>0</v>
      </c>
      <c r="G50" s="97" t="b">
        <v>1</v>
      </c>
      <c r="H50" s="96"/>
    </row>
    <row r="51">
      <c r="A51" s="98">
        <v>50.0</v>
      </c>
      <c r="B51" s="98">
        <v>210.0</v>
      </c>
      <c r="C51" s="99" t="s">
        <v>4161</v>
      </c>
      <c r="D51" s="100" t="b">
        <v>1</v>
      </c>
      <c r="E51" s="100" t="b">
        <v>1</v>
      </c>
      <c r="F51" s="100" t="b">
        <v>0</v>
      </c>
      <c r="G51" s="100" t="b">
        <v>1</v>
      </c>
      <c r="H51" s="99"/>
    </row>
    <row r="52">
      <c r="A52" s="95">
        <v>51.0</v>
      </c>
      <c r="B52" s="95">
        <v>211.0</v>
      </c>
      <c r="C52" s="96" t="s">
        <v>4162</v>
      </c>
      <c r="D52" s="97" t="b">
        <v>1</v>
      </c>
      <c r="E52" s="97" t="b">
        <v>1</v>
      </c>
      <c r="F52" s="97" t="b">
        <v>0</v>
      </c>
      <c r="G52" s="97" t="b">
        <v>1</v>
      </c>
      <c r="H52" s="96"/>
    </row>
    <row r="53">
      <c r="A53" s="98">
        <v>52.0</v>
      </c>
      <c r="B53" s="98">
        <v>212.0</v>
      </c>
      <c r="C53" s="99" t="s">
        <v>4163</v>
      </c>
      <c r="D53" s="100" t="b">
        <v>1</v>
      </c>
      <c r="E53" s="100" t="b">
        <v>1</v>
      </c>
      <c r="F53" s="100" t="b">
        <v>0</v>
      </c>
      <c r="G53" s="100" t="b">
        <v>1</v>
      </c>
      <c r="H53" s="99"/>
    </row>
    <row r="54">
      <c r="A54" s="95">
        <v>53.0</v>
      </c>
      <c r="B54" s="95">
        <v>213.0</v>
      </c>
      <c r="C54" s="96" t="s">
        <v>4164</v>
      </c>
      <c r="D54" s="97" t="b">
        <v>1</v>
      </c>
      <c r="E54" s="97" t="b">
        <v>1</v>
      </c>
      <c r="F54" s="97" t="b">
        <v>0</v>
      </c>
      <c r="G54" s="97" t="b">
        <v>1</v>
      </c>
      <c r="H54" s="96"/>
    </row>
    <row r="55">
      <c r="A55" s="98">
        <v>54.0</v>
      </c>
      <c r="B55" s="98">
        <v>214.0</v>
      </c>
      <c r="C55" s="99" t="s">
        <v>4165</v>
      </c>
      <c r="D55" s="100" t="b">
        <v>1</v>
      </c>
      <c r="E55" s="100" t="b">
        <v>1</v>
      </c>
      <c r="F55" s="100" t="b">
        <v>0</v>
      </c>
      <c r="G55" s="100" t="b">
        <v>1</v>
      </c>
      <c r="H55" s="99"/>
    </row>
    <row r="56">
      <c r="A56" s="95">
        <v>55.0</v>
      </c>
      <c r="B56" s="95">
        <v>215.0</v>
      </c>
      <c r="C56" s="96" t="s">
        <v>4166</v>
      </c>
      <c r="D56" s="97" t="b">
        <v>1</v>
      </c>
      <c r="E56" s="97" t="b">
        <v>1</v>
      </c>
      <c r="F56" s="97" t="b">
        <v>0</v>
      </c>
      <c r="G56" s="97" t="b">
        <v>1</v>
      </c>
      <c r="H56" s="96"/>
    </row>
    <row r="57">
      <c r="A57" s="98">
        <v>56.0</v>
      </c>
      <c r="B57" s="98">
        <v>216.0</v>
      </c>
      <c r="C57" s="99" t="s">
        <v>4167</v>
      </c>
      <c r="D57" s="100" t="b">
        <v>1</v>
      </c>
      <c r="E57" s="100" t="b">
        <v>1</v>
      </c>
      <c r="F57" s="100" t="b">
        <v>0</v>
      </c>
      <c r="G57" s="100" t="b">
        <v>1</v>
      </c>
      <c r="H57" s="99"/>
    </row>
    <row r="58">
      <c r="A58" s="95">
        <v>57.0</v>
      </c>
      <c r="B58" s="95">
        <v>217.0</v>
      </c>
      <c r="C58" s="96" t="s">
        <v>4168</v>
      </c>
      <c r="D58" s="97" t="b">
        <v>1</v>
      </c>
      <c r="E58" s="97" t="b">
        <v>1</v>
      </c>
      <c r="F58" s="97" t="b">
        <v>0</v>
      </c>
      <c r="G58" s="97" t="b">
        <v>1</v>
      </c>
      <c r="H58" s="96"/>
    </row>
    <row r="59">
      <c r="A59" s="98">
        <v>58.0</v>
      </c>
      <c r="B59" s="98">
        <v>218.0</v>
      </c>
      <c r="C59" s="99" t="s">
        <v>4169</v>
      </c>
      <c r="D59" s="100" t="b">
        <v>1</v>
      </c>
      <c r="E59" s="100" t="b">
        <v>1</v>
      </c>
      <c r="F59" s="100" t="b">
        <v>0</v>
      </c>
      <c r="G59" s="100" t="b">
        <v>1</v>
      </c>
      <c r="H59" s="99"/>
    </row>
    <row r="60">
      <c r="A60" s="95">
        <v>59.0</v>
      </c>
      <c r="B60" s="95">
        <v>221.0</v>
      </c>
      <c r="C60" s="96" t="s">
        <v>4170</v>
      </c>
      <c r="D60" s="97" t="b">
        <v>1</v>
      </c>
      <c r="E60" s="97" t="b">
        <v>1</v>
      </c>
      <c r="F60" s="97" t="b">
        <v>0</v>
      </c>
      <c r="G60" s="97" t="b">
        <v>1</v>
      </c>
      <c r="H60" s="96"/>
    </row>
    <row r="61">
      <c r="A61" s="98">
        <v>60.0</v>
      </c>
      <c r="B61" s="98">
        <v>222.0</v>
      </c>
      <c r="C61" s="99" t="s">
        <v>4171</v>
      </c>
      <c r="D61" s="100" t="b">
        <v>1</v>
      </c>
      <c r="E61" s="100" t="b">
        <v>1</v>
      </c>
      <c r="F61" s="100" t="b">
        <v>0</v>
      </c>
      <c r="G61" s="100" t="b">
        <v>1</v>
      </c>
      <c r="H61" s="99"/>
    </row>
    <row r="62">
      <c r="A62" s="95">
        <v>61.0</v>
      </c>
      <c r="B62" s="95">
        <v>223.0</v>
      </c>
      <c r="C62" s="96" t="s">
        <v>4172</v>
      </c>
      <c r="D62" s="97" t="b">
        <v>1</v>
      </c>
      <c r="E62" s="97" t="b">
        <v>1</v>
      </c>
      <c r="F62" s="97" t="b">
        <v>0</v>
      </c>
      <c r="G62" s="97" t="b">
        <v>1</v>
      </c>
      <c r="H62" s="96"/>
    </row>
    <row r="63">
      <c r="A63" s="98">
        <v>62.0</v>
      </c>
      <c r="B63" s="98">
        <v>246.0</v>
      </c>
      <c r="C63" s="99" t="s">
        <v>4173</v>
      </c>
      <c r="D63" s="100" t="b">
        <v>1</v>
      </c>
      <c r="E63" s="100" t="b">
        <v>1</v>
      </c>
      <c r="F63" s="100" t="b">
        <v>0</v>
      </c>
      <c r="G63" s="100" t="b">
        <v>1</v>
      </c>
      <c r="H63" s="99"/>
    </row>
    <row r="64">
      <c r="A64" s="95">
        <v>63.0</v>
      </c>
      <c r="B64" s="95">
        <v>247.0</v>
      </c>
      <c r="C64" s="96" t="s">
        <v>4174</v>
      </c>
      <c r="D64" s="97" t="b">
        <v>1</v>
      </c>
      <c r="E64" s="97" t="b">
        <v>0</v>
      </c>
      <c r="F64" s="97" t="b">
        <v>1</v>
      </c>
      <c r="G64" s="97" t="b">
        <v>0</v>
      </c>
      <c r="H64" s="96" t="s">
        <v>4175</v>
      </c>
    </row>
    <row r="65">
      <c r="A65" s="98">
        <v>64.0</v>
      </c>
      <c r="B65" s="98">
        <v>248.0</v>
      </c>
      <c r="C65" s="99" t="s">
        <v>4176</v>
      </c>
      <c r="D65" s="100" t="b">
        <v>0</v>
      </c>
      <c r="E65" s="100" t="b">
        <v>0</v>
      </c>
      <c r="F65" s="100" t="b">
        <v>1</v>
      </c>
      <c r="G65" s="100" t="b">
        <v>0</v>
      </c>
      <c r="H65" s="99" t="s">
        <v>4177</v>
      </c>
    </row>
    <row r="66">
      <c r="A66" s="95">
        <v>65.0</v>
      </c>
      <c r="B66" s="95">
        <v>0.0</v>
      </c>
      <c r="C66" s="96" t="s">
        <v>4178</v>
      </c>
      <c r="D66" s="97" t="b">
        <v>0</v>
      </c>
      <c r="E66" s="97" t="b">
        <v>0</v>
      </c>
      <c r="F66" s="97" t="b">
        <v>1</v>
      </c>
      <c r="G66" s="97" t="b">
        <v>0</v>
      </c>
      <c r="H66" s="96" t="s">
        <v>4179</v>
      </c>
    </row>
    <row r="67">
      <c r="A67" s="98">
        <v>66.0</v>
      </c>
      <c r="B67" s="98">
        <v>99.0</v>
      </c>
      <c r="C67" s="99" t="s">
        <v>4180</v>
      </c>
      <c r="D67" s="100" t="b">
        <v>0</v>
      </c>
      <c r="E67" s="100" t="b">
        <v>0</v>
      </c>
      <c r="F67" s="100" t="b">
        <v>1</v>
      </c>
      <c r="G67" s="100" t="b">
        <v>0</v>
      </c>
      <c r="H67" s="99" t="s">
        <v>4181</v>
      </c>
    </row>
    <row r="68">
      <c r="A68" s="95">
        <v>67.0</v>
      </c>
      <c r="B68" s="95">
        <v>112.0</v>
      </c>
      <c r="C68" s="96" t="s">
        <v>4182</v>
      </c>
      <c r="D68" s="97" t="b">
        <v>0</v>
      </c>
      <c r="E68" s="97" t="b">
        <v>0</v>
      </c>
      <c r="F68" s="97" t="b">
        <v>1</v>
      </c>
      <c r="G68" s="97" t="b">
        <v>0</v>
      </c>
      <c r="H68" s="96" t="s">
        <v>713</v>
      </c>
    </row>
    <row r="69">
      <c r="A69" s="98">
        <v>68.0</v>
      </c>
      <c r="B69" s="98">
        <v>113.0</v>
      </c>
      <c r="C69" s="99" t="s">
        <v>4182</v>
      </c>
      <c r="D69" s="100" t="b">
        <v>0</v>
      </c>
      <c r="E69" s="100" t="b">
        <v>0</v>
      </c>
      <c r="F69" s="100" t="b">
        <v>1</v>
      </c>
      <c r="G69" s="100" t="b">
        <v>0</v>
      </c>
      <c r="H69" s="99" t="s">
        <v>713</v>
      </c>
    </row>
    <row r="70">
      <c r="A70" s="95">
        <v>69.0</v>
      </c>
      <c r="B70" s="95">
        <v>114.0</v>
      </c>
      <c r="C70" s="96" t="s">
        <v>4183</v>
      </c>
      <c r="D70" s="97" t="b">
        <v>0</v>
      </c>
      <c r="E70" s="97" t="b">
        <v>0</v>
      </c>
      <c r="F70" s="97" t="b">
        <v>1</v>
      </c>
      <c r="G70" s="97" t="b">
        <v>0</v>
      </c>
      <c r="H70" s="96" t="s">
        <v>713</v>
      </c>
    </row>
    <row r="71">
      <c r="A71" s="98">
        <v>70.0</v>
      </c>
      <c r="B71" s="98">
        <v>115.0</v>
      </c>
      <c r="C71" s="99" t="s">
        <v>4182</v>
      </c>
      <c r="D71" s="100" t="b">
        <v>0</v>
      </c>
      <c r="E71" s="100" t="b">
        <v>0</v>
      </c>
      <c r="F71" s="100" t="b">
        <v>1</v>
      </c>
      <c r="G71" s="100" t="b">
        <v>0</v>
      </c>
      <c r="H71" s="99" t="s">
        <v>713</v>
      </c>
    </row>
    <row r="72">
      <c r="A72" s="95">
        <v>71.0</v>
      </c>
      <c r="B72" s="95">
        <v>116.0</v>
      </c>
      <c r="C72" s="96" t="s">
        <v>4184</v>
      </c>
      <c r="D72" s="97" t="b">
        <v>0</v>
      </c>
      <c r="E72" s="97" t="b">
        <v>0</v>
      </c>
      <c r="F72" s="97" t="b">
        <v>1</v>
      </c>
      <c r="G72" s="97" t="b">
        <v>0</v>
      </c>
      <c r="H72" s="96" t="s">
        <v>713</v>
      </c>
    </row>
    <row r="73">
      <c r="A73" s="98">
        <v>72.0</v>
      </c>
      <c r="B73" s="98">
        <v>117.0</v>
      </c>
      <c r="C73" s="99" t="s">
        <v>4185</v>
      </c>
      <c r="D73" s="100" t="b">
        <v>0</v>
      </c>
      <c r="E73" s="100" t="b">
        <v>0</v>
      </c>
      <c r="F73" s="100" t="b">
        <v>1</v>
      </c>
      <c r="G73" s="100" t="b">
        <v>0</v>
      </c>
      <c r="H73" s="99" t="s">
        <v>4186</v>
      </c>
    </row>
    <row r="74">
      <c r="A74" s="95">
        <v>73.0</v>
      </c>
      <c r="B74" s="95">
        <v>118.0</v>
      </c>
      <c r="C74" s="96" t="s">
        <v>4187</v>
      </c>
      <c r="D74" s="97" t="b">
        <v>0</v>
      </c>
      <c r="E74" s="97" t="b">
        <v>0</v>
      </c>
      <c r="F74" s="97" t="b">
        <v>1</v>
      </c>
      <c r="G74" s="97" t="b">
        <v>0</v>
      </c>
      <c r="H74" s="96" t="s">
        <v>4188</v>
      </c>
    </row>
    <row r="75">
      <c r="A75" s="98">
        <v>74.0</v>
      </c>
      <c r="B75" s="98">
        <v>119.0</v>
      </c>
      <c r="C75" s="99" t="s">
        <v>4189</v>
      </c>
      <c r="D75" s="100" t="b">
        <v>0</v>
      </c>
      <c r="E75" s="100" t="b">
        <v>0</v>
      </c>
      <c r="F75" s="100" t="b">
        <v>1</v>
      </c>
      <c r="G75" s="100" t="b">
        <v>0</v>
      </c>
      <c r="H75" s="99" t="s">
        <v>4190</v>
      </c>
    </row>
    <row r="76">
      <c r="A76" s="95">
        <v>75.0</v>
      </c>
      <c r="B76" s="95">
        <v>608.0</v>
      </c>
      <c r="C76" s="96" t="s">
        <v>4191</v>
      </c>
      <c r="D76" s="97" t="b">
        <v>1</v>
      </c>
      <c r="E76" s="97" t="b">
        <v>0</v>
      </c>
      <c r="F76" s="97" t="b">
        <v>0</v>
      </c>
      <c r="G76" s="97" t="b">
        <v>0</v>
      </c>
      <c r="H76" s="96" t="s">
        <v>4192</v>
      </c>
    </row>
    <row r="77">
      <c r="A77" s="98">
        <v>76.0</v>
      </c>
      <c r="B77" s="98">
        <v>615.0</v>
      </c>
      <c r="C77" s="99" t="s">
        <v>4183</v>
      </c>
      <c r="D77" s="100" t="b">
        <v>1</v>
      </c>
      <c r="E77" s="100" t="b">
        <v>0</v>
      </c>
      <c r="F77" s="100" t="b">
        <v>0</v>
      </c>
      <c r="G77" s="100" t="b">
        <v>0</v>
      </c>
      <c r="H77" s="99" t="s">
        <v>4192</v>
      </c>
    </row>
    <row r="78">
      <c r="A78" s="95">
        <v>77.0</v>
      </c>
      <c r="B78" s="95">
        <v>620.0</v>
      </c>
      <c r="C78" s="96" t="s">
        <v>4128</v>
      </c>
      <c r="D78" s="97" t="b">
        <v>1</v>
      </c>
      <c r="E78" s="97" t="b">
        <v>0</v>
      </c>
      <c r="F78" s="97" t="b">
        <v>0</v>
      </c>
      <c r="G78" s="97" t="b">
        <v>0</v>
      </c>
      <c r="H78" s="96" t="s">
        <v>4192</v>
      </c>
    </row>
    <row r="79">
      <c r="A79" s="98">
        <v>78.0</v>
      </c>
      <c r="B79" s="98">
        <v>621.0</v>
      </c>
      <c r="C79" s="99" t="s">
        <v>4193</v>
      </c>
      <c r="D79" s="100" t="b">
        <v>1</v>
      </c>
      <c r="E79" s="100" t="b">
        <v>0</v>
      </c>
      <c r="F79" s="100" t="b">
        <v>0</v>
      </c>
      <c r="G79" s="100" t="b">
        <v>0</v>
      </c>
      <c r="H79" s="99" t="s">
        <v>4192</v>
      </c>
    </row>
    <row r="80">
      <c r="A80" s="95">
        <v>79.0</v>
      </c>
      <c r="B80" s="95">
        <v>808.0</v>
      </c>
      <c r="C80" s="96" t="s">
        <v>4160</v>
      </c>
      <c r="D80" s="97" t="b">
        <v>1</v>
      </c>
      <c r="E80" s="97" t="b">
        <v>0</v>
      </c>
      <c r="F80" s="97" t="b">
        <v>0</v>
      </c>
      <c r="G80" s="97" t="b">
        <v>0</v>
      </c>
      <c r="H80" s="96" t="s">
        <v>4192</v>
      </c>
    </row>
    <row r="81">
      <c r="A81" s="98">
        <v>80.0</v>
      </c>
      <c r="B81" s="98">
        <v>815.0</v>
      </c>
      <c r="C81" s="99" t="s">
        <v>4194</v>
      </c>
      <c r="D81" s="100" t="b">
        <v>1</v>
      </c>
      <c r="E81" s="100" t="b">
        <v>0</v>
      </c>
      <c r="F81" s="100" t="b">
        <v>0</v>
      </c>
      <c r="G81" s="100" t="b">
        <v>0</v>
      </c>
      <c r="H81" s="99" t="s">
        <v>4192</v>
      </c>
    </row>
    <row r="82">
      <c r="A82" s="95">
        <v>81.0</v>
      </c>
      <c r="B82" s="95">
        <v>821.0</v>
      </c>
      <c r="C82" s="96" t="s">
        <v>4170</v>
      </c>
      <c r="D82" s="97" t="b">
        <v>1</v>
      </c>
      <c r="E82" s="97" t="b">
        <v>0</v>
      </c>
      <c r="F82" s="97" t="b">
        <v>0</v>
      </c>
      <c r="G82" s="97" t="b">
        <v>0</v>
      </c>
      <c r="H82" s="96" t="s">
        <v>4192</v>
      </c>
    </row>
    <row r="83">
      <c r="A83" s="98">
        <v>82.0</v>
      </c>
      <c r="B83" s="98" t="s">
        <v>4195</v>
      </c>
      <c r="C83" s="99" t="s">
        <v>4196</v>
      </c>
      <c r="D83" s="100" t="b">
        <v>0</v>
      </c>
      <c r="E83" s="100" t="b">
        <v>0</v>
      </c>
      <c r="F83" s="100" t="b">
        <v>1</v>
      </c>
      <c r="G83" s="100" t="b">
        <v>0</v>
      </c>
      <c r="H83" s="99" t="s">
        <v>713</v>
      </c>
    </row>
    <row r="84">
      <c r="A84" s="95">
        <v>83.0</v>
      </c>
      <c r="B84" s="95" t="s">
        <v>4197</v>
      </c>
      <c r="C84" s="96" t="s">
        <v>4178</v>
      </c>
      <c r="D84" s="97" t="b">
        <v>0</v>
      </c>
      <c r="E84" s="97" t="b">
        <v>0</v>
      </c>
      <c r="F84" s="97" t="b">
        <v>0</v>
      </c>
      <c r="G84" s="97" t="b">
        <v>0</v>
      </c>
      <c r="H84" s="96" t="s">
        <v>4198</v>
      </c>
    </row>
  </sheetData>
  <autoFilter ref="$A$1:$H$8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0.75"/>
  </cols>
  <sheetData>
    <row r="1">
      <c r="A1" s="42" t="s">
        <v>4199</v>
      </c>
      <c r="B1" s="42" t="s">
        <v>4200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44">
        <v>1.0</v>
      </c>
      <c r="B2" s="44">
        <v>10800.0</v>
      </c>
    </row>
    <row r="3">
      <c r="A3" s="46">
        <v>2.0</v>
      </c>
      <c r="B3" s="46">
        <v>10300.0</v>
      </c>
    </row>
    <row r="4">
      <c r="A4" s="44">
        <v>3.0</v>
      </c>
      <c r="B4" s="44">
        <v>9800.0</v>
      </c>
    </row>
    <row r="5">
      <c r="A5" s="46">
        <v>4.0</v>
      </c>
      <c r="B5" s="46">
        <v>9300.0</v>
      </c>
    </row>
    <row r="6">
      <c r="A6" s="44">
        <v>5.0</v>
      </c>
      <c r="B6" s="44">
        <v>8800.0</v>
      </c>
    </row>
    <row r="7">
      <c r="A7" s="46">
        <v>6.0</v>
      </c>
      <c r="B7" s="46">
        <v>8700.0</v>
      </c>
    </row>
    <row r="8">
      <c r="A8" s="44">
        <v>7.0</v>
      </c>
      <c r="B8" s="44">
        <v>8600.0</v>
      </c>
    </row>
    <row r="9">
      <c r="A9" s="46">
        <v>8.0</v>
      </c>
      <c r="B9" s="46">
        <v>8500.0</v>
      </c>
    </row>
    <row r="10">
      <c r="A10" s="44">
        <v>9.0</v>
      </c>
      <c r="B10" s="44">
        <v>8400.0</v>
      </c>
    </row>
    <row r="11">
      <c r="A11" s="46">
        <v>10.0</v>
      </c>
      <c r="B11" s="46">
        <v>8300.0</v>
      </c>
    </row>
    <row r="12">
      <c r="A12" s="44">
        <v>11.0</v>
      </c>
      <c r="B12" s="44">
        <v>8200.0</v>
      </c>
    </row>
    <row r="13">
      <c r="A13" s="46">
        <v>12.0</v>
      </c>
      <c r="B13" s="46">
        <v>8100.0</v>
      </c>
    </row>
    <row r="14">
      <c r="A14" s="44">
        <v>13.0</v>
      </c>
      <c r="B14" s="44">
        <v>8000.0</v>
      </c>
    </row>
    <row r="15">
      <c r="A15" s="46">
        <v>14.0</v>
      </c>
      <c r="B15" s="46">
        <v>7900.0</v>
      </c>
    </row>
    <row r="16">
      <c r="A16" s="44">
        <v>15.0</v>
      </c>
      <c r="B16" s="44">
        <v>7800.0</v>
      </c>
    </row>
    <row r="17">
      <c r="A17" s="46">
        <v>16.0</v>
      </c>
      <c r="B17" s="46">
        <v>7700.0</v>
      </c>
    </row>
    <row r="18">
      <c r="A18" s="44">
        <v>17.0</v>
      </c>
      <c r="B18" s="44">
        <v>7600.0</v>
      </c>
    </row>
    <row r="19">
      <c r="A19" s="46">
        <v>18.0</v>
      </c>
      <c r="B19" s="46">
        <v>7500.0</v>
      </c>
    </row>
    <row r="20">
      <c r="A20" s="44">
        <v>19.0</v>
      </c>
      <c r="B20" s="44">
        <v>7400.0</v>
      </c>
    </row>
    <row r="21">
      <c r="A21" s="46">
        <v>20.0</v>
      </c>
      <c r="B21" s="46">
        <v>7300.0</v>
      </c>
    </row>
    <row r="22">
      <c r="A22" s="44">
        <v>21.0</v>
      </c>
      <c r="B22" s="44">
        <v>7200.0</v>
      </c>
    </row>
    <row r="23">
      <c r="A23" s="46">
        <v>22.0</v>
      </c>
      <c r="B23" s="46">
        <v>7100.0</v>
      </c>
    </row>
    <row r="24">
      <c r="A24" s="44">
        <v>23.0</v>
      </c>
      <c r="B24" s="44">
        <v>7000.0</v>
      </c>
    </row>
    <row r="25">
      <c r="A25" s="46">
        <v>24.0</v>
      </c>
      <c r="B25" s="46">
        <v>6900.0</v>
      </c>
    </row>
    <row r="26">
      <c r="A26" s="44">
        <v>25.0</v>
      </c>
      <c r="B26" s="44">
        <v>6800.0</v>
      </c>
    </row>
    <row r="27">
      <c r="A27" s="46">
        <v>26.0</v>
      </c>
      <c r="B27" s="46">
        <v>6700.0</v>
      </c>
    </row>
    <row r="28">
      <c r="A28" s="44">
        <v>27.0</v>
      </c>
      <c r="B28" s="44">
        <v>6600.0</v>
      </c>
    </row>
    <row r="29">
      <c r="A29" s="46">
        <v>28.0</v>
      </c>
      <c r="B29" s="46">
        <v>6500.0</v>
      </c>
    </row>
    <row r="30">
      <c r="A30" s="44">
        <v>29.0</v>
      </c>
      <c r="B30" s="44">
        <v>6400.0</v>
      </c>
    </row>
    <row r="31">
      <c r="A31" s="46">
        <v>30.0</v>
      </c>
      <c r="B31" s="46">
        <v>6300.0</v>
      </c>
    </row>
    <row r="32">
      <c r="A32" s="44">
        <v>31.0</v>
      </c>
      <c r="B32" s="44">
        <v>6200.0</v>
      </c>
    </row>
    <row r="33">
      <c r="A33" s="46">
        <v>32.0</v>
      </c>
      <c r="B33" s="46">
        <v>6100.0</v>
      </c>
    </row>
    <row r="34">
      <c r="A34" s="44">
        <v>33.0</v>
      </c>
      <c r="B34" s="44">
        <v>6000.0</v>
      </c>
    </row>
    <row r="35">
      <c r="A35" s="46">
        <v>34.0</v>
      </c>
      <c r="B35" s="46">
        <v>5900.0</v>
      </c>
    </row>
    <row r="36">
      <c r="A36" s="44">
        <v>35.0</v>
      </c>
      <c r="B36" s="44">
        <v>5800.0</v>
      </c>
    </row>
    <row r="37">
      <c r="A37" s="46">
        <v>36.0</v>
      </c>
      <c r="B37" s="46">
        <v>5700.0</v>
      </c>
    </row>
    <row r="38">
      <c r="A38" s="44">
        <v>37.0</v>
      </c>
      <c r="B38" s="44">
        <v>5600.0</v>
      </c>
    </row>
    <row r="39">
      <c r="A39" s="46">
        <v>38.0</v>
      </c>
      <c r="B39" s="46">
        <v>5500.0</v>
      </c>
    </row>
    <row r="40">
      <c r="A40" s="44">
        <v>39.0</v>
      </c>
      <c r="B40" s="44">
        <v>5400.0</v>
      </c>
    </row>
    <row r="41">
      <c r="A41" s="46">
        <v>40.0</v>
      </c>
      <c r="B41" s="46">
        <v>5300.0</v>
      </c>
    </row>
    <row r="42">
      <c r="A42" s="44">
        <v>41.0</v>
      </c>
      <c r="B42" s="44">
        <v>5200.0</v>
      </c>
    </row>
    <row r="43">
      <c r="A43" s="46">
        <v>42.0</v>
      </c>
      <c r="B43" s="46">
        <v>5100.0</v>
      </c>
    </row>
    <row r="44">
      <c r="A44" s="44">
        <v>43.0</v>
      </c>
      <c r="B44" s="44">
        <v>5000.0</v>
      </c>
    </row>
    <row r="45">
      <c r="A45" s="46">
        <v>44.0</v>
      </c>
      <c r="B45" s="46">
        <v>4900.0</v>
      </c>
    </row>
    <row r="46">
      <c r="A46" s="44">
        <v>45.0</v>
      </c>
      <c r="B46" s="44">
        <v>4800.0</v>
      </c>
    </row>
    <row r="47">
      <c r="A47" s="46">
        <v>46.0</v>
      </c>
      <c r="B47" s="46">
        <v>4700.0</v>
      </c>
    </row>
    <row r="48">
      <c r="A48" s="44">
        <v>47.0</v>
      </c>
      <c r="B48" s="44">
        <v>4600.0</v>
      </c>
    </row>
    <row r="49">
      <c r="A49" s="46">
        <v>48.0</v>
      </c>
      <c r="B49" s="46">
        <v>4500.0</v>
      </c>
    </row>
    <row r="50">
      <c r="A50" s="44">
        <v>49.0</v>
      </c>
      <c r="B50" s="44">
        <v>4400.0</v>
      </c>
    </row>
    <row r="51">
      <c r="A51" s="46">
        <v>50.0</v>
      </c>
      <c r="B51" s="46">
        <v>4300.0</v>
      </c>
    </row>
    <row r="52">
      <c r="A52" s="44">
        <v>51.0</v>
      </c>
      <c r="B52" s="44">
        <v>4292.0</v>
      </c>
    </row>
    <row r="53">
      <c r="A53" s="46">
        <v>52.0</v>
      </c>
      <c r="B53" s="46">
        <v>4284.0</v>
      </c>
    </row>
    <row r="54">
      <c r="A54" s="44">
        <v>53.0</v>
      </c>
      <c r="B54" s="44">
        <v>4276.0</v>
      </c>
    </row>
    <row r="55">
      <c r="A55" s="46">
        <v>54.0</v>
      </c>
      <c r="B55" s="46">
        <v>4268.0</v>
      </c>
    </row>
    <row r="56">
      <c r="A56" s="44">
        <v>55.0</v>
      </c>
      <c r="B56" s="44">
        <v>4260.0</v>
      </c>
    </row>
    <row r="57">
      <c r="A57" s="46">
        <v>56.0</v>
      </c>
      <c r="B57" s="46">
        <v>4252.0</v>
      </c>
    </row>
    <row r="58">
      <c r="A58" s="44">
        <v>57.0</v>
      </c>
      <c r="B58" s="44">
        <v>4244.0</v>
      </c>
    </row>
    <row r="59">
      <c r="A59" s="46">
        <v>58.0</v>
      </c>
      <c r="B59" s="46">
        <v>4236.0</v>
      </c>
    </row>
    <row r="60">
      <c r="A60" s="44">
        <v>59.0</v>
      </c>
      <c r="B60" s="44">
        <v>4228.0</v>
      </c>
    </row>
    <row r="61">
      <c r="A61" s="46">
        <v>60.0</v>
      </c>
      <c r="B61" s="46">
        <v>4220.0</v>
      </c>
    </row>
    <row r="62">
      <c r="A62" s="44">
        <v>61.0</v>
      </c>
      <c r="B62" s="44">
        <v>4212.0</v>
      </c>
    </row>
    <row r="63">
      <c r="A63" s="46">
        <v>62.0</v>
      </c>
      <c r="B63" s="46">
        <v>4204.0</v>
      </c>
    </row>
    <row r="64">
      <c r="A64" s="44">
        <v>63.0</v>
      </c>
      <c r="B64" s="44">
        <v>4196.0</v>
      </c>
    </row>
    <row r="65">
      <c r="A65" s="46">
        <v>64.0</v>
      </c>
      <c r="B65" s="46">
        <v>4188.0</v>
      </c>
    </row>
    <row r="66">
      <c r="A66" s="44">
        <v>65.0</v>
      </c>
      <c r="B66" s="44">
        <v>4180.0</v>
      </c>
    </row>
    <row r="67">
      <c r="A67" s="46">
        <v>66.0</v>
      </c>
      <c r="B67" s="46">
        <v>4172.0</v>
      </c>
    </row>
    <row r="68">
      <c r="A68" s="44">
        <v>67.0</v>
      </c>
      <c r="B68" s="44">
        <v>4164.0</v>
      </c>
    </row>
    <row r="69">
      <c r="A69" s="46">
        <v>68.0</v>
      </c>
      <c r="B69" s="46">
        <v>4156.0</v>
      </c>
    </row>
    <row r="70">
      <c r="A70" s="44">
        <v>69.0</v>
      </c>
      <c r="B70" s="44">
        <v>4148.0</v>
      </c>
    </row>
    <row r="71">
      <c r="A71" s="46">
        <v>70.0</v>
      </c>
      <c r="B71" s="46">
        <v>4140.0</v>
      </c>
    </row>
    <row r="72">
      <c r="A72" s="44">
        <v>71.0</v>
      </c>
      <c r="B72" s="44">
        <v>4132.0</v>
      </c>
    </row>
    <row r="73">
      <c r="A73" s="46">
        <v>72.0</v>
      </c>
      <c r="B73" s="46">
        <v>4124.0</v>
      </c>
    </row>
    <row r="74">
      <c r="A74" s="44">
        <v>73.0</v>
      </c>
      <c r="B74" s="44">
        <v>4116.0</v>
      </c>
    </row>
    <row r="75">
      <c r="A75" s="46">
        <v>74.0</v>
      </c>
      <c r="B75" s="46">
        <v>4108.0</v>
      </c>
    </row>
    <row r="76">
      <c r="A76" s="44">
        <v>75.0</v>
      </c>
      <c r="B76" s="44">
        <v>4100.0</v>
      </c>
    </row>
    <row r="77">
      <c r="A77" s="46">
        <v>76.0</v>
      </c>
      <c r="B77" s="46">
        <v>4092.0</v>
      </c>
    </row>
    <row r="78">
      <c r="A78" s="44">
        <v>77.0</v>
      </c>
      <c r="B78" s="44">
        <v>4084.0</v>
      </c>
    </row>
    <row r="79">
      <c r="A79" s="46">
        <v>78.0</v>
      </c>
      <c r="B79" s="46">
        <v>4076.0</v>
      </c>
    </row>
    <row r="80">
      <c r="A80" s="44">
        <v>79.0</v>
      </c>
      <c r="B80" s="44">
        <v>4068.0</v>
      </c>
    </row>
    <row r="81">
      <c r="A81" s="46">
        <v>80.0</v>
      </c>
      <c r="B81" s="46">
        <v>4060.0</v>
      </c>
    </row>
    <row r="82">
      <c r="A82" s="44">
        <v>81.0</v>
      </c>
      <c r="B82" s="44">
        <v>4052.0</v>
      </c>
    </row>
    <row r="83">
      <c r="A83" s="46">
        <v>82.0</v>
      </c>
      <c r="B83" s="46">
        <v>4044.0</v>
      </c>
    </row>
    <row r="84">
      <c r="A84" s="44">
        <v>83.0</v>
      </c>
      <c r="B84" s="44">
        <v>4036.0</v>
      </c>
    </row>
    <row r="85">
      <c r="A85" s="46">
        <v>84.0</v>
      </c>
      <c r="B85" s="46">
        <v>4028.0</v>
      </c>
    </row>
    <row r="86">
      <c r="A86" s="44">
        <v>85.0</v>
      </c>
      <c r="B86" s="44">
        <v>4020.0</v>
      </c>
    </row>
    <row r="87">
      <c r="A87" s="46">
        <v>86.0</v>
      </c>
      <c r="B87" s="46">
        <v>4012.0</v>
      </c>
    </row>
    <row r="88">
      <c r="A88" s="44">
        <v>87.0</v>
      </c>
      <c r="B88" s="44">
        <v>4004.0</v>
      </c>
    </row>
    <row r="89">
      <c r="A89" s="46">
        <v>88.0</v>
      </c>
      <c r="B89" s="46">
        <v>3996.0</v>
      </c>
    </row>
    <row r="90">
      <c r="A90" s="44">
        <v>89.0</v>
      </c>
      <c r="B90" s="44">
        <v>3988.0</v>
      </c>
    </row>
    <row r="91">
      <c r="A91" s="46">
        <v>90.0</v>
      </c>
      <c r="B91" s="46">
        <v>3980.0</v>
      </c>
    </row>
    <row r="92">
      <c r="A92" s="44">
        <v>91.0</v>
      </c>
      <c r="B92" s="44">
        <v>3972.0</v>
      </c>
    </row>
    <row r="93">
      <c r="A93" s="46">
        <v>92.0</v>
      </c>
      <c r="B93" s="46">
        <v>3964.0</v>
      </c>
    </row>
    <row r="94">
      <c r="A94" s="44">
        <v>93.0</v>
      </c>
      <c r="B94" s="44">
        <v>3956.0</v>
      </c>
    </row>
    <row r="95">
      <c r="A95" s="46">
        <v>94.0</v>
      </c>
      <c r="B95" s="46">
        <v>3948.0</v>
      </c>
    </row>
    <row r="96">
      <c r="A96" s="44">
        <v>95.0</v>
      </c>
      <c r="B96" s="44">
        <v>3940.0</v>
      </c>
    </row>
    <row r="97">
      <c r="A97" s="46">
        <v>96.0</v>
      </c>
      <c r="B97" s="46">
        <v>3932.0</v>
      </c>
    </row>
    <row r="98">
      <c r="A98" s="44">
        <v>97.0</v>
      </c>
      <c r="B98" s="44">
        <v>3924.0</v>
      </c>
    </row>
    <row r="99">
      <c r="A99" s="46">
        <v>98.0</v>
      </c>
      <c r="B99" s="46">
        <v>3916.0</v>
      </c>
    </row>
    <row r="100">
      <c r="A100" s="44">
        <v>99.0</v>
      </c>
      <c r="B100" s="44">
        <v>3908.0</v>
      </c>
    </row>
    <row r="101">
      <c r="A101" s="46">
        <v>100.0</v>
      </c>
      <c r="B101" s="46">
        <v>3900.0</v>
      </c>
    </row>
    <row r="102">
      <c r="A102" s="44">
        <v>101.0</v>
      </c>
      <c r="B102" s="44">
        <v>3892.0</v>
      </c>
    </row>
    <row r="103">
      <c r="A103" s="46">
        <v>102.0</v>
      </c>
      <c r="B103" s="46">
        <v>3884.0</v>
      </c>
    </row>
    <row r="104">
      <c r="A104" s="44">
        <v>103.0</v>
      </c>
      <c r="B104" s="44">
        <v>3876.0</v>
      </c>
    </row>
    <row r="105">
      <c r="A105" s="46">
        <v>104.0</v>
      </c>
      <c r="B105" s="46">
        <v>3868.0</v>
      </c>
    </row>
    <row r="106">
      <c r="A106" s="44">
        <v>105.0</v>
      </c>
      <c r="B106" s="44">
        <v>3860.0</v>
      </c>
    </row>
    <row r="107">
      <c r="A107" s="46">
        <v>106.0</v>
      </c>
      <c r="B107" s="46">
        <v>3852.0</v>
      </c>
    </row>
    <row r="108">
      <c r="A108" s="44">
        <v>107.0</v>
      </c>
      <c r="B108" s="44">
        <v>3844.0</v>
      </c>
    </row>
    <row r="109">
      <c r="A109" s="46">
        <v>108.0</v>
      </c>
      <c r="B109" s="46">
        <v>3836.0</v>
      </c>
    </row>
    <row r="110">
      <c r="A110" s="44">
        <v>109.0</v>
      </c>
      <c r="B110" s="44">
        <v>3828.0</v>
      </c>
    </row>
    <row r="111">
      <c r="A111" s="46">
        <v>110.0</v>
      </c>
      <c r="B111" s="46">
        <v>3820.0</v>
      </c>
    </row>
    <row r="112">
      <c r="A112" s="44">
        <v>111.0</v>
      </c>
      <c r="B112" s="44">
        <v>3812.0</v>
      </c>
    </row>
    <row r="113">
      <c r="A113" s="46">
        <v>112.0</v>
      </c>
      <c r="B113" s="46">
        <v>3804.0</v>
      </c>
    </row>
    <row r="114">
      <c r="A114" s="44">
        <v>113.0</v>
      </c>
      <c r="B114" s="44">
        <v>3796.0</v>
      </c>
    </row>
    <row r="115">
      <c r="A115" s="46">
        <v>114.0</v>
      </c>
      <c r="B115" s="46">
        <v>3788.0</v>
      </c>
    </row>
    <row r="116">
      <c r="A116" s="44">
        <v>115.0</v>
      </c>
      <c r="B116" s="44">
        <v>3780.0</v>
      </c>
    </row>
    <row r="117">
      <c r="A117" s="46">
        <v>116.0</v>
      </c>
      <c r="B117" s="46">
        <v>3772.0</v>
      </c>
    </row>
    <row r="118">
      <c r="A118" s="44">
        <v>117.0</v>
      </c>
      <c r="B118" s="44">
        <v>3764.0</v>
      </c>
    </row>
    <row r="119">
      <c r="A119" s="46">
        <v>118.0</v>
      </c>
      <c r="B119" s="46">
        <v>3756.0</v>
      </c>
    </row>
    <row r="120">
      <c r="A120" s="44">
        <v>119.0</v>
      </c>
      <c r="B120" s="44">
        <v>3748.0</v>
      </c>
    </row>
    <row r="121">
      <c r="A121" s="46">
        <v>120.0</v>
      </c>
      <c r="B121" s="46">
        <v>3740.0</v>
      </c>
    </row>
    <row r="122">
      <c r="A122" s="44">
        <v>121.0</v>
      </c>
      <c r="B122" s="44">
        <v>3732.0</v>
      </c>
    </row>
    <row r="123">
      <c r="A123" s="46">
        <v>122.0</v>
      </c>
      <c r="B123" s="46">
        <v>3724.0</v>
      </c>
    </row>
    <row r="124">
      <c r="A124" s="44">
        <v>123.0</v>
      </c>
      <c r="B124" s="44">
        <v>3716.0</v>
      </c>
    </row>
    <row r="125">
      <c r="A125" s="46">
        <v>124.0</v>
      </c>
      <c r="B125" s="46">
        <v>3708.0</v>
      </c>
    </row>
    <row r="126">
      <c r="A126" s="44">
        <v>125.0</v>
      </c>
      <c r="B126" s="44">
        <v>3700.0</v>
      </c>
    </row>
    <row r="127">
      <c r="A127" s="46">
        <v>126.0</v>
      </c>
      <c r="B127" s="46">
        <v>3692.0</v>
      </c>
    </row>
    <row r="128">
      <c r="A128" s="44">
        <v>127.0</v>
      </c>
      <c r="B128" s="44">
        <v>3684.0</v>
      </c>
    </row>
    <row r="129">
      <c r="A129" s="46">
        <v>128.0</v>
      </c>
      <c r="B129" s="46">
        <v>3676.0</v>
      </c>
    </row>
    <row r="130">
      <c r="A130" s="44">
        <v>129.0</v>
      </c>
      <c r="B130" s="44">
        <v>3668.0</v>
      </c>
    </row>
    <row r="131">
      <c r="A131" s="46">
        <v>130.0</v>
      </c>
      <c r="B131" s="46">
        <v>3660.0</v>
      </c>
    </row>
    <row r="132">
      <c r="A132" s="44">
        <v>131.0</v>
      </c>
      <c r="B132" s="44">
        <v>3652.0</v>
      </c>
    </row>
    <row r="133">
      <c r="A133" s="46">
        <v>132.0</v>
      </c>
      <c r="B133" s="46">
        <v>3644.0</v>
      </c>
    </row>
    <row r="134">
      <c r="A134" s="44">
        <v>133.0</v>
      </c>
      <c r="B134" s="44">
        <v>3636.0</v>
      </c>
    </row>
    <row r="135">
      <c r="A135" s="46">
        <v>134.0</v>
      </c>
      <c r="B135" s="46">
        <v>3628.0</v>
      </c>
    </row>
    <row r="136">
      <c r="A136" s="44">
        <v>135.0</v>
      </c>
      <c r="B136" s="44">
        <v>3620.0</v>
      </c>
    </row>
    <row r="137">
      <c r="A137" s="46">
        <v>136.0</v>
      </c>
      <c r="B137" s="46">
        <v>3612.0</v>
      </c>
    </row>
    <row r="138">
      <c r="A138" s="44">
        <v>137.0</v>
      </c>
      <c r="B138" s="44">
        <v>3604.0</v>
      </c>
    </row>
    <row r="139">
      <c r="A139" s="46">
        <v>138.0</v>
      </c>
      <c r="B139" s="46">
        <v>3596.0</v>
      </c>
    </row>
    <row r="140">
      <c r="A140" s="44">
        <v>139.0</v>
      </c>
      <c r="B140" s="44">
        <v>3588.0</v>
      </c>
    </row>
    <row r="141">
      <c r="A141" s="46">
        <v>140.0</v>
      </c>
      <c r="B141" s="46">
        <v>3580.0</v>
      </c>
    </row>
    <row r="142">
      <c r="A142" s="44">
        <v>141.0</v>
      </c>
      <c r="B142" s="44">
        <v>3572.0</v>
      </c>
    </row>
    <row r="143">
      <c r="A143" s="46">
        <v>142.0</v>
      </c>
      <c r="B143" s="46">
        <v>3564.0</v>
      </c>
    </row>
    <row r="144">
      <c r="A144" s="44">
        <v>143.0</v>
      </c>
      <c r="B144" s="44">
        <v>3556.0</v>
      </c>
    </row>
    <row r="145">
      <c r="A145" s="46">
        <v>144.0</v>
      </c>
      <c r="B145" s="46">
        <v>3548.0</v>
      </c>
    </row>
    <row r="146">
      <c r="A146" s="44">
        <v>145.0</v>
      </c>
      <c r="B146" s="44">
        <v>3540.0</v>
      </c>
    </row>
    <row r="147">
      <c r="A147" s="46">
        <v>146.0</v>
      </c>
      <c r="B147" s="46">
        <v>3532.0</v>
      </c>
    </row>
    <row r="148">
      <c r="A148" s="44">
        <v>147.0</v>
      </c>
      <c r="B148" s="44">
        <v>3524.0</v>
      </c>
    </row>
    <row r="149">
      <c r="A149" s="46">
        <v>148.0</v>
      </c>
      <c r="B149" s="46">
        <v>3516.0</v>
      </c>
    </row>
    <row r="150">
      <c r="A150" s="44">
        <v>149.0</v>
      </c>
      <c r="B150" s="44">
        <v>3508.0</v>
      </c>
    </row>
    <row r="151">
      <c r="A151" s="46">
        <v>150.0</v>
      </c>
      <c r="B151" s="46">
        <v>3500.0</v>
      </c>
    </row>
    <row r="152">
      <c r="A152" s="44">
        <v>151.0</v>
      </c>
      <c r="B152" s="44">
        <v>3492.0</v>
      </c>
    </row>
    <row r="153">
      <c r="A153" s="46">
        <v>152.0</v>
      </c>
      <c r="B153" s="46">
        <v>3484.0</v>
      </c>
    </row>
    <row r="154">
      <c r="A154" s="44">
        <v>153.0</v>
      </c>
      <c r="B154" s="44">
        <v>3476.0</v>
      </c>
    </row>
    <row r="155">
      <c r="A155" s="46">
        <v>154.0</v>
      </c>
      <c r="B155" s="46">
        <v>3468.0</v>
      </c>
    </row>
    <row r="156">
      <c r="A156" s="44">
        <v>155.0</v>
      </c>
      <c r="B156" s="44">
        <v>3460.0</v>
      </c>
    </row>
    <row r="157">
      <c r="A157" s="46">
        <v>156.0</v>
      </c>
      <c r="B157" s="46">
        <v>3452.0</v>
      </c>
    </row>
    <row r="158">
      <c r="A158" s="44">
        <v>157.0</v>
      </c>
      <c r="B158" s="44">
        <v>3444.0</v>
      </c>
    </row>
    <row r="159">
      <c r="A159" s="46">
        <v>158.0</v>
      </c>
      <c r="B159" s="46">
        <v>3436.0</v>
      </c>
    </row>
    <row r="160">
      <c r="A160" s="44">
        <v>159.0</v>
      </c>
      <c r="B160" s="44">
        <v>3428.0</v>
      </c>
    </row>
    <row r="161">
      <c r="A161" s="46">
        <v>160.0</v>
      </c>
      <c r="B161" s="46">
        <v>3420.0</v>
      </c>
    </row>
    <row r="162">
      <c r="A162" s="44">
        <v>161.0</v>
      </c>
      <c r="B162" s="44">
        <v>3412.0</v>
      </c>
    </row>
    <row r="163">
      <c r="A163" s="46">
        <v>162.0</v>
      </c>
      <c r="B163" s="46">
        <v>3404.0</v>
      </c>
    </row>
    <row r="164">
      <c r="A164" s="44">
        <v>163.0</v>
      </c>
      <c r="B164" s="44">
        <v>3396.0</v>
      </c>
    </row>
    <row r="165">
      <c r="A165" s="46">
        <v>164.0</v>
      </c>
      <c r="B165" s="46">
        <v>3388.0</v>
      </c>
    </row>
    <row r="166">
      <c r="A166" s="44">
        <v>165.0</v>
      </c>
      <c r="B166" s="44">
        <v>3380.0</v>
      </c>
    </row>
    <row r="167">
      <c r="A167" s="46">
        <v>166.0</v>
      </c>
      <c r="B167" s="46">
        <v>3372.0</v>
      </c>
    </row>
    <row r="168">
      <c r="A168" s="44">
        <v>167.0</v>
      </c>
      <c r="B168" s="44">
        <v>3364.0</v>
      </c>
    </row>
    <row r="169">
      <c r="A169" s="46">
        <v>168.0</v>
      </c>
      <c r="B169" s="46">
        <v>3356.0</v>
      </c>
    </row>
    <row r="170">
      <c r="A170" s="44">
        <v>169.0</v>
      </c>
      <c r="B170" s="44">
        <v>3348.0</v>
      </c>
    </row>
    <row r="171">
      <c r="A171" s="46">
        <v>170.0</v>
      </c>
      <c r="B171" s="46">
        <v>3340.0</v>
      </c>
    </row>
    <row r="172">
      <c r="A172" s="44">
        <v>171.0</v>
      </c>
      <c r="B172" s="44">
        <v>3332.0</v>
      </c>
    </row>
    <row r="173">
      <c r="A173" s="46">
        <v>172.0</v>
      </c>
      <c r="B173" s="46">
        <v>3324.0</v>
      </c>
    </row>
    <row r="174">
      <c r="A174" s="44">
        <v>173.0</v>
      </c>
      <c r="B174" s="44">
        <v>3316.0</v>
      </c>
    </row>
    <row r="175">
      <c r="A175" s="46">
        <v>174.0</v>
      </c>
      <c r="B175" s="46">
        <v>3308.0</v>
      </c>
    </row>
    <row r="176">
      <c r="A176" s="44">
        <v>175.0</v>
      </c>
      <c r="B176" s="44">
        <v>3300.0</v>
      </c>
    </row>
    <row r="177">
      <c r="A177" s="46">
        <v>176.0</v>
      </c>
      <c r="B177" s="46">
        <v>3292.0</v>
      </c>
    </row>
    <row r="178">
      <c r="A178" s="44">
        <v>177.0</v>
      </c>
      <c r="B178" s="44">
        <v>3284.0</v>
      </c>
    </row>
    <row r="179">
      <c r="A179" s="46">
        <v>178.0</v>
      </c>
      <c r="B179" s="46">
        <v>3276.0</v>
      </c>
    </row>
    <row r="180">
      <c r="A180" s="44">
        <v>179.0</v>
      </c>
      <c r="B180" s="44">
        <v>3268.0</v>
      </c>
    </row>
    <row r="181">
      <c r="A181" s="46">
        <v>180.0</v>
      </c>
      <c r="B181" s="46">
        <v>3260.0</v>
      </c>
    </row>
    <row r="182">
      <c r="A182" s="44">
        <v>181.0</v>
      </c>
      <c r="B182" s="44">
        <v>3252.0</v>
      </c>
    </row>
    <row r="183">
      <c r="A183" s="46">
        <v>182.0</v>
      </c>
      <c r="B183" s="46">
        <v>3244.0</v>
      </c>
    </row>
    <row r="184">
      <c r="A184" s="44">
        <v>183.0</v>
      </c>
      <c r="B184" s="44">
        <v>3236.0</v>
      </c>
    </row>
    <row r="185">
      <c r="A185" s="46">
        <v>184.0</v>
      </c>
      <c r="B185" s="46">
        <v>3228.0</v>
      </c>
    </row>
    <row r="186">
      <c r="A186" s="44">
        <v>185.0</v>
      </c>
      <c r="B186" s="44">
        <v>3220.0</v>
      </c>
    </row>
    <row r="187">
      <c r="A187" s="46">
        <v>186.0</v>
      </c>
      <c r="B187" s="46">
        <v>3212.0</v>
      </c>
    </row>
    <row r="188">
      <c r="A188" s="44">
        <v>187.0</v>
      </c>
      <c r="B188" s="44">
        <v>3204.0</v>
      </c>
    </row>
    <row r="189">
      <c r="A189" s="46">
        <v>188.0</v>
      </c>
      <c r="B189" s="46">
        <v>3196.0</v>
      </c>
    </row>
    <row r="190">
      <c r="A190" s="44">
        <v>189.0</v>
      </c>
      <c r="B190" s="44">
        <v>3188.0</v>
      </c>
    </row>
    <row r="191">
      <c r="A191" s="46">
        <v>190.0</v>
      </c>
      <c r="B191" s="46">
        <v>3180.0</v>
      </c>
    </row>
    <row r="192">
      <c r="A192" s="44">
        <v>191.0</v>
      </c>
      <c r="B192" s="44">
        <v>3172.0</v>
      </c>
    </row>
    <row r="193">
      <c r="A193" s="46">
        <v>192.0</v>
      </c>
      <c r="B193" s="46">
        <v>3164.0</v>
      </c>
    </row>
    <row r="194">
      <c r="A194" s="44">
        <v>193.0</v>
      </c>
      <c r="B194" s="44">
        <v>3156.0</v>
      </c>
    </row>
    <row r="195">
      <c r="A195" s="46">
        <v>194.0</v>
      </c>
      <c r="B195" s="46">
        <v>3148.0</v>
      </c>
    </row>
    <row r="196">
      <c r="A196" s="44">
        <v>195.0</v>
      </c>
      <c r="B196" s="44">
        <v>3140.0</v>
      </c>
    </row>
    <row r="197">
      <c r="A197" s="46">
        <v>196.0</v>
      </c>
      <c r="B197" s="46">
        <v>3132.0</v>
      </c>
    </row>
    <row r="198">
      <c r="A198" s="44">
        <v>197.0</v>
      </c>
      <c r="B198" s="44">
        <v>3124.0</v>
      </c>
    </row>
    <row r="199">
      <c r="A199" s="46">
        <v>198.0</v>
      </c>
      <c r="B199" s="46">
        <v>3116.0</v>
      </c>
    </row>
    <row r="200">
      <c r="A200" s="44">
        <v>199.0</v>
      </c>
      <c r="B200" s="44">
        <v>3108.0</v>
      </c>
    </row>
    <row r="201">
      <c r="A201" s="46">
        <v>200.0</v>
      </c>
      <c r="B201" s="46">
        <v>3100.0</v>
      </c>
    </row>
    <row r="202">
      <c r="A202" s="44">
        <v>201.0</v>
      </c>
      <c r="B202" s="44">
        <v>3092.0</v>
      </c>
    </row>
    <row r="203">
      <c r="A203" s="46">
        <v>202.0</v>
      </c>
      <c r="B203" s="46">
        <v>3084.0</v>
      </c>
    </row>
    <row r="204">
      <c r="A204" s="44">
        <v>203.0</v>
      </c>
      <c r="B204" s="44">
        <v>3076.0</v>
      </c>
    </row>
    <row r="205">
      <c r="A205" s="46">
        <v>204.0</v>
      </c>
      <c r="B205" s="46">
        <v>3068.0</v>
      </c>
    </row>
    <row r="206">
      <c r="A206" s="44">
        <v>205.0</v>
      </c>
      <c r="B206" s="44">
        <v>3060.0</v>
      </c>
    </row>
    <row r="207">
      <c r="A207" s="46">
        <v>206.0</v>
      </c>
      <c r="B207" s="46">
        <v>3052.0</v>
      </c>
    </row>
    <row r="208">
      <c r="A208" s="44">
        <v>207.0</v>
      </c>
      <c r="B208" s="44">
        <v>3044.0</v>
      </c>
    </row>
    <row r="209">
      <c r="A209" s="46">
        <v>208.0</v>
      </c>
      <c r="B209" s="46">
        <v>3036.0</v>
      </c>
    </row>
    <row r="210">
      <c r="A210" s="44">
        <v>209.0</v>
      </c>
      <c r="B210" s="44">
        <v>3028.0</v>
      </c>
    </row>
    <row r="211">
      <c r="A211" s="46">
        <v>210.0</v>
      </c>
      <c r="B211" s="46">
        <v>3020.0</v>
      </c>
    </row>
    <row r="212">
      <c r="A212" s="44">
        <v>211.0</v>
      </c>
      <c r="B212" s="44">
        <v>3012.0</v>
      </c>
    </row>
    <row r="213">
      <c r="A213" s="46">
        <v>212.0</v>
      </c>
      <c r="B213" s="46">
        <v>3004.0</v>
      </c>
    </row>
    <row r="214">
      <c r="A214" s="44">
        <v>213.0</v>
      </c>
      <c r="B214" s="44">
        <v>2996.0</v>
      </c>
    </row>
    <row r="215">
      <c r="A215" s="46">
        <v>214.0</v>
      </c>
      <c r="B215" s="46">
        <v>2988.0</v>
      </c>
    </row>
    <row r="216">
      <c r="A216" s="44">
        <v>215.0</v>
      </c>
      <c r="B216" s="44">
        <v>2980.0</v>
      </c>
    </row>
    <row r="217">
      <c r="A217" s="46">
        <v>216.0</v>
      </c>
      <c r="B217" s="46">
        <v>2972.0</v>
      </c>
    </row>
    <row r="218">
      <c r="A218" s="44">
        <v>217.0</v>
      </c>
      <c r="B218" s="44">
        <v>2964.0</v>
      </c>
    </row>
    <row r="219">
      <c r="A219" s="46">
        <v>218.0</v>
      </c>
      <c r="B219" s="46">
        <v>2956.0</v>
      </c>
    </row>
    <row r="220">
      <c r="A220" s="44">
        <v>219.0</v>
      </c>
      <c r="B220" s="44">
        <v>2948.0</v>
      </c>
    </row>
    <row r="221">
      <c r="A221" s="46">
        <v>220.0</v>
      </c>
      <c r="B221" s="46">
        <v>2940.0</v>
      </c>
    </row>
    <row r="222">
      <c r="A222" s="44">
        <v>221.0</v>
      </c>
      <c r="B222" s="44">
        <v>2932.0</v>
      </c>
    </row>
    <row r="223">
      <c r="A223" s="46">
        <v>222.0</v>
      </c>
      <c r="B223" s="46">
        <v>2924.0</v>
      </c>
    </row>
    <row r="224">
      <c r="A224" s="44">
        <v>223.0</v>
      </c>
      <c r="B224" s="44">
        <v>2916.0</v>
      </c>
    </row>
    <row r="225">
      <c r="A225" s="46">
        <v>224.0</v>
      </c>
      <c r="B225" s="46">
        <v>2908.0</v>
      </c>
    </row>
    <row r="226">
      <c r="A226" s="44">
        <v>225.0</v>
      </c>
      <c r="B226" s="44">
        <v>2900.0</v>
      </c>
    </row>
    <row r="227">
      <c r="A227" s="46">
        <v>226.0</v>
      </c>
      <c r="B227" s="46">
        <v>2892.0</v>
      </c>
    </row>
    <row r="228">
      <c r="A228" s="44">
        <v>227.0</v>
      </c>
      <c r="B228" s="44">
        <v>2884.0</v>
      </c>
    </row>
    <row r="229">
      <c r="A229" s="46">
        <v>228.0</v>
      </c>
      <c r="B229" s="46">
        <v>2876.0</v>
      </c>
    </row>
    <row r="230">
      <c r="A230" s="44">
        <v>229.0</v>
      </c>
      <c r="B230" s="44">
        <v>2868.0</v>
      </c>
    </row>
    <row r="231">
      <c r="A231" s="46">
        <v>230.0</v>
      </c>
      <c r="B231" s="46">
        <v>2860.0</v>
      </c>
    </row>
    <row r="232">
      <c r="A232" s="44">
        <v>231.0</v>
      </c>
      <c r="B232" s="44">
        <v>2852.0</v>
      </c>
    </row>
    <row r="233">
      <c r="A233" s="46">
        <v>232.0</v>
      </c>
      <c r="B233" s="46">
        <v>2844.0</v>
      </c>
    </row>
    <row r="234">
      <c r="A234" s="44">
        <v>233.0</v>
      </c>
      <c r="B234" s="44">
        <v>2836.0</v>
      </c>
    </row>
    <row r="235">
      <c r="A235" s="46">
        <v>234.0</v>
      </c>
      <c r="B235" s="46">
        <v>2828.0</v>
      </c>
    </row>
    <row r="236">
      <c r="A236" s="44">
        <v>235.0</v>
      </c>
      <c r="B236" s="44">
        <v>2820.0</v>
      </c>
    </row>
    <row r="237">
      <c r="A237" s="46">
        <v>236.0</v>
      </c>
      <c r="B237" s="46">
        <v>2812.0</v>
      </c>
    </row>
    <row r="238">
      <c r="A238" s="44">
        <v>237.0</v>
      </c>
      <c r="B238" s="44">
        <v>2804.0</v>
      </c>
    </row>
    <row r="239">
      <c r="A239" s="46">
        <v>238.0</v>
      </c>
      <c r="B239" s="46">
        <v>2796.0</v>
      </c>
    </row>
    <row r="240">
      <c r="A240" s="44">
        <v>239.0</v>
      </c>
      <c r="B240" s="44">
        <v>2788.0</v>
      </c>
    </row>
    <row r="241">
      <c r="A241" s="46">
        <v>240.0</v>
      </c>
      <c r="B241" s="46">
        <v>2780.0</v>
      </c>
    </row>
    <row r="242">
      <c r="A242" s="44">
        <v>241.0</v>
      </c>
      <c r="B242" s="44">
        <v>2772.0</v>
      </c>
    </row>
    <row r="243">
      <c r="A243" s="46">
        <v>242.0</v>
      </c>
      <c r="B243" s="46">
        <v>2764.0</v>
      </c>
    </row>
    <row r="244">
      <c r="A244" s="44">
        <v>243.0</v>
      </c>
      <c r="B244" s="44">
        <v>2756.0</v>
      </c>
    </row>
    <row r="245">
      <c r="A245" s="46">
        <v>244.0</v>
      </c>
      <c r="B245" s="46">
        <v>2748.0</v>
      </c>
    </row>
    <row r="246">
      <c r="A246" s="44">
        <v>245.0</v>
      </c>
      <c r="B246" s="44">
        <v>2740.0</v>
      </c>
    </row>
    <row r="247">
      <c r="A247" s="46">
        <v>246.0</v>
      </c>
      <c r="B247" s="46">
        <v>2732.0</v>
      </c>
    </row>
    <row r="248">
      <c r="A248" s="44">
        <v>247.0</v>
      </c>
      <c r="B248" s="44">
        <v>2724.0</v>
      </c>
    </row>
    <row r="249">
      <c r="A249" s="46">
        <v>248.0</v>
      </c>
      <c r="B249" s="46">
        <v>2716.0</v>
      </c>
    </row>
    <row r="250">
      <c r="A250" s="44">
        <v>249.0</v>
      </c>
      <c r="B250" s="44">
        <v>2708.0</v>
      </c>
    </row>
    <row r="251">
      <c r="A251" s="46">
        <v>250.0</v>
      </c>
      <c r="B251" s="46">
        <v>2700.0</v>
      </c>
    </row>
    <row r="252">
      <c r="A252" s="44">
        <v>251.0</v>
      </c>
      <c r="B252" s="44">
        <v>2692.0</v>
      </c>
    </row>
    <row r="253">
      <c r="A253" s="46">
        <v>252.0</v>
      </c>
      <c r="B253" s="46">
        <v>2684.0</v>
      </c>
    </row>
    <row r="254">
      <c r="A254" s="44">
        <v>253.0</v>
      </c>
      <c r="B254" s="44">
        <v>2676.0</v>
      </c>
    </row>
    <row r="255">
      <c r="A255" s="46">
        <v>254.0</v>
      </c>
      <c r="B255" s="46">
        <v>2668.0</v>
      </c>
    </row>
    <row r="256">
      <c r="A256" s="44">
        <v>255.0</v>
      </c>
      <c r="B256" s="44">
        <v>2660.0</v>
      </c>
    </row>
    <row r="257">
      <c r="A257" s="46">
        <v>256.0</v>
      </c>
      <c r="B257" s="46">
        <v>2652.0</v>
      </c>
    </row>
    <row r="258">
      <c r="A258" s="44">
        <v>257.0</v>
      </c>
      <c r="B258" s="44">
        <v>2644.0</v>
      </c>
    </row>
    <row r="259">
      <c r="A259" s="46">
        <v>258.0</v>
      </c>
      <c r="B259" s="46">
        <v>2636.0</v>
      </c>
    </row>
    <row r="260">
      <c r="A260" s="44">
        <v>259.0</v>
      </c>
      <c r="B260" s="44">
        <v>2628.0</v>
      </c>
    </row>
    <row r="261">
      <c r="A261" s="46">
        <v>260.0</v>
      </c>
      <c r="B261" s="46">
        <v>2620.0</v>
      </c>
    </row>
    <row r="262">
      <c r="A262" s="44">
        <v>261.0</v>
      </c>
      <c r="B262" s="44">
        <v>2612.0</v>
      </c>
    </row>
    <row r="263">
      <c r="A263" s="46">
        <v>262.0</v>
      </c>
      <c r="B263" s="46">
        <v>2604.0</v>
      </c>
    </row>
    <row r="264">
      <c r="A264" s="44">
        <v>263.0</v>
      </c>
      <c r="B264" s="44">
        <v>2596.0</v>
      </c>
    </row>
    <row r="265">
      <c r="A265" s="46">
        <v>264.0</v>
      </c>
      <c r="B265" s="46">
        <v>2588.0</v>
      </c>
    </row>
    <row r="266">
      <c r="A266" s="44">
        <v>265.0</v>
      </c>
      <c r="B266" s="44">
        <v>2580.0</v>
      </c>
    </row>
    <row r="267">
      <c r="A267" s="46">
        <v>266.0</v>
      </c>
      <c r="B267" s="46">
        <v>2572.0</v>
      </c>
    </row>
    <row r="268">
      <c r="A268" s="44">
        <v>267.0</v>
      </c>
      <c r="B268" s="44">
        <v>2564.0</v>
      </c>
    </row>
    <row r="269">
      <c r="A269" s="46">
        <v>268.0</v>
      </c>
      <c r="B269" s="46">
        <v>2556.0</v>
      </c>
    </row>
    <row r="270">
      <c r="A270" s="44">
        <v>269.0</v>
      </c>
      <c r="B270" s="44">
        <v>2548.0</v>
      </c>
    </row>
    <row r="271">
      <c r="A271" s="46">
        <v>270.0</v>
      </c>
      <c r="B271" s="46">
        <v>2540.0</v>
      </c>
    </row>
    <row r="272">
      <c r="A272" s="44">
        <v>271.0</v>
      </c>
      <c r="B272" s="44">
        <v>2532.0</v>
      </c>
    </row>
    <row r="273">
      <c r="A273" s="46">
        <v>272.0</v>
      </c>
      <c r="B273" s="46">
        <v>2524.0</v>
      </c>
    </row>
    <row r="274">
      <c r="A274" s="44">
        <v>273.0</v>
      </c>
      <c r="B274" s="44">
        <v>2516.0</v>
      </c>
    </row>
    <row r="275">
      <c r="A275" s="46">
        <v>274.0</v>
      </c>
      <c r="B275" s="46">
        <v>2508.0</v>
      </c>
    </row>
    <row r="276">
      <c r="A276" s="44">
        <v>275.0</v>
      </c>
      <c r="B276" s="44">
        <v>2500.0</v>
      </c>
    </row>
    <row r="277">
      <c r="A277" s="46">
        <v>276.0</v>
      </c>
      <c r="B277" s="46">
        <v>2492.0</v>
      </c>
    </row>
    <row r="278">
      <c r="A278" s="44">
        <v>277.0</v>
      </c>
      <c r="B278" s="44">
        <v>2484.0</v>
      </c>
    </row>
    <row r="279">
      <c r="A279" s="46">
        <v>278.0</v>
      </c>
      <c r="B279" s="46">
        <v>2476.0</v>
      </c>
    </row>
    <row r="280">
      <c r="A280" s="44">
        <v>279.0</v>
      </c>
      <c r="B280" s="44">
        <v>2468.0</v>
      </c>
    </row>
    <row r="281">
      <c r="A281" s="46">
        <v>280.0</v>
      </c>
      <c r="B281" s="46">
        <v>2460.0</v>
      </c>
    </row>
    <row r="282">
      <c r="A282" s="44">
        <v>281.0</v>
      </c>
      <c r="B282" s="44">
        <v>2452.0</v>
      </c>
    </row>
    <row r="283">
      <c r="A283" s="46">
        <v>282.0</v>
      </c>
      <c r="B283" s="46">
        <v>2444.0</v>
      </c>
    </row>
    <row r="284">
      <c r="A284" s="44">
        <v>283.0</v>
      </c>
      <c r="B284" s="44">
        <v>2436.0</v>
      </c>
    </row>
    <row r="285">
      <c r="A285" s="46">
        <v>284.0</v>
      </c>
      <c r="B285" s="46">
        <v>2428.0</v>
      </c>
    </row>
    <row r="286">
      <c r="A286" s="44">
        <v>285.0</v>
      </c>
      <c r="B286" s="44">
        <v>2420.0</v>
      </c>
    </row>
    <row r="287">
      <c r="A287" s="46">
        <v>286.0</v>
      </c>
      <c r="B287" s="46">
        <v>2412.0</v>
      </c>
    </row>
    <row r="288">
      <c r="A288" s="44">
        <v>287.0</v>
      </c>
      <c r="B288" s="44">
        <v>2404.0</v>
      </c>
    </row>
    <row r="289">
      <c r="A289" s="46">
        <v>288.0</v>
      </c>
      <c r="B289" s="46">
        <v>2396.0</v>
      </c>
    </row>
    <row r="290">
      <c r="A290" s="44">
        <v>289.0</v>
      </c>
      <c r="B290" s="44">
        <v>2388.0</v>
      </c>
    </row>
    <row r="291">
      <c r="A291" s="46">
        <v>290.0</v>
      </c>
      <c r="B291" s="46">
        <v>2380.0</v>
      </c>
    </row>
    <row r="292">
      <c r="A292" s="44">
        <v>291.0</v>
      </c>
      <c r="B292" s="44">
        <v>2372.0</v>
      </c>
    </row>
    <row r="293">
      <c r="A293" s="46">
        <v>292.0</v>
      </c>
      <c r="B293" s="46">
        <v>2364.0</v>
      </c>
    </row>
    <row r="294">
      <c r="A294" s="44">
        <v>293.0</v>
      </c>
      <c r="B294" s="44">
        <v>2356.0</v>
      </c>
    </row>
    <row r="295">
      <c r="A295" s="46">
        <v>294.0</v>
      </c>
      <c r="B295" s="46">
        <v>2348.0</v>
      </c>
    </row>
    <row r="296">
      <c r="A296" s="44">
        <v>295.0</v>
      </c>
      <c r="B296" s="44">
        <v>2340.0</v>
      </c>
    </row>
    <row r="297">
      <c r="A297" s="46">
        <v>296.0</v>
      </c>
      <c r="B297" s="46">
        <v>2332.0</v>
      </c>
    </row>
    <row r="298">
      <c r="A298" s="44">
        <v>297.0</v>
      </c>
      <c r="B298" s="44">
        <v>2324.0</v>
      </c>
    </row>
    <row r="299">
      <c r="A299" s="46">
        <v>298.0</v>
      </c>
      <c r="B299" s="46">
        <v>2316.0</v>
      </c>
    </row>
    <row r="300">
      <c r="A300" s="44">
        <v>299.0</v>
      </c>
      <c r="B300" s="44">
        <v>2308.0</v>
      </c>
    </row>
    <row r="301">
      <c r="A301" s="46">
        <v>300.0</v>
      </c>
      <c r="B301" s="46">
        <v>2300.0</v>
      </c>
    </row>
    <row r="302">
      <c r="A302" s="44">
        <v>301.0</v>
      </c>
      <c r="B302" s="44">
        <v>2294.0</v>
      </c>
    </row>
    <row r="303">
      <c r="A303" s="46">
        <v>302.0</v>
      </c>
      <c r="B303" s="46">
        <v>2288.0</v>
      </c>
    </row>
    <row r="304">
      <c r="A304" s="44">
        <v>303.0</v>
      </c>
      <c r="B304" s="44">
        <v>2282.0</v>
      </c>
    </row>
    <row r="305">
      <c r="A305" s="46">
        <v>304.0</v>
      </c>
      <c r="B305" s="46">
        <v>2277.0</v>
      </c>
    </row>
    <row r="306">
      <c r="A306" s="44">
        <v>305.0</v>
      </c>
      <c r="B306" s="44">
        <v>2271.0</v>
      </c>
    </row>
    <row r="307">
      <c r="A307" s="46">
        <v>306.0</v>
      </c>
      <c r="B307" s="46">
        <v>2265.0</v>
      </c>
    </row>
    <row r="308">
      <c r="A308" s="44">
        <v>307.0</v>
      </c>
      <c r="B308" s="44">
        <v>2259.0</v>
      </c>
    </row>
    <row r="309">
      <c r="A309" s="46">
        <v>308.0</v>
      </c>
      <c r="B309" s="46">
        <v>2254.0</v>
      </c>
    </row>
    <row r="310">
      <c r="A310" s="44">
        <v>309.0</v>
      </c>
      <c r="B310" s="44">
        <v>2248.0</v>
      </c>
    </row>
    <row r="311">
      <c r="A311" s="46">
        <v>310.0</v>
      </c>
      <c r="B311" s="46">
        <v>2242.0</v>
      </c>
    </row>
    <row r="312">
      <c r="A312" s="44">
        <v>311.0</v>
      </c>
      <c r="B312" s="44">
        <v>2236.0</v>
      </c>
    </row>
    <row r="313">
      <c r="A313" s="46">
        <v>312.0</v>
      </c>
      <c r="B313" s="46">
        <v>2231.0</v>
      </c>
    </row>
    <row r="314">
      <c r="A314" s="44">
        <v>313.0</v>
      </c>
      <c r="B314" s="44">
        <v>2225.0</v>
      </c>
    </row>
    <row r="315">
      <c r="A315" s="46">
        <v>314.0</v>
      </c>
      <c r="B315" s="46">
        <v>2219.0</v>
      </c>
    </row>
    <row r="316">
      <c r="A316" s="44">
        <v>315.0</v>
      </c>
      <c r="B316" s="44">
        <v>2213.0</v>
      </c>
    </row>
    <row r="317">
      <c r="A317" s="46">
        <v>316.0</v>
      </c>
      <c r="B317" s="46">
        <v>2208.0</v>
      </c>
    </row>
    <row r="318">
      <c r="A318" s="44">
        <v>317.0</v>
      </c>
      <c r="B318" s="44">
        <v>2202.0</v>
      </c>
    </row>
    <row r="319">
      <c r="A319" s="46">
        <v>318.0</v>
      </c>
      <c r="B319" s="46">
        <v>2196.0</v>
      </c>
    </row>
    <row r="320">
      <c r="A320" s="44">
        <v>319.0</v>
      </c>
      <c r="B320" s="44">
        <v>2190.0</v>
      </c>
    </row>
    <row r="321">
      <c r="A321" s="46">
        <v>320.0</v>
      </c>
      <c r="B321" s="46">
        <v>2185.0</v>
      </c>
    </row>
    <row r="322">
      <c r="A322" s="44">
        <v>321.0</v>
      </c>
      <c r="B322" s="44">
        <v>2179.0</v>
      </c>
    </row>
    <row r="323">
      <c r="A323" s="46">
        <v>322.0</v>
      </c>
      <c r="B323" s="46">
        <v>2173.0</v>
      </c>
    </row>
    <row r="324">
      <c r="A324" s="44">
        <v>323.0</v>
      </c>
      <c r="B324" s="44">
        <v>2167.0</v>
      </c>
    </row>
    <row r="325">
      <c r="A325" s="46">
        <v>324.0</v>
      </c>
      <c r="B325" s="46">
        <v>2162.0</v>
      </c>
    </row>
    <row r="326">
      <c r="A326" s="44">
        <v>325.0</v>
      </c>
      <c r="B326" s="44">
        <v>2156.0</v>
      </c>
    </row>
    <row r="327">
      <c r="A327" s="46">
        <v>326.0</v>
      </c>
      <c r="B327" s="46">
        <v>2150.0</v>
      </c>
    </row>
    <row r="328">
      <c r="A328" s="44">
        <v>327.0</v>
      </c>
      <c r="B328" s="44">
        <v>2144.0</v>
      </c>
    </row>
    <row r="329">
      <c r="A329" s="46">
        <v>328.0</v>
      </c>
      <c r="B329" s="46">
        <v>2139.0</v>
      </c>
    </row>
    <row r="330">
      <c r="A330" s="44">
        <v>329.0</v>
      </c>
      <c r="B330" s="44">
        <v>2133.0</v>
      </c>
    </row>
    <row r="331">
      <c r="A331" s="46">
        <v>330.0</v>
      </c>
      <c r="B331" s="46">
        <v>2127.0</v>
      </c>
    </row>
    <row r="332">
      <c r="A332" s="44">
        <v>331.0</v>
      </c>
      <c r="B332" s="44">
        <v>2121.0</v>
      </c>
    </row>
    <row r="333">
      <c r="A333" s="46">
        <v>332.0</v>
      </c>
      <c r="B333" s="46">
        <v>2116.0</v>
      </c>
    </row>
    <row r="334">
      <c r="A334" s="44">
        <v>333.0</v>
      </c>
      <c r="B334" s="44">
        <v>2110.0</v>
      </c>
    </row>
    <row r="335">
      <c r="A335" s="46">
        <v>334.0</v>
      </c>
      <c r="B335" s="46">
        <v>2104.0</v>
      </c>
    </row>
    <row r="336">
      <c r="A336" s="44">
        <v>335.0</v>
      </c>
      <c r="B336" s="44">
        <v>2098.0</v>
      </c>
    </row>
    <row r="337">
      <c r="A337" s="46">
        <v>336.0</v>
      </c>
      <c r="B337" s="46">
        <v>2093.0</v>
      </c>
    </row>
    <row r="338">
      <c r="A338" s="44">
        <v>337.0</v>
      </c>
      <c r="B338" s="44">
        <v>2087.0</v>
      </c>
    </row>
    <row r="339">
      <c r="A339" s="46">
        <v>338.0</v>
      </c>
      <c r="B339" s="46">
        <v>2081.0</v>
      </c>
    </row>
    <row r="340">
      <c r="A340" s="44">
        <v>339.0</v>
      </c>
      <c r="B340" s="44">
        <v>2075.0</v>
      </c>
    </row>
    <row r="341">
      <c r="A341" s="46">
        <v>340.0</v>
      </c>
      <c r="B341" s="46">
        <v>2070.0</v>
      </c>
    </row>
    <row r="342">
      <c r="A342" s="44">
        <v>341.0</v>
      </c>
      <c r="B342" s="44">
        <v>2064.0</v>
      </c>
    </row>
    <row r="343">
      <c r="A343" s="46">
        <v>342.0</v>
      </c>
      <c r="B343" s="46">
        <v>2058.0</v>
      </c>
    </row>
    <row r="344">
      <c r="A344" s="44">
        <v>343.0</v>
      </c>
      <c r="B344" s="44">
        <v>2052.0</v>
      </c>
    </row>
    <row r="345">
      <c r="A345" s="46">
        <v>344.0</v>
      </c>
      <c r="B345" s="46">
        <v>2047.0</v>
      </c>
    </row>
    <row r="346">
      <c r="A346" s="44">
        <v>345.0</v>
      </c>
      <c r="B346" s="44">
        <v>2041.0</v>
      </c>
    </row>
    <row r="347">
      <c r="A347" s="46">
        <v>346.0</v>
      </c>
      <c r="B347" s="46">
        <v>2035.0</v>
      </c>
    </row>
    <row r="348">
      <c r="A348" s="44">
        <v>347.0</v>
      </c>
      <c r="B348" s="44">
        <v>2029.0</v>
      </c>
    </row>
    <row r="349">
      <c r="A349" s="46">
        <v>348.0</v>
      </c>
      <c r="B349" s="46">
        <v>2024.0</v>
      </c>
    </row>
    <row r="350">
      <c r="A350" s="44">
        <v>349.0</v>
      </c>
      <c r="B350" s="44">
        <v>2018.0</v>
      </c>
    </row>
    <row r="351">
      <c r="A351" s="46">
        <v>350.0</v>
      </c>
      <c r="B351" s="46">
        <v>2012.0</v>
      </c>
    </row>
    <row r="352">
      <c r="A352" s="44">
        <v>351.0</v>
      </c>
      <c r="B352" s="44">
        <v>2006.0</v>
      </c>
    </row>
    <row r="353">
      <c r="A353" s="46">
        <v>352.0</v>
      </c>
      <c r="B353" s="46">
        <v>2001.0</v>
      </c>
    </row>
    <row r="354">
      <c r="A354" s="44">
        <v>353.0</v>
      </c>
      <c r="B354" s="44">
        <v>1995.0</v>
      </c>
    </row>
    <row r="355">
      <c r="A355" s="46">
        <v>354.0</v>
      </c>
      <c r="B355" s="46">
        <v>1989.0</v>
      </c>
    </row>
    <row r="356">
      <c r="A356" s="44">
        <v>355.0</v>
      </c>
      <c r="B356" s="44">
        <v>1983.0</v>
      </c>
    </row>
    <row r="357">
      <c r="A357" s="46">
        <v>356.0</v>
      </c>
      <c r="B357" s="46">
        <v>1978.0</v>
      </c>
    </row>
    <row r="358">
      <c r="A358" s="44">
        <v>357.0</v>
      </c>
      <c r="B358" s="44">
        <v>1972.0</v>
      </c>
    </row>
    <row r="359">
      <c r="A359" s="46">
        <v>358.0</v>
      </c>
      <c r="B359" s="46">
        <v>1966.0</v>
      </c>
    </row>
    <row r="360">
      <c r="A360" s="44">
        <v>359.0</v>
      </c>
      <c r="B360" s="44">
        <v>1960.0</v>
      </c>
    </row>
    <row r="361">
      <c r="A361" s="46">
        <v>360.0</v>
      </c>
      <c r="B361" s="46">
        <v>1955.0</v>
      </c>
    </row>
    <row r="362">
      <c r="A362" s="44">
        <v>361.0</v>
      </c>
      <c r="B362" s="44">
        <v>1949.0</v>
      </c>
    </row>
    <row r="363">
      <c r="A363" s="46">
        <v>362.0</v>
      </c>
      <c r="B363" s="46">
        <v>1943.0</v>
      </c>
    </row>
    <row r="364">
      <c r="A364" s="44">
        <v>363.0</v>
      </c>
      <c r="B364" s="44">
        <v>1937.0</v>
      </c>
    </row>
    <row r="365">
      <c r="A365" s="46">
        <v>364.0</v>
      </c>
      <c r="B365" s="46">
        <v>1932.0</v>
      </c>
    </row>
    <row r="366">
      <c r="A366" s="44">
        <v>365.0</v>
      </c>
      <c r="B366" s="44">
        <v>1926.0</v>
      </c>
    </row>
    <row r="367">
      <c r="A367" s="46">
        <v>366.0</v>
      </c>
      <c r="B367" s="46">
        <v>1920.0</v>
      </c>
    </row>
    <row r="368">
      <c r="A368" s="44">
        <v>367.0</v>
      </c>
      <c r="B368" s="44">
        <v>1914.0</v>
      </c>
    </row>
    <row r="369">
      <c r="A369" s="46">
        <v>368.0</v>
      </c>
      <c r="B369" s="46">
        <v>1909.0</v>
      </c>
    </row>
    <row r="370">
      <c r="A370" s="44">
        <v>369.0</v>
      </c>
      <c r="B370" s="44">
        <v>1903.0</v>
      </c>
    </row>
    <row r="371">
      <c r="A371" s="46">
        <v>370.0</v>
      </c>
      <c r="B371" s="46">
        <v>1897.0</v>
      </c>
    </row>
    <row r="372">
      <c r="A372" s="44">
        <v>371.0</v>
      </c>
      <c r="B372" s="44">
        <v>1891.0</v>
      </c>
    </row>
    <row r="373">
      <c r="A373" s="46">
        <v>372.0</v>
      </c>
      <c r="B373" s="46">
        <v>1886.0</v>
      </c>
    </row>
    <row r="374">
      <c r="A374" s="44">
        <v>373.0</v>
      </c>
      <c r="B374" s="44">
        <v>1880.0</v>
      </c>
    </row>
    <row r="375">
      <c r="A375" s="46">
        <v>374.0</v>
      </c>
      <c r="B375" s="46">
        <v>1874.0</v>
      </c>
    </row>
    <row r="376">
      <c r="A376" s="44">
        <v>375.0</v>
      </c>
      <c r="B376" s="44">
        <v>1868.0</v>
      </c>
    </row>
    <row r="377">
      <c r="A377" s="46">
        <v>376.0</v>
      </c>
      <c r="B377" s="46">
        <v>1863.0</v>
      </c>
    </row>
    <row r="378">
      <c r="A378" s="44">
        <v>377.0</v>
      </c>
      <c r="B378" s="44">
        <v>1857.0</v>
      </c>
    </row>
    <row r="379">
      <c r="A379" s="46">
        <v>378.0</v>
      </c>
      <c r="B379" s="46">
        <v>1851.0</v>
      </c>
    </row>
    <row r="380">
      <c r="A380" s="44">
        <v>379.0</v>
      </c>
      <c r="B380" s="44">
        <v>1845.0</v>
      </c>
    </row>
    <row r="381">
      <c r="A381" s="46">
        <v>380.0</v>
      </c>
      <c r="B381" s="46">
        <v>1840.0</v>
      </c>
    </row>
    <row r="382">
      <c r="A382" s="44">
        <v>381.0</v>
      </c>
      <c r="B382" s="44">
        <v>1834.0</v>
      </c>
    </row>
    <row r="383">
      <c r="A383" s="46">
        <v>382.0</v>
      </c>
      <c r="B383" s="46">
        <v>1828.0</v>
      </c>
    </row>
    <row r="384">
      <c r="A384" s="44">
        <v>383.0</v>
      </c>
      <c r="B384" s="44">
        <v>1822.0</v>
      </c>
    </row>
    <row r="385">
      <c r="A385" s="46">
        <v>384.0</v>
      </c>
      <c r="B385" s="46">
        <v>1817.0</v>
      </c>
    </row>
    <row r="386">
      <c r="A386" s="44">
        <v>385.0</v>
      </c>
      <c r="B386" s="44">
        <v>1811.0</v>
      </c>
    </row>
    <row r="387">
      <c r="A387" s="46">
        <v>386.0</v>
      </c>
      <c r="B387" s="46">
        <v>1805.0</v>
      </c>
    </row>
    <row r="388">
      <c r="A388" s="44">
        <v>387.0</v>
      </c>
      <c r="B388" s="44">
        <v>1799.0</v>
      </c>
    </row>
    <row r="389">
      <c r="A389" s="46">
        <v>388.0</v>
      </c>
      <c r="B389" s="46">
        <v>1794.0</v>
      </c>
    </row>
    <row r="390">
      <c r="A390" s="44">
        <v>389.0</v>
      </c>
      <c r="B390" s="44">
        <v>1788.0</v>
      </c>
    </row>
    <row r="391">
      <c r="A391" s="46">
        <v>390.0</v>
      </c>
      <c r="B391" s="46">
        <v>1782.0</v>
      </c>
    </row>
    <row r="392">
      <c r="A392" s="44">
        <v>391.0</v>
      </c>
      <c r="B392" s="44">
        <v>1776.0</v>
      </c>
    </row>
    <row r="393">
      <c r="A393" s="46">
        <v>392.0</v>
      </c>
      <c r="B393" s="46">
        <v>1771.0</v>
      </c>
    </row>
    <row r="394">
      <c r="A394" s="44">
        <v>393.0</v>
      </c>
      <c r="B394" s="44">
        <v>1765.0</v>
      </c>
    </row>
    <row r="395">
      <c r="A395" s="46">
        <v>394.0</v>
      </c>
      <c r="B395" s="46">
        <v>1759.0</v>
      </c>
    </row>
    <row r="396">
      <c r="A396" s="44">
        <v>395.0</v>
      </c>
      <c r="B396" s="44">
        <v>1753.0</v>
      </c>
    </row>
    <row r="397">
      <c r="A397" s="46">
        <v>396.0</v>
      </c>
      <c r="B397" s="46">
        <v>1748.0</v>
      </c>
    </row>
    <row r="398">
      <c r="A398" s="44">
        <v>397.0</v>
      </c>
      <c r="B398" s="44">
        <v>1742.0</v>
      </c>
    </row>
    <row r="399">
      <c r="A399" s="46">
        <v>398.0</v>
      </c>
      <c r="B399" s="46">
        <v>1736.0</v>
      </c>
    </row>
    <row r="400">
      <c r="A400" s="44">
        <v>399.0</v>
      </c>
      <c r="B400" s="44">
        <v>1730.0</v>
      </c>
    </row>
    <row r="401">
      <c r="A401" s="46">
        <v>400.0</v>
      </c>
      <c r="B401" s="46">
        <v>1725.0</v>
      </c>
    </row>
    <row r="402">
      <c r="A402" s="44">
        <v>401.0</v>
      </c>
      <c r="B402" s="44">
        <v>1719.0</v>
      </c>
    </row>
    <row r="403">
      <c r="A403" s="46">
        <v>402.0</v>
      </c>
      <c r="B403" s="46">
        <v>1713.0</v>
      </c>
    </row>
    <row r="404">
      <c r="A404" s="44">
        <v>403.0</v>
      </c>
      <c r="B404" s="44">
        <v>1707.0</v>
      </c>
    </row>
    <row r="405">
      <c r="A405" s="46">
        <v>404.0</v>
      </c>
      <c r="B405" s="46">
        <v>1702.0</v>
      </c>
    </row>
    <row r="406">
      <c r="A406" s="44">
        <v>405.0</v>
      </c>
      <c r="B406" s="44">
        <v>1696.0</v>
      </c>
    </row>
    <row r="407">
      <c r="A407" s="46">
        <v>406.0</v>
      </c>
      <c r="B407" s="46">
        <v>1690.0</v>
      </c>
    </row>
    <row r="408">
      <c r="A408" s="44">
        <v>407.0</v>
      </c>
      <c r="B408" s="44">
        <v>1684.0</v>
      </c>
    </row>
    <row r="409">
      <c r="A409" s="46">
        <v>408.0</v>
      </c>
      <c r="B409" s="46">
        <v>1679.0</v>
      </c>
    </row>
    <row r="410">
      <c r="A410" s="44">
        <v>409.0</v>
      </c>
      <c r="B410" s="44">
        <v>1673.0</v>
      </c>
    </row>
    <row r="411">
      <c r="A411" s="46">
        <v>410.0</v>
      </c>
      <c r="B411" s="46">
        <v>1667.0</v>
      </c>
    </row>
    <row r="412">
      <c r="A412" s="44">
        <v>411.0</v>
      </c>
      <c r="B412" s="44">
        <v>1661.0</v>
      </c>
    </row>
    <row r="413">
      <c r="A413" s="46">
        <v>412.0</v>
      </c>
      <c r="B413" s="46">
        <v>1656.0</v>
      </c>
    </row>
    <row r="414">
      <c r="A414" s="44">
        <v>413.0</v>
      </c>
      <c r="B414" s="44">
        <v>1650.0</v>
      </c>
    </row>
    <row r="415">
      <c r="A415" s="46">
        <v>414.0</v>
      </c>
      <c r="B415" s="46">
        <v>1644.0</v>
      </c>
    </row>
    <row r="416">
      <c r="A416" s="44">
        <v>415.0</v>
      </c>
      <c r="B416" s="44">
        <v>1638.0</v>
      </c>
    </row>
    <row r="417">
      <c r="A417" s="46">
        <v>416.0</v>
      </c>
      <c r="B417" s="46">
        <v>1633.0</v>
      </c>
    </row>
    <row r="418">
      <c r="A418" s="44">
        <v>417.0</v>
      </c>
      <c r="B418" s="44">
        <v>1627.0</v>
      </c>
    </row>
    <row r="419">
      <c r="A419" s="46">
        <v>418.0</v>
      </c>
      <c r="B419" s="46">
        <v>1621.0</v>
      </c>
    </row>
    <row r="420">
      <c r="A420" s="44">
        <v>419.0</v>
      </c>
      <c r="B420" s="44">
        <v>1615.0</v>
      </c>
    </row>
    <row r="421">
      <c r="A421" s="46">
        <v>420.0</v>
      </c>
      <c r="B421" s="46">
        <v>1610.0</v>
      </c>
    </row>
    <row r="422">
      <c r="A422" s="44">
        <v>421.0</v>
      </c>
      <c r="B422" s="44">
        <v>1604.0</v>
      </c>
    </row>
    <row r="423">
      <c r="A423" s="46">
        <v>422.0</v>
      </c>
      <c r="B423" s="46">
        <v>1598.0</v>
      </c>
    </row>
    <row r="424">
      <c r="A424" s="44">
        <v>423.0</v>
      </c>
      <c r="B424" s="44">
        <v>1592.0</v>
      </c>
    </row>
    <row r="425">
      <c r="A425" s="46">
        <v>424.0</v>
      </c>
      <c r="B425" s="46">
        <v>1587.0</v>
      </c>
    </row>
    <row r="426">
      <c r="A426" s="44">
        <v>425.0</v>
      </c>
      <c r="B426" s="44">
        <v>1581.0</v>
      </c>
    </row>
    <row r="427">
      <c r="A427" s="46">
        <v>426.0</v>
      </c>
      <c r="B427" s="46">
        <v>1575.0</v>
      </c>
    </row>
    <row r="428">
      <c r="A428" s="44">
        <v>427.0</v>
      </c>
      <c r="B428" s="44">
        <v>1569.0</v>
      </c>
    </row>
    <row r="429">
      <c r="A429" s="46">
        <v>428.0</v>
      </c>
      <c r="B429" s="46">
        <v>1564.0</v>
      </c>
    </row>
    <row r="430">
      <c r="A430" s="44">
        <v>429.0</v>
      </c>
      <c r="B430" s="44">
        <v>1558.0</v>
      </c>
    </row>
    <row r="431">
      <c r="A431" s="46">
        <v>430.0</v>
      </c>
      <c r="B431" s="46">
        <v>1552.0</v>
      </c>
    </row>
    <row r="432">
      <c r="A432" s="44">
        <v>431.0</v>
      </c>
      <c r="B432" s="44">
        <v>1546.0</v>
      </c>
    </row>
    <row r="433">
      <c r="A433" s="46">
        <v>432.0</v>
      </c>
      <c r="B433" s="46">
        <v>1541.0</v>
      </c>
    </row>
    <row r="434">
      <c r="A434" s="44">
        <v>433.0</v>
      </c>
      <c r="B434" s="44">
        <v>1535.0</v>
      </c>
    </row>
    <row r="435">
      <c r="A435" s="46">
        <v>434.0</v>
      </c>
      <c r="B435" s="46">
        <v>1529.0</v>
      </c>
    </row>
    <row r="436">
      <c r="A436" s="44">
        <v>435.0</v>
      </c>
      <c r="B436" s="44">
        <v>1523.0</v>
      </c>
    </row>
    <row r="437">
      <c r="A437" s="46">
        <v>436.0</v>
      </c>
      <c r="B437" s="46">
        <v>1518.0</v>
      </c>
    </row>
    <row r="438">
      <c r="A438" s="44">
        <v>437.0</v>
      </c>
      <c r="B438" s="44">
        <v>1512.0</v>
      </c>
    </row>
    <row r="439">
      <c r="A439" s="46">
        <v>438.0</v>
      </c>
      <c r="B439" s="46">
        <v>1506.0</v>
      </c>
    </row>
    <row r="440">
      <c r="A440" s="44">
        <v>439.0</v>
      </c>
      <c r="B440" s="44">
        <v>1500.0</v>
      </c>
    </row>
    <row r="441">
      <c r="A441" s="46">
        <v>440.0</v>
      </c>
      <c r="B441" s="46">
        <v>1495.0</v>
      </c>
    </row>
    <row r="442">
      <c r="A442" s="44">
        <v>441.0</v>
      </c>
      <c r="B442" s="44">
        <v>1489.0</v>
      </c>
    </row>
    <row r="443">
      <c r="A443" s="46">
        <v>442.0</v>
      </c>
      <c r="B443" s="46">
        <v>1483.0</v>
      </c>
    </row>
    <row r="444">
      <c r="A444" s="44">
        <v>443.0</v>
      </c>
      <c r="B444" s="44">
        <v>1477.0</v>
      </c>
    </row>
    <row r="445">
      <c r="A445" s="46">
        <v>444.0</v>
      </c>
      <c r="B445" s="46">
        <v>1472.0</v>
      </c>
    </row>
    <row r="446">
      <c r="A446" s="44">
        <v>445.0</v>
      </c>
      <c r="B446" s="44">
        <v>1466.0</v>
      </c>
    </row>
    <row r="447">
      <c r="A447" s="46">
        <v>446.0</v>
      </c>
      <c r="B447" s="46">
        <v>1460.0</v>
      </c>
    </row>
    <row r="448">
      <c r="A448" s="44">
        <v>447.0</v>
      </c>
      <c r="B448" s="44">
        <v>1454.0</v>
      </c>
    </row>
    <row r="449">
      <c r="A449" s="46">
        <v>448.0</v>
      </c>
      <c r="B449" s="46">
        <v>1449.0</v>
      </c>
    </row>
    <row r="450">
      <c r="A450" s="44">
        <v>449.0</v>
      </c>
      <c r="B450" s="44">
        <v>1443.0</v>
      </c>
    </row>
    <row r="451">
      <c r="A451" s="46">
        <v>450.0</v>
      </c>
      <c r="B451" s="46">
        <v>1437.0</v>
      </c>
    </row>
    <row r="452">
      <c r="A452" s="44">
        <v>451.0</v>
      </c>
      <c r="B452" s="44">
        <v>1431.0</v>
      </c>
    </row>
    <row r="453">
      <c r="A453" s="46">
        <v>452.0</v>
      </c>
      <c r="B453" s="46">
        <v>1426.0</v>
      </c>
    </row>
    <row r="454">
      <c r="A454" s="44">
        <v>453.0</v>
      </c>
      <c r="B454" s="44">
        <v>1420.0</v>
      </c>
    </row>
    <row r="455">
      <c r="A455" s="46">
        <v>454.0</v>
      </c>
      <c r="B455" s="46">
        <v>1414.0</v>
      </c>
    </row>
    <row r="456">
      <c r="A456" s="44">
        <v>455.0</v>
      </c>
      <c r="B456" s="44">
        <v>1408.0</v>
      </c>
    </row>
    <row r="457">
      <c r="A457" s="46">
        <v>456.0</v>
      </c>
      <c r="B457" s="46">
        <v>1403.0</v>
      </c>
    </row>
    <row r="458">
      <c r="A458" s="44">
        <v>457.0</v>
      </c>
      <c r="B458" s="44">
        <v>1397.0</v>
      </c>
    </row>
    <row r="459">
      <c r="A459" s="46">
        <v>458.0</v>
      </c>
      <c r="B459" s="46">
        <v>1391.0</v>
      </c>
    </row>
    <row r="460">
      <c r="A460" s="44">
        <v>459.0</v>
      </c>
      <c r="B460" s="44">
        <v>1385.0</v>
      </c>
    </row>
    <row r="461">
      <c r="A461" s="46">
        <v>460.0</v>
      </c>
      <c r="B461" s="46">
        <v>1380.0</v>
      </c>
    </row>
    <row r="462">
      <c r="A462" s="44">
        <v>461.0</v>
      </c>
      <c r="B462" s="44">
        <v>1374.0</v>
      </c>
    </row>
    <row r="463">
      <c r="A463" s="46">
        <v>462.0</v>
      </c>
      <c r="B463" s="46">
        <v>1368.0</v>
      </c>
    </row>
    <row r="464">
      <c r="A464" s="44">
        <v>463.0</v>
      </c>
      <c r="B464" s="44">
        <v>1362.0</v>
      </c>
    </row>
    <row r="465">
      <c r="A465" s="46">
        <v>464.0</v>
      </c>
      <c r="B465" s="46">
        <v>1357.0</v>
      </c>
    </row>
    <row r="466">
      <c r="A466" s="44">
        <v>465.0</v>
      </c>
      <c r="B466" s="44">
        <v>1351.0</v>
      </c>
    </row>
    <row r="467">
      <c r="A467" s="46">
        <v>466.0</v>
      </c>
      <c r="B467" s="46">
        <v>1345.0</v>
      </c>
    </row>
    <row r="468">
      <c r="A468" s="44">
        <v>467.0</v>
      </c>
      <c r="B468" s="44">
        <v>1339.0</v>
      </c>
    </row>
    <row r="469">
      <c r="A469" s="46">
        <v>468.0</v>
      </c>
      <c r="B469" s="46">
        <v>1334.0</v>
      </c>
    </row>
    <row r="470">
      <c r="A470" s="44">
        <v>469.0</v>
      </c>
      <c r="B470" s="44">
        <v>1328.0</v>
      </c>
    </row>
    <row r="471">
      <c r="A471" s="46">
        <v>470.0</v>
      </c>
      <c r="B471" s="46">
        <v>1322.0</v>
      </c>
    </row>
    <row r="472">
      <c r="A472" s="44">
        <v>471.0</v>
      </c>
      <c r="B472" s="44">
        <v>1316.0</v>
      </c>
    </row>
    <row r="473">
      <c r="A473" s="46">
        <v>472.0</v>
      </c>
      <c r="B473" s="46">
        <v>1311.0</v>
      </c>
    </row>
    <row r="474">
      <c r="A474" s="44">
        <v>473.0</v>
      </c>
      <c r="B474" s="44">
        <v>1305.0</v>
      </c>
    </row>
    <row r="475">
      <c r="A475" s="46">
        <v>474.0</v>
      </c>
      <c r="B475" s="46">
        <v>1299.0</v>
      </c>
    </row>
    <row r="476">
      <c r="A476" s="44">
        <v>475.0</v>
      </c>
      <c r="B476" s="44">
        <v>1293.0</v>
      </c>
    </row>
    <row r="477">
      <c r="A477" s="46">
        <v>476.0</v>
      </c>
      <c r="B477" s="46">
        <v>1288.0</v>
      </c>
    </row>
    <row r="478">
      <c r="A478" s="44">
        <v>477.0</v>
      </c>
      <c r="B478" s="44">
        <v>1282.0</v>
      </c>
    </row>
    <row r="479">
      <c r="A479" s="46">
        <v>478.0</v>
      </c>
      <c r="B479" s="46">
        <v>1276.0</v>
      </c>
    </row>
    <row r="480">
      <c r="A480" s="44">
        <v>479.0</v>
      </c>
      <c r="B480" s="44">
        <v>1270.0</v>
      </c>
    </row>
    <row r="481">
      <c r="A481" s="46">
        <v>480.0</v>
      </c>
      <c r="B481" s="46">
        <v>1265.0</v>
      </c>
    </row>
    <row r="482">
      <c r="A482" s="44">
        <v>481.0</v>
      </c>
      <c r="B482" s="44">
        <v>1259.0</v>
      </c>
    </row>
    <row r="483">
      <c r="A483" s="46">
        <v>482.0</v>
      </c>
      <c r="B483" s="46">
        <v>1253.0</v>
      </c>
    </row>
    <row r="484">
      <c r="A484" s="44">
        <v>483.0</v>
      </c>
      <c r="B484" s="44">
        <v>1247.0</v>
      </c>
    </row>
    <row r="485">
      <c r="A485" s="46">
        <v>484.0</v>
      </c>
      <c r="B485" s="46">
        <v>1242.0</v>
      </c>
    </row>
    <row r="486">
      <c r="A486" s="44">
        <v>485.0</v>
      </c>
      <c r="B486" s="44">
        <v>1236.0</v>
      </c>
    </row>
    <row r="487">
      <c r="A487" s="46">
        <v>486.0</v>
      </c>
      <c r="B487" s="46">
        <v>1230.0</v>
      </c>
    </row>
    <row r="488">
      <c r="A488" s="44">
        <v>487.0</v>
      </c>
      <c r="B488" s="44">
        <v>1224.0</v>
      </c>
    </row>
    <row r="489">
      <c r="A489" s="46">
        <v>488.0</v>
      </c>
      <c r="B489" s="46">
        <v>1219.0</v>
      </c>
    </row>
    <row r="490">
      <c r="A490" s="44">
        <v>489.0</v>
      </c>
      <c r="B490" s="44">
        <v>1213.0</v>
      </c>
    </row>
    <row r="491">
      <c r="A491" s="46">
        <v>490.0</v>
      </c>
      <c r="B491" s="46">
        <v>1207.0</v>
      </c>
    </row>
    <row r="492">
      <c r="A492" s="44">
        <v>491.0</v>
      </c>
      <c r="B492" s="44">
        <v>1201.0</v>
      </c>
    </row>
    <row r="493">
      <c r="A493" s="46">
        <v>492.0</v>
      </c>
      <c r="B493" s="46">
        <v>1196.0</v>
      </c>
    </row>
    <row r="494">
      <c r="A494" s="44">
        <v>493.0</v>
      </c>
      <c r="B494" s="44">
        <v>1190.0</v>
      </c>
    </row>
    <row r="495">
      <c r="A495" s="46">
        <v>494.0</v>
      </c>
      <c r="B495" s="46">
        <v>1184.0</v>
      </c>
    </row>
    <row r="496">
      <c r="A496" s="44">
        <v>495.0</v>
      </c>
      <c r="B496" s="44">
        <v>1178.0</v>
      </c>
    </row>
    <row r="497">
      <c r="A497" s="46">
        <v>496.0</v>
      </c>
      <c r="B497" s="46">
        <v>1173.0</v>
      </c>
    </row>
    <row r="498">
      <c r="A498" s="44">
        <v>497.0</v>
      </c>
      <c r="B498" s="44">
        <v>1167.0</v>
      </c>
    </row>
    <row r="499">
      <c r="A499" s="46">
        <v>498.0</v>
      </c>
      <c r="B499" s="46">
        <v>1161.0</v>
      </c>
    </row>
    <row r="500">
      <c r="A500" s="44">
        <v>499.0</v>
      </c>
      <c r="B500" s="44">
        <v>1155.0</v>
      </c>
    </row>
    <row r="501">
      <c r="A501" s="46">
        <v>500.0</v>
      </c>
      <c r="B501" s="46">
        <v>1150.0</v>
      </c>
    </row>
    <row r="502">
      <c r="A502" s="44">
        <v>501.0</v>
      </c>
      <c r="B502" s="44">
        <v>1147.0</v>
      </c>
    </row>
    <row r="503">
      <c r="A503" s="46">
        <v>502.0</v>
      </c>
      <c r="B503" s="46">
        <v>1144.0</v>
      </c>
    </row>
    <row r="504">
      <c r="A504" s="44">
        <v>503.0</v>
      </c>
      <c r="B504" s="44">
        <v>1142.0</v>
      </c>
    </row>
    <row r="505">
      <c r="A505" s="46">
        <v>504.0</v>
      </c>
      <c r="B505" s="46">
        <v>1139.0</v>
      </c>
    </row>
    <row r="506">
      <c r="A506" s="44">
        <v>505.0</v>
      </c>
      <c r="B506" s="44">
        <v>1137.0</v>
      </c>
    </row>
    <row r="507">
      <c r="A507" s="46">
        <v>506.0</v>
      </c>
      <c r="B507" s="46">
        <v>1134.0</v>
      </c>
    </row>
    <row r="508">
      <c r="A508" s="44">
        <v>507.0</v>
      </c>
      <c r="B508" s="44">
        <v>1131.0</v>
      </c>
    </row>
    <row r="509">
      <c r="A509" s="46">
        <v>508.0</v>
      </c>
      <c r="B509" s="46">
        <v>1129.0</v>
      </c>
    </row>
    <row r="510">
      <c r="A510" s="44">
        <v>509.0</v>
      </c>
      <c r="B510" s="44">
        <v>1126.0</v>
      </c>
    </row>
    <row r="511">
      <c r="A511" s="46">
        <v>510.0</v>
      </c>
      <c r="B511" s="46">
        <v>1124.0</v>
      </c>
    </row>
    <row r="512">
      <c r="A512" s="44">
        <v>511.0</v>
      </c>
      <c r="B512" s="44">
        <v>1121.0</v>
      </c>
    </row>
    <row r="513">
      <c r="A513" s="46">
        <v>512.0</v>
      </c>
      <c r="B513" s="46">
        <v>1118.0</v>
      </c>
    </row>
    <row r="514">
      <c r="A514" s="44">
        <v>513.0</v>
      </c>
      <c r="B514" s="44">
        <v>1116.0</v>
      </c>
    </row>
    <row r="515">
      <c r="A515" s="46">
        <v>514.0</v>
      </c>
      <c r="B515" s="46">
        <v>1113.0</v>
      </c>
    </row>
    <row r="516">
      <c r="A516" s="44">
        <v>515.0</v>
      </c>
      <c r="B516" s="44">
        <v>1111.0</v>
      </c>
    </row>
    <row r="517">
      <c r="A517" s="46">
        <v>516.0</v>
      </c>
      <c r="B517" s="46">
        <v>1108.0</v>
      </c>
    </row>
    <row r="518">
      <c r="A518" s="44">
        <v>517.0</v>
      </c>
      <c r="B518" s="44">
        <v>1105.0</v>
      </c>
    </row>
    <row r="519">
      <c r="A519" s="46">
        <v>518.0</v>
      </c>
      <c r="B519" s="46">
        <v>1103.0</v>
      </c>
    </row>
    <row r="520">
      <c r="A520" s="44">
        <v>519.0</v>
      </c>
      <c r="B520" s="44">
        <v>1100.0</v>
      </c>
    </row>
    <row r="521">
      <c r="A521" s="46">
        <v>520.0</v>
      </c>
      <c r="B521" s="46">
        <v>1098.0</v>
      </c>
    </row>
    <row r="522">
      <c r="A522" s="44">
        <v>521.0</v>
      </c>
      <c r="B522" s="44">
        <v>1095.0</v>
      </c>
    </row>
    <row r="523">
      <c r="A523" s="46">
        <v>522.0</v>
      </c>
      <c r="B523" s="46">
        <v>1092.0</v>
      </c>
    </row>
    <row r="524">
      <c r="A524" s="44">
        <v>523.0</v>
      </c>
      <c r="B524" s="44">
        <v>1090.0</v>
      </c>
    </row>
    <row r="525">
      <c r="A525" s="46">
        <v>524.0</v>
      </c>
      <c r="B525" s="46">
        <v>1087.0</v>
      </c>
    </row>
    <row r="526">
      <c r="A526" s="44">
        <v>525.0</v>
      </c>
      <c r="B526" s="44">
        <v>1085.0</v>
      </c>
    </row>
    <row r="527">
      <c r="A527" s="46">
        <v>526.0</v>
      </c>
      <c r="B527" s="46">
        <v>1082.0</v>
      </c>
    </row>
    <row r="528">
      <c r="A528" s="44">
        <v>527.0</v>
      </c>
      <c r="B528" s="44">
        <v>1079.0</v>
      </c>
    </row>
    <row r="529">
      <c r="A529" s="46">
        <v>528.0</v>
      </c>
      <c r="B529" s="46">
        <v>1077.0</v>
      </c>
    </row>
    <row r="530">
      <c r="A530" s="44">
        <v>529.0</v>
      </c>
      <c r="B530" s="44">
        <v>1074.0</v>
      </c>
    </row>
    <row r="531">
      <c r="A531" s="46">
        <v>530.0</v>
      </c>
      <c r="B531" s="46">
        <v>1072.0</v>
      </c>
    </row>
    <row r="532">
      <c r="A532" s="44">
        <v>531.0</v>
      </c>
      <c r="B532" s="44">
        <v>1069.0</v>
      </c>
    </row>
    <row r="533">
      <c r="A533" s="46">
        <v>532.0</v>
      </c>
      <c r="B533" s="46">
        <v>1066.0</v>
      </c>
    </row>
    <row r="534">
      <c r="A534" s="44">
        <v>533.0</v>
      </c>
      <c r="B534" s="44">
        <v>1064.0</v>
      </c>
    </row>
    <row r="535">
      <c r="A535" s="46">
        <v>534.0</v>
      </c>
      <c r="B535" s="46">
        <v>1061.0</v>
      </c>
    </row>
    <row r="536">
      <c r="A536" s="44">
        <v>535.0</v>
      </c>
      <c r="B536" s="44">
        <v>1059.0</v>
      </c>
    </row>
    <row r="537">
      <c r="A537" s="46">
        <v>536.0</v>
      </c>
      <c r="B537" s="46">
        <v>1056.0</v>
      </c>
    </row>
    <row r="538">
      <c r="A538" s="44">
        <v>537.0</v>
      </c>
      <c r="B538" s="44">
        <v>1053.0</v>
      </c>
    </row>
    <row r="539">
      <c r="A539" s="46">
        <v>538.0</v>
      </c>
      <c r="B539" s="46">
        <v>1051.0</v>
      </c>
    </row>
    <row r="540">
      <c r="A540" s="44">
        <v>539.0</v>
      </c>
      <c r="B540" s="44">
        <v>1048.0</v>
      </c>
    </row>
    <row r="541">
      <c r="A541" s="46">
        <v>540.0</v>
      </c>
      <c r="B541" s="46">
        <v>1046.0</v>
      </c>
    </row>
    <row r="542">
      <c r="A542" s="44">
        <v>541.0</v>
      </c>
      <c r="B542" s="44">
        <v>1043.0</v>
      </c>
    </row>
    <row r="543">
      <c r="A543" s="46">
        <v>542.0</v>
      </c>
      <c r="B543" s="46">
        <v>1040.0</v>
      </c>
    </row>
    <row r="544">
      <c r="A544" s="44">
        <v>543.0</v>
      </c>
      <c r="B544" s="44">
        <v>1038.0</v>
      </c>
    </row>
    <row r="545">
      <c r="A545" s="46">
        <v>544.0</v>
      </c>
      <c r="B545" s="46">
        <v>1035.0</v>
      </c>
    </row>
    <row r="546">
      <c r="A546" s="44">
        <v>545.0</v>
      </c>
      <c r="B546" s="44">
        <v>1033.0</v>
      </c>
    </row>
    <row r="547">
      <c r="A547" s="46">
        <v>546.0</v>
      </c>
      <c r="B547" s="46">
        <v>1030.0</v>
      </c>
    </row>
    <row r="548">
      <c r="A548" s="44">
        <v>547.0</v>
      </c>
      <c r="B548" s="44">
        <v>1027.0</v>
      </c>
    </row>
    <row r="549">
      <c r="A549" s="46">
        <v>548.0</v>
      </c>
      <c r="B549" s="46">
        <v>1025.0</v>
      </c>
    </row>
    <row r="550">
      <c r="A550" s="44">
        <v>549.0</v>
      </c>
      <c r="B550" s="44">
        <v>1022.0</v>
      </c>
    </row>
    <row r="551">
      <c r="A551" s="46">
        <v>550.0</v>
      </c>
      <c r="B551" s="46">
        <v>1020.0</v>
      </c>
    </row>
    <row r="552">
      <c r="A552" s="44">
        <v>551.0</v>
      </c>
      <c r="B552" s="44">
        <v>1017.0</v>
      </c>
    </row>
    <row r="553">
      <c r="A553" s="46">
        <v>552.0</v>
      </c>
      <c r="B553" s="46">
        <v>1014.0</v>
      </c>
    </row>
    <row r="554">
      <c r="A554" s="44">
        <v>553.0</v>
      </c>
      <c r="B554" s="44">
        <v>1012.0</v>
      </c>
    </row>
    <row r="555">
      <c r="A555" s="46">
        <v>554.0</v>
      </c>
      <c r="B555" s="46">
        <v>1009.0</v>
      </c>
    </row>
    <row r="556">
      <c r="A556" s="44">
        <v>555.0</v>
      </c>
      <c r="B556" s="44">
        <v>1007.0</v>
      </c>
    </row>
    <row r="557">
      <c r="A557" s="46">
        <v>556.0</v>
      </c>
      <c r="B557" s="46">
        <v>1004.0</v>
      </c>
    </row>
    <row r="558">
      <c r="A558" s="44">
        <v>557.0</v>
      </c>
      <c r="B558" s="44">
        <v>1001.0</v>
      </c>
    </row>
    <row r="559">
      <c r="A559" s="46">
        <v>558.0</v>
      </c>
      <c r="B559" s="46">
        <v>999.0</v>
      </c>
    </row>
    <row r="560">
      <c r="A560" s="44">
        <v>559.0</v>
      </c>
      <c r="B560" s="44">
        <v>996.0</v>
      </c>
    </row>
    <row r="561">
      <c r="A561" s="46">
        <v>560.0</v>
      </c>
      <c r="B561" s="46">
        <v>994.0</v>
      </c>
    </row>
    <row r="562">
      <c r="A562" s="44">
        <v>561.0</v>
      </c>
      <c r="B562" s="44">
        <v>991.0</v>
      </c>
    </row>
    <row r="563">
      <c r="A563" s="46">
        <v>562.0</v>
      </c>
      <c r="B563" s="46">
        <v>988.0</v>
      </c>
    </row>
    <row r="564">
      <c r="A564" s="44">
        <v>563.0</v>
      </c>
      <c r="B564" s="44">
        <v>986.0</v>
      </c>
    </row>
    <row r="565">
      <c r="A565" s="46">
        <v>564.0</v>
      </c>
      <c r="B565" s="46">
        <v>983.0</v>
      </c>
    </row>
    <row r="566">
      <c r="A566" s="44">
        <v>565.0</v>
      </c>
      <c r="B566" s="44">
        <v>981.0</v>
      </c>
    </row>
    <row r="567">
      <c r="A567" s="46">
        <v>566.0</v>
      </c>
      <c r="B567" s="46">
        <v>978.0</v>
      </c>
    </row>
    <row r="568">
      <c r="A568" s="44">
        <v>567.0</v>
      </c>
      <c r="B568" s="44">
        <v>975.0</v>
      </c>
    </row>
    <row r="569">
      <c r="A569" s="46">
        <v>568.0</v>
      </c>
      <c r="B569" s="46">
        <v>973.0</v>
      </c>
    </row>
    <row r="570">
      <c r="A570" s="44">
        <v>569.0</v>
      </c>
      <c r="B570" s="44">
        <v>970.0</v>
      </c>
    </row>
    <row r="571">
      <c r="A571" s="46">
        <v>570.0</v>
      </c>
      <c r="B571" s="46">
        <v>968.0</v>
      </c>
    </row>
    <row r="572">
      <c r="A572" s="44">
        <v>571.0</v>
      </c>
      <c r="B572" s="44">
        <v>965.0</v>
      </c>
    </row>
    <row r="573">
      <c r="A573" s="46">
        <v>572.0</v>
      </c>
      <c r="B573" s="46">
        <v>962.0</v>
      </c>
    </row>
    <row r="574">
      <c r="A574" s="44">
        <v>573.0</v>
      </c>
      <c r="B574" s="44">
        <v>960.0</v>
      </c>
    </row>
    <row r="575">
      <c r="A575" s="46">
        <v>574.0</v>
      </c>
      <c r="B575" s="46">
        <v>957.0</v>
      </c>
    </row>
    <row r="576">
      <c r="A576" s="44">
        <v>575.0</v>
      </c>
      <c r="B576" s="44">
        <v>955.0</v>
      </c>
    </row>
    <row r="577">
      <c r="A577" s="46">
        <v>576.0</v>
      </c>
      <c r="B577" s="46">
        <v>952.0</v>
      </c>
    </row>
    <row r="578">
      <c r="A578" s="44">
        <v>577.0</v>
      </c>
      <c r="B578" s="44">
        <v>949.0</v>
      </c>
    </row>
    <row r="579">
      <c r="A579" s="46">
        <v>578.0</v>
      </c>
      <c r="B579" s="46">
        <v>947.0</v>
      </c>
    </row>
    <row r="580">
      <c r="A580" s="44">
        <v>579.0</v>
      </c>
      <c r="B580" s="44">
        <v>944.0</v>
      </c>
    </row>
    <row r="581">
      <c r="A581" s="46">
        <v>580.0</v>
      </c>
      <c r="B581" s="46">
        <v>942.0</v>
      </c>
    </row>
    <row r="582">
      <c r="A582" s="44">
        <v>581.0</v>
      </c>
      <c r="B582" s="44">
        <v>939.0</v>
      </c>
    </row>
    <row r="583">
      <c r="A583" s="46">
        <v>582.0</v>
      </c>
      <c r="B583" s="46">
        <v>936.0</v>
      </c>
    </row>
    <row r="584">
      <c r="A584" s="44">
        <v>583.0</v>
      </c>
      <c r="B584" s="44">
        <v>934.0</v>
      </c>
    </row>
    <row r="585">
      <c r="A585" s="46">
        <v>584.0</v>
      </c>
      <c r="B585" s="46">
        <v>931.0</v>
      </c>
    </row>
    <row r="586">
      <c r="A586" s="44">
        <v>585.0</v>
      </c>
      <c r="B586" s="44">
        <v>929.0</v>
      </c>
    </row>
    <row r="587">
      <c r="A587" s="46">
        <v>586.0</v>
      </c>
      <c r="B587" s="46">
        <v>926.0</v>
      </c>
    </row>
    <row r="588">
      <c r="A588" s="44">
        <v>587.0</v>
      </c>
      <c r="B588" s="44">
        <v>923.0</v>
      </c>
    </row>
    <row r="589">
      <c r="A589" s="46">
        <v>588.0</v>
      </c>
      <c r="B589" s="46">
        <v>921.0</v>
      </c>
    </row>
    <row r="590">
      <c r="A590" s="44">
        <v>589.0</v>
      </c>
      <c r="B590" s="44">
        <v>918.0</v>
      </c>
    </row>
    <row r="591">
      <c r="A591" s="46">
        <v>590.0</v>
      </c>
      <c r="B591" s="46">
        <v>916.0</v>
      </c>
    </row>
    <row r="592">
      <c r="A592" s="44">
        <v>591.0</v>
      </c>
      <c r="B592" s="44">
        <v>913.0</v>
      </c>
    </row>
    <row r="593">
      <c r="A593" s="46">
        <v>592.0</v>
      </c>
      <c r="B593" s="46">
        <v>910.0</v>
      </c>
    </row>
    <row r="594">
      <c r="A594" s="44">
        <v>593.0</v>
      </c>
      <c r="B594" s="44">
        <v>908.0</v>
      </c>
    </row>
    <row r="595">
      <c r="A595" s="46">
        <v>594.0</v>
      </c>
      <c r="B595" s="46">
        <v>905.0</v>
      </c>
    </row>
    <row r="596">
      <c r="A596" s="44">
        <v>595.0</v>
      </c>
      <c r="B596" s="44">
        <v>903.0</v>
      </c>
    </row>
    <row r="597">
      <c r="A597" s="46">
        <v>596.0</v>
      </c>
      <c r="B597" s="46">
        <v>900.0</v>
      </c>
    </row>
    <row r="598">
      <c r="A598" s="44">
        <v>597.0</v>
      </c>
      <c r="B598" s="44">
        <v>897.0</v>
      </c>
    </row>
    <row r="599">
      <c r="A599" s="46">
        <v>598.0</v>
      </c>
      <c r="B599" s="46">
        <v>895.0</v>
      </c>
    </row>
    <row r="600">
      <c r="A600" s="44">
        <v>599.0</v>
      </c>
      <c r="B600" s="44">
        <v>892.0</v>
      </c>
    </row>
    <row r="601">
      <c r="A601" s="46">
        <v>600.0</v>
      </c>
      <c r="B601" s="46">
        <v>890.0</v>
      </c>
    </row>
    <row r="602">
      <c r="A602" s="44">
        <v>601.0</v>
      </c>
      <c r="B602" s="44">
        <v>887.0</v>
      </c>
    </row>
    <row r="603">
      <c r="A603" s="46">
        <v>602.0</v>
      </c>
      <c r="B603" s="46">
        <v>884.0</v>
      </c>
    </row>
    <row r="604">
      <c r="A604" s="44">
        <v>603.0</v>
      </c>
      <c r="B604" s="44">
        <v>882.0</v>
      </c>
    </row>
    <row r="605">
      <c r="A605" s="46">
        <v>604.0</v>
      </c>
      <c r="B605" s="46">
        <v>879.0</v>
      </c>
    </row>
    <row r="606">
      <c r="A606" s="44">
        <v>605.0</v>
      </c>
      <c r="B606" s="44">
        <v>877.0</v>
      </c>
    </row>
    <row r="607">
      <c r="A607" s="46">
        <v>606.0</v>
      </c>
      <c r="B607" s="46">
        <v>874.0</v>
      </c>
    </row>
    <row r="608">
      <c r="A608" s="44">
        <v>607.0</v>
      </c>
      <c r="B608" s="44">
        <v>871.0</v>
      </c>
    </row>
    <row r="609">
      <c r="A609" s="46">
        <v>608.0</v>
      </c>
      <c r="B609" s="46">
        <v>869.0</v>
      </c>
    </row>
    <row r="610">
      <c r="A610" s="44">
        <v>609.0</v>
      </c>
      <c r="B610" s="44">
        <v>866.0</v>
      </c>
    </row>
    <row r="611">
      <c r="A611" s="46">
        <v>610.0</v>
      </c>
      <c r="B611" s="46">
        <v>864.0</v>
      </c>
    </row>
    <row r="612">
      <c r="A612" s="44">
        <v>611.0</v>
      </c>
      <c r="B612" s="44">
        <v>861.0</v>
      </c>
    </row>
    <row r="613">
      <c r="A613" s="46">
        <v>612.0</v>
      </c>
      <c r="B613" s="46">
        <v>858.0</v>
      </c>
    </row>
    <row r="614">
      <c r="A614" s="44">
        <v>613.0</v>
      </c>
      <c r="B614" s="44">
        <v>856.0</v>
      </c>
    </row>
    <row r="615">
      <c r="A615" s="46">
        <v>614.0</v>
      </c>
      <c r="B615" s="46">
        <v>853.0</v>
      </c>
    </row>
    <row r="616">
      <c r="A616" s="44">
        <v>615.0</v>
      </c>
      <c r="B616" s="44">
        <v>851.0</v>
      </c>
    </row>
    <row r="617">
      <c r="A617" s="46">
        <v>616.0</v>
      </c>
      <c r="B617" s="46">
        <v>848.0</v>
      </c>
    </row>
    <row r="618">
      <c r="A618" s="44">
        <v>617.0</v>
      </c>
      <c r="B618" s="44">
        <v>845.0</v>
      </c>
    </row>
    <row r="619">
      <c r="A619" s="46">
        <v>618.0</v>
      </c>
      <c r="B619" s="46">
        <v>843.0</v>
      </c>
    </row>
    <row r="620">
      <c r="A620" s="44">
        <v>619.0</v>
      </c>
      <c r="B620" s="44">
        <v>840.0</v>
      </c>
    </row>
    <row r="621">
      <c r="A621" s="46">
        <v>620.0</v>
      </c>
      <c r="B621" s="46">
        <v>838.0</v>
      </c>
    </row>
    <row r="622">
      <c r="A622" s="44">
        <v>621.0</v>
      </c>
      <c r="B622" s="44">
        <v>835.0</v>
      </c>
    </row>
    <row r="623">
      <c r="A623" s="46">
        <v>622.0</v>
      </c>
      <c r="B623" s="46">
        <v>832.0</v>
      </c>
    </row>
    <row r="624">
      <c r="A624" s="44">
        <v>623.0</v>
      </c>
      <c r="B624" s="44">
        <v>830.0</v>
      </c>
    </row>
    <row r="625">
      <c r="A625" s="46">
        <v>624.0</v>
      </c>
      <c r="B625" s="46">
        <v>827.0</v>
      </c>
    </row>
    <row r="626">
      <c r="A626" s="44">
        <v>625.0</v>
      </c>
      <c r="B626" s="44">
        <v>825.0</v>
      </c>
    </row>
    <row r="627">
      <c r="A627" s="46">
        <v>626.0</v>
      </c>
      <c r="B627" s="46">
        <v>822.0</v>
      </c>
    </row>
    <row r="628">
      <c r="A628" s="44">
        <v>627.0</v>
      </c>
      <c r="B628" s="44">
        <v>819.0</v>
      </c>
    </row>
    <row r="629">
      <c r="A629" s="46">
        <v>628.0</v>
      </c>
      <c r="B629" s="46">
        <v>817.0</v>
      </c>
    </row>
    <row r="630">
      <c r="A630" s="44">
        <v>629.0</v>
      </c>
      <c r="B630" s="44">
        <v>814.0</v>
      </c>
    </row>
    <row r="631">
      <c r="A631" s="46">
        <v>630.0</v>
      </c>
      <c r="B631" s="46">
        <v>812.0</v>
      </c>
    </row>
    <row r="632">
      <c r="A632" s="44">
        <v>631.0</v>
      </c>
      <c r="B632" s="44">
        <v>809.0</v>
      </c>
    </row>
    <row r="633">
      <c r="A633" s="46">
        <v>632.0</v>
      </c>
      <c r="B633" s="46">
        <v>806.0</v>
      </c>
    </row>
    <row r="634">
      <c r="A634" s="44">
        <v>633.0</v>
      </c>
      <c r="B634" s="44">
        <v>804.0</v>
      </c>
    </row>
    <row r="635">
      <c r="A635" s="46">
        <v>634.0</v>
      </c>
      <c r="B635" s="46">
        <v>801.0</v>
      </c>
    </row>
    <row r="636">
      <c r="A636" s="44">
        <v>635.0</v>
      </c>
      <c r="B636" s="44">
        <v>799.0</v>
      </c>
    </row>
    <row r="637">
      <c r="A637" s="46">
        <v>636.0</v>
      </c>
      <c r="B637" s="46">
        <v>796.0</v>
      </c>
    </row>
    <row r="638">
      <c r="A638" s="44">
        <v>637.0</v>
      </c>
      <c r="B638" s="44">
        <v>793.0</v>
      </c>
    </row>
    <row r="639">
      <c r="A639" s="46">
        <v>638.0</v>
      </c>
      <c r="B639" s="46">
        <v>791.0</v>
      </c>
    </row>
    <row r="640">
      <c r="A640" s="44">
        <v>639.0</v>
      </c>
      <c r="B640" s="44">
        <v>788.0</v>
      </c>
    </row>
    <row r="641">
      <c r="A641" s="46">
        <v>640.0</v>
      </c>
      <c r="B641" s="46">
        <v>786.0</v>
      </c>
    </row>
    <row r="642">
      <c r="A642" s="44">
        <v>641.0</v>
      </c>
      <c r="B642" s="44">
        <v>783.0</v>
      </c>
    </row>
    <row r="643">
      <c r="A643" s="46">
        <v>642.0</v>
      </c>
      <c r="B643" s="46">
        <v>780.0</v>
      </c>
    </row>
    <row r="644">
      <c r="A644" s="44">
        <v>643.0</v>
      </c>
      <c r="B644" s="44">
        <v>778.0</v>
      </c>
    </row>
    <row r="645">
      <c r="A645" s="46">
        <v>644.0</v>
      </c>
      <c r="B645" s="46">
        <v>775.0</v>
      </c>
    </row>
    <row r="646">
      <c r="A646" s="44">
        <v>645.0</v>
      </c>
      <c r="B646" s="44">
        <v>773.0</v>
      </c>
    </row>
    <row r="647">
      <c r="A647" s="46">
        <v>646.0</v>
      </c>
      <c r="B647" s="46">
        <v>770.0</v>
      </c>
    </row>
    <row r="648">
      <c r="A648" s="44">
        <v>647.0</v>
      </c>
      <c r="B648" s="44">
        <v>767.0</v>
      </c>
    </row>
    <row r="649">
      <c r="A649" s="46">
        <v>648.0</v>
      </c>
      <c r="B649" s="46">
        <v>765.0</v>
      </c>
    </row>
    <row r="650">
      <c r="A650" s="44">
        <v>649.0</v>
      </c>
      <c r="B650" s="44">
        <v>762.0</v>
      </c>
    </row>
    <row r="651">
      <c r="A651" s="46">
        <v>650.0</v>
      </c>
      <c r="B651" s="46">
        <v>760.0</v>
      </c>
    </row>
    <row r="652">
      <c r="A652" s="44">
        <v>651.0</v>
      </c>
      <c r="B652" s="44">
        <v>757.0</v>
      </c>
    </row>
    <row r="653">
      <c r="A653" s="46">
        <v>652.0</v>
      </c>
      <c r="B653" s="46">
        <v>754.0</v>
      </c>
    </row>
    <row r="654">
      <c r="A654" s="44">
        <v>653.0</v>
      </c>
      <c r="B654" s="44">
        <v>752.0</v>
      </c>
    </row>
    <row r="655">
      <c r="A655" s="46">
        <v>654.0</v>
      </c>
      <c r="B655" s="46">
        <v>749.0</v>
      </c>
    </row>
    <row r="656">
      <c r="A656" s="44">
        <v>655.0</v>
      </c>
      <c r="B656" s="44">
        <v>747.0</v>
      </c>
    </row>
    <row r="657">
      <c r="A657" s="46">
        <v>656.0</v>
      </c>
      <c r="B657" s="46">
        <v>744.0</v>
      </c>
    </row>
    <row r="658">
      <c r="A658" s="44">
        <v>657.0</v>
      </c>
      <c r="B658" s="44">
        <v>741.0</v>
      </c>
    </row>
    <row r="659">
      <c r="A659" s="46">
        <v>658.0</v>
      </c>
      <c r="B659" s="46">
        <v>739.0</v>
      </c>
    </row>
    <row r="660">
      <c r="A660" s="44">
        <v>659.0</v>
      </c>
      <c r="B660" s="44">
        <v>736.0</v>
      </c>
    </row>
    <row r="661">
      <c r="A661" s="46">
        <v>660.0</v>
      </c>
      <c r="B661" s="46">
        <v>734.0</v>
      </c>
    </row>
    <row r="662">
      <c r="A662" s="44">
        <v>661.0</v>
      </c>
      <c r="B662" s="44">
        <v>731.0</v>
      </c>
    </row>
    <row r="663">
      <c r="A663" s="46">
        <v>662.0</v>
      </c>
      <c r="B663" s="46">
        <v>728.0</v>
      </c>
    </row>
    <row r="664">
      <c r="A664" s="44">
        <v>663.0</v>
      </c>
      <c r="B664" s="44">
        <v>726.0</v>
      </c>
    </row>
    <row r="665">
      <c r="A665" s="46">
        <v>664.0</v>
      </c>
      <c r="B665" s="46">
        <v>723.0</v>
      </c>
    </row>
    <row r="666">
      <c r="A666" s="44">
        <v>665.0</v>
      </c>
      <c r="B666" s="44">
        <v>721.0</v>
      </c>
    </row>
    <row r="667">
      <c r="A667" s="46">
        <v>666.0</v>
      </c>
      <c r="B667" s="46">
        <v>718.0</v>
      </c>
    </row>
    <row r="668">
      <c r="A668" s="44">
        <v>667.0</v>
      </c>
      <c r="B668" s="44">
        <v>715.0</v>
      </c>
    </row>
    <row r="669">
      <c r="A669" s="46">
        <v>668.0</v>
      </c>
      <c r="B669" s="46">
        <v>713.0</v>
      </c>
    </row>
    <row r="670">
      <c r="A670" s="44">
        <v>669.0</v>
      </c>
      <c r="B670" s="44">
        <v>710.0</v>
      </c>
    </row>
    <row r="671">
      <c r="A671" s="46">
        <v>670.0</v>
      </c>
      <c r="B671" s="46">
        <v>708.0</v>
      </c>
    </row>
    <row r="672">
      <c r="A672" s="44">
        <v>671.0</v>
      </c>
      <c r="B672" s="44">
        <v>705.0</v>
      </c>
    </row>
    <row r="673">
      <c r="A673" s="46">
        <v>672.0</v>
      </c>
      <c r="B673" s="46">
        <v>702.0</v>
      </c>
    </row>
    <row r="674">
      <c r="A674" s="44">
        <v>673.0</v>
      </c>
      <c r="B674" s="44">
        <v>700.0</v>
      </c>
    </row>
    <row r="675">
      <c r="A675" s="46">
        <v>674.0</v>
      </c>
      <c r="B675" s="46">
        <v>697.0</v>
      </c>
    </row>
    <row r="676">
      <c r="A676" s="44">
        <v>675.0</v>
      </c>
      <c r="B676" s="44">
        <v>695.0</v>
      </c>
    </row>
    <row r="677">
      <c r="A677" s="46">
        <v>676.0</v>
      </c>
      <c r="B677" s="46">
        <v>692.0</v>
      </c>
    </row>
    <row r="678">
      <c r="A678" s="44">
        <v>677.0</v>
      </c>
      <c r="B678" s="44">
        <v>689.0</v>
      </c>
    </row>
    <row r="679">
      <c r="A679" s="46">
        <v>678.0</v>
      </c>
      <c r="B679" s="46">
        <v>687.0</v>
      </c>
    </row>
    <row r="680">
      <c r="A680" s="44">
        <v>679.0</v>
      </c>
      <c r="B680" s="44">
        <v>684.0</v>
      </c>
    </row>
    <row r="681">
      <c r="A681" s="46">
        <v>680.0</v>
      </c>
      <c r="B681" s="46">
        <v>682.0</v>
      </c>
    </row>
    <row r="682">
      <c r="A682" s="44">
        <v>681.0</v>
      </c>
      <c r="B682" s="44">
        <v>679.0</v>
      </c>
    </row>
    <row r="683">
      <c r="A683" s="46">
        <v>682.0</v>
      </c>
      <c r="B683" s="46">
        <v>676.0</v>
      </c>
    </row>
    <row r="684">
      <c r="A684" s="44">
        <v>683.0</v>
      </c>
      <c r="B684" s="44">
        <v>674.0</v>
      </c>
    </row>
    <row r="685">
      <c r="A685" s="46">
        <v>684.0</v>
      </c>
      <c r="B685" s="46">
        <v>671.0</v>
      </c>
    </row>
    <row r="686">
      <c r="A686" s="44">
        <v>685.0</v>
      </c>
      <c r="B686" s="44">
        <v>669.0</v>
      </c>
    </row>
    <row r="687">
      <c r="A687" s="46">
        <v>686.0</v>
      </c>
      <c r="B687" s="46">
        <v>666.0</v>
      </c>
    </row>
    <row r="688">
      <c r="A688" s="44">
        <v>687.0</v>
      </c>
      <c r="B688" s="44">
        <v>663.0</v>
      </c>
    </row>
    <row r="689">
      <c r="A689" s="46">
        <v>688.0</v>
      </c>
      <c r="B689" s="46">
        <v>661.0</v>
      </c>
    </row>
    <row r="690">
      <c r="A690" s="44">
        <v>689.0</v>
      </c>
      <c r="B690" s="44">
        <v>658.0</v>
      </c>
    </row>
    <row r="691">
      <c r="A691" s="46">
        <v>690.0</v>
      </c>
      <c r="B691" s="46">
        <v>656.0</v>
      </c>
    </row>
    <row r="692">
      <c r="A692" s="44">
        <v>691.0</v>
      </c>
      <c r="B692" s="44">
        <v>653.0</v>
      </c>
    </row>
    <row r="693">
      <c r="A693" s="46">
        <v>692.0</v>
      </c>
      <c r="B693" s="46">
        <v>650.0</v>
      </c>
    </row>
    <row r="694">
      <c r="A694" s="44">
        <v>693.0</v>
      </c>
      <c r="B694" s="44">
        <v>648.0</v>
      </c>
    </row>
    <row r="695">
      <c r="A695" s="46">
        <v>694.0</v>
      </c>
      <c r="B695" s="46">
        <v>645.0</v>
      </c>
    </row>
    <row r="696">
      <c r="A696" s="44">
        <v>695.0</v>
      </c>
      <c r="B696" s="44">
        <v>643.0</v>
      </c>
    </row>
    <row r="697">
      <c r="A697" s="46">
        <v>696.0</v>
      </c>
      <c r="B697" s="46">
        <v>640.0</v>
      </c>
    </row>
    <row r="698">
      <c r="A698" s="44">
        <v>697.0</v>
      </c>
      <c r="B698" s="44">
        <v>637.0</v>
      </c>
    </row>
    <row r="699">
      <c r="A699" s="46">
        <v>698.0</v>
      </c>
      <c r="B699" s="46">
        <v>635.0</v>
      </c>
    </row>
    <row r="700">
      <c r="A700" s="44">
        <v>699.0</v>
      </c>
      <c r="B700" s="44">
        <v>632.0</v>
      </c>
    </row>
    <row r="701">
      <c r="A701" s="46">
        <v>700.0</v>
      </c>
      <c r="B701" s="46">
        <v>630.0</v>
      </c>
    </row>
    <row r="702">
      <c r="A702" s="44">
        <v>701.0</v>
      </c>
      <c r="B702" s="44">
        <v>627.0</v>
      </c>
    </row>
    <row r="703">
      <c r="A703" s="46">
        <v>702.0</v>
      </c>
      <c r="B703" s="46">
        <v>624.0</v>
      </c>
    </row>
    <row r="704">
      <c r="A704" s="44">
        <v>703.0</v>
      </c>
      <c r="B704" s="44">
        <v>622.0</v>
      </c>
    </row>
    <row r="705">
      <c r="A705" s="46">
        <v>704.0</v>
      </c>
      <c r="B705" s="46">
        <v>619.0</v>
      </c>
    </row>
    <row r="706">
      <c r="A706" s="44">
        <v>705.0</v>
      </c>
      <c r="B706" s="44">
        <v>617.0</v>
      </c>
    </row>
    <row r="707">
      <c r="A707" s="46">
        <v>706.0</v>
      </c>
      <c r="B707" s="46">
        <v>614.0</v>
      </c>
    </row>
    <row r="708">
      <c r="A708" s="44">
        <v>707.0</v>
      </c>
      <c r="B708" s="44">
        <v>611.0</v>
      </c>
    </row>
    <row r="709">
      <c r="A709" s="46">
        <v>708.0</v>
      </c>
      <c r="B709" s="46">
        <v>609.0</v>
      </c>
    </row>
    <row r="710">
      <c r="A710" s="44">
        <v>709.0</v>
      </c>
      <c r="B710" s="44">
        <v>606.0</v>
      </c>
    </row>
    <row r="711">
      <c r="A711" s="46">
        <v>710.0</v>
      </c>
      <c r="B711" s="46">
        <v>604.0</v>
      </c>
    </row>
    <row r="712">
      <c r="A712" s="44">
        <v>711.0</v>
      </c>
      <c r="B712" s="44">
        <v>601.0</v>
      </c>
    </row>
    <row r="713">
      <c r="A713" s="46">
        <v>712.0</v>
      </c>
      <c r="B713" s="46">
        <v>598.0</v>
      </c>
    </row>
    <row r="714">
      <c r="A714" s="44">
        <v>713.0</v>
      </c>
      <c r="B714" s="44">
        <v>596.0</v>
      </c>
    </row>
    <row r="715">
      <c r="A715" s="46">
        <v>714.0</v>
      </c>
      <c r="B715" s="46">
        <v>593.0</v>
      </c>
    </row>
    <row r="716">
      <c r="A716" s="44">
        <v>715.0</v>
      </c>
      <c r="B716" s="44">
        <v>591.0</v>
      </c>
    </row>
    <row r="717">
      <c r="A717" s="46">
        <v>716.0</v>
      </c>
      <c r="B717" s="46">
        <v>588.0</v>
      </c>
    </row>
    <row r="718">
      <c r="A718" s="44">
        <v>717.0</v>
      </c>
      <c r="B718" s="44">
        <v>585.0</v>
      </c>
    </row>
    <row r="719">
      <c r="A719" s="46">
        <v>718.0</v>
      </c>
      <c r="B719" s="46">
        <v>583.0</v>
      </c>
    </row>
    <row r="720">
      <c r="A720" s="44">
        <v>719.0</v>
      </c>
      <c r="B720" s="44">
        <v>580.0</v>
      </c>
    </row>
    <row r="721">
      <c r="A721" s="46">
        <v>720.0</v>
      </c>
      <c r="B721" s="46">
        <v>578.0</v>
      </c>
    </row>
    <row r="722">
      <c r="A722" s="44">
        <v>721.0</v>
      </c>
      <c r="B722" s="44">
        <v>575.0</v>
      </c>
    </row>
    <row r="723">
      <c r="A723" s="46">
        <v>722.0</v>
      </c>
      <c r="B723" s="46">
        <v>572.0</v>
      </c>
    </row>
    <row r="724">
      <c r="A724" s="44">
        <v>723.0</v>
      </c>
      <c r="B724" s="44">
        <v>570.0</v>
      </c>
    </row>
    <row r="725">
      <c r="A725" s="46">
        <v>724.0</v>
      </c>
      <c r="B725" s="46">
        <v>567.0</v>
      </c>
    </row>
    <row r="726">
      <c r="A726" s="44">
        <v>725.0</v>
      </c>
      <c r="B726" s="44">
        <v>565.0</v>
      </c>
    </row>
    <row r="727">
      <c r="A727" s="46">
        <v>726.0</v>
      </c>
      <c r="B727" s="46">
        <v>562.0</v>
      </c>
    </row>
    <row r="728">
      <c r="A728" s="44">
        <v>727.0</v>
      </c>
      <c r="B728" s="44">
        <v>559.0</v>
      </c>
    </row>
    <row r="729">
      <c r="A729" s="46">
        <v>728.0</v>
      </c>
      <c r="B729" s="46">
        <v>557.0</v>
      </c>
    </row>
    <row r="730">
      <c r="A730" s="44">
        <v>729.0</v>
      </c>
      <c r="B730" s="44">
        <v>554.0</v>
      </c>
    </row>
    <row r="731">
      <c r="A731" s="46">
        <v>730.0</v>
      </c>
      <c r="B731" s="46">
        <v>552.0</v>
      </c>
    </row>
    <row r="732">
      <c r="A732" s="44">
        <v>731.0</v>
      </c>
      <c r="B732" s="44">
        <v>549.0</v>
      </c>
    </row>
    <row r="733">
      <c r="A733" s="46">
        <v>732.0</v>
      </c>
      <c r="B733" s="46">
        <v>546.0</v>
      </c>
    </row>
    <row r="734">
      <c r="A734" s="44">
        <v>733.0</v>
      </c>
      <c r="B734" s="44">
        <v>544.0</v>
      </c>
    </row>
    <row r="735">
      <c r="A735" s="46">
        <v>734.0</v>
      </c>
      <c r="B735" s="46">
        <v>541.0</v>
      </c>
    </row>
    <row r="736">
      <c r="A736" s="44">
        <v>735.0</v>
      </c>
      <c r="B736" s="44">
        <v>539.0</v>
      </c>
    </row>
    <row r="737">
      <c r="A737" s="46">
        <v>736.0</v>
      </c>
      <c r="B737" s="46">
        <v>536.0</v>
      </c>
    </row>
    <row r="738">
      <c r="A738" s="44">
        <v>737.0</v>
      </c>
      <c r="B738" s="44">
        <v>533.0</v>
      </c>
    </row>
    <row r="739">
      <c r="A739" s="46">
        <v>738.0</v>
      </c>
      <c r="B739" s="46">
        <v>531.0</v>
      </c>
    </row>
    <row r="740">
      <c r="A740" s="44">
        <v>739.0</v>
      </c>
      <c r="B740" s="44">
        <v>528.0</v>
      </c>
    </row>
    <row r="741">
      <c r="A741" s="46">
        <v>740.0</v>
      </c>
      <c r="B741" s="46">
        <v>526.0</v>
      </c>
    </row>
    <row r="742">
      <c r="A742" s="44">
        <v>741.0</v>
      </c>
      <c r="B742" s="44">
        <v>523.0</v>
      </c>
    </row>
    <row r="743">
      <c r="A743" s="46">
        <v>742.0</v>
      </c>
      <c r="B743" s="46">
        <v>520.0</v>
      </c>
    </row>
    <row r="744">
      <c r="A744" s="44">
        <v>743.0</v>
      </c>
      <c r="B744" s="44">
        <v>518.0</v>
      </c>
    </row>
    <row r="745">
      <c r="A745" s="46">
        <v>744.0</v>
      </c>
      <c r="B745" s="46">
        <v>515.0</v>
      </c>
    </row>
    <row r="746">
      <c r="A746" s="44">
        <v>745.0</v>
      </c>
      <c r="B746" s="44">
        <v>513.0</v>
      </c>
    </row>
    <row r="747">
      <c r="A747" s="46">
        <v>746.0</v>
      </c>
      <c r="B747" s="46">
        <v>510.0</v>
      </c>
    </row>
    <row r="748">
      <c r="A748" s="44">
        <v>747.0</v>
      </c>
      <c r="B748" s="44">
        <v>507.0</v>
      </c>
    </row>
    <row r="749">
      <c r="A749" s="46">
        <v>748.0</v>
      </c>
      <c r="B749" s="46">
        <v>505.0</v>
      </c>
    </row>
    <row r="750">
      <c r="A750" s="44">
        <v>749.0</v>
      </c>
      <c r="B750" s="44">
        <v>502.0</v>
      </c>
    </row>
    <row r="751">
      <c r="A751" s="46">
        <v>750.0</v>
      </c>
      <c r="B751" s="46">
        <v>500.0</v>
      </c>
    </row>
    <row r="752">
      <c r="A752" s="44">
        <v>751.0</v>
      </c>
      <c r="B752" s="44">
        <v>497.0</v>
      </c>
    </row>
    <row r="753">
      <c r="A753" s="46">
        <v>752.0</v>
      </c>
      <c r="B753" s="46">
        <v>494.0</v>
      </c>
    </row>
    <row r="754">
      <c r="A754" s="44">
        <v>753.0</v>
      </c>
      <c r="B754" s="44">
        <v>492.0</v>
      </c>
    </row>
    <row r="755">
      <c r="A755" s="46">
        <v>754.0</v>
      </c>
      <c r="B755" s="46">
        <v>489.0</v>
      </c>
    </row>
    <row r="756">
      <c r="A756" s="44">
        <v>755.0</v>
      </c>
      <c r="B756" s="44">
        <v>487.0</v>
      </c>
    </row>
    <row r="757">
      <c r="A757" s="46">
        <v>756.0</v>
      </c>
      <c r="B757" s="46">
        <v>484.0</v>
      </c>
    </row>
    <row r="758">
      <c r="A758" s="44">
        <v>757.0</v>
      </c>
      <c r="B758" s="44">
        <v>481.0</v>
      </c>
    </row>
    <row r="759">
      <c r="A759" s="46">
        <v>758.0</v>
      </c>
      <c r="B759" s="46">
        <v>479.0</v>
      </c>
    </row>
    <row r="760">
      <c r="A760" s="44">
        <v>759.0</v>
      </c>
      <c r="B760" s="44">
        <v>476.0</v>
      </c>
    </row>
    <row r="761">
      <c r="A761" s="46">
        <v>760.0</v>
      </c>
      <c r="B761" s="46">
        <v>474.0</v>
      </c>
    </row>
    <row r="762">
      <c r="A762" s="44">
        <v>761.0</v>
      </c>
      <c r="B762" s="44">
        <v>471.0</v>
      </c>
    </row>
    <row r="763">
      <c r="A763" s="46">
        <v>762.0</v>
      </c>
      <c r="B763" s="46">
        <v>468.0</v>
      </c>
    </row>
    <row r="764">
      <c r="A764" s="44">
        <v>763.0</v>
      </c>
      <c r="B764" s="44">
        <v>466.0</v>
      </c>
    </row>
    <row r="765">
      <c r="A765" s="46">
        <v>764.0</v>
      </c>
      <c r="B765" s="46">
        <v>463.0</v>
      </c>
    </row>
    <row r="766">
      <c r="A766" s="44">
        <v>765.0</v>
      </c>
      <c r="B766" s="44">
        <v>460.0</v>
      </c>
    </row>
    <row r="767">
      <c r="A767" s="46">
        <v>766.0</v>
      </c>
      <c r="B767" s="46">
        <v>458.0</v>
      </c>
    </row>
    <row r="768">
      <c r="A768" s="44">
        <v>767.0</v>
      </c>
      <c r="B768" s="44">
        <v>455.0</v>
      </c>
    </row>
    <row r="769">
      <c r="A769" s="46">
        <v>768.0</v>
      </c>
      <c r="B769" s="46">
        <v>453.0</v>
      </c>
    </row>
    <row r="770">
      <c r="A770" s="44">
        <v>769.0</v>
      </c>
      <c r="B770" s="44">
        <v>450.0</v>
      </c>
    </row>
    <row r="771">
      <c r="A771" s="46">
        <v>770.0</v>
      </c>
      <c r="B771" s="46">
        <v>447.0</v>
      </c>
    </row>
    <row r="772">
      <c r="A772" s="44">
        <v>771.0</v>
      </c>
      <c r="B772" s="44">
        <v>445.0</v>
      </c>
    </row>
    <row r="773">
      <c r="A773" s="46">
        <v>772.0</v>
      </c>
      <c r="B773" s="46">
        <v>442.0</v>
      </c>
    </row>
    <row r="774">
      <c r="A774" s="44">
        <v>773.0</v>
      </c>
      <c r="B774" s="44">
        <v>440.0</v>
      </c>
    </row>
    <row r="775">
      <c r="A775" s="46">
        <v>774.0</v>
      </c>
      <c r="B775" s="46">
        <v>437.0</v>
      </c>
    </row>
    <row r="776">
      <c r="A776" s="44">
        <v>775.0</v>
      </c>
      <c r="B776" s="44">
        <v>434.0</v>
      </c>
    </row>
    <row r="777">
      <c r="A777" s="46">
        <v>776.0</v>
      </c>
      <c r="B777" s="46">
        <v>432.0</v>
      </c>
    </row>
    <row r="778">
      <c r="A778" s="44">
        <v>777.0</v>
      </c>
      <c r="B778" s="44">
        <v>429.0</v>
      </c>
    </row>
    <row r="779">
      <c r="A779" s="46">
        <v>778.0</v>
      </c>
      <c r="B779" s="46">
        <v>427.0</v>
      </c>
    </row>
    <row r="780">
      <c r="A780" s="44">
        <v>779.0</v>
      </c>
      <c r="B780" s="44">
        <v>424.0</v>
      </c>
    </row>
    <row r="781">
      <c r="A781" s="46">
        <v>780.0</v>
      </c>
      <c r="B781" s="46">
        <v>421.0</v>
      </c>
    </row>
    <row r="782">
      <c r="A782" s="44">
        <v>781.0</v>
      </c>
      <c r="B782" s="44">
        <v>419.0</v>
      </c>
    </row>
    <row r="783">
      <c r="A783" s="46">
        <v>782.0</v>
      </c>
      <c r="B783" s="46">
        <v>416.0</v>
      </c>
    </row>
    <row r="784">
      <c r="A784" s="44">
        <v>783.0</v>
      </c>
      <c r="B784" s="44">
        <v>414.0</v>
      </c>
    </row>
    <row r="785">
      <c r="A785" s="46">
        <v>784.0</v>
      </c>
      <c r="B785" s="46">
        <v>411.0</v>
      </c>
    </row>
    <row r="786">
      <c r="A786" s="44">
        <v>785.0</v>
      </c>
      <c r="B786" s="44">
        <v>408.0</v>
      </c>
    </row>
    <row r="787">
      <c r="A787" s="46">
        <v>786.0</v>
      </c>
      <c r="B787" s="46">
        <v>406.0</v>
      </c>
    </row>
    <row r="788">
      <c r="A788" s="44">
        <v>787.0</v>
      </c>
      <c r="B788" s="44">
        <v>403.0</v>
      </c>
    </row>
    <row r="789">
      <c r="A789" s="46">
        <v>788.0</v>
      </c>
      <c r="B789" s="46">
        <v>401.0</v>
      </c>
    </row>
    <row r="790">
      <c r="A790" s="44">
        <v>789.0</v>
      </c>
      <c r="B790" s="44">
        <v>398.0</v>
      </c>
    </row>
    <row r="791">
      <c r="A791" s="46">
        <v>790.0</v>
      </c>
      <c r="B791" s="46">
        <v>395.0</v>
      </c>
    </row>
    <row r="792">
      <c r="A792" s="44">
        <v>791.0</v>
      </c>
      <c r="B792" s="44">
        <v>393.0</v>
      </c>
    </row>
    <row r="793">
      <c r="A793" s="46">
        <v>792.0</v>
      </c>
      <c r="B793" s="46">
        <v>390.0</v>
      </c>
    </row>
    <row r="794">
      <c r="A794" s="44">
        <v>793.0</v>
      </c>
      <c r="B794" s="44">
        <v>388.0</v>
      </c>
    </row>
    <row r="795">
      <c r="A795" s="46">
        <v>794.0</v>
      </c>
      <c r="B795" s="46">
        <v>385.0</v>
      </c>
    </row>
    <row r="796">
      <c r="A796" s="44">
        <v>795.0</v>
      </c>
      <c r="B796" s="44">
        <v>382.0</v>
      </c>
    </row>
    <row r="797">
      <c r="A797" s="46">
        <v>796.0</v>
      </c>
      <c r="B797" s="46">
        <v>380.0</v>
      </c>
    </row>
    <row r="798">
      <c r="A798" s="44">
        <v>797.0</v>
      </c>
      <c r="B798" s="44">
        <v>377.0</v>
      </c>
    </row>
    <row r="799">
      <c r="A799" s="46">
        <v>798.0</v>
      </c>
      <c r="B799" s="46">
        <v>375.0</v>
      </c>
    </row>
    <row r="800">
      <c r="A800" s="44">
        <v>799.0</v>
      </c>
      <c r="B800" s="44">
        <v>372.0</v>
      </c>
    </row>
    <row r="801">
      <c r="A801" s="46">
        <v>800.0</v>
      </c>
      <c r="B801" s="46">
        <v>369.0</v>
      </c>
    </row>
    <row r="802">
      <c r="A802" s="44">
        <v>801.0</v>
      </c>
      <c r="B802" s="44">
        <v>368.0</v>
      </c>
    </row>
    <row r="803">
      <c r="A803" s="46">
        <v>802.0</v>
      </c>
      <c r="B803" s="46">
        <v>366.0</v>
      </c>
    </row>
    <row r="804">
      <c r="A804" s="44">
        <v>803.0</v>
      </c>
      <c r="B804" s="44">
        <v>364.0</v>
      </c>
    </row>
    <row r="805">
      <c r="A805" s="46">
        <v>804.0</v>
      </c>
      <c r="B805" s="46">
        <v>362.0</v>
      </c>
    </row>
    <row r="806">
      <c r="A806" s="44">
        <v>805.0</v>
      </c>
      <c r="B806" s="44">
        <v>360.0</v>
      </c>
    </row>
    <row r="807">
      <c r="A807" s="46">
        <v>806.0</v>
      </c>
      <c r="B807" s="46">
        <v>358.0</v>
      </c>
    </row>
    <row r="808">
      <c r="A808" s="44">
        <v>807.0</v>
      </c>
      <c r="B808" s="44">
        <v>357.0</v>
      </c>
    </row>
    <row r="809">
      <c r="A809" s="46">
        <v>808.0</v>
      </c>
      <c r="B809" s="46">
        <v>355.0</v>
      </c>
    </row>
    <row r="810">
      <c r="A810" s="44">
        <v>809.0</v>
      </c>
      <c r="B810" s="44">
        <v>353.0</v>
      </c>
    </row>
    <row r="811">
      <c r="A811" s="46">
        <v>810.0</v>
      </c>
      <c r="B811" s="46">
        <v>351.0</v>
      </c>
    </row>
    <row r="812">
      <c r="A812" s="44">
        <v>811.0</v>
      </c>
      <c r="B812" s="44">
        <v>349.0</v>
      </c>
    </row>
    <row r="813">
      <c r="A813" s="46">
        <v>812.0</v>
      </c>
      <c r="B813" s="46">
        <v>347.0</v>
      </c>
    </row>
    <row r="814">
      <c r="A814" s="44">
        <v>813.0</v>
      </c>
      <c r="B814" s="44">
        <v>345.0</v>
      </c>
    </row>
    <row r="815">
      <c r="A815" s="46">
        <v>814.0</v>
      </c>
      <c r="B815" s="46">
        <v>344.0</v>
      </c>
    </row>
    <row r="816">
      <c r="A816" s="44">
        <v>815.0</v>
      </c>
      <c r="B816" s="44">
        <v>342.0</v>
      </c>
    </row>
    <row r="817">
      <c r="A817" s="46">
        <v>816.0</v>
      </c>
      <c r="B817" s="46">
        <v>340.0</v>
      </c>
    </row>
    <row r="818">
      <c r="A818" s="44">
        <v>817.0</v>
      </c>
      <c r="B818" s="44">
        <v>338.0</v>
      </c>
    </row>
    <row r="819">
      <c r="A819" s="46">
        <v>818.0</v>
      </c>
      <c r="B819" s="46">
        <v>336.0</v>
      </c>
    </row>
    <row r="820">
      <c r="A820" s="44">
        <v>819.0</v>
      </c>
      <c r="B820" s="44">
        <v>334.0</v>
      </c>
    </row>
    <row r="821">
      <c r="A821" s="46">
        <v>820.0</v>
      </c>
      <c r="B821" s="46">
        <v>332.0</v>
      </c>
    </row>
    <row r="822">
      <c r="A822" s="44">
        <v>821.0</v>
      </c>
      <c r="B822" s="44">
        <v>331.0</v>
      </c>
    </row>
    <row r="823">
      <c r="A823" s="46">
        <v>822.0</v>
      </c>
      <c r="B823" s="46">
        <v>329.0</v>
      </c>
    </row>
    <row r="824">
      <c r="A824" s="44">
        <v>823.0</v>
      </c>
      <c r="B824" s="44">
        <v>327.0</v>
      </c>
    </row>
    <row r="825">
      <c r="A825" s="46">
        <v>824.0</v>
      </c>
      <c r="B825" s="46">
        <v>325.0</v>
      </c>
    </row>
    <row r="826">
      <c r="A826" s="44">
        <v>825.0</v>
      </c>
      <c r="B826" s="44">
        <v>323.0</v>
      </c>
    </row>
    <row r="827">
      <c r="A827" s="46">
        <v>826.0</v>
      </c>
      <c r="B827" s="46">
        <v>321.0</v>
      </c>
    </row>
    <row r="828">
      <c r="A828" s="44">
        <v>827.0</v>
      </c>
      <c r="B828" s="44">
        <v>320.0</v>
      </c>
    </row>
    <row r="829">
      <c r="A829" s="46">
        <v>828.0</v>
      </c>
      <c r="B829" s="46">
        <v>318.0</v>
      </c>
    </row>
    <row r="830">
      <c r="A830" s="44">
        <v>829.0</v>
      </c>
      <c r="B830" s="44">
        <v>316.0</v>
      </c>
    </row>
    <row r="831">
      <c r="A831" s="46">
        <v>830.0</v>
      </c>
      <c r="B831" s="46">
        <v>314.0</v>
      </c>
    </row>
    <row r="832">
      <c r="A832" s="44">
        <v>831.0</v>
      </c>
      <c r="B832" s="44">
        <v>312.0</v>
      </c>
    </row>
    <row r="833">
      <c r="A833" s="46">
        <v>832.0</v>
      </c>
      <c r="B833" s="46">
        <v>310.0</v>
      </c>
    </row>
    <row r="834">
      <c r="A834" s="44">
        <v>833.0</v>
      </c>
      <c r="B834" s="44">
        <v>308.0</v>
      </c>
    </row>
    <row r="835">
      <c r="A835" s="46">
        <v>834.0</v>
      </c>
      <c r="B835" s="46">
        <v>307.0</v>
      </c>
    </row>
    <row r="836">
      <c r="A836" s="44">
        <v>835.0</v>
      </c>
      <c r="B836" s="44">
        <v>305.0</v>
      </c>
    </row>
    <row r="837">
      <c r="A837" s="46">
        <v>836.0</v>
      </c>
      <c r="B837" s="46">
        <v>303.0</v>
      </c>
    </row>
    <row r="838">
      <c r="A838" s="44">
        <v>837.0</v>
      </c>
      <c r="B838" s="44">
        <v>301.0</v>
      </c>
    </row>
    <row r="839">
      <c r="A839" s="46">
        <v>838.0</v>
      </c>
      <c r="B839" s="46">
        <v>299.0</v>
      </c>
    </row>
    <row r="840">
      <c r="A840" s="44">
        <v>839.0</v>
      </c>
      <c r="B840" s="44">
        <v>297.0</v>
      </c>
    </row>
    <row r="841">
      <c r="A841" s="46">
        <v>840.0</v>
      </c>
      <c r="B841" s="46">
        <v>295.0</v>
      </c>
    </row>
    <row r="842">
      <c r="A842" s="44">
        <v>841.0</v>
      </c>
      <c r="B842" s="44">
        <v>294.0</v>
      </c>
    </row>
    <row r="843">
      <c r="A843" s="46">
        <v>842.0</v>
      </c>
      <c r="B843" s="46">
        <v>292.0</v>
      </c>
    </row>
    <row r="844">
      <c r="A844" s="44">
        <v>843.0</v>
      </c>
      <c r="B844" s="44">
        <v>290.0</v>
      </c>
    </row>
    <row r="845">
      <c r="A845" s="46">
        <v>844.0</v>
      </c>
      <c r="B845" s="46">
        <v>288.0</v>
      </c>
    </row>
    <row r="846">
      <c r="A846" s="44">
        <v>845.0</v>
      </c>
      <c r="B846" s="44">
        <v>286.0</v>
      </c>
    </row>
    <row r="847">
      <c r="A847" s="46">
        <v>846.0</v>
      </c>
      <c r="B847" s="46">
        <v>284.0</v>
      </c>
    </row>
    <row r="848">
      <c r="A848" s="44">
        <v>847.0</v>
      </c>
      <c r="B848" s="44">
        <v>283.0</v>
      </c>
    </row>
    <row r="849">
      <c r="A849" s="46">
        <v>848.0</v>
      </c>
      <c r="B849" s="46">
        <v>281.0</v>
      </c>
    </row>
    <row r="850">
      <c r="A850" s="44">
        <v>849.0</v>
      </c>
      <c r="B850" s="44">
        <v>279.0</v>
      </c>
    </row>
    <row r="851">
      <c r="A851" s="46">
        <v>850.0</v>
      </c>
      <c r="B851" s="46">
        <v>277.0</v>
      </c>
    </row>
    <row r="852">
      <c r="A852" s="44">
        <v>851.0</v>
      </c>
      <c r="B852" s="44">
        <v>275.0</v>
      </c>
    </row>
    <row r="853">
      <c r="A853" s="46">
        <v>852.0</v>
      </c>
      <c r="B853" s="46">
        <v>273.0</v>
      </c>
    </row>
    <row r="854">
      <c r="A854" s="44">
        <v>853.0</v>
      </c>
      <c r="B854" s="44">
        <v>271.0</v>
      </c>
    </row>
    <row r="855">
      <c r="A855" s="46">
        <v>854.0</v>
      </c>
      <c r="B855" s="46">
        <v>270.0</v>
      </c>
    </row>
    <row r="856">
      <c r="A856" s="44">
        <v>855.0</v>
      </c>
      <c r="B856" s="44">
        <v>268.0</v>
      </c>
    </row>
    <row r="857">
      <c r="A857" s="46">
        <v>856.0</v>
      </c>
      <c r="B857" s="46">
        <v>266.0</v>
      </c>
    </row>
    <row r="858">
      <c r="A858" s="44">
        <v>857.0</v>
      </c>
      <c r="B858" s="44">
        <v>264.0</v>
      </c>
    </row>
    <row r="859">
      <c r="A859" s="46">
        <v>858.0</v>
      </c>
      <c r="B859" s="46">
        <v>262.0</v>
      </c>
    </row>
    <row r="860">
      <c r="A860" s="44">
        <v>859.0</v>
      </c>
      <c r="B860" s="44">
        <v>260.0</v>
      </c>
    </row>
    <row r="861">
      <c r="A861" s="46">
        <v>860.0</v>
      </c>
      <c r="B861" s="46">
        <v>258.0</v>
      </c>
    </row>
    <row r="862">
      <c r="A862" s="44">
        <v>861.0</v>
      </c>
      <c r="B862" s="44">
        <v>257.0</v>
      </c>
    </row>
    <row r="863">
      <c r="A863" s="46">
        <v>862.0</v>
      </c>
      <c r="B863" s="46">
        <v>255.0</v>
      </c>
    </row>
    <row r="864">
      <c r="A864" s="44">
        <v>863.0</v>
      </c>
      <c r="B864" s="44">
        <v>253.0</v>
      </c>
    </row>
    <row r="865">
      <c r="A865" s="46">
        <v>864.0</v>
      </c>
      <c r="B865" s="46">
        <v>251.0</v>
      </c>
    </row>
    <row r="866">
      <c r="A866" s="44">
        <v>865.0</v>
      </c>
      <c r="B866" s="44">
        <v>249.0</v>
      </c>
    </row>
    <row r="867">
      <c r="A867" s="46">
        <v>866.0</v>
      </c>
      <c r="B867" s="46">
        <v>247.0</v>
      </c>
    </row>
    <row r="868">
      <c r="A868" s="44">
        <v>867.0</v>
      </c>
      <c r="B868" s="44">
        <v>246.0</v>
      </c>
    </row>
    <row r="869">
      <c r="A869" s="46">
        <v>868.0</v>
      </c>
      <c r="B869" s="46">
        <v>244.0</v>
      </c>
    </row>
    <row r="870">
      <c r="A870" s="44">
        <v>869.0</v>
      </c>
      <c r="B870" s="44">
        <v>242.0</v>
      </c>
    </row>
    <row r="871">
      <c r="A871" s="46">
        <v>870.0</v>
      </c>
      <c r="B871" s="46">
        <v>240.0</v>
      </c>
    </row>
    <row r="872">
      <c r="A872" s="44">
        <v>871.0</v>
      </c>
      <c r="B872" s="44">
        <v>238.0</v>
      </c>
    </row>
    <row r="873">
      <c r="A873" s="46">
        <v>872.0</v>
      </c>
      <c r="B873" s="46">
        <v>236.0</v>
      </c>
    </row>
    <row r="874">
      <c r="A874" s="44">
        <v>873.0</v>
      </c>
      <c r="B874" s="44">
        <v>234.0</v>
      </c>
    </row>
    <row r="875">
      <c r="A875" s="46">
        <v>874.0</v>
      </c>
      <c r="B875" s="46">
        <v>233.0</v>
      </c>
    </row>
    <row r="876">
      <c r="A876" s="44">
        <v>875.0</v>
      </c>
      <c r="B876" s="44">
        <v>231.0</v>
      </c>
    </row>
    <row r="877">
      <c r="A877" s="46">
        <v>876.0</v>
      </c>
      <c r="B877" s="46">
        <v>229.0</v>
      </c>
    </row>
    <row r="878">
      <c r="A878" s="44">
        <v>877.0</v>
      </c>
      <c r="B878" s="44">
        <v>227.0</v>
      </c>
    </row>
    <row r="879">
      <c r="A879" s="46">
        <v>878.0</v>
      </c>
      <c r="B879" s="46">
        <v>225.0</v>
      </c>
    </row>
    <row r="880">
      <c r="A880" s="44">
        <v>879.0</v>
      </c>
      <c r="B880" s="44">
        <v>223.0</v>
      </c>
    </row>
    <row r="881">
      <c r="A881" s="46">
        <v>880.0</v>
      </c>
      <c r="B881" s="46">
        <v>221.0</v>
      </c>
    </row>
    <row r="882">
      <c r="A882" s="44">
        <v>881.0</v>
      </c>
      <c r="B882" s="44">
        <v>220.0</v>
      </c>
    </row>
    <row r="883">
      <c r="A883" s="46">
        <v>882.0</v>
      </c>
      <c r="B883" s="46">
        <v>218.0</v>
      </c>
    </row>
    <row r="884">
      <c r="A884" s="44">
        <v>883.0</v>
      </c>
      <c r="B884" s="44">
        <v>216.0</v>
      </c>
    </row>
    <row r="885">
      <c r="A885" s="46">
        <v>884.0</v>
      </c>
      <c r="B885" s="46">
        <v>214.0</v>
      </c>
    </row>
    <row r="886">
      <c r="A886" s="44">
        <v>885.0</v>
      </c>
      <c r="B886" s="44">
        <v>212.0</v>
      </c>
    </row>
    <row r="887">
      <c r="A887" s="46">
        <v>886.0</v>
      </c>
      <c r="B887" s="46">
        <v>210.0</v>
      </c>
    </row>
    <row r="888">
      <c r="A888" s="44">
        <v>887.0</v>
      </c>
      <c r="B888" s="44">
        <v>209.0</v>
      </c>
    </row>
    <row r="889">
      <c r="A889" s="46">
        <v>888.0</v>
      </c>
      <c r="B889" s="46">
        <v>207.0</v>
      </c>
    </row>
    <row r="890">
      <c r="A890" s="44">
        <v>889.0</v>
      </c>
      <c r="B890" s="44">
        <v>205.0</v>
      </c>
    </row>
    <row r="891">
      <c r="A891" s="46">
        <v>890.0</v>
      </c>
      <c r="B891" s="46">
        <v>203.0</v>
      </c>
    </row>
    <row r="892">
      <c r="A892" s="44">
        <v>891.0</v>
      </c>
      <c r="B892" s="44">
        <v>201.0</v>
      </c>
    </row>
    <row r="893">
      <c r="A893" s="46">
        <v>892.0</v>
      </c>
      <c r="B893" s="46">
        <v>199.0</v>
      </c>
    </row>
    <row r="894">
      <c r="A894" s="44">
        <v>893.0</v>
      </c>
      <c r="B894" s="44">
        <v>197.0</v>
      </c>
    </row>
    <row r="895">
      <c r="A895" s="46">
        <v>894.0</v>
      </c>
      <c r="B895" s="46">
        <v>196.0</v>
      </c>
    </row>
    <row r="896">
      <c r="A896" s="44">
        <v>895.0</v>
      </c>
      <c r="B896" s="44">
        <v>194.0</v>
      </c>
    </row>
    <row r="897">
      <c r="A897" s="46">
        <v>896.0</v>
      </c>
      <c r="B897" s="46">
        <v>192.0</v>
      </c>
    </row>
    <row r="898">
      <c r="A898" s="44">
        <v>897.0</v>
      </c>
      <c r="B898" s="44">
        <v>190.0</v>
      </c>
    </row>
    <row r="899">
      <c r="A899" s="46">
        <v>898.0</v>
      </c>
      <c r="B899" s="46">
        <v>188.0</v>
      </c>
    </row>
    <row r="900">
      <c r="A900" s="44">
        <v>899.0</v>
      </c>
      <c r="B900" s="44">
        <v>186.0</v>
      </c>
    </row>
    <row r="901">
      <c r="A901" s="46">
        <v>900.0</v>
      </c>
      <c r="B901" s="46">
        <v>184.0</v>
      </c>
    </row>
    <row r="902">
      <c r="A902" s="44">
        <v>901.0</v>
      </c>
      <c r="B902" s="44">
        <v>183.0</v>
      </c>
    </row>
    <row r="903">
      <c r="A903" s="46">
        <v>902.0</v>
      </c>
      <c r="B903" s="46">
        <v>181.0</v>
      </c>
    </row>
    <row r="904">
      <c r="A904" s="44">
        <v>903.0</v>
      </c>
      <c r="B904" s="44">
        <v>179.0</v>
      </c>
    </row>
    <row r="905">
      <c r="A905" s="46">
        <v>904.0</v>
      </c>
      <c r="B905" s="46">
        <v>177.0</v>
      </c>
    </row>
    <row r="906">
      <c r="A906" s="44">
        <v>905.0</v>
      </c>
      <c r="B906" s="44">
        <v>175.0</v>
      </c>
    </row>
    <row r="907">
      <c r="A907" s="46">
        <v>906.0</v>
      </c>
      <c r="B907" s="46">
        <v>173.0</v>
      </c>
    </row>
    <row r="908">
      <c r="A908" s="44">
        <v>907.0</v>
      </c>
      <c r="B908" s="44">
        <v>172.0</v>
      </c>
    </row>
    <row r="909">
      <c r="A909" s="46">
        <v>908.0</v>
      </c>
      <c r="B909" s="46">
        <v>170.0</v>
      </c>
    </row>
    <row r="910">
      <c r="A910" s="44">
        <v>909.0</v>
      </c>
      <c r="B910" s="44">
        <v>168.0</v>
      </c>
    </row>
    <row r="911">
      <c r="A911" s="46">
        <v>910.0</v>
      </c>
      <c r="B911" s="46">
        <v>166.0</v>
      </c>
    </row>
    <row r="912">
      <c r="A912" s="44">
        <v>911.0</v>
      </c>
      <c r="B912" s="44">
        <v>164.0</v>
      </c>
    </row>
    <row r="913">
      <c r="A913" s="46">
        <v>912.0</v>
      </c>
      <c r="B913" s="46">
        <v>162.0</v>
      </c>
    </row>
    <row r="914">
      <c r="A914" s="44">
        <v>913.0</v>
      </c>
      <c r="B914" s="44">
        <v>160.0</v>
      </c>
    </row>
    <row r="915">
      <c r="A915" s="46">
        <v>914.0</v>
      </c>
      <c r="B915" s="46">
        <v>159.0</v>
      </c>
    </row>
    <row r="916">
      <c r="A916" s="44">
        <v>915.0</v>
      </c>
      <c r="B916" s="44">
        <v>157.0</v>
      </c>
    </row>
    <row r="917">
      <c r="A917" s="46">
        <v>916.0</v>
      </c>
      <c r="B917" s="46">
        <v>155.0</v>
      </c>
    </row>
    <row r="918">
      <c r="A918" s="44">
        <v>917.0</v>
      </c>
      <c r="B918" s="44">
        <v>153.0</v>
      </c>
    </row>
    <row r="919">
      <c r="A919" s="46">
        <v>918.0</v>
      </c>
      <c r="B919" s="46">
        <v>151.0</v>
      </c>
    </row>
    <row r="920">
      <c r="A920" s="44">
        <v>919.0</v>
      </c>
      <c r="B920" s="44">
        <v>149.0</v>
      </c>
    </row>
    <row r="921">
      <c r="A921" s="46">
        <v>920.0</v>
      </c>
      <c r="B921" s="46">
        <v>147.0</v>
      </c>
    </row>
    <row r="922">
      <c r="A922" s="44">
        <v>921.0</v>
      </c>
      <c r="B922" s="44">
        <v>146.0</v>
      </c>
    </row>
    <row r="923">
      <c r="A923" s="46">
        <v>922.0</v>
      </c>
      <c r="B923" s="46">
        <v>144.0</v>
      </c>
    </row>
    <row r="924">
      <c r="A924" s="44">
        <v>923.0</v>
      </c>
      <c r="B924" s="44">
        <v>142.0</v>
      </c>
    </row>
    <row r="925">
      <c r="A925" s="46">
        <v>924.0</v>
      </c>
      <c r="B925" s="46">
        <v>140.0</v>
      </c>
    </row>
    <row r="926">
      <c r="A926" s="44">
        <v>925.0</v>
      </c>
      <c r="B926" s="44">
        <v>138.0</v>
      </c>
    </row>
    <row r="927">
      <c r="A927" s="46">
        <v>926.0</v>
      </c>
      <c r="B927" s="46">
        <v>136.0</v>
      </c>
    </row>
    <row r="928">
      <c r="A928" s="44">
        <v>927.0</v>
      </c>
      <c r="B928" s="44">
        <v>135.0</v>
      </c>
    </row>
    <row r="929">
      <c r="A929" s="46">
        <v>928.0</v>
      </c>
      <c r="B929" s="46">
        <v>133.0</v>
      </c>
    </row>
    <row r="930">
      <c r="A930" s="44">
        <v>929.0</v>
      </c>
      <c r="B930" s="44">
        <v>131.0</v>
      </c>
    </row>
    <row r="931">
      <c r="A931" s="46">
        <v>930.0</v>
      </c>
      <c r="B931" s="46">
        <v>129.0</v>
      </c>
    </row>
    <row r="932">
      <c r="A932" s="44">
        <v>931.0</v>
      </c>
      <c r="B932" s="44">
        <v>127.0</v>
      </c>
    </row>
    <row r="933">
      <c r="A933" s="46">
        <v>932.0</v>
      </c>
      <c r="B933" s="46">
        <v>125.0</v>
      </c>
    </row>
    <row r="934">
      <c r="A934" s="44">
        <v>933.0</v>
      </c>
      <c r="B934" s="44">
        <v>123.0</v>
      </c>
    </row>
    <row r="935">
      <c r="A935" s="46">
        <v>934.0</v>
      </c>
      <c r="B935" s="46">
        <v>122.0</v>
      </c>
    </row>
    <row r="936">
      <c r="A936" s="44">
        <v>935.0</v>
      </c>
      <c r="B936" s="44">
        <v>120.0</v>
      </c>
    </row>
    <row r="937">
      <c r="A937" s="46">
        <v>936.0</v>
      </c>
      <c r="B937" s="46">
        <v>118.0</v>
      </c>
    </row>
    <row r="938">
      <c r="A938" s="44">
        <v>937.0</v>
      </c>
      <c r="B938" s="44">
        <v>116.0</v>
      </c>
    </row>
    <row r="939">
      <c r="A939" s="46">
        <v>938.0</v>
      </c>
      <c r="B939" s="46">
        <v>114.0</v>
      </c>
    </row>
    <row r="940">
      <c r="A940" s="44">
        <v>939.0</v>
      </c>
      <c r="B940" s="44">
        <v>112.0</v>
      </c>
    </row>
    <row r="941">
      <c r="A941" s="46">
        <v>940.0</v>
      </c>
      <c r="B941" s="46">
        <v>110.0</v>
      </c>
    </row>
    <row r="942">
      <c r="A942" s="44">
        <v>941.0</v>
      </c>
      <c r="B942" s="44">
        <v>109.0</v>
      </c>
    </row>
    <row r="943">
      <c r="A943" s="46">
        <v>942.0</v>
      </c>
      <c r="B943" s="46">
        <v>107.0</v>
      </c>
    </row>
    <row r="944">
      <c r="A944" s="44">
        <v>943.0</v>
      </c>
      <c r="B944" s="44">
        <v>105.0</v>
      </c>
    </row>
    <row r="945">
      <c r="A945" s="46">
        <v>944.0</v>
      </c>
      <c r="B945" s="46">
        <v>103.0</v>
      </c>
    </row>
    <row r="946">
      <c r="A946" s="44">
        <v>945.0</v>
      </c>
      <c r="B946" s="44">
        <v>101.0</v>
      </c>
    </row>
    <row r="947">
      <c r="A947" s="46">
        <v>946.0</v>
      </c>
      <c r="B947" s="46">
        <v>99.0</v>
      </c>
    </row>
    <row r="948">
      <c r="A948" s="44">
        <v>947.0</v>
      </c>
      <c r="B948" s="44">
        <v>98.0</v>
      </c>
    </row>
    <row r="949">
      <c r="A949" s="46">
        <v>948.0</v>
      </c>
      <c r="B949" s="46">
        <v>96.0</v>
      </c>
    </row>
    <row r="950">
      <c r="A950" s="44">
        <v>949.0</v>
      </c>
      <c r="B950" s="44">
        <v>94.0</v>
      </c>
    </row>
    <row r="951">
      <c r="A951" s="46">
        <v>950.0</v>
      </c>
      <c r="B951" s="46">
        <v>92.0</v>
      </c>
    </row>
    <row r="952">
      <c r="A952" s="44">
        <v>951.0</v>
      </c>
      <c r="B952" s="44">
        <v>90.0</v>
      </c>
    </row>
    <row r="953">
      <c r="A953" s="46">
        <v>952.0</v>
      </c>
      <c r="B953" s="46">
        <v>88.0</v>
      </c>
    </row>
    <row r="954">
      <c r="A954" s="44">
        <v>953.0</v>
      </c>
      <c r="B954" s="44">
        <v>86.0</v>
      </c>
    </row>
    <row r="955">
      <c r="A955" s="46">
        <v>954.0</v>
      </c>
      <c r="B955" s="46">
        <v>85.0</v>
      </c>
    </row>
    <row r="956">
      <c r="A956" s="44">
        <v>955.0</v>
      </c>
      <c r="B956" s="44">
        <v>83.0</v>
      </c>
    </row>
    <row r="957">
      <c r="A957" s="46">
        <v>956.0</v>
      </c>
      <c r="B957" s="46">
        <v>81.0</v>
      </c>
    </row>
    <row r="958">
      <c r="A958" s="44">
        <v>957.0</v>
      </c>
      <c r="B958" s="44">
        <v>79.0</v>
      </c>
    </row>
    <row r="959">
      <c r="A959" s="46">
        <v>958.0</v>
      </c>
      <c r="B959" s="46">
        <v>77.0</v>
      </c>
    </row>
    <row r="960">
      <c r="A960" s="44">
        <v>959.0</v>
      </c>
      <c r="B960" s="44">
        <v>75.0</v>
      </c>
    </row>
    <row r="961">
      <c r="A961" s="46">
        <v>960.0</v>
      </c>
      <c r="B961" s="46">
        <v>73.0</v>
      </c>
    </row>
    <row r="962">
      <c r="A962" s="44">
        <v>961.0</v>
      </c>
      <c r="B962" s="44">
        <v>72.0</v>
      </c>
    </row>
    <row r="963">
      <c r="A963" s="46">
        <v>962.0</v>
      </c>
      <c r="B963" s="46">
        <v>70.0</v>
      </c>
    </row>
    <row r="964">
      <c r="A964" s="44">
        <v>963.0</v>
      </c>
      <c r="B964" s="44">
        <v>68.0</v>
      </c>
    </row>
    <row r="965">
      <c r="A965" s="46">
        <v>964.0</v>
      </c>
      <c r="B965" s="46">
        <v>66.0</v>
      </c>
    </row>
    <row r="966">
      <c r="A966" s="44">
        <v>965.0</v>
      </c>
      <c r="B966" s="44">
        <v>64.0</v>
      </c>
    </row>
    <row r="967">
      <c r="A967" s="46">
        <v>966.0</v>
      </c>
      <c r="B967" s="46">
        <v>62.0</v>
      </c>
    </row>
    <row r="968">
      <c r="A968" s="44">
        <v>967.0</v>
      </c>
      <c r="B968" s="44">
        <v>61.0</v>
      </c>
    </row>
    <row r="969">
      <c r="A969" s="46">
        <v>968.0</v>
      </c>
      <c r="B969" s="46">
        <v>59.0</v>
      </c>
    </row>
    <row r="970">
      <c r="A970" s="44">
        <v>969.0</v>
      </c>
      <c r="B970" s="44">
        <v>57.0</v>
      </c>
    </row>
    <row r="971">
      <c r="A971" s="46">
        <v>970.0</v>
      </c>
      <c r="B971" s="46">
        <v>55.0</v>
      </c>
    </row>
    <row r="972">
      <c r="A972" s="44">
        <v>971.0</v>
      </c>
      <c r="B972" s="44">
        <v>53.0</v>
      </c>
    </row>
    <row r="973">
      <c r="A973" s="46">
        <v>972.0</v>
      </c>
      <c r="B973" s="46">
        <v>51.0</v>
      </c>
    </row>
    <row r="974">
      <c r="A974" s="44">
        <v>973.0</v>
      </c>
      <c r="B974" s="44">
        <v>49.0</v>
      </c>
    </row>
    <row r="975">
      <c r="A975" s="46">
        <v>974.0</v>
      </c>
      <c r="B975" s="46">
        <v>48.0</v>
      </c>
    </row>
    <row r="976">
      <c r="A976" s="44">
        <v>975.0</v>
      </c>
      <c r="B976" s="44">
        <v>46.0</v>
      </c>
    </row>
    <row r="977">
      <c r="A977" s="46">
        <v>976.0</v>
      </c>
      <c r="B977" s="46">
        <v>44.0</v>
      </c>
    </row>
    <row r="978">
      <c r="A978" s="44">
        <v>977.0</v>
      </c>
      <c r="B978" s="44">
        <v>42.0</v>
      </c>
    </row>
    <row r="979">
      <c r="A979" s="46">
        <v>978.0</v>
      </c>
      <c r="B979" s="46">
        <v>40.0</v>
      </c>
    </row>
    <row r="980">
      <c r="A980" s="44">
        <v>979.0</v>
      </c>
      <c r="B980" s="44">
        <v>38.0</v>
      </c>
    </row>
    <row r="981">
      <c r="A981" s="46">
        <v>980.0</v>
      </c>
      <c r="B981" s="46">
        <v>36.0</v>
      </c>
    </row>
    <row r="982">
      <c r="A982" s="44">
        <v>981.0</v>
      </c>
      <c r="B982" s="44">
        <v>35.0</v>
      </c>
    </row>
    <row r="983">
      <c r="A983" s="46">
        <v>982.0</v>
      </c>
      <c r="B983" s="46">
        <v>33.0</v>
      </c>
    </row>
    <row r="984">
      <c r="A984" s="44">
        <v>983.0</v>
      </c>
      <c r="B984" s="44">
        <v>31.0</v>
      </c>
    </row>
    <row r="985">
      <c r="A985" s="46">
        <v>984.0</v>
      </c>
      <c r="B985" s="46">
        <v>29.0</v>
      </c>
    </row>
    <row r="986">
      <c r="A986" s="44">
        <v>985.0</v>
      </c>
      <c r="B986" s="44">
        <v>27.0</v>
      </c>
    </row>
    <row r="987">
      <c r="A987" s="46">
        <v>986.0</v>
      </c>
      <c r="B987" s="46">
        <v>25.0</v>
      </c>
    </row>
    <row r="988">
      <c r="A988" s="44">
        <v>987.0</v>
      </c>
      <c r="B988" s="44">
        <v>24.0</v>
      </c>
    </row>
    <row r="989">
      <c r="A989" s="46">
        <v>988.0</v>
      </c>
      <c r="B989" s="46">
        <v>22.0</v>
      </c>
    </row>
    <row r="990">
      <c r="A990" s="44">
        <v>989.0</v>
      </c>
      <c r="B990" s="44">
        <v>20.0</v>
      </c>
    </row>
    <row r="991">
      <c r="A991" s="46">
        <v>990.0</v>
      </c>
      <c r="B991" s="46">
        <v>18.0</v>
      </c>
    </row>
    <row r="992">
      <c r="A992" s="44">
        <v>991.0</v>
      </c>
      <c r="B992" s="44">
        <v>16.0</v>
      </c>
    </row>
    <row r="993">
      <c r="A993" s="46">
        <v>992.0</v>
      </c>
      <c r="B993" s="46">
        <v>14.0</v>
      </c>
    </row>
    <row r="994">
      <c r="A994" s="44">
        <v>993.0</v>
      </c>
      <c r="B994" s="44">
        <v>12.0</v>
      </c>
    </row>
    <row r="995">
      <c r="A995" s="46">
        <v>994.0</v>
      </c>
      <c r="B995" s="46">
        <v>11.0</v>
      </c>
    </row>
    <row r="996">
      <c r="A996" s="44">
        <v>995.0</v>
      </c>
      <c r="B996" s="44">
        <v>9.0</v>
      </c>
    </row>
    <row r="997">
      <c r="A997" s="46">
        <v>996.0</v>
      </c>
      <c r="B997" s="46">
        <v>7.0</v>
      </c>
    </row>
    <row r="998">
      <c r="A998" s="44">
        <v>997.0</v>
      </c>
      <c r="B998" s="44">
        <v>5.0</v>
      </c>
    </row>
    <row r="999">
      <c r="A999" s="46">
        <v>998.0</v>
      </c>
      <c r="B999" s="46">
        <v>3.0</v>
      </c>
    </row>
    <row r="1000">
      <c r="A1000" s="44">
        <v>999.0</v>
      </c>
      <c r="B1000" s="44">
        <v>1.0</v>
      </c>
    </row>
    <row r="1001">
      <c r="A1001" s="46">
        <v>1000.0</v>
      </c>
      <c r="B1001" s="46">
        <v>0.0</v>
      </c>
    </row>
  </sheetData>
  <autoFilter ref="$A$1:$B$1001"/>
  <drawing r:id="rId1"/>
</worksheet>
</file>